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64957\My Drive\GDVault\MarthaVault\00_Inbox\"/>
    </mc:Choice>
  </mc:AlternateContent>
  <xr:revisionPtr revIDLastSave="0" documentId="8_{915DFFC0-4A9C-488B-86F6-9ACAEFBB99BE}" xr6:coauthVersionLast="47" xr6:coauthVersionMax="47" xr10:uidLastSave="{00000000-0000-0000-0000-000000000000}"/>
  <bookViews>
    <workbookView xWindow="28680" yWindow="-120" windowWidth="29040" windowHeight="15720" activeTab="4" xr2:uid="{6280EFF5-0E3B-41BF-9350-52EE45CBAB54}"/>
  </bookViews>
  <sheets>
    <sheet name="N3" sheetId="1" r:id="rId1"/>
    <sheet name="N2" sheetId="2" r:id="rId2"/>
    <sheet name="Gloria" sheetId="3" r:id="rId3"/>
    <sheet name="OPD" sheetId="4" r:id="rId4"/>
    <sheet name="B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8" i="5" l="1"/>
  <c r="J138" i="5" s="1"/>
  <c r="E137" i="5"/>
  <c r="J137" i="5" s="1"/>
  <c r="E136" i="5"/>
  <c r="H136" i="5" s="1"/>
  <c r="E135" i="5"/>
  <c r="I135" i="5" s="1"/>
  <c r="E134" i="5"/>
  <c r="J134" i="5" s="1"/>
  <c r="E133" i="5"/>
  <c r="J133" i="5" s="1"/>
  <c r="E132" i="5"/>
  <c r="J132" i="5" s="1"/>
  <c r="E131" i="5"/>
  <c r="I131" i="5" s="1"/>
  <c r="E130" i="5"/>
  <c r="J130" i="5" s="1"/>
  <c r="E129" i="5"/>
  <c r="J129" i="5" s="1"/>
  <c r="E128" i="5"/>
  <c r="G128" i="5" s="1"/>
  <c r="E127" i="5"/>
  <c r="J127" i="5" s="1"/>
  <c r="E126" i="5"/>
  <c r="J126" i="5" s="1"/>
  <c r="E125" i="5"/>
  <c r="J125" i="5" s="1"/>
  <c r="E124" i="5"/>
  <c r="H124" i="5" s="1"/>
  <c r="E123" i="5"/>
  <c r="H123" i="5" s="1"/>
  <c r="E122" i="5"/>
  <c r="J122" i="5" s="1"/>
  <c r="G121" i="5"/>
  <c r="E121" i="5"/>
  <c r="J121" i="5" s="1"/>
  <c r="E120" i="5"/>
  <c r="J120" i="5" s="1"/>
  <c r="E119" i="5"/>
  <c r="I119" i="5" s="1"/>
  <c r="E118" i="5"/>
  <c r="I118" i="5" s="1"/>
  <c r="E117" i="5"/>
  <c r="J117" i="5" s="1"/>
  <c r="J116" i="5"/>
  <c r="E116" i="5"/>
  <c r="G116" i="5" s="1"/>
  <c r="E115" i="5"/>
  <c r="J115" i="5" s="1"/>
  <c r="E114" i="5"/>
  <c r="J114" i="5" s="1"/>
  <c r="E113" i="5"/>
  <c r="J113" i="5" s="1"/>
  <c r="E112" i="5"/>
  <c r="H112" i="5" s="1"/>
  <c r="E111" i="5"/>
  <c r="H111" i="5" s="1"/>
  <c r="I110" i="5"/>
  <c r="E110" i="5"/>
  <c r="J110" i="5" s="1"/>
  <c r="E109" i="5"/>
  <c r="J109" i="5" s="1"/>
  <c r="E108" i="5"/>
  <c r="J108" i="5" s="1"/>
  <c r="E107" i="5"/>
  <c r="I107" i="5" s="1"/>
  <c r="J106" i="5"/>
  <c r="E106" i="5"/>
  <c r="I106" i="5" s="1"/>
  <c r="E105" i="5"/>
  <c r="J105" i="5" s="1"/>
  <c r="I104" i="5"/>
  <c r="E104" i="5"/>
  <c r="G104" i="5" s="1"/>
  <c r="H103" i="5"/>
  <c r="G103" i="5"/>
  <c r="E103" i="5"/>
  <c r="J103" i="5" s="1"/>
  <c r="E102" i="5"/>
  <c r="J102" i="5" s="1"/>
  <c r="E101" i="5"/>
  <c r="J101" i="5" s="1"/>
  <c r="E100" i="5"/>
  <c r="H100" i="5" s="1"/>
  <c r="J99" i="5"/>
  <c r="G99" i="5"/>
  <c r="E99" i="5"/>
  <c r="H99" i="5" s="1"/>
  <c r="I98" i="5"/>
  <c r="E98" i="5"/>
  <c r="J98" i="5" s="1"/>
  <c r="E97" i="5"/>
  <c r="J97" i="5" s="1"/>
  <c r="E96" i="5"/>
  <c r="J96" i="5" s="1"/>
  <c r="E95" i="5"/>
  <c r="I95" i="5" s="1"/>
  <c r="E94" i="5"/>
  <c r="I94" i="5" s="1"/>
  <c r="J93" i="5"/>
  <c r="E93" i="5"/>
  <c r="I93" i="5" s="1"/>
  <c r="E92" i="5"/>
  <c r="G92" i="5" s="1"/>
  <c r="G91" i="5"/>
  <c r="E91" i="5"/>
  <c r="J91" i="5" s="1"/>
  <c r="E90" i="5"/>
  <c r="J90" i="5" s="1"/>
  <c r="E89" i="5"/>
  <c r="J89" i="5" s="1"/>
  <c r="E88" i="5"/>
  <c r="H88" i="5" s="1"/>
  <c r="E87" i="5"/>
  <c r="H87" i="5" s="1"/>
  <c r="I86" i="5"/>
  <c r="E86" i="5"/>
  <c r="H86" i="5" s="1"/>
  <c r="H85" i="5"/>
  <c r="E85" i="5"/>
  <c r="J85" i="5" s="1"/>
  <c r="E84" i="5"/>
  <c r="J84" i="5" s="1"/>
  <c r="E83" i="5"/>
  <c r="I83" i="5" s="1"/>
  <c r="E82" i="5"/>
  <c r="I82" i="5" s="1"/>
  <c r="J81" i="5"/>
  <c r="E81" i="5"/>
  <c r="G81" i="5" s="1"/>
  <c r="E80" i="5"/>
  <c r="G80" i="5" s="1"/>
  <c r="E79" i="5"/>
  <c r="J79" i="5" s="1"/>
  <c r="E78" i="5"/>
  <c r="J78" i="5" s="1"/>
  <c r="E77" i="5"/>
  <c r="J77" i="5" s="1"/>
  <c r="I76" i="5"/>
  <c r="E76" i="5"/>
  <c r="H76" i="5" s="1"/>
  <c r="E75" i="5"/>
  <c r="H75" i="5" s="1"/>
  <c r="H74" i="5"/>
  <c r="G74" i="5"/>
  <c r="E74" i="5"/>
  <c r="J74" i="5" s="1"/>
  <c r="I73" i="5"/>
  <c r="E73" i="5"/>
  <c r="J73" i="5" s="1"/>
  <c r="E72" i="5"/>
  <c r="J72" i="5" s="1"/>
  <c r="E71" i="5"/>
  <c r="I71" i="5" s="1"/>
  <c r="E70" i="5"/>
  <c r="I70" i="5" s="1"/>
  <c r="I69" i="5"/>
  <c r="H69" i="5"/>
  <c r="G69" i="5"/>
  <c r="E69" i="5"/>
  <c r="J69" i="5" s="1"/>
  <c r="J68" i="5"/>
  <c r="E68" i="5"/>
  <c r="G68" i="5" s="1"/>
  <c r="E67" i="5"/>
  <c r="J67" i="5" s="1"/>
  <c r="E66" i="5"/>
  <c r="J66" i="5" s="1"/>
  <c r="E65" i="5"/>
  <c r="J65" i="5" s="1"/>
  <c r="E64" i="5"/>
  <c r="H64" i="5" s="1"/>
  <c r="J63" i="5"/>
  <c r="I63" i="5"/>
  <c r="E63" i="5"/>
  <c r="H63" i="5" s="1"/>
  <c r="E62" i="5"/>
  <c r="J62" i="5" s="1"/>
  <c r="E61" i="5"/>
  <c r="J61" i="5" s="1"/>
  <c r="E60" i="5"/>
  <c r="J60" i="5" s="1"/>
  <c r="E59" i="5"/>
  <c r="I59" i="5" s="1"/>
  <c r="E58" i="5"/>
  <c r="I58" i="5" s="1"/>
  <c r="E57" i="5"/>
  <c r="G57" i="5" s="1"/>
  <c r="E56" i="5"/>
  <c r="G56" i="5" s="1"/>
  <c r="E55" i="5"/>
  <c r="H55" i="5" s="1"/>
  <c r="E54" i="5"/>
  <c r="J54" i="5" s="1"/>
  <c r="E53" i="5"/>
  <c r="J53" i="5" s="1"/>
  <c r="E52" i="5"/>
  <c r="H52" i="5" s="1"/>
  <c r="I51" i="5"/>
  <c r="E51" i="5"/>
  <c r="H51" i="5" s="1"/>
  <c r="E50" i="5"/>
  <c r="J50" i="5" s="1"/>
  <c r="E49" i="5"/>
  <c r="J49" i="5" s="1"/>
  <c r="E48" i="5"/>
  <c r="J48" i="5" s="1"/>
  <c r="E47" i="5"/>
  <c r="I47" i="5" s="1"/>
  <c r="E46" i="5"/>
  <c r="I46" i="5" s="1"/>
  <c r="H45" i="5"/>
  <c r="E45" i="5"/>
  <c r="J45" i="5" s="1"/>
  <c r="E44" i="5"/>
  <c r="G44" i="5" s="1"/>
  <c r="E43" i="5"/>
  <c r="J43" i="5" s="1"/>
  <c r="E42" i="5"/>
  <c r="J42" i="5" s="1"/>
  <c r="E41" i="5"/>
  <c r="J41" i="5" s="1"/>
  <c r="E40" i="5"/>
  <c r="H40" i="5" s="1"/>
  <c r="E39" i="5"/>
  <c r="H39" i="5" s="1"/>
  <c r="E38" i="5"/>
  <c r="J38" i="5" s="1"/>
  <c r="E37" i="5"/>
  <c r="J37" i="5" s="1"/>
  <c r="E36" i="5"/>
  <c r="J36" i="5" s="1"/>
  <c r="E35" i="5"/>
  <c r="I35" i="5" s="1"/>
  <c r="E34" i="5"/>
  <c r="I34" i="5" s="1"/>
  <c r="E33" i="5"/>
  <c r="G33" i="5" s="1"/>
  <c r="E32" i="5"/>
  <c r="G32" i="5" s="1"/>
  <c r="E31" i="5"/>
  <c r="H31" i="5" s="1"/>
  <c r="E30" i="5"/>
  <c r="J30" i="5" s="1"/>
  <c r="E29" i="5"/>
  <c r="J29" i="5" s="1"/>
  <c r="E28" i="5"/>
  <c r="H28" i="5" s="1"/>
  <c r="E27" i="5"/>
  <c r="H27" i="5" s="1"/>
  <c r="E26" i="5"/>
  <c r="J26" i="5" s="1"/>
  <c r="H25" i="5"/>
  <c r="E25" i="5"/>
  <c r="J25" i="5" s="1"/>
  <c r="E24" i="5"/>
  <c r="J24" i="5" s="1"/>
  <c r="E23" i="5"/>
  <c r="I23" i="5" s="1"/>
  <c r="E22" i="5"/>
  <c r="I22" i="5" s="1"/>
  <c r="E21" i="5"/>
  <c r="J21" i="5" s="1"/>
  <c r="J20" i="5"/>
  <c r="E20" i="5"/>
  <c r="G20" i="5" s="1"/>
  <c r="E19" i="5"/>
  <c r="J19" i="5" s="1"/>
  <c r="E18" i="5"/>
  <c r="J18" i="5" s="1"/>
  <c r="E17" i="5"/>
  <c r="J17" i="5" s="1"/>
  <c r="E16" i="5"/>
  <c r="H16" i="5" s="1"/>
  <c r="G15" i="5"/>
  <c r="E15" i="5"/>
  <c r="H15" i="5" s="1"/>
  <c r="E14" i="5"/>
  <c r="J14" i="5" s="1"/>
  <c r="E13" i="5"/>
  <c r="J13" i="5" s="1"/>
  <c r="E12" i="5"/>
  <c r="J12" i="5" s="1"/>
  <c r="E11" i="5"/>
  <c r="I11" i="5" s="1"/>
  <c r="E10" i="5"/>
  <c r="I10" i="5" s="1"/>
  <c r="E9" i="5"/>
  <c r="J9" i="5" s="1"/>
  <c r="J8" i="5"/>
  <c r="E8" i="5"/>
  <c r="G8" i="5" s="1"/>
  <c r="E7" i="5"/>
  <c r="J7" i="5" s="1"/>
  <c r="E6" i="5"/>
  <c r="J6" i="5" s="1"/>
  <c r="E5" i="5"/>
  <c r="J5" i="5" s="1"/>
  <c r="E4" i="5"/>
  <c r="H4" i="5" s="1"/>
  <c r="E3" i="5"/>
  <c r="H3" i="5" s="1"/>
  <c r="E138" i="4"/>
  <c r="J138" i="4" s="1"/>
  <c r="E137" i="4"/>
  <c r="J137" i="4" s="1"/>
  <c r="E136" i="4"/>
  <c r="H136" i="4" s="1"/>
  <c r="E135" i="4"/>
  <c r="J135" i="4" s="1"/>
  <c r="E134" i="4"/>
  <c r="J134" i="4" s="1"/>
  <c r="E133" i="4"/>
  <c r="J133" i="4" s="1"/>
  <c r="E132" i="4"/>
  <c r="J132" i="4" s="1"/>
  <c r="E131" i="4"/>
  <c r="H131" i="4" s="1"/>
  <c r="E130" i="4"/>
  <c r="J130" i="4" s="1"/>
  <c r="H129" i="4"/>
  <c r="E129" i="4"/>
  <c r="G129" i="4" s="1"/>
  <c r="E128" i="4"/>
  <c r="J128" i="4" s="1"/>
  <c r="E127" i="4"/>
  <c r="J127" i="4" s="1"/>
  <c r="E126" i="4"/>
  <c r="J126" i="4" s="1"/>
  <c r="E125" i="4"/>
  <c r="J125" i="4" s="1"/>
  <c r="E124" i="4"/>
  <c r="H124" i="4" s="1"/>
  <c r="E123" i="4"/>
  <c r="G123" i="4" s="1"/>
  <c r="E122" i="4"/>
  <c r="J122" i="4" s="1"/>
  <c r="E121" i="4"/>
  <c r="J121" i="4" s="1"/>
  <c r="E120" i="4"/>
  <c r="J120" i="4" s="1"/>
  <c r="E119" i="4"/>
  <c r="I119" i="4" s="1"/>
  <c r="E118" i="4"/>
  <c r="I118" i="4" s="1"/>
  <c r="E117" i="4"/>
  <c r="J117" i="4" s="1"/>
  <c r="E116" i="4"/>
  <c r="J116" i="4" s="1"/>
  <c r="E115" i="4"/>
  <c r="J115" i="4" s="1"/>
  <c r="E114" i="4"/>
  <c r="J114" i="4" s="1"/>
  <c r="J113" i="4"/>
  <c r="E113" i="4"/>
  <c r="I113" i="4" s="1"/>
  <c r="J112" i="4"/>
  <c r="E112" i="4"/>
  <c r="H112" i="4" s="1"/>
  <c r="J111" i="4"/>
  <c r="E111" i="4"/>
  <c r="G111" i="4" s="1"/>
  <c r="E110" i="4"/>
  <c r="I110" i="4" s="1"/>
  <c r="G109" i="4"/>
  <c r="E109" i="4"/>
  <c r="J109" i="4" s="1"/>
  <c r="E108" i="4"/>
  <c r="J108" i="4" s="1"/>
  <c r="J107" i="4"/>
  <c r="E107" i="4"/>
  <c r="I107" i="4" s="1"/>
  <c r="E106" i="4"/>
  <c r="H106" i="4" s="1"/>
  <c r="E105" i="4"/>
  <c r="J105" i="4" s="1"/>
  <c r="E104" i="4"/>
  <c r="J104" i="4" s="1"/>
  <c r="E103" i="4"/>
  <c r="J103" i="4" s="1"/>
  <c r="E102" i="4"/>
  <c r="J102" i="4" s="1"/>
  <c r="E101" i="4"/>
  <c r="I101" i="4" s="1"/>
  <c r="E100" i="4"/>
  <c r="H100" i="4" s="1"/>
  <c r="E99" i="4"/>
  <c r="G99" i="4" s="1"/>
  <c r="J98" i="4"/>
  <c r="I98" i="4"/>
  <c r="H98" i="4"/>
  <c r="G98" i="4"/>
  <c r="E98" i="4"/>
  <c r="G97" i="4"/>
  <c r="E97" i="4"/>
  <c r="J97" i="4" s="1"/>
  <c r="E96" i="4"/>
  <c r="J96" i="4" s="1"/>
  <c r="J95" i="4"/>
  <c r="E95" i="4"/>
  <c r="I95" i="4" s="1"/>
  <c r="E94" i="4"/>
  <c r="H94" i="4" s="1"/>
  <c r="E93" i="4"/>
  <c r="I93" i="4" s="1"/>
  <c r="E92" i="4"/>
  <c r="J92" i="4" s="1"/>
  <c r="E91" i="4"/>
  <c r="J91" i="4" s="1"/>
  <c r="E90" i="4"/>
  <c r="J90" i="4" s="1"/>
  <c r="E89" i="4"/>
  <c r="I89" i="4" s="1"/>
  <c r="E88" i="4"/>
  <c r="G88" i="4" s="1"/>
  <c r="I87" i="4"/>
  <c r="E87" i="4"/>
  <c r="G87" i="4" s="1"/>
  <c r="E86" i="4"/>
  <c r="J86" i="4" s="1"/>
  <c r="E85" i="4"/>
  <c r="J85" i="4" s="1"/>
  <c r="E84" i="4"/>
  <c r="J84" i="4" s="1"/>
  <c r="E83" i="4"/>
  <c r="I83" i="4" s="1"/>
  <c r="E82" i="4"/>
  <c r="H82" i="4" s="1"/>
  <c r="E81" i="4"/>
  <c r="J81" i="4" s="1"/>
  <c r="I80" i="4"/>
  <c r="E80" i="4"/>
  <c r="H80" i="4" s="1"/>
  <c r="E79" i="4"/>
  <c r="I79" i="4" s="1"/>
  <c r="E78" i="4"/>
  <c r="J78" i="4" s="1"/>
  <c r="E77" i="4"/>
  <c r="I77" i="4" s="1"/>
  <c r="E76" i="4"/>
  <c r="G76" i="4" s="1"/>
  <c r="E75" i="4"/>
  <c r="G75" i="4" s="1"/>
  <c r="E74" i="4"/>
  <c r="J74" i="4" s="1"/>
  <c r="E73" i="4"/>
  <c r="J73" i="4" s="1"/>
  <c r="E72" i="4"/>
  <c r="J72" i="4" s="1"/>
  <c r="E71" i="4"/>
  <c r="I71" i="4" s="1"/>
  <c r="E70" i="4"/>
  <c r="H70" i="4" s="1"/>
  <c r="I69" i="4"/>
  <c r="E69" i="4"/>
  <c r="J69" i="4" s="1"/>
  <c r="J68" i="4"/>
  <c r="I68" i="4"/>
  <c r="H68" i="4"/>
  <c r="E68" i="4"/>
  <c r="G68" i="4" s="1"/>
  <c r="E67" i="4"/>
  <c r="I67" i="4" s="1"/>
  <c r="E66" i="4"/>
  <c r="J66" i="4" s="1"/>
  <c r="E65" i="4"/>
  <c r="I65" i="4" s="1"/>
  <c r="E64" i="4"/>
  <c r="G64" i="4" s="1"/>
  <c r="H63" i="4"/>
  <c r="E63" i="4"/>
  <c r="G63" i="4" s="1"/>
  <c r="J62" i="4"/>
  <c r="I62" i="4"/>
  <c r="E62" i="4"/>
  <c r="H62" i="4" s="1"/>
  <c r="E61" i="4"/>
  <c r="J61" i="4" s="1"/>
  <c r="E60" i="4"/>
  <c r="J60" i="4" s="1"/>
  <c r="E59" i="4"/>
  <c r="I59" i="4" s="1"/>
  <c r="I58" i="4"/>
  <c r="E58" i="4"/>
  <c r="H58" i="4" s="1"/>
  <c r="E57" i="4"/>
  <c r="H57" i="4" s="1"/>
  <c r="I56" i="4"/>
  <c r="H56" i="4"/>
  <c r="G56" i="4"/>
  <c r="E56" i="4"/>
  <c r="J56" i="4" s="1"/>
  <c r="E55" i="4"/>
  <c r="G55" i="4" s="1"/>
  <c r="E54" i="4"/>
  <c r="J54" i="4" s="1"/>
  <c r="E53" i="4"/>
  <c r="I53" i="4" s="1"/>
  <c r="E52" i="4"/>
  <c r="G52" i="4" s="1"/>
  <c r="E51" i="4"/>
  <c r="G51" i="4" s="1"/>
  <c r="E50" i="4"/>
  <c r="J50" i="4" s="1"/>
  <c r="E49" i="4"/>
  <c r="J49" i="4" s="1"/>
  <c r="E48" i="4"/>
  <c r="J48" i="4" s="1"/>
  <c r="E47" i="4"/>
  <c r="I47" i="4" s="1"/>
  <c r="E46" i="4"/>
  <c r="H46" i="4" s="1"/>
  <c r="I45" i="4"/>
  <c r="E45" i="4"/>
  <c r="H45" i="4" s="1"/>
  <c r="E44" i="4"/>
  <c r="J44" i="4" s="1"/>
  <c r="E43" i="4"/>
  <c r="G43" i="4" s="1"/>
  <c r="E42" i="4"/>
  <c r="J42" i="4" s="1"/>
  <c r="E41" i="4"/>
  <c r="I41" i="4" s="1"/>
  <c r="E40" i="4"/>
  <c r="G40" i="4" s="1"/>
  <c r="H39" i="4"/>
  <c r="E39" i="4"/>
  <c r="G39" i="4" s="1"/>
  <c r="E38" i="4"/>
  <c r="J38" i="4" s="1"/>
  <c r="E37" i="4"/>
  <c r="J37" i="4" s="1"/>
  <c r="E36" i="4"/>
  <c r="J36" i="4" s="1"/>
  <c r="E35" i="4"/>
  <c r="I35" i="4" s="1"/>
  <c r="E34" i="4"/>
  <c r="H34" i="4" s="1"/>
  <c r="E33" i="4"/>
  <c r="I33" i="4" s="1"/>
  <c r="E32" i="4"/>
  <c r="J32" i="4" s="1"/>
  <c r="E31" i="4"/>
  <c r="G31" i="4" s="1"/>
  <c r="E30" i="4"/>
  <c r="J30" i="4" s="1"/>
  <c r="E29" i="4"/>
  <c r="I29" i="4" s="1"/>
  <c r="E28" i="4"/>
  <c r="G28" i="4" s="1"/>
  <c r="E27" i="4"/>
  <c r="G27" i="4" s="1"/>
  <c r="E26" i="4"/>
  <c r="J26" i="4" s="1"/>
  <c r="E25" i="4"/>
  <c r="J25" i="4" s="1"/>
  <c r="E24" i="4"/>
  <c r="J24" i="4" s="1"/>
  <c r="E23" i="4"/>
  <c r="I23" i="4" s="1"/>
  <c r="E22" i="4"/>
  <c r="H22" i="4" s="1"/>
  <c r="E21" i="4"/>
  <c r="J21" i="4" s="1"/>
  <c r="E20" i="4"/>
  <c r="G20" i="4" s="1"/>
  <c r="E19" i="4"/>
  <c r="G19" i="4" s="1"/>
  <c r="E18" i="4"/>
  <c r="J18" i="4" s="1"/>
  <c r="E17" i="4"/>
  <c r="I17" i="4" s="1"/>
  <c r="E16" i="4"/>
  <c r="G16" i="4" s="1"/>
  <c r="E15" i="4"/>
  <c r="G15" i="4" s="1"/>
  <c r="E14" i="4"/>
  <c r="J14" i="4" s="1"/>
  <c r="E13" i="4"/>
  <c r="G13" i="4" s="1"/>
  <c r="E12" i="4"/>
  <c r="J12" i="4" s="1"/>
  <c r="E11" i="4"/>
  <c r="H11" i="4" s="1"/>
  <c r="E10" i="4"/>
  <c r="H10" i="4" s="1"/>
  <c r="J9" i="4"/>
  <c r="I9" i="4"/>
  <c r="E9" i="4"/>
  <c r="H9" i="4" s="1"/>
  <c r="E8" i="4"/>
  <c r="I8" i="4" s="1"/>
  <c r="E7" i="4"/>
  <c r="J7" i="4" s="1"/>
  <c r="E6" i="4"/>
  <c r="J6" i="4" s="1"/>
  <c r="E5" i="4"/>
  <c r="I5" i="4" s="1"/>
  <c r="E4" i="4"/>
  <c r="G4" i="4" s="1"/>
  <c r="I3" i="4"/>
  <c r="H3" i="4"/>
  <c r="E3" i="4"/>
  <c r="G3" i="4" s="1"/>
  <c r="E138" i="3"/>
  <c r="J138" i="3" s="1"/>
  <c r="E137" i="3"/>
  <c r="J137" i="3" s="1"/>
  <c r="E136" i="3"/>
  <c r="H136" i="3" s="1"/>
  <c r="E135" i="3"/>
  <c r="J135" i="3" s="1"/>
  <c r="G134" i="3"/>
  <c r="E134" i="3"/>
  <c r="J134" i="3" s="1"/>
  <c r="G133" i="3"/>
  <c r="E133" i="3"/>
  <c r="J133" i="3" s="1"/>
  <c r="E132" i="3"/>
  <c r="J132" i="3" s="1"/>
  <c r="E131" i="3"/>
  <c r="H131" i="3" s="1"/>
  <c r="E130" i="3"/>
  <c r="I130" i="3" s="1"/>
  <c r="J129" i="3"/>
  <c r="H129" i="3"/>
  <c r="E129" i="3"/>
  <c r="I129" i="3" s="1"/>
  <c r="E128" i="3"/>
  <c r="I128" i="3" s="1"/>
  <c r="E127" i="3"/>
  <c r="J127" i="3" s="1"/>
  <c r="E126" i="3"/>
  <c r="J126" i="3" s="1"/>
  <c r="E125" i="3"/>
  <c r="J125" i="3" s="1"/>
  <c r="I124" i="3"/>
  <c r="E124" i="3"/>
  <c r="H124" i="3" s="1"/>
  <c r="I123" i="3"/>
  <c r="E123" i="3"/>
  <c r="J123" i="3" s="1"/>
  <c r="I122" i="3"/>
  <c r="G122" i="3"/>
  <c r="E122" i="3"/>
  <c r="J122" i="3" s="1"/>
  <c r="G121" i="3"/>
  <c r="E121" i="3"/>
  <c r="J121" i="3" s="1"/>
  <c r="E120" i="3"/>
  <c r="J120" i="3" s="1"/>
  <c r="J119" i="3"/>
  <c r="E119" i="3"/>
  <c r="H119" i="3" s="1"/>
  <c r="J118" i="3"/>
  <c r="G118" i="3"/>
  <c r="E118" i="3"/>
  <c r="H118" i="3" s="1"/>
  <c r="I117" i="3"/>
  <c r="E117" i="3"/>
  <c r="G117" i="3" s="1"/>
  <c r="J116" i="3"/>
  <c r="I116" i="3"/>
  <c r="H116" i="3"/>
  <c r="G116" i="3"/>
  <c r="E116" i="3"/>
  <c r="G115" i="3"/>
  <c r="E115" i="3"/>
  <c r="J115" i="3" s="1"/>
  <c r="E114" i="3"/>
  <c r="J114" i="3" s="1"/>
  <c r="E113" i="3"/>
  <c r="J113" i="3" s="1"/>
  <c r="E112" i="3"/>
  <c r="H112" i="3" s="1"/>
  <c r="E111" i="3"/>
  <c r="G111" i="3" s="1"/>
  <c r="G110" i="3"/>
  <c r="E110" i="3"/>
  <c r="J110" i="3" s="1"/>
  <c r="E109" i="3"/>
  <c r="J109" i="3" s="1"/>
  <c r="E108" i="3"/>
  <c r="J108" i="3" s="1"/>
  <c r="G107" i="3"/>
  <c r="E107" i="3"/>
  <c r="I107" i="3" s="1"/>
  <c r="J106" i="3"/>
  <c r="I106" i="3"/>
  <c r="G106" i="3"/>
  <c r="E106" i="3"/>
  <c r="H106" i="3" s="1"/>
  <c r="J105" i="3"/>
  <c r="G105" i="3"/>
  <c r="E105" i="3"/>
  <c r="I105" i="3" s="1"/>
  <c r="I104" i="3"/>
  <c r="E104" i="3"/>
  <c r="J104" i="3" s="1"/>
  <c r="E103" i="3"/>
  <c r="J103" i="3" s="1"/>
  <c r="E102" i="3"/>
  <c r="J102" i="3" s="1"/>
  <c r="J101" i="3"/>
  <c r="E101" i="3"/>
  <c r="I101" i="3" s="1"/>
  <c r="I100" i="3"/>
  <c r="E100" i="3"/>
  <c r="H100" i="3" s="1"/>
  <c r="I99" i="3"/>
  <c r="E99" i="3"/>
  <c r="G99" i="3" s="1"/>
  <c r="H98" i="3"/>
  <c r="G98" i="3"/>
  <c r="E98" i="3"/>
  <c r="J98" i="3" s="1"/>
  <c r="G97" i="3"/>
  <c r="E97" i="3"/>
  <c r="J97" i="3" s="1"/>
  <c r="E96" i="3"/>
  <c r="J96" i="3" s="1"/>
  <c r="J95" i="3"/>
  <c r="E95" i="3"/>
  <c r="I95" i="3" s="1"/>
  <c r="I94" i="3"/>
  <c r="E94" i="3"/>
  <c r="H94" i="3" s="1"/>
  <c r="I93" i="3"/>
  <c r="G93" i="3"/>
  <c r="E93" i="3"/>
  <c r="J93" i="3" s="1"/>
  <c r="I92" i="3"/>
  <c r="E92" i="3"/>
  <c r="G92" i="3" s="1"/>
  <c r="E91" i="3"/>
  <c r="G91" i="3" s="1"/>
  <c r="E90" i="3"/>
  <c r="J90" i="3" s="1"/>
  <c r="E89" i="3"/>
  <c r="I89" i="3" s="1"/>
  <c r="I88" i="3"/>
  <c r="E88" i="3"/>
  <c r="H88" i="3" s="1"/>
  <c r="J87" i="3"/>
  <c r="I87" i="3"/>
  <c r="H87" i="3"/>
  <c r="E87" i="3"/>
  <c r="G87" i="3" s="1"/>
  <c r="H86" i="3"/>
  <c r="E86" i="3"/>
  <c r="J86" i="3" s="1"/>
  <c r="E85" i="3"/>
  <c r="J85" i="3" s="1"/>
  <c r="E84" i="3"/>
  <c r="J84" i="3" s="1"/>
  <c r="J83" i="3"/>
  <c r="E83" i="3"/>
  <c r="I83" i="3" s="1"/>
  <c r="J82" i="3"/>
  <c r="I82" i="3"/>
  <c r="G82" i="3"/>
  <c r="E82" i="3"/>
  <c r="H82" i="3" s="1"/>
  <c r="E81" i="3"/>
  <c r="J81" i="3" s="1"/>
  <c r="E80" i="3"/>
  <c r="J80" i="3" s="1"/>
  <c r="E79" i="3"/>
  <c r="J79" i="3" s="1"/>
  <c r="E78" i="3"/>
  <c r="J78" i="3" s="1"/>
  <c r="J77" i="3"/>
  <c r="E77" i="3"/>
  <c r="I77" i="3" s="1"/>
  <c r="J76" i="3"/>
  <c r="I76" i="3"/>
  <c r="H76" i="3"/>
  <c r="E76" i="3"/>
  <c r="G76" i="3" s="1"/>
  <c r="E75" i="3"/>
  <c r="G75" i="3" s="1"/>
  <c r="E74" i="3"/>
  <c r="J74" i="3" s="1"/>
  <c r="E73" i="3"/>
  <c r="J73" i="3" s="1"/>
  <c r="E72" i="3"/>
  <c r="J72" i="3" s="1"/>
  <c r="E71" i="3"/>
  <c r="I71" i="3" s="1"/>
  <c r="I70" i="3"/>
  <c r="G70" i="3"/>
  <c r="E70" i="3"/>
  <c r="H70" i="3" s="1"/>
  <c r="J69" i="3"/>
  <c r="I69" i="3"/>
  <c r="G69" i="3"/>
  <c r="E69" i="3"/>
  <c r="H69" i="3" s="1"/>
  <c r="E68" i="3"/>
  <c r="J68" i="3" s="1"/>
  <c r="E67" i="3"/>
  <c r="J67" i="3" s="1"/>
  <c r="E66" i="3"/>
  <c r="J66" i="3" s="1"/>
  <c r="J65" i="3"/>
  <c r="E65" i="3"/>
  <c r="I65" i="3" s="1"/>
  <c r="I64" i="3"/>
  <c r="E64" i="3"/>
  <c r="G64" i="3" s="1"/>
  <c r="E63" i="3"/>
  <c r="G63" i="3" s="1"/>
  <c r="E62" i="3"/>
  <c r="J62" i="3" s="1"/>
  <c r="E61" i="3"/>
  <c r="J61" i="3" s="1"/>
  <c r="E60" i="3"/>
  <c r="J60" i="3" s="1"/>
  <c r="J59" i="3"/>
  <c r="E59" i="3"/>
  <c r="I59" i="3" s="1"/>
  <c r="J58" i="3"/>
  <c r="I58" i="3"/>
  <c r="G58" i="3"/>
  <c r="E58" i="3"/>
  <c r="H58" i="3" s="1"/>
  <c r="J57" i="3"/>
  <c r="G57" i="3"/>
  <c r="E57" i="3"/>
  <c r="I57" i="3" s="1"/>
  <c r="I56" i="3"/>
  <c r="H56" i="3"/>
  <c r="G56" i="3"/>
  <c r="E56" i="3"/>
  <c r="J56" i="3" s="1"/>
  <c r="E55" i="3"/>
  <c r="J55" i="3" s="1"/>
  <c r="E54" i="3"/>
  <c r="J54" i="3" s="1"/>
  <c r="J53" i="3"/>
  <c r="E53" i="3"/>
  <c r="I53" i="3" s="1"/>
  <c r="J52" i="3"/>
  <c r="I52" i="3"/>
  <c r="H52" i="3"/>
  <c r="E52" i="3"/>
  <c r="G52" i="3" s="1"/>
  <c r="J51" i="3"/>
  <c r="I51" i="3"/>
  <c r="H51" i="3"/>
  <c r="E51" i="3"/>
  <c r="G51" i="3" s="1"/>
  <c r="E50" i="3"/>
  <c r="I50" i="3" s="1"/>
  <c r="E49" i="3"/>
  <c r="J49" i="3" s="1"/>
  <c r="E48" i="3"/>
  <c r="J48" i="3" s="1"/>
  <c r="J47" i="3"/>
  <c r="E47" i="3"/>
  <c r="I47" i="3" s="1"/>
  <c r="I46" i="3"/>
  <c r="E46" i="3"/>
  <c r="H46" i="3" s="1"/>
  <c r="I45" i="3"/>
  <c r="G45" i="3"/>
  <c r="E45" i="3"/>
  <c r="J45" i="3" s="1"/>
  <c r="I44" i="3"/>
  <c r="E44" i="3"/>
  <c r="G44" i="3" s="1"/>
  <c r="E43" i="3"/>
  <c r="J43" i="3" s="1"/>
  <c r="E42" i="3"/>
  <c r="J42" i="3" s="1"/>
  <c r="E41" i="3"/>
  <c r="I41" i="3" s="1"/>
  <c r="I40" i="3"/>
  <c r="H40" i="3"/>
  <c r="E40" i="3"/>
  <c r="G40" i="3" s="1"/>
  <c r="J39" i="3"/>
  <c r="E39" i="3"/>
  <c r="G39" i="3" s="1"/>
  <c r="H38" i="3"/>
  <c r="G38" i="3"/>
  <c r="E38" i="3"/>
  <c r="J38" i="3" s="1"/>
  <c r="E37" i="3"/>
  <c r="J37" i="3" s="1"/>
  <c r="E36" i="3"/>
  <c r="J36" i="3" s="1"/>
  <c r="J35" i="3"/>
  <c r="I35" i="3"/>
  <c r="E35" i="3"/>
  <c r="H35" i="3" s="1"/>
  <c r="J34" i="3"/>
  <c r="E34" i="3"/>
  <c r="H34" i="3" s="1"/>
  <c r="J33" i="3"/>
  <c r="I33" i="3"/>
  <c r="H33" i="3"/>
  <c r="G33" i="3"/>
  <c r="E33" i="3"/>
  <c r="J32" i="3"/>
  <c r="G32" i="3"/>
  <c r="E32" i="3"/>
  <c r="I32" i="3" s="1"/>
  <c r="E31" i="3"/>
  <c r="J31" i="3" s="1"/>
  <c r="E30" i="3"/>
  <c r="J30" i="3" s="1"/>
  <c r="E29" i="3"/>
  <c r="I29" i="3" s="1"/>
  <c r="E28" i="3"/>
  <c r="G28" i="3" s="1"/>
  <c r="H27" i="3"/>
  <c r="E27" i="3"/>
  <c r="G27" i="3" s="1"/>
  <c r="G26" i="3"/>
  <c r="E26" i="3"/>
  <c r="J26" i="3" s="1"/>
  <c r="E25" i="3"/>
  <c r="J25" i="3" s="1"/>
  <c r="E24" i="3"/>
  <c r="J24" i="3" s="1"/>
  <c r="E23" i="3"/>
  <c r="H23" i="3" s="1"/>
  <c r="G22" i="3"/>
  <c r="E22" i="3"/>
  <c r="H22" i="3" s="1"/>
  <c r="I21" i="3"/>
  <c r="H21" i="3"/>
  <c r="G21" i="3"/>
  <c r="E21" i="3"/>
  <c r="J21" i="3" s="1"/>
  <c r="J20" i="3"/>
  <c r="H20" i="3"/>
  <c r="G20" i="3"/>
  <c r="E20" i="3"/>
  <c r="I20" i="3" s="1"/>
  <c r="E19" i="3"/>
  <c r="J19" i="3" s="1"/>
  <c r="E18" i="3"/>
  <c r="J18" i="3" s="1"/>
  <c r="E17" i="3"/>
  <c r="I17" i="3" s="1"/>
  <c r="I16" i="3"/>
  <c r="E16" i="3"/>
  <c r="G16" i="3" s="1"/>
  <c r="I15" i="3"/>
  <c r="H15" i="3"/>
  <c r="E15" i="3"/>
  <c r="G15" i="3" s="1"/>
  <c r="E14" i="3"/>
  <c r="G14" i="3" s="1"/>
  <c r="E13" i="3"/>
  <c r="J13" i="3" s="1"/>
  <c r="E12" i="3"/>
  <c r="J12" i="3" s="1"/>
  <c r="J11" i="3"/>
  <c r="E11" i="3"/>
  <c r="H11" i="3" s="1"/>
  <c r="I10" i="3"/>
  <c r="E10" i="3"/>
  <c r="H10" i="3" s="1"/>
  <c r="J9" i="3"/>
  <c r="I9" i="3"/>
  <c r="H9" i="3"/>
  <c r="G9" i="3"/>
  <c r="E9" i="3"/>
  <c r="J8" i="3"/>
  <c r="H8" i="3"/>
  <c r="E8" i="3"/>
  <c r="I8" i="3" s="1"/>
  <c r="E7" i="3"/>
  <c r="J7" i="3" s="1"/>
  <c r="J6" i="3"/>
  <c r="E6" i="3"/>
  <c r="I6" i="3" s="1"/>
  <c r="E5" i="3"/>
  <c r="I5" i="3" s="1"/>
  <c r="J4" i="3"/>
  <c r="H4" i="3"/>
  <c r="E4" i="3"/>
  <c r="G4" i="3" s="1"/>
  <c r="J3" i="3"/>
  <c r="I3" i="3"/>
  <c r="H3" i="3"/>
  <c r="E3" i="3"/>
  <c r="G3" i="3" s="1"/>
  <c r="E138" i="2"/>
  <c r="J138" i="2" s="1"/>
  <c r="E137" i="2"/>
  <c r="J137" i="2" s="1"/>
  <c r="J136" i="2"/>
  <c r="I136" i="2"/>
  <c r="E136" i="2"/>
  <c r="H136" i="2" s="1"/>
  <c r="E135" i="2"/>
  <c r="J135" i="2" s="1"/>
  <c r="E134" i="2"/>
  <c r="J134" i="2" s="1"/>
  <c r="E133" i="2"/>
  <c r="J133" i="2" s="1"/>
  <c r="E132" i="2"/>
  <c r="J132" i="2" s="1"/>
  <c r="E131" i="2"/>
  <c r="I131" i="2" s="1"/>
  <c r="E130" i="2"/>
  <c r="J130" i="2" s="1"/>
  <c r="G129" i="2"/>
  <c r="E129" i="2"/>
  <c r="J129" i="2" s="1"/>
  <c r="J128" i="2"/>
  <c r="I128" i="2"/>
  <c r="H128" i="2"/>
  <c r="G128" i="2"/>
  <c r="E128" i="2"/>
  <c r="G127" i="2"/>
  <c r="E127" i="2"/>
  <c r="J127" i="2" s="1"/>
  <c r="E126" i="2"/>
  <c r="J126" i="2" s="1"/>
  <c r="E125" i="2"/>
  <c r="J125" i="2" s="1"/>
  <c r="J124" i="2"/>
  <c r="E124" i="2"/>
  <c r="H124" i="2" s="1"/>
  <c r="J123" i="2"/>
  <c r="I123" i="2"/>
  <c r="H123" i="2"/>
  <c r="E123" i="2"/>
  <c r="G123" i="2" s="1"/>
  <c r="J122" i="2"/>
  <c r="I122" i="2"/>
  <c r="E122" i="2"/>
  <c r="H122" i="2" s="1"/>
  <c r="G121" i="2"/>
  <c r="E121" i="2"/>
  <c r="J121" i="2" s="1"/>
  <c r="E120" i="2"/>
  <c r="J120" i="2" s="1"/>
  <c r="E119" i="2"/>
  <c r="I119" i="2" s="1"/>
  <c r="J118" i="2"/>
  <c r="E118" i="2"/>
  <c r="I118" i="2" s="1"/>
  <c r="J117" i="2"/>
  <c r="I117" i="2"/>
  <c r="E117" i="2"/>
  <c r="H117" i="2" s="1"/>
  <c r="E116" i="2"/>
  <c r="J116" i="2" s="1"/>
  <c r="G115" i="2"/>
  <c r="E115" i="2"/>
  <c r="J115" i="2" s="1"/>
  <c r="E114" i="2"/>
  <c r="J114" i="2" s="1"/>
  <c r="J113" i="2"/>
  <c r="G113" i="2"/>
  <c r="E113" i="2"/>
  <c r="I113" i="2" s="1"/>
  <c r="J112" i="2"/>
  <c r="I112" i="2"/>
  <c r="E112" i="2"/>
  <c r="H112" i="2" s="1"/>
  <c r="I111" i="2"/>
  <c r="H111" i="2"/>
  <c r="E111" i="2"/>
  <c r="G111" i="2" s="1"/>
  <c r="J110" i="2"/>
  <c r="I110" i="2"/>
  <c r="H110" i="2"/>
  <c r="G110" i="2"/>
  <c r="E110" i="2"/>
  <c r="E109" i="2"/>
  <c r="J109" i="2" s="1"/>
  <c r="E108" i="2"/>
  <c r="J108" i="2" s="1"/>
  <c r="E107" i="2"/>
  <c r="I107" i="2" s="1"/>
  <c r="J106" i="2"/>
  <c r="I106" i="2"/>
  <c r="E106" i="2"/>
  <c r="H106" i="2" s="1"/>
  <c r="J105" i="2"/>
  <c r="I105" i="2"/>
  <c r="H105" i="2"/>
  <c r="E105" i="2"/>
  <c r="G105" i="2" s="1"/>
  <c r="E104" i="2"/>
  <c r="J104" i="2" s="1"/>
  <c r="G103" i="2"/>
  <c r="E103" i="2"/>
  <c r="J103" i="2" s="1"/>
  <c r="E102" i="2"/>
  <c r="J102" i="2" s="1"/>
  <c r="J101" i="2"/>
  <c r="G101" i="2"/>
  <c r="E101" i="2"/>
  <c r="I101" i="2" s="1"/>
  <c r="I100" i="2"/>
  <c r="E100" i="2"/>
  <c r="H100" i="2" s="1"/>
  <c r="I99" i="2"/>
  <c r="H99" i="2"/>
  <c r="E99" i="2"/>
  <c r="G99" i="2" s="1"/>
  <c r="J98" i="2"/>
  <c r="I98" i="2"/>
  <c r="H98" i="2"/>
  <c r="G98" i="2"/>
  <c r="E98" i="2"/>
  <c r="E97" i="2"/>
  <c r="J97" i="2" s="1"/>
  <c r="E96" i="2"/>
  <c r="J96" i="2" s="1"/>
  <c r="E95" i="2"/>
  <c r="I95" i="2" s="1"/>
  <c r="J94" i="2"/>
  <c r="I94" i="2"/>
  <c r="E94" i="2"/>
  <c r="H94" i="2" s="1"/>
  <c r="J93" i="2"/>
  <c r="I93" i="2"/>
  <c r="H93" i="2"/>
  <c r="E93" i="2"/>
  <c r="G93" i="2" s="1"/>
  <c r="E92" i="2"/>
  <c r="J92" i="2" s="1"/>
  <c r="E91" i="2"/>
  <c r="J91" i="2" s="1"/>
  <c r="E90" i="2"/>
  <c r="J90" i="2" s="1"/>
  <c r="J89" i="2"/>
  <c r="E89" i="2"/>
  <c r="I89" i="2" s="1"/>
  <c r="J88" i="2"/>
  <c r="E88" i="2"/>
  <c r="H88" i="2" s="1"/>
  <c r="E87" i="2"/>
  <c r="G87" i="2" s="1"/>
  <c r="J86" i="2"/>
  <c r="G86" i="2"/>
  <c r="E86" i="2"/>
  <c r="I86" i="2" s="1"/>
  <c r="E85" i="2"/>
  <c r="J85" i="2" s="1"/>
  <c r="E84" i="2"/>
  <c r="J84" i="2" s="1"/>
  <c r="E83" i="2"/>
  <c r="I83" i="2" s="1"/>
  <c r="E82" i="2"/>
  <c r="H82" i="2" s="1"/>
  <c r="J81" i="2"/>
  <c r="G81" i="2"/>
  <c r="E81" i="2"/>
  <c r="I81" i="2" s="1"/>
  <c r="J80" i="2"/>
  <c r="G80" i="2"/>
  <c r="E80" i="2"/>
  <c r="I80" i="2" s="1"/>
  <c r="E79" i="2"/>
  <c r="I79" i="2" s="1"/>
  <c r="E78" i="2"/>
  <c r="J78" i="2" s="1"/>
  <c r="J77" i="2"/>
  <c r="E77" i="2"/>
  <c r="I77" i="2" s="1"/>
  <c r="I76" i="2"/>
  <c r="E76" i="2"/>
  <c r="G76" i="2" s="1"/>
  <c r="H75" i="2"/>
  <c r="E75" i="2"/>
  <c r="G75" i="2" s="1"/>
  <c r="I74" i="2"/>
  <c r="H74" i="2"/>
  <c r="G74" i="2"/>
  <c r="E74" i="2"/>
  <c r="J74" i="2" s="1"/>
  <c r="E73" i="2"/>
  <c r="J73" i="2" s="1"/>
  <c r="E72" i="2"/>
  <c r="J72" i="2" s="1"/>
  <c r="J71" i="2"/>
  <c r="E71" i="2"/>
  <c r="I71" i="2" s="1"/>
  <c r="I70" i="2"/>
  <c r="E70" i="2"/>
  <c r="H70" i="2" s="1"/>
  <c r="I69" i="2"/>
  <c r="H69" i="2"/>
  <c r="G69" i="2"/>
  <c r="E69" i="2"/>
  <c r="J69" i="2" s="1"/>
  <c r="J68" i="2"/>
  <c r="I68" i="2"/>
  <c r="H68" i="2"/>
  <c r="G68" i="2"/>
  <c r="E68" i="2"/>
  <c r="E67" i="2"/>
  <c r="I67" i="2" s="1"/>
  <c r="E66" i="2"/>
  <c r="J66" i="2" s="1"/>
  <c r="E65" i="2"/>
  <c r="I65" i="2" s="1"/>
  <c r="E64" i="2"/>
  <c r="G64" i="2" s="1"/>
  <c r="J63" i="2"/>
  <c r="I63" i="2"/>
  <c r="H63" i="2"/>
  <c r="E63" i="2"/>
  <c r="G63" i="2" s="1"/>
  <c r="E62" i="2"/>
  <c r="J62" i="2" s="1"/>
  <c r="E61" i="2"/>
  <c r="J61" i="2" s="1"/>
  <c r="E60" i="2"/>
  <c r="J60" i="2" s="1"/>
  <c r="J59" i="2"/>
  <c r="E59" i="2"/>
  <c r="I59" i="2" s="1"/>
  <c r="J58" i="2"/>
  <c r="I58" i="2"/>
  <c r="E58" i="2"/>
  <c r="H58" i="2" s="1"/>
  <c r="E57" i="2"/>
  <c r="J57" i="2" s="1"/>
  <c r="H56" i="2"/>
  <c r="E56" i="2"/>
  <c r="J56" i="2" s="1"/>
  <c r="E55" i="2"/>
  <c r="H55" i="2" s="1"/>
  <c r="E54" i="2"/>
  <c r="J54" i="2" s="1"/>
  <c r="J53" i="2"/>
  <c r="E53" i="2"/>
  <c r="I53" i="2" s="1"/>
  <c r="I52" i="2"/>
  <c r="H52" i="2"/>
  <c r="E52" i="2"/>
  <c r="G52" i="2" s="1"/>
  <c r="J51" i="2"/>
  <c r="I51" i="2"/>
  <c r="H51" i="2"/>
  <c r="G51" i="2"/>
  <c r="E51" i="2"/>
  <c r="E50" i="2"/>
  <c r="J50" i="2" s="1"/>
  <c r="E49" i="2"/>
  <c r="J49" i="2" s="1"/>
  <c r="E48" i="2"/>
  <c r="J48" i="2" s="1"/>
  <c r="E47" i="2"/>
  <c r="I47" i="2" s="1"/>
  <c r="J46" i="2"/>
  <c r="I46" i="2"/>
  <c r="E46" i="2"/>
  <c r="H46" i="2" s="1"/>
  <c r="E45" i="2"/>
  <c r="J45" i="2" s="1"/>
  <c r="G44" i="2"/>
  <c r="E44" i="2"/>
  <c r="I44" i="2" s="1"/>
  <c r="E43" i="2"/>
  <c r="I43" i="2" s="1"/>
  <c r="E42" i="2"/>
  <c r="J42" i="2" s="1"/>
  <c r="E41" i="2"/>
  <c r="I41" i="2" s="1"/>
  <c r="E40" i="2"/>
  <c r="G40" i="2" s="1"/>
  <c r="E39" i="2"/>
  <c r="J39" i="2" s="1"/>
  <c r="J38" i="2"/>
  <c r="I38" i="2"/>
  <c r="H38" i="2"/>
  <c r="G38" i="2"/>
  <c r="E38" i="2"/>
  <c r="E37" i="2"/>
  <c r="J37" i="2" s="1"/>
  <c r="E36" i="2"/>
  <c r="J36" i="2" s="1"/>
  <c r="J35" i="2"/>
  <c r="E35" i="2"/>
  <c r="I35" i="2" s="1"/>
  <c r="E34" i="2"/>
  <c r="H34" i="2" s="1"/>
  <c r="J33" i="2"/>
  <c r="I33" i="2"/>
  <c r="H33" i="2"/>
  <c r="G33" i="2"/>
  <c r="E33" i="2"/>
  <c r="E32" i="2"/>
  <c r="H32" i="2" s="1"/>
  <c r="E31" i="2"/>
  <c r="G31" i="2" s="1"/>
  <c r="E30" i="2"/>
  <c r="J30" i="2" s="1"/>
  <c r="J29" i="2"/>
  <c r="E29" i="2"/>
  <c r="I29" i="2" s="1"/>
  <c r="E28" i="2"/>
  <c r="G28" i="2" s="1"/>
  <c r="G27" i="2"/>
  <c r="E27" i="2"/>
  <c r="I27" i="2" s="1"/>
  <c r="I26" i="2"/>
  <c r="E26" i="2"/>
  <c r="J26" i="2" s="1"/>
  <c r="E25" i="2"/>
  <c r="J25" i="2" s="1"/>
  <c r="E24" i="2"/>
  <c r="J24" i="2" s="1"/>
  <c r="E23" i="2"/>
  <c r="I23" i="2" s="1"/>
  <c r="E22" i="2"/>
  <c r="H22" i="2" s="1"/>
  <c r="J21" i="2"/>
  <c r="I21" i="2"/>
  <c r="E21" i="2"/>
  <c r="H21" i="2" s="1"/>
  <c r="G20" i="2"/>
  <c r="E20" i="2"/>
  <c r="J20" i="2" s="1"/>
  <c r="E19" i="2"/>
  <c r="G19" i="2" s="1"/>
  <c r="E18" i="2"/>
  <c r="J18" i="2" s="1"/>
  <c r="E17" i="2"/>
  <c r="I17" i="2" s="1"/>
  <c r="H16" i="2"/>
  <c r="E16" i="2"/>
  <c r="G16" i="2" s="1"/>
  <c r="I15" i="2"/>
  <c r="H15" i="2"/>
  <c r="G15" i="2"/>
  <c r="E15" i="2"/>
  <c r="J15" i="2" s="1"/>
  <c r="E14" i="2"/>
  <c r="J14" i="2" s="1"/>
  <c r="E13" i="2"/>
  <c r="J13" i="2" s="1"/>
  <c r="E12" i="2"/>
  <c r="J12" i="2" s="1"/>
  <c r="J11" i="2"/>
  <c r="I11" i="2"/>
  <c r="E11" i="2"/>
  <c r="H11" i="2" s="1"/>
  <c r="I10" i="2"/>
  <c r="E10" i="2"/>
  <c r="H10" i="2" s="1"/>
  <c r="J9" i="2"/>
  <c r="I9" i="2"/>
  <c r="H9" i="2"/>
  <c r="G9" i="2"/>
  <c r="E9" i="2"/>
  <c r="E8" i="2"/>
  <c r="J8" i="2" s="1"/>
  <c r="E7" i="2"/>
  <c r="G7" i="2" s="1"/>
  <c r="J6" i="2"/>
  <c r="E6" i="2"/>
  <c r="I6" i="2" s="1"/>
  <c r="J5" i="2"/>
  <c r="E5" i="2"/>
  <c r="I5" i="2" s="1"/>
  <c r="J4" i="2"/>
  <c r="E4" i="2"/>
  <c r="G4" i="2" s="1"/>
  <c r="G3" i="2"/>
  <c r="E3" i="2"/>
  <c r="J3" i="2" s="1"/>
  <c r="J13" i="1"/>
  <c r="J23" i="1"/>
  <c r="J24" i="1"/>
  <c r="J61" i="1"/>
  <c r="J71" i="1"/>
  <c r="J72" i="1"/>
  <c r="J109" i="1"/>
  <c r="J119" i="1"/>
  <c r="J120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H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H27" i="1" s="1"/>
  <c r="E28" i="1"/>
  <c r="I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H37" i="1" s="1"/>
  <c r="E38" i="1"/>
  <c r="H38" i="1" s="1"/>
  <c r="E39" i="1"/>
  <c r="H39" i="1" s="1"/>
  <c r="E40" i="1"/>
  <c r="I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H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H63" i="1" s="1"/>
  <c r="E64" i="1"/>
  <c r="I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H74" i="1" s="1"/>
  <c r="E75" i="1"/>
  <c r="H75" i="1" s="1"/>
  <c r="E76" i="1"/>
  <c r="I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H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H99" i="1" s="1"/>
  <c r="E100" i="1"/>
  <c r="I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H109" i="1" s="1"/>
  <c r="E110" i="1"/>
  <c r="H110" i="1" s="1"/>
  <c r="E111" i="1"/>
  <c r="H111" i="1" s="1"/>
  <c r="E112" i="1"/>
  <c r="I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H121" i="1" s="1"/>
  <c r="E122" i="1"/>
  <c r="G122" i="1" s="1"/>
  <c r="E123" i="1"/>
  <c r="H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H135" i="1" s="1"/>
  <c r="E136" i="1"/>
  <c r="I136" i="1" s="1"/>
  <c r="E137" i="1"/>
  <c r="G137" i="1" s="1"/>
  <c r="E138" i="1"/>
  <c r="G138" i="1" s="1"/>
  <c r="J133" i="1" l="1"/>
  <c r="J85" i="1"/>
  <c r="J37" i="1"/>
  <c r="J132" i="1"/>
  <c r="J84" i="1"/>
  <c r="J36" i="1"/>
  <c r="J131" i="1"/>
  <c r="J83" i="1"/>
  <c r="J35" i="1"/>
  <c r="J121" i="1"/>
  <c r="J73" i="1"/>
  <c r="J25" i="1"/>
  <c r="J108" i="1"/>
  <c r="J60" i="1"/>
  <c r="J12" i="1"/>
  <c r="J107" i="1"/>
  <c r="J59" i="1"/>
  <c r="J11" i="1"/>
  <c r="I85" i="1"/>
  <c r="J97" i="1"/>
  <c r="J49" i="1"/>
  <c r="I73" i="1"/>
  <c r="J96" i="1"/>
  <c r="J48" i="1"/>
  <c r="I61" i="1"/>
  <c r="J95" i="1"/>
  <c r="J47" i="1"/>
  <c r="J101" i="4"/>
  <c r="G110" i="4"/>
  <c r="I15" i="4"/>
  <c r="J76" i="4"/>
  <c r="H110" i="4"/>
  <c r="J39" i="4"/>
  <c r="I57" i="4"/>
  <c r="J63" i="4"/>
  <c r="J110" i="4"/>
  <c r="J57" i="4"/>
  <c r="G74" i="4"/>
  <c r="I76" i="4"/>
  <c r="I74" i="4"/>
  <c r="J99" i="4"/>
  <c r="J23" i="4"/>
  <c r="G81" i="4"/>
  <c r="J17" i="4"/>
  <c r="I46" i="4"/>
  <c r="J75" i="4"/>
  <c r="I81" i="4"/>
  <c r="H88" i="4"/>
  <c r="J100" i="4"/>
  <c r="I10" i="4"/>
  <c r="H32" i="4"/>
  <c r="G131" i="4"/>
  <c r="H40" i="4"/>
  <c r="J88" i="4"/>
  <c r="J10" i="4"/>
  <c r="I40" i="4"/>
  <c r="J58" i="4"/>
  <c r="I63" i="4"/>
  <c r="G69" i="4"/>
  <c r="H76" i="4"/>
  <c r="J82" i="4"/>
  <c r="G101" i="4"/>
  <c r="G113" i="4"/>
  <c r="I123" i="4"/>
  <c r="J131" i="4"/>
  <c r="H20" i="4"/>
  <c r="I27" i="4"/>
  <c r="J59" i="4"/>
  <c r="J20" i="4"/>
  <c r="J35" i="4"/>
  <c r="I50" i="4"/>
  <c r="G133" i="4"/>
  <c r="H92" i="4"/>
  <c r="I28" i="4"/>
  <c r="G44" i="4"/>
  <c r="H51" i="4"/>
  <c r="G86" i="4"/>
  <c r="G8" i="4"/>
  <c r="H8" i="4"/>
  <c r="J8" i="4"/>
  <c r="H28" i="4"/>
  <c r="H14" i="4"/>
  <c r="G9" i="4"/>
  <c r="I22" i="4"/>
  <c r="J28" i="4"/>
  <c r="I44" i="4"/>
  <c r="I51" i="4"/>
  <c r="G57" i="4"/>
  <c r="G62" i="4"/>
  <c r="I86" i="4"/>
  <c r="H99" i="4"/>
  <c r="H111" i="4"/>
  <c r="H128" i="4"/>
  <c r="J22" i="4"/>
  <c r="J51" i="4"/>
  <c r="I99" i="4"/>
  <c r="I111" i="4"/>
  <c r="J15" i="4"/>
  <c r="I20" i="4"/>
  <c r="G33" i="4"/>
  <c r="G38" i="4"/>
  <c r="J41" i="4"/>
  <c r="J45" i="4"/>
  <c r="J71" i="4"/>
  <c r="J80" i="4"/>
  <c r="I88" i="4"/>
  <c r="G93" i="4"/>
  <c r="G105" i="4"/>
  <c r="G117" i="4"/>
  <c r="G122" i="4"/>
  <c r="G125" i="4"/>
  <c r="I129" i="4"/>
  <c r="G134" i="4"/>
  <c r="H33" i="4"/>
  <c r="H38" i="4"/>
  <c r="H93" i="4"/>
  <c r="H105" i="4"/>
  <c r="H117" i="4"/>
  <c r="H122" i="4"/>
  <c r="J129" i="4"/>
  <c r="H134" i="4"/>
  <c r="I105" i="4"/>
  <c r="I117" i="4"/>
  <c r="I122" i="4"/>
  <c r="I134" i="4"/>
  <c r="J3" i="4"/>
  <c r="J11" i="4"/>
  <c r="I16" i="4"/>
  <c r="G21" i="4"/>
  <c r="G26" i="4"/>
  <c r="J29" i="4"/>
  <c r="J33" i="4"/>
  <c r="J46" i="4"/>
  <c r="H64" i="4"/>
  <c r="H81" i="4"/>
  <c r="H86" i="4"/>
  <c r="J89" i="4"/>
  <c r="J93" i="4"/>
  <c r="G127" i="4"/>
  <c r="J16" i="4"/>
  <c r="H21" i="4"/>
  <c r="H26" i="4"/>
  <c r="I64" i="4"/>
  <c r="H4" i="4"/>
  <c r="I21" i="4"/>
  <c r="I26" i="4"/>
  <c r="I34" i="4"/>
  <c r="I39" i="4"/>
  <c r="H44" i="4"/>
  <c r="J47" i="4"/>
  <c r="H52" i="4"/>
  <c r="J64" i="4"/>
  <c r="H69" i="4"/>
  <c r="H74" i="4"/>
  <c r="J77" i="4"/>
  <c r="I94" i="4"/>
  <c r="G103" i="4"/>
  <c r="I106" i="4"/>
  <c r="G115" i="4"/>
  <c r="J118" i="4"/>
  <c r="H123" i="4"/>
  <c r="G128" i="4"/>
  <c r="I131" i="4"/>
  <c r="I135" i="4"/>
  <c r="I11" i="4"/>
  <c r="H16" i="4"/>
  <c r="I38" i="4"/>
  <c r="I4" i="4"/>
  <c r="I52" i="4"/>
  <c r="J94" i="4"/>
  <c r="J106" i="4"/>
  <c r="J34" i="4"/>
  <c r="J4" i="4"/>
  <c r="G14" i="4"/>
  <c r="H27" i="4"/>
  <c r="G32" i="4"/>
  <c r="J52" i="4"/>
  <c r="J65" i="4"/>
  <c r="I82" i="4"/>
  <c r="H87" i="4"/>
  <c r="G92" i="4"/>
  <c r="G104" i="4"/>
  <c r="G116" i="4"/>
  <c r="J119" i="4"/>
  <c r="J123" i="4"/>
  <c r="I128" i="4"/>
  <c r="I136" i="4"/>
  <c r="H104" i="4"/>
  <c r="H116" i="4"/>
  <c r="J136" i="4"/>
  <c r="J5" i="4"/>
  <c r="J27" i="4"/>
  <c r="I32" i="4"/>
  <c r="G45" i="4"/>
  <c r="G50" i="4"/>
  <c r="J53" i="4"/>
  <c r="I70" i="4"/>
  <c r="H75" i="4"/>
  <c r="G80" i="4"/>
  <c r="J87" i="4"/>
  <c r="I92" i="4"/>
  <c r="I104" i="4"/>
  <c r="I116" i="4"/>
  <c r="I124" i="4"/>
  <c r="H15" i="4"/>
  <c r="J40" i="4"/>
  <c r="H50" i="4"/>
  <c r="J70" i="4"/>
  <c r="I75" i="4"/>
  <c r="J83" i="4"/>
  <c r="I100" i="4"/>
  <c r="I112" i="4"/>
  <c r="G121" i="4"/>
  <c r="J124" i="4"/>
  <c r="I133" i="4"/>
  <c r="G137" i="4"/>
  <c r="I25" i="5"/>
  <c r="H33" i="5"/>
  <c r="G49" i="5"/>
  <c r="J86" i="5"/>
  <c r="I49" i="5"/>
  <c r="J35" i="5"/>
  <c r="G61" i="5"/>
  <c r="I74" i="5"/>
  <c r="I88" i="5"/>
  <c r="I121" i="5"/>
  <c r="I61" i="5"/>
  <c r="G75" i="5"/>
  <c r="H134" i="5"/>
  <c r="G21" i="5"/>
  <c r="I37" i="5"/>
  <c r="G45" i="5"/>
  <c r="G85" i="5"/>
  <c r="G105" i="5"/>
  <c r="I134" i="5"/>
  <c r="J4" i="5"/>
  <c r="H32" i="5"/>
  <c r="G38" i="5"/>
  <c r="I85" i="5"/>
  <c r="I32" i="5"/>
  <c r="H38" i="5"/>
  <c r="J15" i="5"/>
  <c r="J32" i="5"/>
  <c r="I38" i="5"/>
  <c r="G86" i="5"/>
  <c r="G93" i="5"/>
  <c r="J22" i="5"/>
  <c r="H50" i="5"/>
  <c r="G62" i="5"/>
  <c r="G67" i="5"/>
  <c r="J76" i="5"/>
  <c r="J100" i="5"/>
  <c r="H105" i="5"/>
  <c r="G133" i="5"/>
  <c r="H22" i="5"/>
  <c r="I50" i="5"/>
  <c r="J56" i="5"/>
  <c r="H62" i="5"/>
  <c r="H73" i="5"/>
  <c r="J94" i="5"/>
  <c r="I105" i="5"/>
  <c r="J111" i="5"/>
  <c r="G127" i="5"/>
  <c r="H133" i="5"/>
  <c r="I62" i="5"/>
  <c r="I4" i="5"/>
  <c r="G51" i="5"/>
  <c r="H121" i="5"/>
  <c r="I128" i="5"/>
  <c r="G134" i="5"/>
  <c r="G14" i="5"/>
  <c r="J51" i="5"/>
  <c r="J59" i="5"/>
  <c r="H80" i="5"/>
  <c r="G114" i="5"/>
  <c r="G129" i="5"/>
  <c r="I80" i="5"/>
  <c r="H129" i="5"/>
  <c r="H21" i="5"/>
  <c r="I33" i="5"/>
  <c r="I52" i="5"/>
  <c r="I64" i="5"/>
  <c r="J80" i="5"/>
  <c r="H91" i="5"/>
  <c r="H104" i="5"/>
  <c r="I123" i="5"/>
  <c r="I129" i="5"/>
  <c r="J135" i="5"/>
  <c r="H14" i="5"/>
  <c r="I21" i="5"/>
  <c r="J33" i="5"/>
  <c r="J52" i="5"/>
  <c r="J64" i="5"/>
  <c r="I8" i="5"/>
  <c r="I15" i="5"/>
  <c r="J28" i="5"/>
  <c r="H49" i="5"/>
  <c r="H61" i="5"/>
  <c r="J70" i="5"/>
  <c r="I75" i="5"/>
  <c r="H81" i="5"/>
  <c r="I99" i="5"/>
  <c r="J104" i="5"/>
  <c r="G110" i="5"/>
  <c r="J124" i="5"/>
  <c r="I81" i="5"/>
  <c r="H110" i="5"/>
  <c r="H34" i="5"/>
  <c r="H44" i="5"/>
  <c r="J47" i="5"/>
  <c r="J82" i="5"/>
  <c r="G109" i="5"/>
  <c r="H9" i="5"/>
  <c r="I13" i="5"/>
  <c r="H26" i="5"/>
  <c r="G39" i="5"/>
  <c r="J44" i="5"/>
  <c r="H57" i="5"/>
  <c r="I87" i="5"/>
  <c r="I92" i="5"/>
  <c r="G97" i="5"/>
  <c r="I109" i="5"/>
  <c r="H117" i="5"/>
  <c r="G122" i="5"/>
  <c r="G126" i="5"/>
  <c r="I9" i="5"/>
  <c r="I26" i="5"/>
  <c r="I39" i="5"/>
  <c r="I57" i="5"/>
  <c r="J87" i="5"/>
  <c r="J92" i="5"/>
  <c r="H97" i="5"/>
  <c r="I117" i="5"/>
  <c r="H122" i="5"/>
  <c r="H126" i="5"/>
  <c r="G9" i="5"/>
  <c r="H13" i="5"/>
  <c r="G26" i="5"/>
  <c r="G117" i="5"/>
  <c r="J39" i="5"/>
  <c r="J57" i="5"/>
  <c r="I97" i="5"/>
  <c r="I122" i="5"/>
  <c r="G27" i="5"/>
  <c r="G3" i="5"/>
  <c r="G13" i="5"/>
  <c r="I16" i="5"/>
  <c r="J16" i="5"/>
  <c r="H10" i="5"/>
  <c r="I14" i="5"/>
  <c r="H20" i="5"/>
  <c r="J23" i="5"/>
  <c r="I27" i="5"/>
  <c r="G37" i="5"/>
  <c r="I40" i="5"/>
  <c r="I45" i="5"/>
  <c r="J58" i="5"/>
  <c r="H68" i="5"/>
  <c r="J75" i="5"/>
  <c r="J88" i="5"/>
  <c r="H93" i="5"/>
  <c r="G98" i="5"/>
  <c r="G102" i="5"/>
  <c r="G115" i="5"/>
  <c r="J118" i="5"/>
  <c r="J136" i="5"/>
  <c r="J3" i="5"/>
  <c r="J34" i="5"/>
  <c r="I44" i="5"/>
  <c r="G79" i="5"/>
  <c r="G87" i="5"/>
  <c r="H92" i="5"/>
  <c r="H109" i="5"/>
  <c r="J112" i="5"/>
  <c r="J10" i="5"/>
  <c r="I20" i="5"/>
  <c r="J27" i="5"/>
  <c r="H37" i="5"/>
  <c r="J40" i="5"/>
  <c r="G50" i="5"/>
  <c r="G63" i="5"/>
  <c r="I68" i="5"/>
  <c r="G73" i="5"/>
  <c r="H98" i="5"/>
  <c r="H115" i="5"/>
  <c r="G123" i="5"/>
  <c r="H128" i="5"/>
  <c r="I3" i="5"/>
  <c r="H8" i="5"/>
  <c r="J11" i="5"/>
  <c r="G25" i="5"/>
  <c r="I28" i="5"/>
  <c r="H46" i="5"/>
  <c r="H56" i="5"/>
  <c r="G111" i="5"/>
  <c r="H116" i="5"/>
  <c r="J123" i="5"/>
  <c r="J128" i="5"/>
  <c r="I133" i="5"/>
  <c r="G138" i="5"/>
  <c r="J46" i="5"/>
  <c r="I56" i="5"/>
  <c r="I111" i="5"/>
  <c r="I116" i="5"/>
  <c r="H138" i="5"/>
  <c r="I34" i="3"/>
  <c r="I39" i="3"/>
  <c r="H44" i="3"/>
  <c r="H74" i="3"/>
  <c r="H92" i="3"/>
  <c r="J112" i="3"/>
  <c r="H117" i="3"/>
  <c r="J5" i="3"/>
  <c r="I22" i="3"/>
  <c r="I27" i="3"/>
  <c r="H32" i="3"/>
  <c r="J44" i="3"/>
  <c r="H57" i="3"/>
  <c r="G62" i="3"/>
  <c r="H75" i="3"/>
  <c r="G80" i="3"/>
  <c r="J92" i="3"/>
  <c r="J100" i="3"/>
  <c r="H105" i="3"/>
  <c r="G109" i="3"/>
  <c r="J117" i="3"/>
  <c r="I121" i="3"/>
  <c r="G130" i="3"/>
  <c r="H134" i="3"/>
  <c r="J22" i="3"/>
  <c r="J27" i="3"/>
  <c r="H62" i="3"/>
  <c r="I75" i="3"/>
  <c r="H80" i="3"/>
  <c r="G127" i="3"/>
  <c r="J130" i="3"/>
  <c r="I134" i="3"/>
  <c r="I80" i="3"/>
  <c r="J75" i="3"/>
  <c r="G10" i="3"/>
  <c r="J15" i="3"/>
  <c r="I23" i="3"/>
  <c r="H28" i="3"/>
  <c r="J40" i="3"/>
  <c r="H45" i="3"/>
  <c r="G50" i="3"/>
  <c r="H63" i="3"/>
  <c r="G68" i="3"/>
  <c r="J70" i="3"/>
  <c r="J88" i="3"/>
  <c r="H93" i="3"/>
  <c r="H110" i="3"/>
  <c r="I118" i="3"/>
  <c r="H122" i="3"/>
  <c r="G128" i="3"/>
  <c r="G131" i="3"/>
  <c r="I135" i="3"/>
  <c r="J23" i="3"/>
  <c r="I28" i="3"/>
  <c r="H128" i="3"/>
  <c r="I131" i="3"/>
  <c r="H50" i="3"/>
  <c r="I63" i="3"/>
  <c r="H68" i="3"/>
  <c r="G8" i="3"/>
  <c r="J10" i="3"/>
  <c r="H16" i="3"/>
  <c r="J28" i="3"/>
  <c r="J41" i="3"/>
  <c r="J63" i="3"/>
  <c r="I68" i="3"/>
  <c r="J71" i="3"/>
  <c r="G81" i="3"/>
  <c r="G85" i="3"/>
  <c r="J89" i="3"/>
  <c r="H111" i="3"/>
  <c r="J128" i="3"/>
  <c r="J131" i="3"/>
  <c r="I136" i="3"/>
  <c r="H81" i="3"/>
  <c r="G104" i="3"/>
  <c r="I111" i="3"/>
  <c r="G119" i="3"/>
  <c r="J136" i="3"/>
  <c r="I11" i="3"/>
  <c r="J16" i="3"/>
  <c r="J29" i="3"/>
  <c r="G46" i="3"/>
  <c r="H64" i="3"/>
  <c r="I81" i="3"/>
  <c r="G86" i="3"/>
  <c r="G94" i="3"/>
  <c r="H99" i="3"/>
  <c r="H104" i="3"/>
  <c r="J111" i="3"/>
  <c r="I119" i="3"/>
  <c r="G129" i="3"/>
  <c r="I4" i="3"/>
  <c r="J17" i="3"/>
  <c r="H26" i="3"/>
  <c r="G34" i="3"/>
  <c r="H39" i="3"/>
  <c r="J46" i="3"/>
  <c r="J64" i="3"/>
  <c r="G74" i="3"/>
  <c r="J94" i="3"/>
  <c r="J99" i="3"/>
  <c r="J107" i="3"/>
  <c r="I112" i="3"/>
  <c r="J124" i="3"/>
  <c r="I133" i="3"/>
  <c r="G104" i="2"/>
  <c r="I3" i="2"/>
  <c r="G8" i="2"/>
  <c r="I20" i="2"/>
  <c r="H28" i="2"/>
  <c r="I40" i="2"/>
  <c r="G45" i="2"/>
  <c r="G50" i="2"/>
  <c r="J52" i="2"/>
  <c r="H57" i="2"/>
  <c r="H62" i="2"/>
  <c r="J65" i="2"/>
  <c r="I82" i="2"/>
  <c r="H87" i="2"/>
  <c r="H92" i="2"/>
  <c r="J95" i="2"/>
  <c r="J99" i="2"/>
  <c r="H104" i="2"/>
  <c r="J107" i="2"/>
  <c r="J111" i="2"/>
  <c r="H116" i="2"/>
  <c r="G133" i="2"/>
  <c r="H3" i="2"/>
  <c r="H20" i="2"/>
  <c r="J23" i="2"/>
  <c r="J32" i="2"/>
  <c r="H40" i="2"/>
  <c r="G57" i="2"/>
  <c r="G62" i="2"/>
  <c r="G92" i="2"/>
  <c r="G116" i="2"/>
  <c r="J119" i="2"/>
  <c r="H8" i="2"/>
  <c r="I28" i="2"/>
  <c r="J40" i="2"/>
  <c r="H45" i="2"/>
  <c r="H50" i="2"/>
  <c r="I57" i="2"/>
  <c r="I62" i="2"/>
  <c r="J82" i="2"/>
  <c r="I87" i="2"/>
  <c r="I92" i="2"/>
  <c r="I104" i="2"/>
  <c r="I116" i="2"/>
  <c r="I124" i="2"/>
  <c r="I133" i="2"/>
  <c r="G137" i="2"/>
  <c r="H14" i="2"/>
  <c r="J27" i="2"/>
  <c r="I32" i="2"/>
  <c r="J44" i="2"/>
  <c r="J64" i="2"/>
  <c r="J10" i="2"/>
  <c r="J87" i="2"/>
  <c r="I8" i="2"/>
  <c r="J28" i="2"/>
  <c r="I45" i="2"/>
  <c r="I50" i="2"/>
  <c r="H4" i="2"/>
  <c r="I16" i="2"/>
  <c r="G21" i="2"/>
  <c r="G26" i="2"/>
  <c r="J41" i="2"/>
  <c r="J70" i="2"/>
  <c r="I75" i="2"/>
  <c r="H80" i="2"/>
  <c r="J83" i="2"/>
  <c r="G97" i="2"/>
  <c r="J100" i="2"/>
  <c r="G109" i="2"/>
  <c r="H129" i="2"/>
  <c r="G134" i="2"/>
  <c r="I4" i="2"/>
  <c r="J16" i="2"/>
  <c r="H26" i="2"/>
  <c r="J75" i="2"/>
  <c r="I88" i="2"/>
  <c r="G117" i="2"/>
  <c r="G122" i="2"/>
  <c r="G125" i="2"/>
  <c r="I129" i="2"/>
  <c r="H134" i="2"/>
  <c r="I134" i="2"/>
  <c r="G14" i="2"/>
  <c r="J17" i="2"/>
  <c r="I34" i="2"/>
  <c r="G39" i="2"/>
  <c r="G56" i="2"/>
  <c r="H76" i="2"/>
  <c r="J34" i="2"/>
  <c r="H39" i="2"/>
  <c r="I22" i="2"/>
  <c r="H27" i="2"/>
  <c r="G32" i="2"/>
  <c r="I39" i="2"/>
  <c r="H44" i="2"/>
  <c r="J47" i="2"/>
  <c r="I56" i="2"/>
  <c r="H64" i="2"/>
  <c r="J76" i="2"/>
  <c r="H81" i="2"/>
  <c r="H86" i="2"/>
  <c r="G131" i="2"/>
  <c r="I135" i="2"/>
  <c r="J22" i="2"/>
  <c r="I64" i="2"/>
  <c r="J131" i="2"/>
  <c r="J71" i="5"/>
  <c r="J83" i="5"/>
  <c r="J95" i="5"/>
  <c r="I100" i="5"/>
  <c r="J107" i="5"/>
  <c r="I112" i="5"/>
  <c r="J119" i="5"/>
  <c r="I124" i="5"/>
  <c r="J131" i="5"/>
  <c r="I136" i="5"/>
  <c r="G7" i="5"/>
  <c r="H7" i="5"/>
  <c r="G12" i="5"/>
  <c r="H19" i="5"/>
  <c r="H43" i="5"/>
  <c r="G60" i="5"/>
  <c r="G84" i="5"/>
  <c r="G96" i="5"/>
  <c r="G108" i="5"/>
  <c r="G120" i="5"/>
  <c r="H127" i="5"/>
  <c r="G132" i="5"/>
  <c r="G43" i="5"/>
  <c r="G24" i="5"/>
  <c r="H79" i="5"/>
  <c r="G5" i="5"/>
  <c r="I7" i="5"/>
  <c r="H12" i="5"/>
  <c r="G17" i="5"/>
  <c r="I19" i="5"/>
  <c r="H24" i="5"/>
  <c r="G29" i="5"/>
  <c r="I31" i="5"/>
  <c r="H36" i="5"/>
  <c r="G53" i="5"/>
  <c r="I55" i="5"/>
  <c r="H60" i="5"/>
  <c r="I67" i="5"/>
  <c r="H72" i="5"/>
  <c r="G89" i="5"/>
  <c r="I91" i="5"/>
  <c r="H96" i="5"/>
  <c r="G113" i="5"/>
  <c r="H120" i="5"/>
  <c r="G125" i="5"/>
  <c r="I127" i="5"/>
  <c r="H132" i="5"/>
  <c r="G137" i="5"/>
  <c r="G19" i="5"/>
  <c r="G31" i="5"/>
  <c r="G55" i="5"/>
  <c r="H67" i="5"/>
  <c r="G41" i="5"/>
  <c r="I43" i="5"/>
  <c r="H48" i="5"/>
  <c r="G65" i="5"/>
  <c r="G77" i="5"/>
  <c r="I79" i="5"/>
  <c r="H84" i="5"/>
  <c r="G101" i="5"/>
  <c r="I103" i="5"/>
  <c r="H108" i="5"/>
  <c r="I115" i="5"/>
  <c r="H5" i="5"/>
  <c r="G10" i="5"/>
  <c r="I12" i="5"/>
  <c r="H17" i="5"/>
  <c r="G22" i="5"/>
  <c r="I24" i="5"/>
  <c r="H29" i="5"/>
  <c r="J31" i="5"/>
  <c r="G34" i="5"/>
  <c r="I36" i="5"/>
  <c r="H41" i="5"/>
  <c r="G46" i="5"/>
  <c r="I48" i="5"/>
  <c r="H53" i="5"/>
  <c r="J55" i="5"/>
  <c r="G58" i="5"/>
  <c r="I60" i="5"/>
  <c r="H65" i="5"/>
  <c r="G70" i="5"/>
  <c r="I72" i="5"/>
  <c r="H77" i="5"/>
  <c r="G82" i="5"/>
  <c r="I84" i="5"/>
  <c r="H89" i="5"/>
  <c r="G94" i="5"/>
  <c r="I96" i="5"/>
  <c r="H101" i="5"/>
  <c r="G106" i="5"/>
  <c r="I108" i="5"/>
  <c r="H113" i="5"/>
  <c r="G118" i="5"/>
  <c r="I120" i="5"/>
  <c r="H125" i="5"/>
  <c r="G130" i="5"/>
  <c r="I132" i="5"/>
  <c r="H137" i="5"/>
  <c r="G36" i="5"/>
  <c r="G48" i="5"/>
  <c r="G72" i="5"/>
  <c r="I29" i="5"/>
  <c r="I41" i="5"/>
  <c r="H70" i="5"/>
  <c r="I77" i="5"/>
  <c r="H82" i="5"/>
  <c r="I89" i="5"/>
  <c r="H94" i="5"/>
  <c r="I101" i="5"/>
  <c r="H106" i="5"/>
  <c r="I113" i="5"/>
  <c r="H118" i="5"/>
  <c r="I125" i="5"/>
  <c r="H130" i="5"/>
  <c r="G135" i="5"/>
  <c r="I137" i="5"/>
  <c r="I5" i="5"/>
  <c r="I17" i="5"/>
  <c r="I53" i="5"/>
  <c r="H58" i="5"/>
  <c r="I65" i="5"/>
  <c r="I130" i="5"/>
  <c r="H135" i="5"/>
  <c r="G54" i="5"/>
  <c r="G78" i="5"/>
  <c r="G30" i="5"/>
  <c r="G66" i="5"/>
  <c r="G11" i="5"/>
  <c r="G23" i="5"/>
  <c r="H30" i="5"/>
  <c r="H42" i="5"/>
  <c r="H66" i="5"/>
  <c r="H78" i="5"/>
  <c r="H90" i="5"/>
  <c r="G95" i="5"/>
  <c r="G107" i="5"/>
  <c r="G119" i="5"/>
  <c r="G131" i="5"/>
  <c r="G18" i="5"/>
  <c r="G42" i="5"/>
  <c r="G90" i="5"/>
  <c r="H6" i="5"/>
  <c r="G35" i="5"/>
  <c r="H54" i="5"/>
  <c r="G71" i="5"/>
  <c r="G83" i="5"/>
  <c r="H102" i="5"/>
  <c r="H114" i="5"/>
  <c r="G4" i="5"/>
  <c r="I6" i="5"/>
  <c r="H11" i="5"/>
  <c r="G16" i="5"/>
  <c r="I18" i="5"/>
  <c r="H23" i="5"/>
  <c r="G28" i="5"/>
  <c r="I30" i="5"/>
  <c r="H35" i="5"/>
  <c r="G40" i="5"/>
  <c r="I42" i="5"/>
  <c r="H47" i="5"/>
  <c r="G52" i="5"/>
  <c r="I54" i="5"/>
  <c r="H59" i="5"/>
  <c r="G64" i="5"/>
  <c r="I66" i="5"/>
  <c r="H71" i="5"/>
  <c r="G76" i="5"/>
  <c r="I78" i="5"/>
  <c r="H83" i="5"/>
  <c r="G88" i="5"/>
  <c r="I90" i="5"/>
  <c r="H95" i="5"/>
  <c r="G100" i="5"/>
  <c r="I102" i="5"/>
  <c r="H107" i="5"/>
  <c r="G112" i="5"/>
  <c r="I114" i="5"/>
  <c r="H119" i="5"/>
  <c r="G124" i="5"/>
  <c r="I126" i="5"/>
  <c r="H131" i="5"/>
  <c r="G136" i="5"/>
  <c r="I138" i="5"/>
  <c r="G6" i="5"/>
  <c r="H18" i="5"/>
  <c r="G47" i="5"/>
  <c r="G59" i="5"/>
  <c r="G7" i="4"/>
  <c r="G67" i="4"/>
  <c r="G79" i="4"/>
  <c r="H7" i="4"/>
  <c r="G36" i="4"/>
  <c r="G48" i="4"/>
  <c r="H55" i="4"/>
  <c r="H67" i="4"/>
  <c r="G72" i="4"/>
  <c r="G84" i="4"/>
  <c r="H91" i="4"/>
  <c r="G96" i="4"/>
  <c r="H103" i="4"/>
  <c r="G108" i="4"/>
  <c r="H115" i="4"/>
  <c r="G120" i="4"/>
  <c r="H127" i="4"/>
  <c r="G132" i="4"/>
  <c r="G91" i="4"/>
  <c r="G12" i="4"/>
  <c r="I14" i="4"/>
  <c r="H19" i="4"/>
  <c r="G5" i="4"/>
  <c r="I7" i="4"/>
  <c r="H12" i="4"/>
  <c r="G17" i="4"/>
  <c r="I19" i="4"/>
  <c r="G41" i="4"/>
  <c r="I43" i="4"/>
  <c r="H48" i="4"/>
  <c r="G53" i="4"/>
  <c r="I55" i="4"/>
  <c r="H60" i="4"/>
  <c r="G89" i="4"/>
  <c r="I91" i="4"/>
  <c r="H96" i="4"/>
  <c r="I103" i="4"/>
  <c r="H108" i="4"/>
  <c r="I115" i="4"/>
  <c r="H120" i="4"/>
  <c r="I127" i="4"/>
  <c r="H132" i="4"/>
  <c r="H5" i="4"/>
  <c r="G10" i="4"/>
  <c r="I12" i="4"/>
  <c r="H17" i="4"/>
  <c r="J19" i="4"/>
  <c r="G22" i="4"/>
  <c r="I24" i="4"/>
  <c r="H29" i="4"/>
  <c r="J31" i="4"/>
  <c r="G34" i="4"/>
  <c r="I36" i="4"/>
  <c r="H41" i="4"/>
  <c r="J43" i="4"/>
  <c r="G46" i="4"/>
  <c r="I48" i="4"/>
  <c r="H53" i="4"/>
  <c r="J55" i="4"/>
  <c r="G58" i="4"/>
  <c r="I60" i="4"/>
  <c r="H65" i="4"/>
  <c r="J67" i="4"/>
  <c r="G70" i="4"/>
  <c r="I72" i="4"/>
  <c r="H77" i="4"/>
  <c r="J79" i="4"/>
  <c r="G82" i="4"/>
  <c r="I84" i="4"/>
  <c r="H89" i="4"/>
  <c r="G94" i="4"/>
  <c r="I96" i="4"/>
  <c r="H101" i="4"/>
  <c r="G106" i="4"/>
  <c r="I108" i="4"/>
  <c r="H113" i="4"/>
  <c r="G118" i="4"/>
  <c r="I120" i="4"/>
  <c r="H125" i="4"/>
  <c r="G130" i="4"/>
  <c r="I132" i="4"/>
  <c r="H137" i="4"/>
  <c r="G24" i="4"/>
  <c r="H31" i="4"/>
  <c r="H43" i="4"/>
  <c r="G60" i="4"/>
  <c r="H79" i="4"/>
  <c r="H24" i="4"/>
  <c r="G29" i="4"/>
  <c r="I31" i="4"/>
  <c r="H36" i="4"/>
  <c r="G65" i="4"/>
  <c r="H72" i="4"/>
  <c r="G77" i="4"/>
  <c r="H84" i="4"/>
  <c r="H118" i="4"/>
  <c r="I125" i="4"/>
  <c r="H130" i="4"/>
  <c r="G135" i="4"/>
  <c r="I137" i="4"/>
  <c r="I130" i="4"/>
  <c r="H135" i="4"/>
  <c r="G85" i="4"/>
  <c r="G61" i="4"/>
  <c r="G6" i="4"/>
  <c r="H13" i="4"/>
  <c r="G30" i="4"/>
  <c r="H37" i="4"/>
  <c r="G78" i="4"/>
  <c r="G102" i="4"/>
  <c r="H109" i="4"/>
  <c r="G114" i="4"/>
  <c r="H121" i="4"/>
  <c r="G126" i="4"/>
  <c r="H133" i="4"/>
  <c r="G138" i="4"/>
  <c r="G18" i="4"/>
  <c r="H25" i="4"/>
  <c r="G42" i="4"/>
  <c r="G54" i="4"/>
  <c r="H61" i="4"/>
  <c r="G66" i="4"/>
  <c r="H73" i="4"/>
  <c r="H97" i="4"/>
  <c r="H6" i="4"/>
  <c r="G11" i="4"/>
  <c r="I13" i="4"/>
  <c r="H18" i="4"/>
  <c r="G23" i="4"/>
  <c r="I37" i="4"/>
  <c r="H42" i="4"/>
  <c r="G71" i="4"/>
  <c r="I73" i="4"/>
  <c r="H78" i="4"/>
  <c r="G95" i="4"/>
  <c r="I97" i="4"/>
  <c r="H102" i="4"/>
  <c r="G107" i="4"/>
  <c r="I109" i="4"/>
  <c r="H114" i="4"/>
  <c r="G119" i="4"/>
  <c r="I121" i="4"/>
  <c r="H138" i="4"/>
  <c r="G25" i="4"/>
  <c r="G37" i="4"/>
  <c r="G49" i="4"/>
  <c r="G73" i="4"/>
  <c r="H49" i="4"/>
  <c r="H85" i="4"/>
  <c r="G90" i="4"/>
  <c r="I25" i="4"/>
  <c r="H30" i="4"/>
  <c r="G35" i="4"/>
  <c r="G47" i="4"/>
  <c r="I49" i="4"/>
  <c r="H54" i="4"/>
  <c r="G59" i="4"/>
  <c r="I61" i="4"/>
  <c r="H66" i="4"/>
  <c r="G83" i="4"/>
  <c r="I85" i="4"/>
  <c r="H90" i="4"/>
  <c r="H126" i="4"/>
  <c r="I6" i="4"/>
  <c r="J13" i="4"/>
  <c r="I18" i="4"/>
  <c r="H23" i="4"/>
  <c r="I30" i="4"/>
  <c r="H35" i="4"/>
  <c r="I42" i="4"/>
  <c r="H47" i="4"/>
  <c r="I54" i="4"/>
  <c r="H59" i="4"/>
  <c r="I66" i="4"/>
  <c r="H71" i="4"/>
  <c r="I78" i="4"/>
  <c r="H83" i="4"/>
  <c r="I90" i="4"/>
  <c r="H95" i="4"/>
  <c r="G100" i="4"/>
  <c r="I102" i="4"/>
  <c r="H107" i="4"/>
  <c r="G112" i="4"/>
  <c r="I114" i="4"/>
  <c r="H119" i="4"/>
  <c r="G124" i="4"/>
  <c r="I126" i="4"/>
  <c r="G136" i="4"/>
  <c r="I138" i="4"/>
  <c r="G55" i="3"/>
  <c r="G103" i="3"/>
  <c r="G12" i="3"/>
  <c r="H19" i="3"/>
  <c r="I26" i="3"/>
  <c r="G36" i="3"/>
  <c r="I38" i="3"/>
  <c r="H43" i="3"/>
  <c r="G48" i="3"/>
  <c r="H55" i="3"/>
  <c r="G72" i="3"/>
  <c r="I74" i="3"/>
  <c r="H79" i="3"/>
  <c r="G84" i="3"/>
  <c r="H91" i="3"/>
  <c r="G96" i="3"/>
  <c r="I98" i="3"/>
  <c r="H103" i="3"/>
  <c r="G132" i="3"/>
  <c r="G79" i="3"/>
  <c r="G24" i="3"/>
  <c r="G60" i="3"/>
  <c r="I62" i="3"/>
  <c r="H67" i="3"/>
  <c r="I86" i="3"/>
  <c r="G108" i="3"/>
  <c r="I110" i="3"/>
  <c r="H115" i="3"/>
  <c r="G120" i="3"/>
  <c r="H127" i="3"/>
  <c r="G5" i="3"/>
  <c r="I7" i="3"/>
  <c r="H12" i="3"/>
  <c r="J14" i="3"/>
  <c r="G17" i="3"/>
  <c r="I19" i="3"/>
  <c r="H24" i="3"/>
  <c r="G29" i="3"/>
  <c r="I31" i="3"/>
  <c r="H36" i="3"/>
  <c r="G41" i="3"/>
  <c r="I43" i="3"/>
  <c r="H48" i="3"/>
  <c r="J50" i="3"/>
  <c r="G53" i="3"/>
  <c r="I55" i="3"/>
  <c r="H60" i="3"/>
  <c r="G65" i="3"/>
  <c r="I67" i="3"/>
  <c r="H72" i="3"/>
  <c r="G77" i="3"/>
  <c r="I79" i="3"/>
  <c r="H84" i="3"/>
  <c r="G89" i="3"/>
  <c r="I91" i="3"/>
  <c r="H96" i="3"/>
  <c r="G101" i="3"/>
  <c r="I103" i="3"/>
  <c r="H108" i="3"/>
  <c r="G113" i="3"/>
  <c r="I115" i="3"/>
  <c r="H120" i="3"/>
  <c r="G125" i="3"/>
  <c r="I127" i="3"/>
  <c r="H132" i="3"/>
  <c r="G137" i="3"/>
  <c r="G19" i="3"/>
  <c r="G43" i="3"/>
  <c r="G67" i="3"/>
  <c r="H7" i="3"/>
  <c r="I14" i="3"/>
  <c r="H5" i="3"/>
  <c r="I12" i="3"/>
  <c r="H17" i="3"/>
  <c r="I24" i="3"/>
  <c r="H41" i="3"/>
  <c r="H65" i="3"/>
  <c r="I84" i="3"/>
  <c r="H89" i="3"/>
  <c r="J91" i="3"/>
  <c r="I108" i="3"/>
  <c r="I120" i="3"/>
  <c r="H125" i="3"/>
  <c r="I132" i="3"/>
  <c r="H137" i="3"/>
  <c r="G7" i="3"/>
  <c r="H14" i="3"/>
  <c r="G31" i="3"/>
  <c r="H31" i="3"/>
  <c r="H29" i="3"/>
  <c r="I36" i="3"/>
  <c r="I48" i="3"/>
  <c r="H53" i="3"/>
  <c r="I60" i="3"/>
  <c r="I72" i="3"/>
  <c r="H77" i="3"/>
  <c r="I96" i="3"/>
  <c r="H101" i="3"/>
  <c r="H113" i="3"/>
  <c r="I113" i="3"/>
  <c r="G123" i="3"/>
  <c r="I125" i="3"/>
  <c r="H130" i="3"/>
  <c r="G135" i="3"/>
  <c r="I137" i="3"/>
  <c r="H123" i="3"/>
  <c r="H135" i="3"/>
  <c r="G73" i="3"/>
  <c r="G25" i="3"/>
  <c r="G37" i="3"/>
  <c r="G49" i="3"/>
  <c r="G61" i="3"/>
  <c r="G6" i="3"/>
  <c r="H13" i="3"/>
  <c r="G42" i="3"/>
  <c r="G54" i="3"/>
  <c r="H73" i="3"/>
  <c r="G78" i="3"/>
  <c r="H85" i="3"/>
  <c r="G90" i="3"/>
  <c r="H97" i="3"/>
  <c r="G102" i="3"/>
  <c r="H109" i="3"/>
  <c r="G114" i="3"/>
  <c r="H121" i="3"/>
  <c r="G126" i="3"/>
  <c r="H133" i="3"/>
  <c r="G138" i="3"/>
  <c r="G13" i="3"/>
  <c r="H37" i="3"/>
  <c r="H49" i="3"/>
  <c r="H61" i="3"/>
  <c r="G66" i="3"/>
  <c r="H6" i="3"/>
  <c r="G11" i="3"/>
  <c r="I13" i="3"/>
  <c r="H18" i="3"/>
  <c r="G23" i="3"/>
  <c r="I37" i="3"/>
  <c r="G47" i="3"/>
  <c r="I49" i="3"/>
  <c r="H54" i="3"/>
  <c r="G59" i="3"/>
  <c r="I61" i="3"/>
  <c r="H66" i="3"/>
  <c r="G83" i="3"/>
  <c r="I85" i="3"/>
  <c r="H90" i="3"/>
  <c r="H126" i="3"/>
  <c r="H138" i="3"/>
  <c r="G18" i="3"/>
  <c r="H25" i="3"/>
  <c r="G30" i="3"/>
  <c r="I25" i="3"/>
  <c r="H30" i="3"/>
  <c r="G35" i="3"/>
  <c r="H42" i="3"/>
  <c r="G71" i="3"/>
  <c r="I73" i="3"/>
  <c r="H78" i="3"/>
  <c r="G95" i="3"/>
  <c r="I97" i="3"/>
  <c r="H102" i="3"/>
  <c r="I109" i="3"/>
  <c r="H114" i="3"/>
  <c r="I18" i="3"/>
  <c r="I30" i="3"/>
  <c r="I42" i="3"/>
  <c r="H47" i="3"/>
  <c r="I54" i="3"/>
  <c r="H59" i="3"/>
  <c r="I66" i="3"/>
  <c r="H71" i="3"/>
  <c r="I78" i="3"/>
  <c r="H83" i="3"/>
  <c r="G88" i="3"/>
  <c r="I90" i="3"/>
  <c r="H95" i="3"/>
  <c r="G100" i="3"/>
  <c r="I102" i="3"/>
  <c r="H107" i="3"/>
  <c r="G112" i="3"/>
  <c r="I114" i="3"/>
  <c r="G124" i="3"/>
  <c r="I126" i="3"/>
  <c r="G136" i="3"/>
  <c r="I138" i="3"/>
  <c r="H7" i="2"/>
  <c r="G12" i="2"/>
  <c r="H19" i="2"/>
  <c r="G84" i="2"/>
  <c r="H91" i="2"/>
  <c r="G96" i="2"/>
  <c r="H103" i="2"/>
  <c r="G108" i="2"/>
  <c r="H115" i="2"/>
  <c r="G120" i="2"/>
  <c r="H127" i="2"/>
  <c r="G132" i="2"/>
  <c r="G55" i="2"/>
  <c r="G67" i="2"/>
  <c r="G79" i="2"/>
  <c r="G91" i="2"/>
  <c r="G24" i="2"/>
  <c r="H31" i="2"/>
  <c r="G60" i="2"/>
  <c r="H67" i="2"/>
  <c r="G5" i="2"/>
  <c r="I7" i="2"/>
  <c r="H12" i="2"/>
  <c r="G17" i="2"/>
  <c r="I19" i="2"/>
  <c r="H24" i="2"/>
  <c r="G53" i="2"/>
  <c r="I55" i="2"/>
  <c r="H60" i="2"/>
  <c r="G89" i="2"/>
  <c r="I91" i="2"/>
  <c r="H96" i="2"/>
  <c r="I103" i="2"/>
  <c r="H108" i="2"/>
  <c r="I115" i="2"/>
  <c r="H120" i="2"/>
  <c r="I127" i="2"/>
  <c r="H132" i="2"/>
  <c r="H5" i="2"/>
  <c r="J7" i="2"/>
  <c r="G10" i="2"/>
  <c r="I12" i="2"/>
  <c r="H17" i="2"/>
  <c r="J19" i="2"/>
  <c r="G22" i="2"/>
  <c r="I24" i="2"/>
  <c r="H29" i="2"/>
  <c r="J31" i="2"/>
  <c r="G34" i="2"/>
  <c r="I36" i="2"/>
  <c r="H41" i="2"/>
  <c r="J43" i="2"/>
  <c r="G46" i="2"/>
  <c r="I48" i="2"/>
  <c r="H53" i="2"/>
  <c r="J55" i="2"/>
  <c r="G58" i="2"/>
  <c r="I60" i="2"/>
  <c r="H65" i="2"/>
  <c r="J67" i="2"/>
  <c r="G70" i="2"/>
  <c r="I72" i="2"/>
  <c r="H77" i="2"/>
  <c r="J79" i="2"/>
  <c r="G82" i="2"/>
  <c r="I84" i="2"/>
  <c r="H89" i="2"/>
  <c r="G94" i="2"/>
  <c r="I96" i="2"/>
  <c r="H101" i="2"/>
  <c r="G106" i="2"/>
  <c r="I108" i="2"/>
  <c r="H113" i="2"/>
  <c r="G118" i="2"/>
  <c r="I120" i="2"/>
  <c r="H125" i="2"/>
  <c r="G130" i="2"/>
  <c r="I132" i="2"/>
  <c r="H137" i="2"/>
  <c r="G43" i="2"/>
  <c r="I14" i="2"/>
  <c r="G36" i="2"/>
  <c r="H43" i="2"/>
  <c r="G48" i="2"/>
  <c r="G72" i="2"/>
  <c r="H79" i="2"/>
  <c r="G29" i="2"/>
  <c r="I31" i="2"/>
  <c r="H36" i="2"/>
  <c r="G41" i="2"/>
  <c r="H48" i="2"/>
  <c r="G65" i="2"/>
  <c r="H72" i="2"/>
  <c r="G77" i="2"/>
  <c r="H84" i="2"/>
  <c r="H118" i="2"/>
  <c r="I125" i="2"/>
  <c r="H130" i="2"/>
  <c r="G135" i="2"/>
  <c r="I137" i="2"/>
  <c r="I130" i="2"/>
  <c r="H135" i="2"/>
  <c r="G73" i="2"/>
  <c r="G25" i="2"/>
  <c r="G18" i="2"/>
  <c r="H25" i="2"/>
  <c r="G30" i="2"/>
  <c r="G42" i="2"/>
  <c r="G54" i="2"/>
  <c r="H61" i="2"/>
  <c r="H85" i="2"/>
  <c r="H109" i="2"/>
  <c r="G114" i="2"/>
  <c r="H121" i="2"/>
  <c r="G126" i="2"/>
  <c r="H133" i="2"/>
  <c r="G138" i="2"/>
  <c r="G13" i="2"/>
  <c r="G6" i="2"/>
  <c r="H13" i="2"/>
  <c r="H37" i="2"/>
  <c r="H73" i="2"/>
  <c r="I25" i="2"/>
  <c r="H30" i="2"/>
  <c r="G47" i="2"/>
  <c r="I49" i="2"/>
  <c r="H54" i="2"/>
  <c r="G71" i="2"/>
  <c r="I73" i="2"/>
  <c r="H78" i="2"/>
  <c r="G83" i="2"/>
  <c r="H90" i="2"/>
  <c r="G95" i="2"/>
  <c r="I97" i="2"/>
  <c r="H102" i="2"/>
  <c r="G119" i="2"/>
  <c r="I121" i="2"/>
  <c r="H126" i="2"/>
  <c r="H138" i="2"/>
  <c r="G37" i="2"/>
  <c r="G49" i="2"/>
  <c r="G61" i="2"/>
  <c r="G85" i="2"/>
  <c r="H49" i="2"/>
  <c r="G66" i="2"/>
  <c r="G78" i="2"/>
  <c r="G90" i="2"/>
  <c r="H97" i="2"/>
  <c r="G102" i="2"/>
  <c r="H6" i="2"/>
  <c r="G11" i="2"/>
  <c r="I13" i="2"/>
  <c r="H18" i="2"/>
  <c r="G23" i="2"/>
  <c r="G35" i="2"/>
  <c r="I37" i="2"/>
  <c r="H42" i="2"/>
  <c r="G59" i="2"/>
  <c r="I61" i="2"/>
  <c r="H66" i="2"/>
  <c r="I85" i="2"/>
  <c r="G107" i="2"/>
  <c r="I109" i="2"/>
  <c r="H114" i="2"/>
  <c r="I18" i="2"/>
  <c r="H23" i="2"/>
  <c r="I30" i="2"/>
  <c r="H35" i="2"/>
  <c r="I42" i="2"/>
  <c r="H47" i="2"/>
  <c r="I54" i="2"/>
  <c r="H59" i="2"/>
  <c r="I66" i="2"/>
  <c r="H71" i="2"/>
  <c r="I78" i="2"/>
  <c r="H83" i="2"/>
  <c r="G88" i="2"/>
  <c r="I90" i="2"/>
  <c r="H95" i="2"/>
  <c r="G100" i="2"/>
  <c r="I102" i="2"/>
  <c r="H107" i="2"/>
  <c r="G112" i="2"/>
  <c r="I114" i="2"/>
  <c r="H119" i="2"/>
  <c r="G124" i="2"/>
  <c r="I126" i="2"/>
  <c r="H131" i="2"/>
  <c r="G136" i="2"/>
  <c r="I138" i="2"/>
  <c r="I97" i="1"/>
  <c r="J134" i="1"/>
  <c r="J122" i="1"/>
  <c r="J110" i="1"/>
  <c r="J98" i="1"/>
  <c r="J86" i="1"/>
  <c r="J74" i="1"/>
  <c r="J62" i="1"/>
  <c r="J50" i="1"/>
  <c r="J38" i="1"/>
  <c r="J26" i="1"/>
  <c r="J14" i="1"/>
  <c r="I49" i="1"/>
  <c r="J130" i="1"/>
  <c r="J118" i="1"/>
  <c r="J106" i="1"/>
  <c r="J94" i="1"/>
  <c r="J82" i="1"/>
  <c r="J70" i="1"/>
  <c r="J58" i="1"/>
  <c r="J46" i="1"/>
  <c r="J34" i="1"/>
  <c r="J22" i="1"/>
  <c r="J10" i="1"/>
  <c r="I37" i="1"/>
  <c r="J129" i="1"/>
  <c r="J117" i="1"/>
  <c r="J105" i="1"/>
  <c r="J93" i="1"/>
  <c r="J81" i="1"/>
  <c r="J69" i="1"/>
  <c r="J57" i="1"/>
  <c r="J45" i="1"/>
  <c r="J33" i="1"/>
  <c r="J21" i="1"/>
  <c r="J9" i="1"/>
  <c r="I25" i="1"/>
  <c r="J128" i="1"/>
  <c r="J116" i="1"/>
  <c r="J104" i="1"/>
  <c r="J92" i="1"/>
  <c r="J80" i="1"/>
  <c r="J68" i="1"/>
  <c r="J56" i="1"/>
  <c r="J44" i="1"/>
  <c r="J32" i="1"/>
  <c r="J20" i="1"/>
  <c r="J8" i="1"/>
  <c r="I13" i="1"/>
  <c r="J127" i="1"/>
  <c r="J115" i="1"/>
  <c r="J103" i="1"/>
  <c r="J91" i="1"/>
  <c r="J79" i="1"/>
  <c r="J67" i="1"/>
  <c r="J55" i="1"/>
  <c r="J43" i="1"/>
  <c r="J31" i="1"/>
  <c r="J19" i="1"/>
  <c r="J7" i="1"/>
  <c r="J138" i="1"/>
  <c r="J126" i="1"/>
  <c r="J114" i="1"/>
  <c r="J102" i="1"/>
  <c r="J90" i="1"/>
  <c r="J78" i="1"/>
  <c r="J66" i="1"/>
  <c r="J54" i="1"/>
  <c r="J42" i="1"/>
  <c r="J30" i="1"/>
  <c r="J18" i="1"/>
  <c r="J6" i="1"/>
  <c r="I133" i="1"/>
  <c r="J137" i="1"/>
  <c r="J125" i="1"/>
  <c r="J113" i="1"/>
  <c r="J101" i="1"/>
  <c r="J89" i="1"/>
  <c r="J77" i="1"/>
  <c r="J65" i="1"/>
  <c r="J53" i="1"/>
  <c r="J41" i="1"/>
  <c r="J29" i="1"/>
  <c r="J17" i="1"/>
  <c r="J5" i="1"/>
  <c r="I121" i="1"/>
  <c r="J136" i="1"/>
  <c r="J124" i="1"/>
  <c r="J112" i="1"/>
  <c r="J100" i="1"/>
  <c r="J88" i="1"/>
  <c r="J76" i="1"/>
  <c r="J64" i="1"/>
  <c r="J52" i="1"/>
  <c r="J40" i="1"/>
  <c r="J28" i="1"/>
  <c r="J16" i="1"/>
  <c r="J4" i="1"/>
  <c r="I109" i="1"/>
  <c r="J135" i="1"/>
  <c r="J123" i="1"/>
  <c r="J111" i="1"/>
  <c r="J99" i="1"/>
  <c r="J87" i="1"/>
  <c r="J75" i="1"/>
  <c r="J63" i="1"/>
  <c r="J51" i="1"/>
  <c r="J39" i="1"/>
  <c r="J27" i="1"/>
  <c r="J15" i="1"/>
  <c r="J3" i="1"/>
  <c r="I134" i="1"/>
  <c r="I122" i="1"/>
  <c r="I110" i="1"/>
  <c r="I98" i="1"/>
  <c r="I86" i="1"/>
  <c r="I74" i="1"/>
  <c r="I62" i="1"/>
  <c r="I50" i="1"/>
  <c r="I38" i="1"/>
  <c r="I26" i="1"/>
  <c r="I14" i="1"/>
  <c r="I132" i="1"/>
  <c r="I120" i="1"/>
  <c r="I108" i="1"/>
  <c r="I96" i="1"/>
  <c r="I84" i="1"/>
  <c r="I72" i="1"/>
  <c r="I60" i="1"/>
  <c r="I48" i="1"/>
  <c r="I36" i="1"/>
  <c r="I24" i="1"/>
  <c r="I12" i="1"/>
  <c r="I131" i="1"/>
  <c r="I119" i="1"/>
  <c r="I107" i="1"/>
  <c r="I95" i="1"/>
  <c r="I83" i="1"/>
  <c r="I71" i="1"/>
  <c r="I59" i="1"/>
  <c r="I47" i="1"/>
  <c r="I35" i="1"/>
  <c r="I23" i="1"/>
  <c r="I11" i="1"/>
  <c r="I130" i="1"/>
  <c r="I118" i="1"/>
  <c r="I106" i="1"/>
  <c r="I94" i="1"/>
  <c r="I82" i="1"/>
  <c r="I70" i="1"/>
  <c r="I58" i="1"/>
  <c r="I46" i="1"/>
  <c r="I34" i="1"/>
  <c r="I22" i="1"/>
  <c r="I10" i="1"/>
  <c r="I129" i="1"/>
  <c r="I117" i="1"/>
  <c r="I105" i="1"/>
  <c r="I93" i="1"/>
  <c r="I81" i="1"/>
  <c r="I69" i="1"/>
  <c r="I57" i="1"/>
  <c r="I45" i="1"/>
  <c r="I33" i="1"/>
  <c r="I21" i="1"/>
  <c r="I9" i="1"/>
  <c r="I128" i="1"/>
  <c r="I116" i="1"/>
  <c r="I104" i="1"/>
  <c r="I92" i="1"/>
  <c r="I80" i="1"/>
  <c r="I68" i="1"/>
  <c r="I56" i="1"/>
  <c r="I44" i="1"/>
  <c r="I32" i="1"/>
  <c r="I20" i="1"/>
  <c r="I8" i="1"/>
  <c r="I127" i="1"/>
  <c r="I115" i="1"/>
  <c r="I103" i="1"/>
  <c r="I91" i="1"/>
  <c r="I79" i="1"/>
  <c r="I67" i="1"/>
  <c r="I55" i="1"/>
  <c r="I43" i="1"/>
  <c r="I31" i="1"/>
  <c r="I19" i="1"/>
  <c r="I7" i="1"/>
  <c r="I138" i="1"/>
  <c r="I126" i="1"/>
  <c r="I114" i="1"/>
  <c r="I102" i="1"/>
  <c r="I90" i="1"/>
  <c r="I78" i="1"/>
  <c r="I66" i="1"/>
  <c r="I54" i="1"/>
  <c r="I42" i="1"/>
  <c r="I30" i="1"/>
  <c r="I18" i="1"/>
  <c r="I6" i="1"/>
  <c r="I137" i="1"/>
  <c r="I125" i="1"/>
  <c r="I113" i="1"/>
  <c r="I101" i="1"/>
  <c r="I89" i="1"/>
  <c r="I77" i="1"/>
  <c r="I65" i="1"/>
  <c r="I53" i="1"/>
  <c r="I41" i="1"/>
  <c r="I29" i="1"/>
  <c r="I17" i="1"/>
  <c r="I5" i="1"/>
  <c r="I124" i="1"/>
  <c r="I88" i="1"/>
  <c r="I52" i="1"/>
  <c r="I16" i="1"/>
  <c r="I4" i="1"/>
  <c r="I135" i="1"/>
  <c r="I123" i="1"/>
  <c r="I111" i="1"/>
  <c r="I99" i="1"/>
  <c r="I87" i="1"/>
  <c r="I75" i="1"/>
  <c r="I63" i="1"/>
  <c r="I51" i="1"/>
  <c r="I39" i="1"/>
  <c r="I27" i="1"/>
  <c r="I15" i="1"/>
  <c r="I3" i="1"/>
  <c r="H23" i="1"/>
  <c r="H101" i="1"/>
  <c r="H59" i="1"/>
  <c r="G37" i="1"/>
  <c r="H100" i="1"/>
  <c r="H53" i="1"/>
  <c r="H17" i="1"/>
  <c r="G136" i="1"/>
  <c r="G28" i="1"/>
  <c r="H97" i="1"/>
  <c r="H52" i="1"/>
  <c r="H16" i="1"/>
  <c r="G121" i="1"/>
  <c r="H137" i="1"/>
  <c r="H89" i="1"/>
  <c r="H49" i="1"/>
  <c r="H13" i="1"/>
  <c r="G112" i="1"/>
  <c r="H136" i="1"/>
  <c r="H88" i="1"/>
  <c r="H47" i="1"/>
  <c r="H11" i="1"/>
  <c r="G109" i="1"/>
  <c r="H133" i="1"/>
  <c r="H85" i="1"/>
  <c r="H41" i="1"/>
  <c r="H10" i="1"/>
  <c r="G100" i="1"/>
  <c r="H125" i="1"/>
  <c r="H77" i="1"/>
  <c r="H40" i="1"/>
  <c r="H5" i="1"/>
  <c r="H124" i="1"/>
  <c r="H76" i="1"/>
  <c r="H4" i="1"/>
  <c r="G76" i="1"/>
  <c r="H73" i="1"/>
  <c r="H35" i="1"/>
  <c r="G40" i="1"/>
  <c r="H113" i="1"/>
  <c r="H65" i="1"/>
  <c r="H29" i="1"/>
  <c r="G64" i="1"/>
  <c r="H112" i="1"/>
  <c r="H64" i="1"/>
  <c r="H28" i="1"/>
  <c r="H61" i="1"/>
  <c r="H25" i="1"/>
  <c r="G110" i="1"/>
  <c r="G74" i="1"/>
  <c r="G38" i="1"/>
  <c r="H134" i="1"/>
  <c r="H122" i="1"/>
  <c r="H98" i="1"/>
  <c r="H86" i="1"/>
  <c r="H62" i="1"/>
  <c r="H50" i="1"/>
  <c r="H26" i="1"/>
  <c r="H14" i="1"/>
  <c r="H132" i="1"/>
  <c r="H120" i="1"/>
  <c r="H108" i="1"/>
  <c r="H96" i="1"/>
  <c r="H84" i="1"/>
  <c r="H72" i="1"/>
  <c r="H60" i="1"/>
  <c r="H48" i="1"/>
  <c r="H36" i="1"/>
  <c r="H24" i="1"/>
  <c r="H12" i="1"/>
  <c r="G135" i="1"/>
  <c r="G99" i="1"/>
  <c r="G63" i="1"/>
  <c r="G27" i="1"/>
  <c r="H131" i="1"/>
  <c r="H119" i="1"/>
  <c r="H107" i="1"/>
  <c r="H95" i="1"/>
  <c r="H83" i="1"/>
  <c r="H71" i="1"/>
  <c r="H130" i="1"/>
  <c r="H118" i="1"/>
  <c r="H106" i="1"/>
  <c r="H94" i="1"/>
  <c r="H82" i="1"/>
  <c r="H70" i="1"/>
  <c r="H58" i="1"/>
  <c r="H46" i="1"/>
  <c r="H34" i="1"/>
  <c r="H22" i="1"/>
  <c r="H129" i="1"/>
  <c r="H117" i="1"/>
  <c r="H105" i="1"/>
  <c r="H93" i="1"/>
  <c r="H81" i="1"/>
  <c r="H69" i="1"/>
  <c r="H57" i="1"/>
  <c r="H45" i="1"/>
  <c r="H33" i="1"/>
  <c r="H21" i="1"/>
  <c r="H9" i="1"/>
  <c r="H128" i="1"/>
  <c r="H116" i="1"/>
  <c r="H104" i="1"/>
  <c r="H92" i="1"/>
  <c r="H80" i="1"/>
  <c r="H68" i="1"/>
  <c r="H56" i="1"/>
  <c r="H44" i="1"/>
  <c r="H32" i="1"/>
  <c r="H20" i="1"/>
  <c r="H8" i="1"/>
  <c r="G123" i="1"/>
  <c r="G87" i="1"/>
  <c r="G51" i="1"/>
  <c r="G15" i="1"/>
  <c r="H127" i="1"/>
  <c r="H115" i="1"/>
  <c r="H103" i="1"/>
  <c r="H91" i="1"/>
  <c r="H79" i="1"/>
  <c r="H67" i="1"/>
  <c r="H55" i="1"/>
  <c r="H43" i="1"/>
  <c r="H31" i="1"/>
  <c r="H19" i="1"/>
  <c r="H7" i="1"/>
  <c r="H138" i="1"/>
  <c r="H126" i="1"/>
  <c r="H114" i="1"/>
  <c r="H102" i="1"/>
  <c r="H90" i="1"/>
  <c r="H78" i="1"/>
  <c r="H66" i="1"/>
  <c r="H54" i="1"/>
  <c r="H42" i="1"/>
  <c r="H30" i="1"/>
  <c r="H18" i="1"/>
  <c r="H6" i="1"/>
  <c r="G111" i="1"/>
  <c r="G75" i="1"/>
  <c r="G39" i="1"/>
  <c r="H3" i="1"/>
</calcChain>
</file>

<file path=xl/sharedStrings.xml><?xml version="1.0" encoding="utf-8"?>
<sst xmlns="http://schemas.openxmlformats.org/spreadsheetml/2006/main" count="2630" uniqueCount="169">
  <si>
    <t>VOTE NO</t>
  </si>
  <si>
    <t>PROJECT TITLE</t>
  </si>
  <si>
    <t>Fleet Type</t>
  </si>
  <si>
    <t>SHAFT</t>
  </si>
  <si>
    <t>25/26</t>
  </si>
  <si>
    <t>26/27</t>
  </si>
  <si>
    <t>27/28</t>
  </si>
  <si>
    <t>FL</t>
  </si>
  <si>
    <t>BR</t>
  </si>
  <si>
    <t>REPLACEMENT BS0025</t>
  </si>
  <si>
    <t>BS</t>
  </si>
  <si>
    <t>REPLACEMENT CB0024</t>
  </si>
  <si>
    <t>CB</t>
  </si>
  <si>
    <t>ER</t>
  </si>
  <si>
    <t>REPLACEMENT CR0094</t>
  </si>
  <si>
    <t>CR</t>
  </si>
  <si>
    <t>N2</t>
  </si>
  <si>
    <t>REPLACEMENT WK1005</t>
  </si>
  <si>
    <t>WK</t>
  </si>
  <si>
    <t>OPD</t>
  </si>
  <si>
    <t>REPLACEMENT LD0303</t>
  </si>
  <si>
    <t>LD</t>
  </si>
  <si>
    <t>REPLACEMENT LD0341</t>
  </si>
  <si>
    <t>REPLACEMENT LD0411</t>
  </si>
  <si>
    <t>REPLACEMENT LD0414</t>
  </si>
  <si>
    <t>REPLACEMENT LD0415</t>
  </si>
  <si>
    <t>REPLACEMENT LD0199</t>
  </si>
  <si>
    <t>REPLACEMENT RT0039</t>
  </si>
  <si>
    <t>RT</t>
  </si>
  <si>
    <t>N3</t>
  </si>
  <si>
    <t>REPLACEMENT SR0024</t>
  </si>
  <si>
    <t>SR</t>
  </si>
  <si>
    <t>REPLACEMENT SR0028</t>
  </si>
  <si>
    <t>REPLACEMENT SR0030</t>
  </si>
  <si>
    <t>REPLACEMENT LD0457</t>
  </si>
  <si>
    <t>REPLACEMENT LD0480</t>
  </si>
  <si>
    <t>REPLACEMENT LD0481</t>
  </si>
  <si>
    <t>REPLACEMENT LD0482</t>
  </si>
  <si>
    <t>REPLACEMENT DT0143</t>
  </si>
  <si>
    <t>DT</t>
  </si>
  <si>
    <t>REPLACEMENT LD0421</t>
  </si>
  <si>
    <t>REPLACEMENT LD0465</t>
  </si>
  <si>
    <t>REPLACEMENT LD0453</t>
  </si>
  <si>
    <t>GL</t>
  </si>
  <si>
    <t>REPLACEMENT LD0517</t>
  </si>
  <si>
    <t>REPLACEMENT DT0105</t>
  </si>
  <si>
    <t>REPLACEMENT DT0106</t>
  </si>
  <si>
    <t>REPLACEMENT LD0330</t>
  </si>
  <si>
    <t>REPLACEMENT LD0331</t>
  </si>
  <si>
    <t>REPLACEMENT LD0344</t>
  </si>
  <si>
    <t>REPLACEMENT LD0425</t>
  </si>
  <si>
    <t>TBC</t>
  </si>
  <si>
    <t>REPLACEMENT BS0028</t>
  </si>
  <si>
    <t>REPLACEMENT CB0025</t>
  </si>
  <si>
    <t>REPLACEMENT CB0030</t>
  </si>
  <si>
    <t>REPLACEMENT CB0033</t>
  </si>
  <si>
    <t>REPLACEMENT CD0011</t>
  </si>
  <si>
    <t>CD</t>
  </si>
  <si>
    <t>REPLACEMENT CD0012</t>
  </si>
  <si>
    <t>REPLACEMENT CR0107</t>
  </si>
  <si>
    <t>REPLACEMENT CR0121</t>
  </si>
  <si>
    <t>REPLACEMENT CR0145</t>
  </si>
  <si>
    <t>REPLACEMENT LD0239</t>
  </si>
  <si>
    <t>REPLACEMENT LD0252</t>
  </si>
  <si>
    <t>REPLACEMENT LD0253</t>
  </si>
  <si>
    <t>REPLACEMENT LD0256</t>
  </si>
  <si>
    <t>REPLACEMENT LD0259</t>
  </si>
  <si>
    <t>REPLACEMENT LD0269</t>
  </si>
  <si>
    <t>REPLACEMENT LD0270</t>
  </si>
  <si>
    <t>REPLACEMENT LD0273</t>
  </si>
  <si>
    <t>REPLACEMENT LD0274</t>
  </si>
  <si>
    <t>REPLACEMENT LD0294</t>
  </si>
  <si>
    <t>REPLACEMENT LD0301</t>
  </si>
  <si>
    <t>REPLACEMENT LD0306</t>
  </si>
  <si>
    <t>REPLACEMENT LD0333</t>
  </si>
  <si>
    <t>REPLACEMENT LD0335</t>
  </si>
  <si>
    <t>REPLACEMENT LD0336</t>
  </si>
  <si>
    <t>REPLACEMENT LD0337</t>
  </si>
  <si>
    <t>REPLACEMENT LD0338</t>
  </si>
  <si>
    <t>REPLACEMENT LD0339</t>
  </si>
  <si>
    <t>REPLACEMENT LD0340</t>
  </si>
  <si>
    <t>REPLACEMENT LD0364</t>
  </si>
  <si>
    <t>REPLACEMENT LD0374</t>
  </si>
  <si>
    <t>REPLACEMENT LD0375</t>
  </si>
  <si>
    <t>REPLACEMENT LD0462</t>
  </si>
  <si>
    <t>REPLACEMENT LD0464</t>
  </si>
  <si>
    <t>REPLACEMENT LD0472</t>
  </si>
  <si>
    <t>REPLACEMENT LD0473</t>
  </si>
  <si>
    <t>REPLACEMENT LD0474</t>
  </si>
  <si>
    <t>REPLACEMENT LD0487</t>
  </si>
  <si>
    <t>REPLACEMENT LD0488</t>
  </si>
  <si>
    <t>REPLACEMENT TK0060</t>
  </si>
  <si>
    <t>TK</t>
  </si>
  <si>
    <t>REPLACEMENT TK0071</t>
  </si>
  <si>
    <t>REPLACEMENT UV0011</t>
  </si>
  <si>
    <t>UV</t>
  </si>
  <si>
    <t>REPLACEMENT GD0008</t>
  </si>
  <si>
    <t>GD</t>
  </si>
  <si>
    <t>REPLACEMENT LD0226</t>
  </si>
  <si>
    <t>REPLACEMENT LD0287</t>
  </si>
  <si>
    <t>REPLACEMENT LD0412</t>
  </si>
  <si>
    <t>REPLACEMENT LD0451</t>
  </si>
  <si>
    <t>REPLACEMENT UV0076</t>
  </si>
  <si>
    <t>REPLACEMENT UV0083</t>
  </si>
  <si>
    <t>REPLACEMENT UV0089</t>
  </si>
  <si>
    <t>REPLACEMENT UV0095</t>
  </si>
  <si>
    <t>REPLACEMENT UV0097</t>
  </si>
  <si>
    <t>REPLACEMENT UV0104</t>
  </si>
  <si>
    <t>REPLACEMENT CR0102</t>
  </si>
  <si>
    <t>REPLACEMENT LD0485</t>
  </si>
  <si>
    <t>REPLACEMENT CR0105</t>
  </si>
  <si>
    <t>REPLACEMENT DT0107</t>
  </si>
  <si>
    <t>REPLACEMENT DT0120</t>
  </si>
  <si>
    <t>REPLACEMENT DT0121</t>
  </si>
  <si>
    <t>REPLACEMENT FL0066</t>
  </si>
  <si>
    <t>REPLACEMENT FL0067</t>
  </si>
  <si>
    <t>REPLACEMENT FL0077</t>
  </si>
  <si>
    <t>REPLACEMENT FL0085</t>
  </si>
  <si>
    <t>REPLACEMENT HD0053</t>
  </si>
  <si>
    <t>HD</t>
  </si>
  <si>
    <t>REPLACEMENT LD0426</t>
  </si>
  <si>
    <t>REPLACEMENT LD0450</t>
  </si>
  <si>
    <t>REPLACEMENT LD0499</t>
  </si>
  <si>
    <t>REPLACEMENT LD0509</t>
  </si>
  <si>
    <t>REPLACEMENT RT0040</t>
  </si>
  <si>
    <t>REPLACEMENT RT0043</t>
  </si>
  <si>
    <t>REPLACEMENT SR0033</t>
  </si>
  <si>
    <t>REPLACEMENT UV0054</t>
  </si>
  <si>
    <t>REPLACEMENT UV0057</t>
  </si>
  <si>
    <t>REPLACEMENT UV0084</t>
  </si>
  <si>
    <t>REPLACEMENT UV0108</t>
  </si>
  <si>
    <t>REPLACEMENT UV0118</t>
  </si>
  <si>
    <t>REPLACEMENT UV0119</t>
  </si>
  <si>
    <t>REPLACEMENT DT0118</t>
  </si>
  <si>
    <t>REPLACEMENT DT0145</t>
  </si>
  <si>
    <t>REPLACEMENT DT0148</t>
  </si>
  <si>
    <t>REPLACEMENT FL0091</t>
  </si>
  <si>
    <t>REPLACEMENT FL0101</t>
  </si>
  <si>
    <t>REPLACEMENT HD0049</t>
  </si>
  <si>
    <t>REPLACEMENT HD0050</t>
  </si>
  <si>
    <t>REPLACEMENT HD0051</t>
  </si>
  <si>
    <t>REPLACEMENT HD0052</t>
  </si>
  <si>
    <t>REPLACEMENT LD0401</t>
  </si>
  <si>
    <t>REPLACEMENT LD0405</t>
  </si>
  <si>
    <t>REPLACEMENT LD0445</t>
  </si>
  <si>
    <t>REPLACEMENT LD0452</t>
  </si>
  <si>
    <t>REPLACEMENT LD0512</t>
  </si>
  <si>
    <t>REPLACEMENT RT0044</t>
  </si>
  <si>
    <t>REPLACEMENT UV0056</t>
  </si>
  <si>
    <t>REPLACEMENT UV0074</t>
  </si>
  <si>
    <t>REPLACEMENT UV0075</t>
  </si>
  <si>
    <t>REPLACEMENT UV0079</t>
  </si>
  <si>
    <t>REPLACEMENT UV0081</t>
  </si>
  <si>
    <t>REPLACEMENT DT0129</t>
  </si>
  <si>
    <t>REPLACEMENT DT0130</t>
  </si>
  <si>
    <t>REPLACEMENT DT0133</t>
  </si>
  <si>
    <t>REPLACEMENT DT0134</t>
  </si>
  <si>
    <t>REPLACEMENT DT0136</t>
  </si>
  <si>
    <t>REPLACEMENT DT0137</t>
  </si>
  <si>
    <t>REPLACEMENT ER0005</t>
  </si>
  <si>
    <t>REPLACEMENT FL0094</t>
  </si>
  <si>
    <t>REPLACEMENT GD0010</t>
  </si>
  <si>
    <t>REPLACEMENT LD0302</t>
  </si>
  <si>
    <t>REPLACEMENT WK1004</t>
  </si>
  <si>
    <t>Eq No</t>
  </si>
  <si>
    <t>Location</t>
  </si>
  <si>
    <t>Aq Date</t>
  </si>
  <si>
    <t>Model</t>
  </si>
  <si>
    <t>Replacement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</si>
</sst>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6" formatCode="_(* #,##0_);_(* \(#,##0\);_(* &quot;-&quot;??_);_(@_)"/>
    <numFmt numFmtId="167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indexed="9"/>
      <name val="Arial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1" xfId="0" applyNumberFormat="1" applyBorder="1"/>
    <xf numFmtId="167" fontId="3" fillId="0" borderId="2" xfId="1" applyNumberFormat="1" applyFont="1" applyFill="1" applyBorder="1"/>
    <xf numFmtId="1" fontId="0" fillId="0" borderId="1" xfId="0" applyNumberFormat="1" applyBorder="1" applyAlignment="1">
      <alignment horizontal="right"/>
    </xf>
    <xf numFmtId="1" fontId="0" fillId="0" borderId="2" xfId="0" applyNumberFormat="1" applyBorder="1"/>
    <xf numFmtId="164" fontId="2" fillId="2" borderId="3" xfId="0" applyNumberFormat="1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center"/>
    </xf>
    <xf numFmtId="167" fontId="2" fillId="2" borderId="3" xfId="1" applyNumberFormat="1" applyFont="1" applyFill="1" applyBorder="1" applyAlignment="1">
      <alignment horizontal="center"/>
    </xf>
    <xf numFmtId="1" fontId="0" fillId="0" borderId="1" xfId="0" applyNumberFormat="1" applyFill="1" applyBorder="1"/>
    <xf numFmtId="166" fontId="2" fillId="2" borderId="3" xfId="1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2" xfId="0" applyNumberFormat="1" applyBorder="1" applyAlignment="1">
      <alignment horizontal="left"/>
    </xf>
    <xf numFmtId="43" fontId="0" fillId="0" borderId="2" xfId="1" applyFont="1" applyBorder="1" applyAlignment="1">
      <alignment horizontal="left"/>
    </xf>
  </cellXfs>
  <cellStyles count="2">
    <cellStyle name="Comma" xfId="1" builtinId="3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44B3E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numFmt numFmtId="167" formatCode="_-* #,##0_-;\-* #,##0_-;_-* &quot;-&quot;??_-;_-@_-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44B3E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numFmt numFmtId="167" formatCode="_-* #,##0_-;\-* #,##0_-;_-* &quot;-&quot;??_-;_-@_-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44B3E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numFmt numFmtId="167" formatCode="_-* #,##0_-;\-* #,##0_-;_-* &quot;-&quot;??_-;_-@_-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44B3E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numFmt numFmtId="167" formatCode="_-* #,##0_-;\-* #,##0_-;_-* &quot;-&quot;??_-;_-@_-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5" formatCode="_(* #,##0.00_);_(* \(#,##0.00\);_(* &quot;-&quot;??_);_(@_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numFmt numFmtId="167" formatCode="_-* #,##0_-;\-* #,##0_-;_-* &quot;-&quot;??_-;_-@_-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fricanrainbowminerals.sharepoint.com/sites/BRMOEngineeringManagement/Shared%20Documents/Capital/FY2025-26/10%20Year%20Vehicle%20Replacement%20Plan%2025_26%20Rev1b.xlsx" TargetMode="External"/><Relationship Id="rId1" Type="http://schemas.openxmlformats.org/officeDocument/2006/relationships/externalLinkPath" Target="https://africanrainbowminerals.sharepoint.com/sites/BRMOEngineeringManagement/Shared%20Documents/Capital/FY2025-26/10%20Year%20Vehicle%20Replacement%20Plan%2025_26%20Rev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Notes on BEV Replacements"/>
      <sheetName val="Primary Equipment"/>
      <sheetName val="Secondary Equipment"/>
      <sheetName val="BRMO"/>
      <sheetName val="Adhoc"/>
      <sheetName val="10 YR Plan - Replacement"/>
      <sheetName val="10 YR Plan - New"/>
      <sheetName val="FY Lookup"/>
      <sheetName val="Prices &amp; Const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BF13C-516E-4D28-B2A9-2201E043196F}" name="Table1" displayName="Table1" ref="B2:M138" totalsRowShown="0" headerRowDxfId="66" dataDxfId="67" tableBorderDxfId="74" headerRowCellStyle="Comma" dataCellStyle="Comma">
  <autoFilter ref="B2:M138" xr:uid="{839BF13C-516E-4D28-B2A9-2201E043196F}">
    <filterColumn colId="2">
      <filters>
        <filter val="LD"/>
      </filters>
    </filterColumn>
    <filterColumn colId="4">
      <filters>
        <filter val="N3"/>
      </filters>
    </filterColumn>
    <filterColumn colId="9">
      <filters>
        <filter val="19,263,083"/>
        <filter val="2,761,718"/>
        <filter val="2,911,698"/>
        <filter val="20,151,247"/>
        <filter val="6,145,603"/>
      </filters>
    </filterColumn>
  </autoFilter>
  <tableColumns count="12">
    <tableColumn id="1" xr3:uid="{ABA5594E-D380-4AC0-ABB6-CA1EEC7AD35A}" name="VOTE NO" dataDxfId="73"/>
    <tableColumn id="2" xr3:uid="{75405E13-0C4A-4D8F-9AB9-5D65AFBD284F}" name="PROJECT TITLE" dataDxfId="72"/>
    <tableColumn id="3" xr3:uid="{56672F82-4238-4DB1-BB8F-CFA1AB4F55A2}" name="Fleet Type" dataDxfId="71"/>
    <tableColumn id="10" xr3:uid="{4377C62E-7EAA-469E-8BC4-5EEF36BC2BCD}" name="Eq No" dataDxfId="64">
      <calculatedColumnFormula>RIGHT(Table1[[#This Row],[PROJECT TITLE]],6)</calculatedColumnFormula>
    </tableColumn>
    <tableColumn id="4" xr3:uid="{B94B739A-7B0A-40D0-B551-705C81618BB2}" name="SHAFT" dataDxfId="65"/>
    <tableColumn id="9" xr3:uid="{27A0CE43-D455-481E-B4AF-1F6C1813C7B9}" name="Location" dataDxfId="63" dataCellStyle="Comma">
      <calculatedColumnFormula>VLOOKUP(Table1[[#This Row],[Eq No]],[1]!Table3[[Eq.No.]:[FY23/34 Acq. Status]],2,FALSE)</calculatedColumnFormula>
    </tableColumn>
    <tableColumn id="11" xr3:uid="{525A8884-E29D-4E10-A6F1-E6DEE69290F5}" name="Aq Date" dataDxfId="62">
      <calculatedColumnFormula>VLOOKUP(Table1[[#This Row],[Eq No]],[1]!Table3[[Eq.No.]:[FY23/34 Acq. Status]],3,FALSE)</calculatedColumnFormula>
    </tableColumn>
    <tableColumn id="12" xr3:uid="{C21C2823-069D-408F-ACF1-35078D6DB8E6}" name="Model" dataDxfId="61" dataCellStyle="Comma">
      <calculatedColumnFormula>VLOOKUP(Table1[[#This Row],[Eq No]],[1]!Table3[[Eq.No.]:[FY23/34 Acq. Status]],12,FALSE)</calculatedColumnFormula>
    </tableColumn>
    <tableColumn id="13" xr3:uid="{647E3495-39C3-46DC-9AF4-606635B7B911}" name="Replacement Model" dataDxfId="60" dataCellStyle="Comma">
      <calculatedColumnFormula>VLOOKUP(Table1[[#This Row],[Eq No]],[1]!Table3[[Eq.No.]:[FY23/34 Acq. Status]],17,FALSE)</calculatedColumnFormula>
    </tableColumn>
    <tableColumn id="6" xr3:uid="{5933D61F-0E57-402F-ABF2-95B1588FA8A6}" name="25/26" dataDxfId="70" dataCellStyle="Comma"/>
    <tableColumn id="7" xr3:uid="{58741D1A-EA98-4B80-98B0-891E180F855F}" name="26/27" dataDxfId="69" dataCellStyle="Comma"/>
    <tableColumn id="8" xr3:uid="{4CC94E2B-5C94-4132-8414-CEEF471E51B7}" name="27/28" dataDxfId="68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5D04C9-B7D1-464D-9DA9-55F059EDDBAC}" name="Table13" displayName="Table13" ref="B2:M138" totalsRowShown="0" headerRowDxfId="59" dataDxfId="58" tableBorderDxfId="57" headerRowCellStyle="Comma" dataCellStyle="Comma">
  <autoFilter ref="B2:M138" xr:uid="{839BF13C-516E-4D28-B2A9-2201E043196F}">
    <filterColumn colId="4">
      <filters>
        <filter val="N2"/>
      </filters>
    </filterColumn>
    <filterColumn colId="9">
      <filters>
        <filter val="19,263,083"/>
        <filter val="2,761,718"/>
        <filter val="2,911,698"/>
        <filter val="20,151,247"/>
        <filter val="6,145,603"/>
      </filters>
    </filterColumn>
  </autoFilter>
  <tableColumns count="12">
    <tableColumn id="1" xr3:uid="{0F2168A6-4AC6-4EA3-A94D-05C797E2FFCE}" name="VOTE NO" dataDxfId="56"/>
    <tableColumn id="2" xr3:uid="{92AFB8E0-BAE8-4DBB-A195-7126BC52BFE8}" name="PROJECT TITLE" dataDxfId="55"/>
    <tableColumn id="3" xr3:uid="{5BAA1A9A-3354-48DA-9720-D69926F09F0A}" name="Fleet Type" dataDxfId="54"/>
    <tableColumn id="10" xr3:uid="{9848F227-024E-48A2-8F6A-024593C4EB7F}" name="Eq No" dataDxfId="53">
      <calculatedColumnFormula>RIGHT(Table13[[#This Row],[PROJECT TITLE]],6)</calculatedColumnFormula>
    </tableColumn>
    <tableColumn id="4" xr3:uid="{DCF1AEFE-4F63-4F28-9F19-5E53BC70DCD4}" name="SHAFT" dataDxfId="52"/>
    <tableColumn id="9" xr3:uid="{3A57E1F3-66B0-4A54-BF13-1B838BEF2065}" name="Location" dataDxfId="51" dataCellStyle="Comma">
      <calculatedColumnFormula>VLOOKUP(Table13[[#This Row],[Eq No]],[1]!Table3[[Eq.No.]:[FY23/34 Acq. Status]],2,FALSE)</calculatedColumnFormula>
    </tableColumn>
    <tableColumn id="11" xr3:uid="{1B7F3772-E7FD-43D9-8F08-A68585D20466}" name="Aq Date" dataDxfId="50">
      <calculatedColumnFormula>VLOOKUP(Table13[[#This Row],[Eq No]],[1]!Table3[[Eq.No.]:[FY23/34 Acq. Status]],3,FALSE)</calculatedColumnFormula>
    </tableColumn>
    <tableColumn id="12" xr3:uid="{27B8553A-56AC-408A-96BA-398DBEE8228E}" name="Model" dataDxfId="49" dataCellStyle="Comma">
      <calculatedColumnFormula>VLOOKUP(Table13[[#This Row],[Eq No]],[1]!Table3[[Eq.No.]:[FY23/34 Acq. Status]],12,FALSE)</calculatedColumnFormula>
    </tableColumn>
    <tableColumn id="13" xr3:uid="{4A375E9E-4239-489D-A38F-B597D0552295}" name="Replacement Model" dataDxfId="48" dataCellStyle="Comma">
      <calculatedColumnFormula>VLOOKUP(Table13[[#This Row],[Eq No]],[1]!Table3[[Eq.No.]:[FY23/34 Acq. Status]],17,FALSE)</calculatedColumnFormula>
    </tableColumn>
    <tableColumn id="6" xr3:uid="{1F701241-805E-4F17-B778-652F6D785E35}" name="25/26" dataDxfId="47" dataCellStyle="Comma"/>
    <tableColumn id="7" xr3:uid="{BABD67B6-D6E6-4EF1-9BB7-12EC63663310}" name="26/27" dataDxfId="46" dataCellStyle="Comma"/>
    <tableColumn id="8" xr3:uid="{109A782F-E129-41FE-B620-FBA8C9077DCC}" name="27/28" dataDxfId="45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28B32B-2010-44E8-8855-496ED6F08834}" name="Table134" displayName="Table134" ref="B2:M138" totalsRowShown="0" headerRowDxfId="44" dataDxfId="43" tableBorderDxfId="42" headerRowCellStyle="Comma" dataCellStyle="Comma">
  <autoFilter ref="B2:M138" xr:uid="{839BF13C-516E-4D28-B2A9-2201E043196F}">
    <filterColumn colId="4">
      <filters>
        <filter val="GL"/>
      </filters>
    </filterColumn>
    <filterColumn colId="9">
      <filters>
        <filter val="19,263,083"/>
        <filter val="2,761,718"/>
        <filter val="2,911,698"/>
        <filter val="20,151,247"/>
        <filter val="6,145,603"/>
      </filters>
    </filterColumn>
  </autoFilter>
  <tableColumns count="12">
    <tableColumn id="1" xr3:uid="{D8A32E07-2A66-46E5-B180-359865B6D27D}" name="VOTE NO" dataDxfId="41"/>
    <tableColumn id="2" xr3:uid="{8DBEECD6-C7CE-44F7-830E-5821CF9C36A9}" name="PROJECT TITLE" dataDxfId="40"/>
    <tableColumn id="3" xr3:uid="{B21435D4-DBD9-4C28-9E34-27E19B5209E6}" name="Fleet Type" dataDxfId="39"/>
    <tableColumn id="10" xr3:uid="{A88BA714-2807-4C65-BC63-E47DC39043E8}" name="Eq No" dataDxfId="38">
      <calculatedColumnFormula>RIGHT(Table134[[#This Row],[PROJECT TITLE]],6)</calculatedColumnFormula>
    </tableColumn>
    <tableColumn id="4" xr3:uid="{F0D5726B-7E86-4CE6-8301-46347404C06F}" name="SHAFT" dataDxfId="37"/>
    <tableColumn id="9" xr3:uid="{5B2E22E7-DB9E-465C-B50E-24002875477D}" name="Location" dataDxfId="36" dataCellStyle="Comma">
      <calculatedColumnFormula>VLOOKUP(Table134[[#This Row],[Eq No]],[1]!Table3[[Eq.No.]:[FY23/34 Acq. Status]],2,FALSE)</calculatedColumnFormula>
    </tableColumn>
    <tableColumn id="11" xr3:uid="{F9BD27B5-C3D5-4A63-833E-05075A2809CD}" name="Aq Date" dataDxfId="35">
      <calculatedColumnFormula>VLOOKUP(Table134[[#This Row],[Eq No]],[1]!Table3[[Eq.No.]:[FY23/34 Acq. Status]],3,FALSE)</calculatedColumnFormula>
    </tableColumn>
    <tableColumn id="12" xr3:uid="{E2AA9F3E-A1D1-4BA6-BCF1-B55F8BA38AEB}" name="Model" dataDxfId="34" dataCellStyle="Comma">
      <calculatedColumnFormula>VLOOKUP(Table134[[#This Row],[Eq No]],[1]!Table3[[Eq.No.]:[FY23/34 Acq. Status]],12,FALSE)</calculatedColumnFormula>
    </tableColumn>
    <tableColumn id="13" xr3:uid="{925652A3-0197-4204-A9F4-A3D3F3541516}" name="Replacement Model" dataDxfId="33" dataCellStyle="Comma">
      <calculatedColumnFormula>VLOOKUP(Table134[[#This Row],[Eq No]],[1]!Table3[[Eq.No.]:[FY23/34 Acq. Status]],17,FALSE)</calculatedColumnFormula>
    </tableColumn>
    <tableColumn id="6" xr3:uid="{E2BD2450-2B3B-4814-8386-5D8FB0D788D5}" name="25/26" dataDxfId="32" dataCellStyle="Comma"/>
    <tableColumn id="7" xr3:uid="{CF5C80FF-EB3B-4E13-BE1F-BF53F1B2E815}" name="26/27" dataDxfId="31" dataCellStyle="Comma"/>
    <tableColumn id="8" xr3:uid="{6916F4F6-535B-4536-B7E7-01EBC948A71F}" name="27/28" dataDxfId="30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EB5906-C0E9-48E2-BBAD-2F0249175FDD}" name="Table1345" displayName="Table1345" ref="B2:M138" totalsRowShown="0" headerRowDxfId="29" dataDxfId="28" tableBorderDxfId="27" headerRowCellStyle="Comma" dataCellStyle="Comma">
  <autoFilter ref="B2:M138" xr:uid="{839BF13C-516E-4D28-B2A9-2201E043196F}">
    <filterColumn colId="4">
      <filters>
        <filter val="OPD"/>
      </filters>
    </filterColumn>
    <filterColumn colId="9">
      <filters>
        <filter val="1,157,210"/>
        <filter val="8,991,504"/>
      </filters>
    </filterColumn>
  </autoFilter>
  <tableColumns count="12">
    <tableColumn id="1" xr3:uid="{F73207F8-62F6-4F83-AC25-4D306E9D2668}" name="VOTE NO" dataDxfId="26"/>
    <tableColumn id="2" xr3:uid="{99D69FCE-5D3F-47C8-96A1-6FD404C8E231}" name="PROJECT TITLE" dataDxfId="25"/>
    <tableColumn id="3" xr3:uid="{D17DDAC8-AA65-4054-B4E5-647747CFE804}" name="Fleet Type" dataDxfId="24"/>
    <tableColumn id="10" xr3:uid="{E4A76104-B3AB-40BE-AE3A-E654630C35F2}" name="Eq No" dataDxfId="23">
      <calculatedColumnFormula>RIGHT(Table1345[[#This Row],[PROJECT TITLE]],6)</calculatedColumnFormula>
    </tableColumn>
    <tableColumn id="4" xr3:uid="{ED1DE681-76A2-427A-ACCA-96879FC67697}" name="SHAFT" dataDxfId="22"/>
    <tableColumn id="9" xr3:uid="{F0136A43-9094-44A5-B595-8C26D16A1808}" name="Location" dataDxfId="21" dataCellStyle="Comma">
      <calculatedColumnFormula>VLOOKUP(Table1345[[#This Row],[Eq No]],[1]!Table3[[Eq.No.]:[FY23/34 Acq. Status]],2,FALSE)</calculatedColumnFormula>
    </tableColumn>
    <tableColumn id="11" xr3:uid="{FF168E13-EE58-4F21-B9CE-4D7A8FC45F23}" name="Aq Date" dataDxfId="20">
      <calculatedColumnFormula>VLOOKUP(Table1345[[#This Row],[Eq No]],[1]!Table3[[Eq.No.]:[FY23/34 Acq. Status]],3,FALSE)</calculatedColumnFormula>
    </tableColumn>
    <tableColumn id="12" xr3:uid="{2C77AEF5-FCF0-43BD-9301-BBC83AA8A09C}" name="Model" dataDxfId="19" dataCellStyle="Comma">
      <calculatedColumnFormula>VLOOKUP(Table1345[[#This Row],[Eq No]],[1]!Table3[[Eq.No.]:[FY23/34 Acq. Status]],12,FALSE)</calculatedColumnFormula>
    </tableColumn>
    <tableColumn id="13" xr3:uid="{91B5AAE5-7931-47B2-B3D1-4C0B288F7387}" name="Replacement Model" dataDxfId="18" dataCellStyle="Comma">
      <calculatedColumnFormula>VLOOKUP(Table1345[[#This Row],[Eq No]],[1]!Table3[[Eq.No.]:[FY23/34 Acq. Status]],17,FALSE)</calculatedColumnFormula>
    </tableColumn>
    <tableColumn id="6" xr3:uid="{3A14123B-BBD8-425C-8CE9-A8990AF7BF0D}" name="25/26" dataDxfId="17" dataCellStyle="Comma"/>
    <tableColumn id="7" xr3:uid="{E5D0B2F5-3A6A-4ABA-891D-7D346C937EEA}" name="26/27" dataDxfId="16" dataCellStyle="Comma"/>
    <tableColumn id="8" xr3:uid="{0B8EBFAE-3041-4669-8023-F9C0D1F3E165}" name="27/28" dataDxfId="15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3469FD-49AC-44C1-BE80-F53FE64DF466}" name="Table13456" displayName="Table13456" ref="B2:M138" totalsRowShown="0" headerRowDxfId="14" dataDxfId="13" tableBorderDxfId="12" headerRowCellStyle="Comma" dataCellStyle="Comma">
  <autoFilter ref="B2:M138" xr:uid="{839BF13C-516E-4D28-B2A9-2201E043196F}">
    <filterColumn colId="4">
      <filters>
        <filter val="BR"/>
      </filters>
    </filterColumn>
    <filterColumn colId="9">
      <filters>
        <filter val="1,082,831"/>
        <filter val="1,654,343"/>
      </filters>
    </filterColumn>
  </autoFilter>
  <tableColumns count="12">
    <tableColumn id="1" xr3:uid="{322A9194-9BAB-47EC-9D1F-CA2360014E16}" name="VOTE NO" dataDxfId="11"/>
    <tableColumn id="2" xr3:uid="{31AB05BE-6217-492E-A17D-8EB3BA32117C}" name="PROJECT TITLE" dataDxfId="10"/>
    <tableColumn id="3" xr3:uid="{4DD57B39-D25B-45C1-B869-6DCFEA69E44F}" name="Fleet Type" dataDxfId="9"/>
    <tableColumn id="10" xr3:uid="{CD5E86CD-21CD-4130-A104-E7F1FF9CF4A8}" name="Eq No" dataDxfId="8">
      <calculatedColumnFormula>RIGHT(Table13456[[#This Row],[PROJECT TITLE]],6)</calculatedColumnFormula>
    </tableColumn>
    <tableColumn id="4" xr3:uid="{354B707F-4073-4DBC-AA45-75FD6E71C536}" name="SHAFT" dataDxfId="7"/>
    <tableColumn id="9" xr3:uid="{9EA92AA8-72D7-43C7-90CC-09A36559518D}" name="Location" dataDxfId="6" dataCellStyle="Comma">
      <calculatedColumnFormula>VLOOKUP(Table13456[[#This Row],[Eq No]],[1]!Table3[[Eq.No.]:[FY23/34 Acq. Status]],2,FALSE)</calculatedColumnFormula>
    </tableColumn>
    <tableColumn id="11" xr3:uid="{255F3588-50F3-4B9D-A563-7E3DB63BD430}" name="Aq Date" dataDxfId="5">
      <calculatedColumnFormula>VLOOKUP(Table13456[[#This Row],[Eq No]],[1]!Table3[[Eq.No.]:[FY23/34 Acq. Status]],3,FALSE)</calculatedColumnFormula>
    </tableColumn>
    <tableColumn id="12" xr3:uid="{B551914B-003B-482D-BA11-67745E9E8DAA}" name="Model" dataDxfId="4" dataCellStyle="Comma">
      <calculatedColumnFormula>VLOOKUP(Table13456[[#This Row],[Eq No]],[1]!Table3[[Eq.No.]:[FY23/34 Acq. Status]],12,FALSE)</calculatedColumnFormula>
    </tableColumn>
    <tableColumn id="13" xr3:uid="{7B0F3DE6-5D8D-447D-B8AA-3AE048C38768}" name="Replacement Model" dataDxfId="3" dataCellStyle="Comma">
      <calculatedColumnFormula>VLOOKUP(Table13456[[#This Row],[Eq No]],[1]!Table3[[Eq.No.]:[FY23/34 Acq. Status]],17,FALSE)</calculatedColumnFormula>
    </tableColumn>
    <tableColumn id="6" xr3:uid="{19C4A5D2-506A-4442-B120-A0D6E1B63AF6}" name="25/26" dataDxfId="2" dataCellStyle="Comma"/>
    <tableColumn id="7" xr3:uid="{57F17D9A-F530-472D-B2D6-8F3D04D34495}" name="26/27" dataDxfId="1" dataCellStyle="Comma"/>
    <tableColumn id="8" xr3:uid="{5E9BF952-5ECD-40E0-8DB0-8D237F00C601}" name="27/28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93C4-9090-4C20-A774-32C04B41E88B}">
  <dimension ref="B2:M138"/>
  <sheetViews>
    <sheetView workbookViewId="0">
      <selection activeCell="G143" sqref="G143"/>
    </sheetView>
  </sheetViews>
  <sheetFormatPr defaultRowHeight="15" x14ac:dyDescent="0.25"/>
  <cols>
    <col min="1" max="1" width="4.28515625" customWidth="1"/>
    <col min="2" max="2" width="13.42578125" customWidth="1"/>
    <col min="3" max="3" width="24.140625" bestFit="1" customWidth="1"/>
    <col min="4" max="4" width="17.140625" bestFit="1" customWidth="1"/>
    <col min="5" max="5" width="17.140625" customWidth="1"/>
    <col min="6" max="6" width="12.28515625" style="11" customWidth="1"/>
    <col min="7" max="7" width="40.42578125" style="11" bestFit="1" customWidth="1"/>
    <col min="8" max="8" width="12.42578125" style="11" customWidth="1"/>
    <col min="9" max="9" width="18.7109375" style="11" customWidth="1"/>
    <col min="10" max="10" width="33" style="11" customWidth="1"/>
    <col min="11" max="13" width="11.5703125" bestFit="1" customWidth="1"/>
  </cols>
  <sheetData>
    <row r="2" spans="2:13" ht="15.75" x14ac:dyDescent="0.25">
      <c r="B2" s="5" t="s">
        <v>0</v>
      </c>
      <c r="C2" s="6" t="s">
        <v>1</v>
      </c>
      <c r="D2" s="6" t="s">
        <v>2</v>
      </c>
      <c r="E2" s="6" t="s">
        <v>164</v>
      </c>
      <c r="F2" s="9" t="s">
        <v>3</v>
      </c>
      <c r="G2" s="9" t="s">
        <v>165</v>
      </c>
      <c r="H2" s="9" t="s">
        <v>166</v>
      </c>
      <c r="I2" s="9" t="s">
        <v>167</v>
      </c>
      <c r="J2" s="9" t="s">
        <v>168</v>
      </c>
      <c r="K2" s="7" t="s">
        <v>4</v>
      </c>
      <c r="L2" s="7" t="s">
        <v>5</v>
      </c>
      <c r="M2" s="7" t="s">
        <v>6</v>
      </c>
    </row>
    <row r="3" spans="2:13" hidden="1" x14ac:dyDescent="0.25">
      <c r="B3" s="1">
        <v>804020260001</v>
      </c>
      <c r="C3" s="1" t="s">
        <v>9</v>
      </c>
      <c r="D3" s="1" t="s">
        <v>10</v>
      </c>
      <c r="E3" s="1" t="str">
        <f>RIGHT(Table1[[#This Row],[PROJECT TITLE]],6)</f>
        <v>BS0025</v>
      </c>
      <c r="F3" s="10" t="s">
        <v>8</v>
      </c>
      <c r="G3" s="13" t="str">
        <f>VLOOKUP(Table1[[#This Row],[Eq No]],[1]!Table3[[Eq.No.]:[FY23/34 Acq. Status]],2,FALSE)</f>
        <v>Pool Transport</v>
      </c>
      <c r="H3" s="12">
        <f>VLOOKUP(Table1[[#This Row],[Eq No]],[1]!Table3[[Eq.No.]:[FY23/34 Acq. Status]],3,FALSE)</f>
        <v>2012</v>
      </c>
      <c r="I3" s="13" t="str">
        <f>VLOOKUP(Table1[[#This Row],[Eq No]],[1]!Table3[[Eq.No.]:[FY23/34 Acq. Status]],12,FALSE)</f>
        <v>Sprinter 515 CDI, 23 Seat</v>
      </c>
      <c r="J3" s="13" t="str">
        <f>VLOOKUP(Table1[[#This Row],[Eq No]],[1]!Table3[[Eq.No.]:[FY23/34 Acq. Status]],17,FALSE)</f>
        <v>NCV 515 CDI PVZA</v>
      </c>
      <c r="K3" s="2">
        <v>1082830.5669007734</v>
      </c>
      <c r="L3" s="2">
        <v>0</v>
      </c>
      <c r="M3" s="2">
        <v>0</v>
      </c>
    </row>
    <row r="4" spans="2:13" hidden="1" x14ac:dyDescent="0.25">
      <c r="B4" s="1">
        <v>804020260002</v>
      </c>
      <c r="C4" s="1" t="s">
        <v>11</v>
      </c>
      <c r="D4" s="1" t="s">
        <v>12</v>
      </c>
      <c r="E4" s="1" t="str">
        <f>RIGHT(Table1[[#This Row],[PROJECT TITLE]],6)</f>
        <v>CB0024</v>
      </c>
      <c r="F4" s="10" t="s">
        <v>8</v>
      </c>
      <c r="G4" s="13" t="str">
        <f>VLOOKUP(Table1[[#This Row],[Eq No]],[1]!Table3[[Eq.No.]:[FY23/34 Acq. Status]],2,FALSE)</f>
        <v>Pool Transport</v>
      </c>
      <c r="H4" s="12">
        <f>VLOOKUP(Table1[[#This Row],[Eq No]],[1]!Table3[[Eq.No.]:[FY23/34 Acq. Status]],3,FALSE)</f>
        <v>2012</v>
      </c>
      <c r="I4" s="13" t="str">
        <f>VLOOKUP(Table1[[#This Row],[Eq No]],[1]!Table3[[Eq.No.]:[FY23/34 Acq. Status]],12,FALSE)</f>
        <v>Combi T5 Caravelle</v>
      </c>
      <c r="J4" s="13" t="str">
        <f>VLOOKUP(Table1[[#This Row],[Eq No]],[1]!Table3[[Eq.No.]:[FY23/34 Acq. Status]],17,FALSE)</f>
        <v>Combi T5 Caravelle</v>
      </c>
      <c r="K4" s="2">
        <v>1654343.2041145277</v>
      </c>
      <c r="L4" s="2">
        <v>0</v>
      </c>
      <c r="M4" s="2">
        <v>0</v>
      </c>
    </row>
    <row r="5" spans="2:13" hidden="1" x14ac:dyDescent="0.25">
      <c r="B5" s="8">
        <v>805120250013</v>
      </c>
      <c r="C5" s="8" t="s">
        <v>14</v>
      </c>
      <c r="D5" s="1" t="s">
        <v>15</v>
      </c>
      <c r="E5" s="1" t="str">
        <f>RIGHT(Table1[[#This Row],[PROJECT TITLE]],6)</f>
        <v>CR0094</v>
      </c>
      <c r="F5" s="10" t="s">
        <v>16</v>
      </c>
      <c r="G5" s="13">
        <f>VLOOKUP(Table1[[#This Row],[Eq No]],[1]!Table3[[Eq.No.]:[FY23/34 Acq. Status]],2,FALSE)</f>
        <v>0</v>
      </c>
      <c r="H5" s="12">
        <f>VLOOKUP(Table1[[#This Row],[Eq No]],[1]!Table3[[Eq.No.]:[FY23/34 Acq. Status]],3,FALSE)</f>
        <v>2014</v>
      </c>
      <c r="I5" s="13" t="str">
        <f>VLOOKUP(Table1[[#This Row],[Eq No]],[1]!Table3[[Eq.No.]:[FY23/34 Acq. Status]],12,FALSE)</f>
        <v>Crane MHT780 T Evolution</v>
      </c>
      <c r="J5" s="13" t="str">
        <f>VLOOKUP(Table1[[#This Row],[Eq No]],[1]!Table3[[Eq.No.]:[FY23/34 Acq. Status]],17,FALSE)</f>
        <v>Crane MHT780 T Evolution</v>
      </c>
      <c r="K5" s="2">
        <v>0</v>
      </c>
      <c r="L5" s="2">
        <v>0</v>
      </c>
      <c r="M5" s="2">
        <v>12683026</v>
      </c>
    </row>
    <row r="6" spans="2:13" hidden="1" x14ac:dyDescent="0.25">
      <c r="B6" s="8">
        <v>806120250604</v>
      </c>
      <c r="C6" s="8" t="s">
        <v>17</v>
      </c>
      <c r="D6" s="1" t="s">
        <v>18</v>
      </c>
      <c r="E6" s="1" t="str">
        <f>RIGHT(Table1[[#This Row],[PROJECT TITLE]],6)</f>
        <v>WK1005</v>
      </c>
      <c r="F6" s="10" t="s">
        <v>19</v>
      </c>
      <c r="G6" s="13" t="str">
        <f>VLOOKUP(Table1[[#This Row],[Eq No]],[1]!Table3[[Eq.No.]:[FY23/34 Acq. Status]],2,FALSE)</f>
        <v>SOT NCH2</v>
      </c>
      <c r="H6" s="12">
        <f>VLOOKUP(Table1[[#This Row],[Eq No]],[1]!Table3[[Eq.No.]:[FY23/34 Acq. Status]],3,FALSE)</f>
        <v>2018</v>
      </c>
      <c r="I6" s="13" t="str">
        <f>VLOOKUP(Table1[[#This Row],[Eq No]],[1]!Table3[[Eq.No.]:[FY23/34 Acq. Status]],12,FALSE)</f>
        <v>B30E (27000L)</v>
      </c>
      <c r="J6" s="13" t="str">
        <f>VLOOKUP(Table1[[#This Row],[Eq No]],[1]!Table3[[Eq.No.]:[FY23/34 Acq. Status]],17,FALSE)</f>
        <v>B30E(27000L)</v>
      </c>
      <c r="K6" s="2">
        <v>8991504</v>
      </c>
      <c r="L6" s="2">
        <v>0</v>
      </c>
      <c r="M6" s="2">
        <v>0</v>
      </c>
    </row>
    <row r="7" spans="2:13" hidden="1" x14ac:dyDescent="0.25">
      <c r="B7" s="8">
        <v>805120260101</v>
      </c>
      <c r="C7" s="8" t="s">
        <v>20</v>
      </c>
      <c r="D7" s="1" t="s">
        <v>21</v>
      </c>
      <c r="E7" s="1" t="str">
        <f>RIGHT(Table1[[#This Row],[PROJECT TITLE]],6)</f>
        <v>LD0303</v>
      </c>
      <c r="F7" s="10" t="s">
        <v>16</v>
      </c>
      <c r="G7" s="13" t="str">
        <f>VLOOKUP(Table1[[#This Row],[Eq No]],[1]!Table3[[Eq.No.]:[FY23/34 Acq. Status]],2,FALSE)</f>
        <v>Shafts &amp; Winders - CHL 667 NC</v>
      </c>
      <c r="H7" s="12">
        <f>VLOOKUP(Table1[[#This Row],[Eq No]],[1]!Table3[[Eq.No.]:[FY23/34 Acq. Status]],3,FALSE)</f>
        <v>2013</v>
      </c>
      <c r="I7" s="13" t="str">
        <f>VLOOKUP(Table1[[#This Row],[Eq No]],[1]!Table3[[Eq.No.]:[FY23/34 Acq. Status]],12,FALSE)</f>
        <v>4x2, 2.5D</v>
      </c>
      <c r="J7" s="13" t="str">
        <f>VLOOKUP(Table1[[#This Row],[Eq No]],[1]!Table3[[Eq.No.]:[FY23/34 Acq. Status]],17,FALSE)</f>
        <v>4x2, 2.5D, D Nel</v>
      </c>
      <c r="K7" s="2">
        <v>1124439.7320000001</v>
      </c>
      <c r="L7" s="2">
        <v>0</v>
      </c>
      <c r="M7" s="2">
        <v>0</v>
      </c>
    </row>
    <row r="8" spans="2:13" hidden="1" x14ac:dyDescent="0.25">
      <c r="B8" s="8">
        <v>805120260007</v>
      </c>
      <c r="C8" s="8" t="s">
        <v>22</v>
      </c>
      <c r="D8" s="1" t="s">
        <v>21</v>
      </c>
      <c r="E8" s="1" t="str">
        <f>RIGHT(Table1[[#This Row],[PROJECT TITLE]],6)</f>
        <v>LD0341</v>
      </c>
      <c r="F8" s="10" t="s">
        <v>16</v>
      </c>
      <c r="G8" s="13" t="str">
        <f>VLOOKUP(Table1[[#This Row],[Eq No]],[1]!Table3[[Eq.No.]:[FY23/34 Acq. Status]],2,FALSE)</f>
        <v>Stretcher L/C (Capt)</v>
      </c>
      <c r="H8" s="12">
        <f>VLOOKUP(Table1[[#This Row],[Eq No]],[1]!Table3[[Eq.No.]:[FY23/34 Acq. Status]],3,FALSE)</f>
        <v>2014</v>
      </c>
      <c r="I8" s="13" t="str">
        <f>VLOOKUP(Table1[[#This Row],[Eq No]],[1]!Table3[[Eq.No.]:[FY23/34 Acq. Status]],12,FALSE)</f>
        <v>L/C, 4x4, 4.2D Expl</v>
      </c>
      <c r="J8" s="13" t="str">
        <f>VLOOKUP(Table1[[#This Row],[Eq No]],[1]!Table3[[Eq.No.]:[FY23/34 Acq. Status]],17,FALSE)</f>
        <v>L/Cruiser 4x4 (Converted to UG Spec)</v>
      </c>
      <c r="K8" s="2">
        <v>2911697.6168799996</v>
      </c>
      <c r="L8" s="2">
        <v>0</v>
      </c>
      <c r="M8" s="2">
        <v>0</v>
      </c>
    </row>
    <row r="9" spans="2:13" hidden="1" x14ac:dyDescent="0.25">
      <c r="B9" s="8">
        <v>805120260008</v>
      </c>
      <c r="C9" s="8" t="s">
        <v>23</v>
      </c>
      <c r="D9" s="1" t="s">
        <v>21</v>
      </c>
      <c r="E9" s="1" t="str">
        <f>RIGHT(Table1[[#This Row],[PROJECT TITLE]],6)</f>
        <v>LD0411</v>
      </c>
      <c r="F9" s="10" t="s">
        <v>16</v>
      </c>
      <c r="G9" s="13">
        <f>VLOOKUP(Table1[[#This Row],[Eq No]],[1]!Table3[[Eq.No.]:[FY23/34 Acq. Status]],2,FALSE)</f>
        <v>0</v>
      </c>
      <c r="H9" s="12">
        <f>VLOOKUP(Table1[[#This Row],[Eq No]],[1]!Table3[[Eq.No.]:[FY23/34 Acq. Status]],3,FALSE)</f>
        <v>2017</v>
      </c>
      <c r="I9" s="13" t="str">
        <f>VLOOKUP(Table1[[#This Row],[Eq No]],[1]!Table3[[Eq.No.]:[FY23/34 Acq. Status]],12,FALSE)</f>
        <v>D/Cab Maverick</v>
      </c>
      <c r="J9" s="13" t="str">
        <f>VLOOKUP(Table1[[#This Row],[Eq No]],[1]!Table3[[Eq.No.]:[FY23/34 Acq. Status]],17,FALSE)</f>
        <v>L/Cruiser 4x4 (Converted to UG Spec)</v>
      </c>
      <c r="K9" s="2">
        <v>2911697.6168799996</v>
      </c>
      <c r="L9" s="2">
        <v>0</v>
      </c>
      <c r="M9" s="2">
        <v>0</v>
      </c>
    </row>
    <row r="10" spans="2:13" hidden="1" x14ac:dyDescent="0.25">
      <c r="B10" s="8">
        <v>805120260009</v>
      </c>
      <c r="C10" s="8" t="s">
        <v>24</v>
      </c>
      <c r="D10" s="1" t="s">
        <v>21</v>
      </c>
      <c r="E10" s="1" t="str">
        <f>RIGHT(Table1[[#This Row],[PROJECT TITLE]],6)</f>
        <v>LD0414</v>
      </c>
      <c r="F10" s="10" t="s">
        <v>16</v>
      </c>
      <c r="G10" s="13">
        <f>VLOOKUP(Table1[[#This Row],[Eq No]],[1]!Table3[[Eq.No.]:[FY23/34 Acq. Status]],2,FALSE)</f>
        <v>0</v>
      </c>
      <c r="H10" s="12">
        <f>VLOOKUP(Table1[[#This Row],[Eq No]],[1]!Table3[[Eq.No.]:[FY23/34 Acq. Status]],3,FALSE)</f>
        <v>2017</v>
      </c>
      <c r="I10" s="13" t="str">
        <f>VLOOKUP(Table1[[#This Row],[Eq No]],[1]!Table3[[Eq.No.]:[FY23/34 Acq. Status]],12,FALSE)</f>
        <v>D/Cab Maverick</v>
      </c>
      <c r="J10" s="13" t="str">
        <f>VLOOKUP(Table1[[#This Row],[Eq No]],[1]!Table3[[Eq.No.]:[FY23/34 Acq. Status]],17,FALSE)</f>
        <v>L/Cruiser 4x4 (Converted to UG Spec)</v>
      </c>
      <c r="K10" s="2">
        <v>2911697.6168799996</v>
      </c>
      <c r="L10" s="2">
        <v>0</v>
      </c>
      <c r="M10" s="2">
        <v>0</v>
      </c>
    </row>
    <row r="11" spans="2:13" hidden="1" x14ac:dyDescent="0.25">
      <c r="B11" s="8">
        <v>805120260010</v>
      </c>
      <c r="C11" s="8" t="s">
        <v>25</v>
      </c>
      <c r="D11" s="1" t="s">
        <v>21</v>
      </c>
      <c r="E11" s="1" t="str">
        <f>RIGHT(Table1[[#This Row],[PROJECT TITLE]],6)</f>
        <v>LD0415</v>
      </c>
      <c r="F11" s="10" t="s">
        <v>16</v>
      </c>
      <c r="G11" s="13" t="str">
        <f>VLOOKUP(Table1[[#This Row],[Eq No]],[1]!Table3[[Eq.No.]:[FY23/34 Acq. Status]],2,FALSE)</f>
        <v>Itireleng UG</v>
      </c>
      <c r="H11" s="12">
        <f>VLOOKUP(Table1[[#This Row],[Eq No]],[1]!Table3[[Eq.No.]:[FY23/34 Acq. Status]],3,FALSE)</f>
        <v>2017</v>
      </c>
      <c r="I11" s="13" t="str">
        <f>VLOOKUP(Table1[[#This Row],[Eq No]],[1]!Table3[[Eq.No.]:[FY23/34 Acq. Status]],12,FALSE)</f>
        <v>D/Cab Maverick</v>
      </c>
      <c r="J11" s="13" t="str">
        <f>VLOOKUP(Table1[[#This Row],[Eq No]],[1]!Table3[[Eq.No.]:[FY23/34 Acq. Status]],17,FALSE)</f>
        <v>L/Cruiser 4x4 (Converted to UG Spec)</v>
      </c>
      <c r="K11" s="2">
        <v>2911697.6168799996</v>
      </c>
      <c r="L11" s="2">
        <v>0</v>
      </c>
      <c r="M11" s="2">
        <v>0</v>
      </c>
    </row>
    <row r="12" spans="2:13" hidden="1" x14ac:dyDescent="0.25">
      <c r="B12" s="8">
        <v>805120260011</v>
      </c>
      <c r="C12" s="8" t="s">
        <v>26</v>
      </c>
      <c r="D12" s="1" t="s">
        <v>21</v>
      </c>
      <c r="E12" s="1" t="str">
        <f>RIGHT(Table1[[#This Row],[PROJECT TITLE]],6)</f>
        <v>LD0199</v>
      </c>
      <c r="F12" s="10" t="s">
        <v>16</v>
      </c>
      <c r="G12" s="13" t="str">
        <f>VLOOKUP(Table1[[#This Row],[Eq No]],[1]!Table3[[Eq.No.]:[FY23/34 Acq. Status]],2,FALSE)</f>
        <v>N2 SHERQ</v>
      </c>
      <c r="H12" s="12">
        <f>VLOOKUP(Table1[[#This Row],[Eq No]],[1]!Table3[[Eq.No.]:[FY23/34 Acq. Status]],3,FALSE)</f>
        <v>2007</v>
      </c>
      <c r="I12" s="13" t="str">
        <f>VLOOKUP(Table1[[#This Row],[Eq No]],[1]!Table3[[Eq.No.]:[FY23/34 Acq. Status]],12,FALSE)</f>
        <v>4 x 4 (2.5D)</v>
      </c>
      <c r="J12" s="13" t="str">
        <f>VLOOKUP(Table1[[#This Row],[Eq No]],[1]!Table3[[Eq.No.]:[FY23/34 Acq. Status]],17,FALSE)</f>
        <v>L/Cruiser 4x4 (Converted to UG Spec)</v>
      </c>
      <c r="K12" s="2">
        <v>2911697.6168799996</v>
      </c>
      <c r="L12" s="2">
        <v>0</v>
      </c>
      <c r="M12" s="2">
        <v>0</v>
      </c>
    </row>
    <row r="13" spans="2:13" hidden="1" x14ac:dyDescent="0.25">
      <c r="B13" s="8">
        <v>805220250006</v>
      </c>
      <c r="C13" s="8" t="s">
        <v>27</v>
      </c>
      <c r="D13" s="1" t="s">
        <v>28</v>
      </c>
      <c r="E13" s="1" t="str">
        <f>RIGHT(Table1[[#This Row],[PROJECT TITLE]],6)</f>
        <v>RT0039</v>
      </c>
      <c r="F13" s="10" t="s">
        <v>29</v>
      </c>
      <c r="G13" s="13" t="str">
        <f>VLOOKUP(Table1[[#This Row],[Eq No]],[1]!Table3[[Eq.No.]:[FY23/34 Acq. Status]],2,FALSE)</f>
        <v>SEAM 2 Section</v>
      </c>
      <c r="H13" s="12">
        <f>VLOOKUP(Table1[[#This Row],[Eq No]],[1]!Table3[[Eq.No.]:[FY23/34 Acq. Status]],3,FALSE)</f>
        <v>2014</v>
      </c>
      <c r="I13" s="13" t="str">
        <f>VLOOKUP(Table1[[#This Row],[Eq No]],[1]!Table3[[Eq.No.]:[FY23/34 Acq. Status]],12,FALSE)</f>
        <v>Boltec 235H</v>
      </c>
      <c r="J13" s="13" t="str">
        <f>VLOOKUP(Table1[[#This Row],[Eq No]],[1]!Table3[[Eq.No.]:[FY23/34 Acq. Status]],17,FALSE)</f>
        <v>Boltec 235H</v>
      </c>
      <c r="K13" s="2">
        <v>19263083</v>
      </c>
      <c r="L13" s="2">
        <v>0</v>
      </c>
      <c r="M13" s="2">
        <v>0</v>
      </c>
    </row>
    <row r="14" spans="2:13" hidden="1" x14ac:dyDescent="0.25">
      <c r="B14" s="8">
        <v>805220250007</v>
      </c>
      <c r="C14" s="8" t="s">
        <v>30</v>
      </c>
      <c r="D14" s="1" t="s">
        <v>31</v>
      </c>
      <c r="E14" s="1" t="str">
        <f>RIGHT(Table1[[#This Row],[PROJECT TITLE]],6)</f>
        <v>SR0024</v>
      </c>
      <c r="F14" s="10" t="s">
        <v>29</v>
      </c>
      <c r="G14" s="13" t="str">
        <f>VLOOKUP(Table1[[#This Row],[Eq No]],[1]!Table3[[Eq.No.]:[FY23/34 Acq. Status]],2,FALSE)</f>
        <v>N3</v>
      </c>
      <c r="H14" s="12">
        <f>VLOOKUP(Table1[[#This Row],[Eq No]],[1]!Table3[[Eq.No.]:[FY23/34 Acq. Status]],3,FALSE)</f>
        <v>2014</v>
      </c>
      <c r="I14" s="13" t="str">
        <f>VLOOKUP(Table1[[#This Row],[Eq No]],[1]!Table3[[Eq.No.]:[FY23/34 Acq. Status]],12,FALSE)</f>
        <v>Super 220E</v>
      </c>
      <c r="J14" s="13" t="str">
        <f>VLOOKUP(Table1[[#This Row],[Eq No]],[1]!Table3[[Eq.No.]:[FY23/34 Acq. Status]],17,FALSE)</f>
        <v>Scaler 220 E, 4-Wheeler</v>
      </c>
      <c r="K14" s="2">
        <v>6145603</v>
      </c>
      <c r="L14" s="2">
        <v>0</v>
      </c>
      <c r="M14" s="2">
        <v>0</v>
      </c>
    </row>
    <row r="15" spans="2:13" hidden="1" x14ac:dyDescent="0.25">
      <c r="B15" s="8">
        <v>805220250008</v>
      </c>
      <c r="C15" s="8" t="s">
        <v>32</v>
      </c>
      <c r="D15" s="1" t="s">
        <v>31</v>
      </c>
      <c r="E15" s="1" t="str">
        <f>RIGHT(Table1[[#This Row],[PROJECT TITLE]],6)</f>
        <v>SR0028</v>
      </c>
      <c r="F15" s="10" t="s">
        <v>29</v>
      </c>
      <c r="G15" s="13" t="str">
        <f>VLOOKUP(Table1[[#This Row],[Eq No]],[1]!Table3[[Eq.No.]:[FY23/34 Acq. Status]],2,FALSE)</f>
        <v>Central Section</v>
      </c>
      <c r="H15" s="12">
        <f>VLOOKUP(Table1[[#This Row],[Eq No]],[1]!Table3[[Eq.No.]:[FY23/34 Acq. Status]],3,FALSE)</f>
        <v>2014</v>
      </c>
      <c r="I15" s="13" t="str">
        <f>VLOOKUP(Table1[[#This Row],[Eq No]],[1]!Table3[[Eq.No.]:[FY23/34 Acq. Status]],12,FALSE)</f>
        <v>Super 220E</v>
      </c>
      <c r="J15" s="13" t="str">
        <f>VLOOKUP(Table1[[#This Row],[Eq No]],[1]!Table3[[Eq.No.]:[FY23/34 Acq. Status]],17,FALSE)</f>
        <v>Scaler 220 E, 4-Wheeler</v>
      </c>
      <c r="K15" s="2">
        <v>6145603</v>
      </c>
      <c r="L15" s="2">
        <v>0</v>
      </c>
      <c r="M15" s="2">
        <v>0</v>
      </c>
    </row>
    <row r="16" spans="2:13" hidden="1" x14ac:dyDescent="0.25">
      <c r="B16" s="8">
        <v>805220250009</v>
      </c>
      <c r="C16" s="8" t="s">
        <v>33</v>
      </c>
      <c r="D16" s="1" t="s">
        <v>31</v>
      </c>
      <c r="E16" s="1" t="str">
        <f>RIGHT(Table1[[#This Row],[PROJECT TITLE]],6)</f>
        <v>SR0030</v>
      </c>
      <c r="F16" s="10" t="s">
        <v>29</v>
      </c>
      <c r="G16" s="13" t="str">
        <f>VLOOKUP(Table1[[#This Row],[Eq No]],[1]!Table3[[Eq.No.]:[FY23/34 Acq. Status]],2,FALSE)</f>
        <v>North Section</v>
      </c>
      <c r="H16" s="12">
        <f>VLOOKUP(Table1[[#This Row],[Eq No]],[1]!Table3[[Eq.No.]:[FY23/34 Acq. Status]],3,FALSE)</f>
        <v>2014</v>
      </c>
      <c r="I16" s="13" t="str">
        <f>VLOOKUP(Table1[[#This Row],[Eq No]],[1]!Table3[[Eq.No.]:[FY23/34 Acq. Status]],12,FALSE)</f>
        <v>Super 220E</v>
      </c>
      <c r="J16" s="13" t="str">
        <f>VLOOKUP(Table1[[#This Row],[Eq No]],[1]!Table3[[Eq.No.]:[FY23/34 Acq. Status]],17,FALSE)</f>
        <v>Scaler 220 E, 4-Wheeler</v>
      </c>
      <c r="K16" s="2">
        <v>6145603</v>
      </c>
      <c r="L16" s="2">
        <v>0</v>
      </c>
      <c r="M16" s="2">
        <v>0</v>
      </c>
    </row>
    <row r="17" spans="2:13" x14ac:dyDescent="0.25">
      <c r="B17" s="8">
        <v>805220250012</v>
      </c>
      <c r="C17" s="8" t="s">
        <v>34</v>
      </c>
      <c r="D17" s="1" t="s">
        <v>21</v>
      </c>
      <c r="E17" s="1" t="str">
        <f>RIGHT(Table1[[#This Row],[PROJECT TITLE]],6)</f>
        <v>LD0457</v>
      </c>
      <c r="F17" s="10" t="s">
        <v>29</v>
      </c>
      <c r="G17" s="13">
        <f>VLOOKUP(Table1[[#This Row],[Eq No]],[1]!Table3[[Eq.No.]:[FY23/34 Acq. Status]],2,FALSE)</f>
        <v>0</v>
      </c>
      <c r="H17" s="12">
        <f>VLOOKUP(Table1[[#This Row],[Eq No]],[1]!Table3[[Eq.No.]:[FY23/34 Acq. Status]],3,FALSE)</f>
        <v>2017</v>
      </c>
      <c r="I17" s="13" t="str">
        <f>VLOOKUP(Table1[[#This Row],[Eq No]],[1]!Table3[[Eq.No.]:[FY23/34 Acq. Status]],12,FALSE)</f>
        <v>D/Cab Maverick</v>
      </c>
      <c r="J17" s="13" t="str">
        <f>VLOOKUP(Table1[[#This Row],[Eq No]],[1]!Table3[[Eq.No.]:[FY23/34 Acq. Status]],17,FALSE)</f>
        <v>L/Cruiser 4x4 (Converted to UG Spec)</v>
      </c>
      <c r="K17" s="2">
        <v>2761718</v>
      </c>
      <c r="L17" s="2">
        <v>0</v>
      </c>
      <c r="M17" s="2">
        <v>0</v>
      </c>
    </row>
    <row r="18" spans="2:13" x14ac:dyDescent="0.25">
      <c r="B18" s="8">
        <v>805220250013</v>
      </c>
      <c r="C18" s="8" t="s">
        <v>35</v>
      </c>
      <c r="D18" s="1" t="s">
        <v>21</v>
      </c>
      <c r="E18" s="1" t="str">
        <f>RIGHT(Table1[[#This Row],[PROJECT TITLE]],6)</f>
        <v>LD0480</v>
      </c>
      <c r="F18" s="10" t="s">
        <v>29</v>
      </c>
      <c r="G18" s="13">
        <f>VLOOKUP(Table1[[#This Row],[Eq No]],[1]!Table3[[Eq.No.]:[FY23/34 Acq. Status]],2,FALSE)</f>
        <v>0</v>
      </c>
      <c r="H18" s="12">
        <f>VLOOKUP(Table1[[#This Row],[Eq No]],[1]!Table3[[Eq.No.]:[FY23/34 Acq. Status]],3,FALSE)</f>
        <v>2019</v>
      </c>
      <c r="I18" s="13" t="str">
        <f>VLOOKUP(Table1[[#This Row],[Eq No]],[1]!Table3[[Eq.No.]:[FY23/34 Acq. Status]],12,FALSE)</f>
        <v>D/Cab Maverick</v>
      </c>
      <c r="J18" s="13" t="str">
        <f>VLOOKUP(Table1[[#This Row],[Eq No]],[1]!Table3[[Eq.No.]:[FY23/34 Acq. Status]],17,FALSE)</f>
        <v>L/Cruiser 4x4 (Converted to UG Spec)</v>
      </c>
      <c r="K18" s="2">
        <v>2761718</v>
      </c>
      <c r="L18" s="2">
        <v>0</v>
      </c>
      <c r="M18" s="2">
        <v>0</v>
      </c>
    </row>
    <row r="19" spans="2:13" x14ac:dyDescent="0.25">
      <c r="B19" s="8">
        <v>805220250014</v>
      </c>
      <c r="C19" s="8" t="s">
        <v>36</v>
      </c>
      <c r="D19" s="1" t="s">
        <v>21</v>
      </c>
      <c r="E19" s="1" t="str">
        <f>RIGHT(Table1[[#This Row],[PROJECT TITLE]],6)</f>
        <v>LD0481</v>
      </c>
      <c r="F19" s="10" t="s">
        <v>29</v>
      </c>
      <c r="G19" s="13">
        <f>VLOOKUP(Table1[[#This Row],[Eq No]],[1]!Table3[[Eq.No.]:[FY23/34 Acq. Status]],2,FALSE)</f>
        <v>0</v>
      </c>
      <c r="H19" s="12">
        <f>VLOOKUP(Table1[[#This Row],[Eq No]],[1]!Table3[[Eq.No.]:[FY23/34 Acq. Status]],3,FALSE)</f>
        <v>2019</v>
      </c>
      <c r="I19" s="13" t="str">
        <f>VLOOKUP(Table1[[#This Row],[Eq No]],[1]!Table3[[Eq.No.]:[FY23/34 Acq. Status]],12,FALSE)</f>
        <v>D/Cab Maverick</v>
      </c>
      <c r="J19" s="13" t="str">
        <f>VLOOKUP(Table1[[#This Row],[Eq No]],[1]!Table3[[Eq.No.]:[FY23/34 Acq. Status]],17,FALSE)</f>
        <v>L/Cruiser 4x4 (Converted to UG Spec)</v>
      </c>
      <c r="K19" s="2">
        <v>2761718</v>
      </c>
      <c r="L19" s="2">
        <v>0</v>
      </c>
      <c r="M19" s="2">
        <v>0</v>
      </c>
    </row>
    <row r="20" spans="2:13" x14ac:dyDescent="0.25">
      <c r="B20" s="8">
        <v>805220250015</v>
      </c>
      <c r="C20" s="8" t="s">
        <v>37</v>
      </c>
      <c r="D20" s="1" t="s">
        <v>21</v>
      </c>
      <c r="E20" s="1" t="str">
        <f>RIGHT(Table1[[#This Row],[PROJECT TITLE]],6)</f>
        <v>LD0482</v>
      </c>
      <c r="F20" s="10" t="s">
        <v>29</v>
      </c>
      <c r="G20" s="13">
        <f>VLOOKUP(Table1[[#This Row],[Eq No]],[1]!Table3[[Eq.No.]:[FY23/34 Acq. Status]],2,FALSE)</f>
        <v>0</v>
      </c>
      <c r="H20" s="12">
        <f>VLOOKUP(Table1[[#This Row],[Eq No]],[1]!Table3[[Eq.No.]:[FY23/34 Acq. Status]],3,FALSE)</f>
        <v>2019</v>
      </c>
      <c r="I20" s="13" t="str">
        <f>VLOOKUP(Table1[[#This Row],[Eq No]],[1]!Table3[[Eq.No.]:[FY23/34 Acq. Status]],12,FALSE)</f>
        <v>D/Cab Maverick</v>
      </c>
      <c r="J20" s="13" t="str">
        <f>VLOOKUP(Table1[[#This Row],[Eq No]],[1]!Table3[[Eq.No.]:[FY23/34 Acq. Status]],17,FALSE)</f>
        <v>L/Cruiser 4x4 (Converted to UG Spec)</v>
      </c>
      <c r="K20" s="2">
        <v>2761718</v>
      </c>
      <c r="L20" s="2">
        <v>0</v>
      </c>
      <c r="M20" s="2">
        <v>0</v>
      </c>
    </row>
    <row r="21" spans="2:13" hidden="1" x14ac:dyDescent="0.25">
      <c r="B21" s="8">
        <v>805220260006</v>
      </c>
      <c r="C21" s="8" t="s">
        <v>38</v>
      </c>
      <c r="D21" s="1" t="s">
        <v>39</v>
      </c>
      <c r="E21" s="1" t="str">
        <f>RIGHT(Table1[[#This Row],[PROJECT TITLE]],6)</f>
        <v>DT0143</v>
      </c>
      <c r="F21" s="10" t="s">
        <v>29</v>
      </c>
      <c r="G21" s="13" t="str">
        <f>VLOOKUP(Table1[[#This Row],[Eq No]],[1]!Table3[[Eq.No.]:[FY23/34 Acq. Status]],2,FALSE)</f>
        <v>Load &amp; Haul</v>
      </c>
      <c r="H21" s="12">
        <f>VLOOKUP(Table1[[#This Row],[Eq No]],[1]!Table3[[Eq.No.]:[FY23/34 Acq. Status]],3,FALSE)</f>
        <v>2019</v>
      </c>
      <c r="I21" s="13" t="str">
        <f>VLOOKUP(Table1[[#This Row],[Eq No]],[1]!Table3[[Eq.No.]:[FY23/34 Acq. Status]],12,FALSE)</f>
        <v>Elphinstone AD45</v>
      </c>
      <c r="J21" s="13" t="str">
        <f>VLOOKUP(Table1[[#This Row],[Eq No]],[1]!Table3[[Eq.No.]:[FY23/34 Acq. Status]],17,FALSE)</f>
        <v>Elphinstone AD30</v>
      </c>
      <c r="K21" s="2">
        <v>20151247.324000001</v>
      </c>
      <c r="L21" s="2">
        <v>0</v>
      </c>
      <c r="M21" s="2">
        <v>0</v>
      </c>
    </row>
    <row r="22" spans="2:13" x14ac:dyDescent="0.25">
      <c r="B22" s="8">
        <v>805220260007</v>
      </c>
      <c r="C22" s="8" t="s">
        <v>40</v>
      </c>
      <c r="D22" s="1" t="s">
        <v>21</v>
      </c>
      <c r="E22" s="1" t="str">
        <f>RIGHT(Table1[[#This Row],[PROJECT TITLE]],6)</f>
        <v>LD0421</v>
      </c>
      <c r="F22" s="10" t="s">
        <v>29</v>
      </c>
      <c r="G22" s="13">
        <f>VLOOKUP(Table1[[#This Row],[Eq No]],[1]!Table3[[Eq.No.]:[FY23/34 Acq. Status]],2,FALSE)</f>
        <v>0</v>
      </c>
      <c r="H22" s="12">
        <f>VLOOKUP(Table1[[#This Row],[Eq No]],[1]!Table3[[Eq.No.]:[FY23/34 Acq. Status]],3,FALSE)</f>
        <v>2016</v>
      </c>
      <c r="I22" s="13" t="str">
        <f>VLOOKUP(Table1[[#This Row],[Eq No]],[1]!Table3[[Eq.No.]:[FY23/34 Acq. Status]],12,FALSE)</f>
        <v>D/Cab Maverick</v>
      </c>
      <c r="J22" s="13" t="str">
        <f>VLOOKUP(Table1[[#This Row],[Eq No]],[1]!Table3[[Eq.No.]:[FY23/34 Acq. Status]],17,FALSE)</f>
        <v>L/Cruiser 4x4 (Converted to UG Spec)</v>
      </c>
      <c r="K22" s="2">
        <v>2911697.6168799996</v>
      </c>
      <c r="L22" s="2">
        <v>0</v>
      </c>
      <c r="M22" s="2">
        <v>0</v>
      </c>
    </row>
    <row r="23" spans="2:13" x14ac:dyDescent="0.25">
      <c r="B23" s="8">
        <v>805220260008</v>
      </c>
      <c r="C23" s="8" t="s">
        <v>41</v>
      </c>
      <c r="D23" s="1" t="s">
        <v>21</v>
      </c>
      <c r="E23" s="1" t="str">
        <f>RIGHT(Table1[[#This Row],[PROJECT TITLE]],6)</f>
        <v>LD0465</v>
      </c>
      <c r="F23" s="10" t="s">
        <v>29</v>
      </c>
      <c r="G23" s="13" t="str">
        <f>VLOOKUP(Table1[[#This Row],[Eq No]],[1]!Table3[[Eq.No.]:[FY23/34 Acq. Status]],2,FALSE)</f>
        <v>Nch 3 Elect</v>
      </c>
      <c r="H23" s="12">
        <f>VLOOKUP(Table1[[#This Row],[Eq No]],[1]!Table3[[Eq.No.]:[FY23/34 Acq. Status]],3,FALSE)</f>
        <v>2017</v>
      </c>
      <c r="I23" s="13" t="str">
        <f>VLOOKUP(Table1[[#This Row],[Eq No]],[1]!Table3[[Eq.No.]:[FY23/34 Acq. Status]],12,FALSE)</f>
        <v>2.45 D-4D, D/C</v>
      </c>
      <c r="J23" s="13" t="str">
        <f>VLOOKUP(Table1[[#This Row],[Eq No]],[1]!Table3[[Eq.No.]:[FY23/34 Acq. Status]],17,FALSE)</f>
        <v>L/Cruiser 4x4 (Converted to UG Spec)</v>
      </c>
      <c r="K23" s="2">
        <v>2911697.6168799996</v>
      </c>
      <c r="L23" s="2">
        <v>0</v>
      </c>
      <c r="M23" s="2">
        <v>0</v>
      </c>
    </row>
    <row r="24" spans="2:13" hidden="1" x14ac:dyDescent="0.25">
      <c r="B24" s="1">
        <v>807120250009</v>
      </c>
      <c r="C24" s="1" t="s">
        <v>42</v>
      </c>
      <c r="D24" s="1" t="s">
        <v>21</v>
      </c>
      <c r="E24" s="1" t="str">
        <f>RIGHT(Table1[[#This Row],[PROJECT TITLE]],6)</f>
        <v>LD0453</v>
      </c>
      <c r="F24" s="10" t="s">
        <v>43</v>
      </c>
      <c r="G24" s="13" t="str">
        <f>VLOOKUP(Table1[[#This Row],[Eq No]],[1]!Table3[[Eq.No.]:[FY23/34 Acq. Status]],2,FALSE)</f>
        <v>Gloria U/G</v>
      </c>
      <c r="H24" s="12">
        <f>VLOOKUP(Table1[[#This Row],[Eq No]],[1]!Table3[[Eq.No.]:[FY23/34 Acq. Status]],3,FALSE)</f>
        <v>2018</v>
      </c>
      <c r="I24" s="13" t="str">
        <f>VLOOKUP(Table1[[#This Row],[Eq No]],[1]!Table3[[Eq.No.]:[FY23/34 Acq. Status]],12,FALSE)</f>
        <v>Maverick D/C</v>
      </c>
      <c r="J24" s="13" t="str">
        <f>VLOOKUP(Table1[[#This Row],[Eq No]],[1]!Table3[[Eq.No.]:[FY23/34 Acq. Status]],17,FALSE)</f>
        <v>L/Cruiser 4x4 (Converted to UG Spec)</v>
      </c>
      <c r="K24" s="2">
        <v>2761718</v>
      </c>
      <c r="L24" s="2">
        <v>0</v>
      </c>
      <c r="M24" s="2">
        <v>0</v>
      </c>
    </row>
    <row r="25" spans="2:13" hidden="1" x14ac:dyDescent="0.25">
      <c r="B25" s="1">
        <v>807120250010</v>
      </c>
      <c r="C25" s="1" t="s">
        <v>44</v>
      </c>
      <c r="D25" s="1" t="s">
        <v>21</v>
      </c>
      <c r="E25" s="1" t="str">
        <f>RIGHT(Table1[[#This Row],[PROJECT TITLE]],6)</f>
        <v>LD0517</v>
      </c>
      <c r="F25" s="10" t="s">
        <v>43</v>
      </c>
      <c r="G25" s="13" t="str">
        <f>VLOOKUP(Table1[[#This Row],[Eq No]],[1]!Table3[[Eq.No.]:[FY23/34 Acq. Status]],2,FALSE)</f>
        <v>Gloria U/G</v>
      </c>
      <c r="H25" s="12">
        <f>VLOOKUP(Table1[[#This Row],[Eq No]],[1]!Table3[[Eq.No.]:[FY23/34 Acq. Status]],3,FALSE)</f>
        <v>2018</v>
      </c>
      <c r="I25" s="13" t="str">
        <f>VLOOKUP(Table1[[#This Row],[Eq No]],[1]!Table3[[Eq.No.]:[FY23/34 Acq. Status]],12,FALSE)</f>
        <v>Maverick D/C</v>
      </c>
      <c r="J25" s="13" t="str">
        <f>VLOOKUP(Table1[[#This Row],[Eq No]],[1]!Table3[[Eq.No.]:[FY23/34 Acq. Status]],17,FALSE)</f>
        <v>L/Cruiser 4x4 (Converted to UG Spec)</v>
      </c>
      <c r="K25" s="2">
        <v>2761718</v>
      </c>
      <c r="L25" s="2">
        <v>0</v>
      </c>
      <c r="M25" s="2">
        <v>0</v>
      </c>
    </row>
    <row r="26" spans="2:13" hidden="1" x14ac:dyDescent="0.25">
      <c r="B26" s="1">
        <v>807120260006</v>
      </c>
      <c r="C26" s="1" t="s">
        <v>45</v>
      </c>
      <c r="D26" s="1" t="s">
        <v>39</v>
      </c>
      <c r="E26" s="1" t="str">
        <f>RIGHT(Table1[[#This Row],[PROJECT TITLE]],6)</f>
        <v>DT0105</v>
      </c>
      <c r="F26" s="10" t="s">
        <v>43</v>
      </c>
      <c r="G26" s="13" t="str">
        <f>VLOOKUP(Table1[[#This Row],[Eq No]],[1]!Table3[[Eq.No.]:[FY23/34 Acq. Status]],2,FALSE)</f>
        <v>Gloria U/G</v>
      </c>
      <c r="H26" s="12">
        <f>VLOOKUP(Table1[[#This Row],[Eq No]],[1]!Table3[[Eq.No.]:[FY23/34 Acq. Status]],3,FALSE)</f>
        <v>2015</v>
      </c>
      <c r="I26" s="13" t="str">
        <f>VLOOKUP(Table1[[#This Row],[Eq No]],[1]!Table3[[Eq.No.]:[FY23/34 Acq. Status]],12,FALSE)</f>
        <v>MT 436 LP</v>
      </c>
      <c r="J26" s="13" t="str">
        <f>VLOOKUP(Table1[[#This Row],[Eq No]],[1]!Table3[[Eq.No.]:[FY23/34 Acq. Status]],17,FALSE)</f>
        <v>Elphinstone AD30</v>
      </c>
      <c r="K26" s="2">
        <v>20151247.324000001</v>
      </c>
      <c r="L26" s="2">
        <v>0</v>
      </c>
      <c r="M26" s="2">
        <v>0</v>
      </c>
    </row>
    <row r="27" spans="2:13" hidden="1" x14ac:dyDescent="0.25">
      <c r="B27" s="1">
        <v>807120260007</v>
      </c>
      <c r="C27" s="1" t="s">
        <v>46</v>
      </c>
      <c r="D27" s="1" t="s">
        <v>39</v>
      </c>
      <c r="E27" s="1" t="str">
        <f>RIGHT(Table1[[#This Row],[PROJECT TITLE]],6)</f>
        <v>DT0106</v>
      </c>
      <c r="F27" s="10" t="s">
        <v>43</v>
      </c>
      <c r="G27" s="13" t="str">
        <f>VLOOKUP(Table1[[#This Row],[Eq No]],[1]!Table3[[Eq.No.]:[FY23/34 Acq. Status]],2,FALSE)</f>
        <v>Gloria U/G</v>
      </c>
      <c r="H27" s="12">
        <f>VLOOKUP(Table1[[#This Row],[Eq No]],[1]!Table3[[Eq.No.]:[FY23/34 Acq. Status]],3,FALSE)</f>
        <v>2015</v>
      </c>
      <c r="I27" s="13" t="str">
        <f>VLOOKUP(Table1[[#This Row],[Eq No]],[1]!Table3[[Eq.No.]:[FY23/34 Acq. Status]],12,FALSE)</f>
        <v>MT 436 LP</v>
      </c>
      <c r="J27" s="13" t="str">
        <f>VLOOKUP(Table1[[#This Row],[Eq No]],[1]!Table3[[Eq.No.]:[FY23/34 Acq. Status]],17,FALSE)</f>
        <v>Elphinstone AD30</v>
      </c>
      <c r="K27" s="2">
        <v>20151247.324000001</v>
      </c>
      <c r="L27" s="2">
        <v>0</v>
      </c>
      <c r="M27" s="2">
        <v>0</v>
      </c>
    </row>
    <row r="28" spans="2:13" hidden="1" x14ac:dyDescent="0.25">
      <c r="B28" s="1">
        <v>807120260008</v>
      </c>
      <c r="C28" s="1" t="s">
        <v>47</v>
      </c>
      <c r="D28" s="1" t="s">
        <v>21</v>
      </c>
      <c r="E28" s="1" t="str">
        <f>RIGHT(Table1[[#This Row],[PROJECT TITLE]],6)</f>
        <v>LD0330</v>
      </c>
      <c r="F28" s="10" t="s">
        <v>43</v>
      </c>
      <c r="G28" s="13" t="str">
        <f>VLOOKUP(Table1[[#This Row],[Eq No]],[1]!Table3[[Eq.No.]:[FY23/34 Acq. Status]],2,FALSE)</f>
        <v>Hilux Single Cab Hilux SC 2.5</v>
      </c>
      <c r="H28" s="12">
        <f>VLOOKUP(Table1[[#This Row],[Eq No]],[1]!Table3[[Eq.No.]:[FY23/34 Acq. Status]],3,FALSE)</f>
        <v>2014</v>
      </c>
      <c r="I28" s="13" t="str">
        <f>VLOOKUP(Table1[[#This Row],[Eq No]],[1]!Table3[[Eq.No.]:[FY23/34 Acq. Status]],12,FALSE)</f>
        <v>4 x 4 (2.5D)</v>
      </c>
      <c r="J28" s="13" t="str">
        <f>VLOOKUP(Table1[[#This Row],[Eq No]],[1]!Table3[[Eq.No.]:[FY23/34 Acq. Status]],17,FALSE)</f>
        <v>4 x 4 (2.5D)</v>
      </c>
      <c r="K28" s="2">
        <v>1157210.132</v>
      </c>
      <c r="L28" s="2">
        <v>0</v>
      </c>
      <c r="M28" s="2">
        <v>0</v>
      </c>
    </row>
    <row r="29" spans="2:13" hidden="1" x14ac:dyDescent="0.25">
      <c r="B29" s="1">
        <v>807120260009</v>
      </c>
      <c r="C29" s="1" t="s">
        <v>48</v>
      </c>
      <c r="D29" s="1" t="s">
        <v>21</v>
      </c>
      <c r="E29" s="1" t="str">
        <f>RIGHT(Table1[[#This Row],[PROJECT TITLE]],6)</f>
        <v>LD0331</v>
      </c>
      <c r="F29" s="10" t="s">
        <v>43</v>
      </c>
      <c r="G29" s="13" t="str">
        <f>VLOOKUP(Table1[[#This Row],[Eq No]],[1]!Table3[[Eq.No.]:[FY23/34 Acq. Status]],2,FALSE)</f>
        <v>Instumentation Gloria</v>
      </c>
      <c r="H29" s="12">
        <f>VLOOKUP(Table1[[#This Row],[Eq No]],[1]!Table3[[Eq.No.]:[FY23/34 Acq. Status]],3,FALSE)</f>
        <v>2014</v>
      </c>
      <c r="I29" s="13" t="str">
        <f>VLOOKUP(Table1[[#This Row],[Eq No]],[1]!Table3[[Eq.No.]:[FY23/34 Acq. Status]],12,FALSE)</f>
        <v>4 x 4 (2.5D)</v>
      </c>
      <c r="J29" s="13" t="str">
        <f>VLOOKUP(Table1[[#This Row],[Eq No]],[1]!Table3[[Eq.No.]:[FY23/34 Acq. Status]],17,FALSE)</f>
        <v>4 x 4 (2.5D)</v>
      </c>
      <c r="K29" s="2">
        <v>1157210.132</v>
      </c>
      <c r="L29" s="2">
        <v>0</v>
      </c>
      <c r="M29" s="2">
        <v>0</v>
      </c>
    </row>
    <row r="30" spans="2:13" hidden="1" x14ac:dyDescent="0.25">
      <c r="B30" s="1">
        <v>807120260010</v>
      </c>
      <c r="C30" s="1" t="s">
        <v>49</v>
      </c>
      <c r="D30" s="1" t="s">
        <v>21</v>
      </c>
      <c r="E30" s="1" t="str">
        <f>RIGHT(Table1[[#This Row],[PROJECT TITLE]],6)</f>
        <v>LD0344</v>
      </c>
      <c r="F30" s="10" t="s">
        <v>43</v>
      </c>
      <c r="G30" s="13" t="str">
        <f>VLOOKUP(Table1[[#This Row],[Eq No]],[1]!Table3[[Eq.No.]:[FY23/34 Acq. Status]],2,FALSE)</f>
        <v>Replacement L/C Mech</v>
      </c>
      <c r="H30" s="12">
        <f>VLOOKUP(Table1[[#This Row],[Eq No]],[1]!Table3[[Eq.No.]:[FY23/34 Acq. Status]],3,FALSE)</f>
        <v>2014</v>
      </c>
      <c r="I30" s="13" t="str">
        <f>VLOOKUP(Table1[[#This Row],[Eq No]],[1]!Table3[[Eq.No.]:[FY23/34 Acq. Status]],12,FALSE)</f>
        <v>L/C, 4x4, 4.2D</v>
      </c>
      <c r="J30" s="13" t="str">
        <f>VLOOKUP(Table1[[#This Row],[Eq No]],[1]!Table3[[Eq.No.]:[FY23/34 Acq. Status]],17,FALSE)</f>
        <v>L/Cruiser 4x4 (Converted to UG Spec)</v>
      </c>
      <c r="K30" s="2">
        <v>2911697.6168799996</v>
      </c>
      <c r="L30" s="2">
        <v>0</v>
      </c>
      <c r="M30" s="2">
        <v>0</v>
      </c>
    </row>
    <row r="31" spans="2:13" hidden="1" x14ac:dyDescent="0.25">
      <c r="B31" s="1">
        <v>807120260011</v>
      </c>
      <c r="C31" s="1" t="s">
        <v>50</v>
      </c>
      <c r="D31" s="1" t="s">
        <v>21</v>
      </c>
      <c r="E31" s="1" t="str">
        <f>RIGHT(Table1[[#This Row],[PROJECT TITLE]],6)</f>
        <v>LD0425</v>
      </c>
      <c r="F31" s="10" t="s">
        <v>43</v>
      </c>
      <c r="G31" s="13" t="str">
        <f>VLOOKUP(Table1[[#This Row],[Eq No]],[1]!Table3[[Eq.No.]:[FY23/34 Acq. Status]],2,FALSE)</f>
        <v>Gloria U/G</v>
      </c>
      <c r="H31" s="12">
        <f>VLOOKUP(Table1[[#This Row],[Eq No]],[1]!Table3[[Eq.No.]:[FY23/34 Acq. Status]],3,FALSE)</f>
        <v>2017</v>
      </c>
      <c r="I31" s="13" t="str">
        <f>VLOOKUP(Table1[[#This Row],[Eq No]],[1]!Table3[[Eq.No.]:[FY23/34 Acq. Status]],12,FALSE)</f>
        <v>Maverick D/C</v>
      </c>
      <c r="J31" s="13" t="str">
        <f>VLOOKUP(Table1[[#This Row],[Eq No]],[1]!Table3[[Eq.No.]:[FY23/34 Acq. Status]],17,FALSE)</f>
        <v>L/Cruiser 4x4 (Converted to UG Spec)</v>
      </c>
      <c r="K31" s="2">
        <v>2911697.6168799996</v>
      </c>
      <c r="L31" s="2">
        <v>0</v>
      </c>
      <c r="M31" s="2">
        <v>0</v>
      </c>
    </row>
    <row r="32" spans="2:13" hidden="1" x14ac:dyDescent="0.25">
      <c r="B32" s="3" t="s">
        <v>51</v>
      </c>
      <c r="C32" s="1" t="s">
        <v>52</v>
      </c>
      <c r="D32" s="1" t="s">
        <v>10</v>
      </c>
      <c r="E32" s="1" t="str">
        <f>RIGHT(Table1[[#This Row],[PROJECT TITLE]],6)</f>
        <v>BS0028</v>
      </c>
      <c r="F32" s="10" t="s">
        <v>8</v>
      </c>
      <c r="G32" s="13" t="str">
        <f>VLOOKUP(Table1[[#This Row],[Eq No]],[1]!Table3[[Eq.No.]:[FY23/34 Acq. Status]],2,FALSE)</f>
        <v>Pool Transport</v>
      </c>
      <c r="H32" s="12">
        <f>VLOOKUP(Table1[[#This Row],[Eq No]],[1]!Table3[[Eq.No.]:[FY23/34 Acq. Status]],3,FALSE)</f>
        <v>2017</v>
      </c>
      <c r="I32" s="13" t="str">
        <f>VLOOKUP(Table1[[#This Row],[Eq No]],[1]!Table3[[Eq.No.]:[FY23/34 Acq. Status]],12,FALSE)</f>
        <v>Sprinter</v>
      </c>
      <c r="J32" s="13" t="str">
        <f>VLOOKUP(Table1[[#This Row],[Eq No]],[1]!Table3[[Eq.No.]:[FY23/34 Acq. Status]],17,FALSE)</f>
        <v>Sprinter 516 CDI</v>
      </c>
      <c r="K32" s="2">
        <v>0</v>
      </c>
      <c r="L32" s="2">
        <v>0</v>
      </c>
      <c r="M32" s="2">
        <v>1990160.4942191234</v>
      </c>
    </row>
    <row r="33" spans="2:13" hidden="1" x14ac:dyDescent="0.25">
      <c r="B33" s="3" t="s">
        <v>51</v>
      </c>
      <c r="C33" s="4" t="s">
        <v>53</v>
      </c>
      <c r="D33" s="1" t="s">
        <v>12</v>
      </c>
      <c r="E33" s="1" t="str">
        <f>RIGHT(Table1[[#This Row],[PROJECT TITLE]],6)</f>
        <v>CB0025</v>
      </c>
      <c r="F33" s="10" t="s">
        <v>8</v>
      </c>
      <c r="G33" s="13" t="str">
        <f>VLOOKUP(Table1[[#This Row],[Eq No]],[1]!Table3[[Eq.No.]:[FY23/34 Acq. Status]],2,FALSE)</f>
        <v>Proto</v>
      </c>
      <c r="H33" s="12">
        <f>VLOOKUP(Table1[[#This Row],[Eq No]],[1]!Table3[[Eq.No.]:[FY23/34 Acq. Status]],3,FALSE)</f>
        <v>2014</v>
      </c>
      <c r="I33" s="13" t="str">
        <f>VLOOKUP(Table1[[#This Row],[Eq No]],[1]!Table3[[Eq.No.]:[FY23/34 Acq. Status]],12,FALSE)</f>
        <v>Quantum 2.5D-4D</v>
      </c>
      <c r="J33" s="13" t="str">
        <f>VLOOKUP(Table1[[#This Row],[Eq No]],[1]!Table3[[Eq.No.]:[FY23/34 Acq. Status]],17,FALSE)</f>
        <v>Quantum 2.5D-4D</v>
      </c>
      <c r="K33" s="2">
        <v>0</v>
      </c>
      <c r="L33" s="2">
        <v>0</v>
      </c>
      <c r="M33" s="2">
        <v>1672142.5046951747</v>
      </c>
    </row>
    <row r="34" spans="2:13" hidden="1" x14ac:dyDescent="0.25">
      <c r="B34" s="3" t="s">
        <v>51</v>
      </c>
      <c r="C34" s="4" t="s">
        <v>54</v>
      </c>
      <c r="D34" s="1" t="s">
        <v>12</v>
      </c>
      <c r="E34" s="1" t="str">
        <f>RIGHT(Table1[[#This Row],[PROJECT TITLE]],6)</f>
        <v>CB0030</v>
      </c>
      <c r="F34" s="10" t="s">
        <v>8</v>
      </c>
      <c r="G34" s="13" t="str">
        <f>VLOOKUP(Table1[[#This Row],[Eq No]],[1]!Table3[[Eq.No.]:[FY23/34 Acq. Status]],2,FALSE)</f>
        <v>Pool Transport</v>
      </c>
      <c r="H34" s="12">
        <f>VLOOKUP(Table1[[#This Row],[Eq No]],[1]!Table3[[Eq.No.]:[FY23/34 Acq. Status]],3,FALSE)</f>
        <v>2017</v>
      </c>
      <c r="I34" s="13" t="str">
        <f>VLOOKUP(Table1[[#This Row],[Eq No]],[1]!Table3[[Eq.No.]:[FY23/34 Acq. Status]],12,FALSE)</f>
        <v>Quantum Mini Bus 14St</v>
      </c>
      <c r="J34" s="13" t="str">
        <f>VLOOKUP(Table1[[#This Row],[Eq No]],[1]!Table3[[Eq.No.]:[FY23/34 Acq. Status]],17,FALSE)</f>
        <v>Quantum Mini Bus 14St</v>
      </c>
      <c r="K34" s="2">
        <v>0</v>
      </c>
      <c r="L34" s="2">
        <v>1620206.1291006159</v>
      </c>
      <c r="M34" s="2">
        <v>0</v>
      </c>
    </row>
    <row r="35" spans="2:13" hidden="1" x14ac:dyDescent="0.25">
      <c r="B35" s="3" t="s">
        <v>51</v>
      </c>
      <c r="C35" s="4" t="s">
        <v>55</v>
      </c>
      <c r="D35" s="1" t="s">
        <v>12</v>
      </c>
      <c r="E35" s="1" t="str">
        <f>RIGHT(Table1[[#This Row],[PROJECT TITLE]],6)</f>
        <v>CB0033</v>
      </c>
      <c r="F35" s="10" t="s">
        <v>8</v>
      </c>
      <c r="G35" s="13" t="str">
        <f>VLOOKUP(Table1[[#This Row],[Eq No]],[1]!Table3[[Eq.No.]:[FY23/34 Acq. Status]],2,FALSE)</f>
        <v>Pool Transport</v>
      </c>
      <c r="H35" s="12">
        <f>VLOOKUP(Table1[[#This Row],[Eq No]],[1]!Table3[[Eq.No.]:[FY23/34 Acq. Status]],3,FALSE)</f>
        <v>2018</v>
      </c>
      <c r="I35" s="13" t="str">
        <f>VLOOKUP(Table1[[#This Row],[Eq No]],[1]!Table3[[Eq.No.]:[FY23/34 Acq. Status]],12,FALSE)</f>
        <v>Quantum Mini Bus 10St</v>
      </c>
      <c r="J35" s="13" t="str">
        <f>VLOOKUP(Table1[[#This Row],[Eq No]],[1]!Table3[[Eq.No.]:[FY23/34 Acq. Status]],17,FALSE)</f>
        <v>Quantum Mini Bus 10St</v>
      </c>
      <c r="K35" s="2">
        <v>0</v>
      </c>
      <c r="L35" s="2">
        <v>1620206.1291006159</v>
      </c>
      <c r="M35" s="2">
        <v>0</v>
      </c>
    </row>
    <row r="36" spans="2:13" hidden="1" x14ac:dyDescent="0.25">
      <c r="B36" s="3" t="s">
        <v>51</v>
      </c>
      <c r="C36" s="4" t="s">
        <v>56</v>
      </c>
      <c r="D36" s="1" t="s">
        <v>57</v>
      </c>
      <c r="E36" s="1" t="str">
        <f>RIGHT(Table1[[#This Row],[PROJECT TITLE]],6)</f>
        <v>CD0011</v>
      </c>
      <c r="F36" s="10" t="s">
        <v>8</v>
      </c>
      <c r="G36" s="13" t="str">
        <f>VLOOKUP(Table1[[#This Row],[Eq No]],[1]!Table3[[Eq.No.]:[FY23/34 Acq. Status]],2,FALSE)</f>
        <v>Pool Transport</v>
      </c>
      <c r="H36" s="12">
        <f>VLOOKUP(Table1[[#This Row],[Eq No]],[1]!Table3[[Eq.No.]:[FY23/34 Acq. Status]],3,FALSE)</f>
        <v>2018</v>
      </c>
      <c r="I36" s="13" t="str">
        <f>VLOOKUP(Table1[[#This Row],[Eq No]],[1]!Table3[[Eq.No.]:[FY23/34 Acq. Status]],12,FALSE)</f>
        <v>Avanza 1.5 TX</v>
      </c>
      <c r="J36" s="13" t="str">
        <f>VLOOKUP(Table1[[#This Row],[Eq No]],[1]!Table3[[Eq.No.]:[FY23/34 Acq. Status]],17,FALSE)</f>
        <v>Avanza 1.5 SX</v>
      </c>
      <c r="K36" s="2">
        <v>0</v>
      </c>
      <c r="L36" s="2">
        <v>0</v>
      </c>
      <c r="M36" s="2">
        <v>874000.65379999997</v>
      </c>
    </row>
    <row r="37" spans="2:13" hidden="1" x14ac:dyDescent="0.25">
      <c r="B37" s="3" t="s">
        <v>51</v>
      </c>
      <c r="C37" s="4" t="s">
        <v>58</v>
      </c>
      <c r="D37" s="1" t="s">
        <v>57</v>
      </c>
      <c r="E37" s="1" t="str">
        <f>RIGHT(Table1[[#This Row],[PROJECT TITLE]],6)</f>
        <v>CD0012</v>
      </c>
      <c r="F37" s="10" t="s">
        <v>8</v>
      </c>
      <c r="G37" s="13" t="str">
        <f>VLOOKUP(Table1[[#This Row],[Eq No]],[1]!Table3[[Eq.No.]:[FY23/34 Acq. Status]],2,FALSE)</f>
        <v>Pool Transport</v>
      </c>
      <c r="H37" s="12">
        <f>VLOOKUP(Table1[[#This Row],[Eq No]],[1]!Table3[[Eq.No.]:[FY23/34 Acq. Status]],3,FALSE)</f>
        <v>2018</v>
      </c>
      <c r="I37" s="13" t="str">
        <f>VLOOKUP(Table1[[#This Row],[Eq No]],[1]!Table3[[Eq.No.]:[FY23/34 Acq. Status]],12,FALSE)</f>
        <v>Avanza 1.5 TX</v>
      </c>
      <c r="J37" s="13" t="str">
        <f>VLOOKUP(Table1[[#This Row],[Eq No]],[1]!Table3[[Eq.No.]:[FY23/34 Acq. Status]],17,FALSE)</f>
        <v>Avanza 1.5 SX</v>
      </c>
      <c r="K37" s="2">
        <v>0</v>
      </c>
      <c r="L37" s="2">
        <v>0</v>
      </c>
      <c r="M37" s="2">
        <v>874000.65379999997</v>
      </c>
    </row>
    <row r="38" spans="2:13" hidden="1" x14ac:dyDescent="0.25">
      <c r="B38" s="3" t="s">
        <v>51</v>
      </c>
      <c r="C38" s="4" t="s">
        <v>59</v>
      </c>
      <c r="D38" s="1" t="s">
        <v>15</v>
      </c>
      <c r="E38" s="1" t="str">
        <f>RIGHT(Table1[[#This Row],[PROJECT TITLE]],6)</f>
        <v>CR0107</v>
      </c>
      <c r="F38" s="10" t="s">
        <v>8</v>
      </c>
      <c r="G38" s="13" t="str">
        <f>VLOOKUP(Table1[[#This Row],[Eq No]],[1]!Table3[[Eq.No.]:[FY23/34 Acq. Status]],2,FALSE)</f>
        <v>BR Stores</v>
      </c>
      <c r="H38" s="12">
        <f>VLOOKUP(Table1[[#This Row],[Eq No]],[1]!Table3[[Eq.No.]:[FY23/34 Acq. Status]],3,FALSE)</f>
        <v>2014</v>
      </c>
      <c r="I38" s="13" t="str">
        <f>VLOOKUP(Table1[[#This Row],[Eq No]],[1]!Table3[[Eq.No.]:[FY23/34 Acq. Status]],12,FALSE)</f>
        <v>MHT-X 10120 L</v>
      </c>
      <c r="J38" s="13" t="str">
        <f>VLOOKUP(Table1[[#This Row],[Eq No]],[1]!Table3[[Eq.No.]:[FY23/34 Acq. Status]],17,FALSE)</f>
        <v>MHT-X 10120 L</v>
      </c>
      <c r="K38" s="2">
        <v>0</v>
      </c>
      <c r="L38" s="2">
        <v>13969014.279429123</v>
      </c>
      <c r="M38" s="2">
        <v>0</v>
      </c>
    </row>
    <row r="39" spans="2:13" hidden="1" x14ac:dyDescent="0.25">
      <c r="B39" s="3" t="s">
        <v>51</v>
      </c>
      <c r="C39" s="4" t="s">
        <v>60</v>
      </c>
      <c r="D39" s="1" t="s">
        <v>15</v>
      </c>
      <c r="E39" s="1" t="str">
        <f>RIGHT(Table1[[#This Row],[PROJECT TITLE]],6)</f>
        <v>CR0121</v>
      </c>
      <c r="F39" s="10" t="s">
        <v>8</v>
      </c>
      <c r="G39" s="13" t="str">
        <f>VLOOKUP(Table1[[#This Row],[Eq No]],[1]!Table3[[Eq.No.]:[FY23/34 Acq. Status]],2,FALSE)</f>
        <v>BR Stores</v>
      </c>
      <c r="H39" s="12">
        <f>VLOOKUP(Table1[[#This Row],[Eq No]],[1]!Table3[[Eq.No.]:[FY23/34 Acq. Status]],3,FALSE)</f>
        <v>2015</v>
      </c>
      <c r="I39" s="13" t="str">
        <f>VLOOKUP(Table1[[#This Row],[Eq No]],[1]!Table3[[Eq.No.]:[FY23/34 Acq. Status]],12,FALSE)</f>
        <v>MHT-X 780</v>
      </c>
      <c r="J39" s="13" t="str">
        <f>VLOOKUP(Table1[[#This Row],[Eq No]],[1]!Table3[[Eq.No.]:[FY23/34 Acq. Status]],17,FALSE)</f>
        <v>MHT-X 780</v>
      </c>
      <c r="K39" s="2">
        <v>0</v>
      </c>
      <c r="L39" s="2">
        <v>0</v>
      </c>
      <c r="M39" s="2">
        <v>11988921.38066224</v>
      </c>
    </row>
    <row r="40" spans="2:13" hidden="1" x14ac:dyDescent="0.25">
      <c r="B40" s="3" t="s">
        <v>51</v>
      </c>
      <c r="C40" s="4" t="s">
        <v>61</v>
      </c>
      <c r="D40" s="1" t="s">
        <v>15</v>
      </c>
      <c r="E40" s="1" t="str">
        <f>RIGHT(Table1[[#This Row],[PROJECT TITLE]],6)</f>
        <v>CR0145</v>
      </c>
      <c r="F40" s="10" t="s">
        <v>8</v>
      </c>
      <c r="G40" s="13" t="str">
        <f>VLOOKUP(Table1[[#This Row],[Eq No]],[1]!Table3[[Eq.No.]:[FY23/34 Acq. Status]],2,FALSE)</f>
        <v>BR Stores</v>
      </c>
      <c r="H40" s="12">
        <f>VLOOKUP(Table1[[#This Row],[Eq No]],[1]!Table3[[Eq.No.]:[FY23/34 Acq. Status]],3,FALSE)</f>
        <v>2016</v>
      </c>
      <c r="I40" s="13" t="str">
        <f>VLOOKUP(Table1[[#This Row],[Eq No]],[1]!Table3[[Eq.No.]:[FY23/34 Acq. Status]],12,FALSE)</f>
        <v>MT-X 742</v>
      </c>
      <c r="J40" s="13" t="str">
        <f>VLOOKUP(Table1[[#This Row],[Eq No]],[1]!Table3[[Eq.No.]:[FY23/34 Acq. Status]],17,FALSE)</f>
        <v>MT-X 742</v>
      </c>
      <c r="K40" s="2">
        <v>0</v>
      </c>
      <c r="L40" s="2">
        <v>0</v>
      </c>
      <c r="M40" s="2">
        <v>11988921.38066224</v>
      </c>
    </row>
    <row r="41" spans="2:13" hidden="1" x14ac:dyDescent="0.25">
      <c r="B41" s="3" t="s">
        <v>51</v>
      </c>
      <c r="C41" s="4" t="s">
        <v>62</v>
      </c>
      <c r="D41" s="1" t="s">
        <v>21</v>
      </c>
      <c r="E41" s="1" t="str">
        <f>RIGHT(Table1[[#This Row],[PROJECT TITLE]],6)</f>
        <v>LD0239</v>
      </c>
      <c r="F41" s="10" t="s">
        <v>8</v>
      </c>
      <c r="G41" s="13" t="str">
        <f>VLOOKUP(Table1[[#This Row],[Eq No]],[1]!Table3[[Eq.No.]:[FY23/34 Acq. Status]],2,FALSE)</f>
        <v>BRMO</v>
      </c>
      <c r="H41" s="12">
        <f>VLOOKUP(Table1[[#This Row],[Eq No]],[1]!Table3[[Eq.No.]:[FY23/34 Acq. Status]],3,FALSE)</f>
        <v>2010</v>
      </c>
      <c r="I41" s="13" t="str">
        <f>VLOOKUP(Table1[[#This Row],[Eq No]],[1]!Table3[[Eq.No.]:[FY23/34 Acq. Status]],12,FALSE)</f>
        <v>2.5D 4x4</v>
      </c>
      <c r="J41" s="13" t="str">
        <f>VLOOKUP(Table1[[#This Row],[Eq No]],[1]!Table3[[Eq.No.]:[FY23/34 Acq. Status]],17,FALSE)</f>
        <v>L/Cruiser 4x4 (Converted to UG Spec)</v>
      </c>
      <c r="K41" s="2">
        <v>0</v>
      </c>
      <c r="L41" s="2">
        <v>3643512.1748480005</v>
      </c>
      <c r="M41" s="2">
        <v>0</v>
      </c>
    </row>
    <row r="42" spans="2:13" hidden="1" x14ac:dyDescent="0.25">
      <c r="B42" s="3" t="s">
        <v>51</v>
      </c>
      <c r="C42" s="4" t="s">
        <v>63</v>
      </c>
      <c r="D42" s="1" t="s">
        <v>21</v>
      </c>
      <c r="E42" s="1" t="str">
        <f>RIGHT(Table1[[#This Row],[PROJECT TITLE]],6)</f>
        <v>LD0252</v>
      </c>
      <c r="F42" s="10" t="s">
        <v>8</v>
      </c>
      <c r="G42" s="13" t="str">
        <f>VLOOKUP(Table1[[#This Row],[Eq No]],[1]!Table3[[Eq.No.]:[FY23/34 Acq. Status]],2,FALSE)</f>
        <v>Environmental</v>
      </c>
      <c r="H42" s="12">
        <f>VLOOKUP(Table1[[#This Row],[Eq No]],[1]!Table3[[Eq.No.]:[FY23/34 Acq. Status]],3,FALSE)</f>
        <v>2010</v>
      </c>
      <c r="I42" s="13" t="str">
        <f>VLOOKUP(Table1[[#This Row],[Eq No]],[1]!Table3[[Eq.No.]:[FY23/34 Acq. Status]],12,FALSE)</f>
        <v>2.5D 4x4</v>
      </c>
      <c r="J42" s="13" t="str">
        <f>VLOOKUP(Table1[[#This Row],[Eq No]],[1]!Table3[[Eq.No.]:[FY23/34 Acq. Status]],17,FALSE)</f>
        <v>4 x 4 (2.5D)</v>
      </c>
      <c r="K42" s="2">
        <v>0</v>
      </c>
      <c r="L42" s="2">
        <v>0</v>
      </c>
      <c r="M42" s="2">
        <v>1239840.3537999999</v>
      </c>
    </row>
    <row r="43" spans="2:13" hidden="1" x14ac:dyDescent="0.25">
      <c r="B43" s="3" t="s">
        <v>51</v>
      </c>
      <c r="C43" s="4" t="s">
        <v>64</v>
      </c>
      <c r="D43" s="1" t="s">
        <v>21</v>
      </c>
      <c r="E43" s="1" t="str">
        <f>RIGHT(Table1[[#This Row],[PROJECT TITLE]],6)</f>
        <v>LD0253</v>
      </c>
      <c r="F43" s="10" t="s">
        <v>8</v>
      </c>
      <c r="G43" s="13" t="str">
        <f>VLOOKUP(Table1[[#This Row],[Eq No]],[1]!Table3[[Eq.No.]:[FY23/34 Acq. Status]],2,FALSE)</f>
        <v>Geologist,MRM</v>
      </c>
      <c r="H43" s="12">
        <f>VLOOKUP(Table1[[#This Row],[Eq No]],[1]!Table3[[Eq.No.]:[FY23/34 Acq. Status]],3,FALSE)</f>
        <v>2010</v>
      </c>
      <c r="I43" s="13" t="str">
        <f>VLOOKUP(Table1[[#This Row],[Eq No]],[1]!Table3[[Eq.No.]:[FY23/34 Acq. Status]],12,FALSE)</f>
        <v>2.5D 4x4</v>
      </c>
      <c r="J43" s="13" t="str">
        <f>VLOOKUP(Table1[[#This Row],[Eq No]],[1]!Table3[[Eq.No.]:[FY23/34 Acq. Status]],17,FALSE)</f>
        <v>4 x 4 (2.5D)</v>
      </c>
      <c r="K43" s="2">
        <v>0</v>
      </c>
      <c r="L43" s="2">
        <v>0</v>
      </c>
      <c r="M43" s="2">
        <v>1239840.3537999999</v>
      </c>
    </row>
    <row r="44" spans="2:13" hidden="1" x14ac:dyDescent="0.25">
      <c r="B44" s="3" t="s">
        <v>51</v>
      </c>
      <c r="C44" s="4" t="s">
        <v>65</v>
      </c>
      <c r="D44" s="1" t="s">
        <v>21</v>
      </c>
      <c r="E44" s="1" t="str">
        <f>RIGHT(Table1[[#This Row],[PROJECT TITLE]],6)</f>
        <v>LD0256</v>
      </c>
      <c r="F44" s="10" t="s">
        <v>8</v>
      </c>
      <c r="G44" s="13" t="str">
        <f>VLOOKUP(Table1[[#This Row],[Eq No]],[1]!Table3[[Eq.No.]:[FY23/34 Acq. Status]],2,FALSE)</f>
        <v>Training Centre N3</v>
      </c>
      <c r="H44" s="12">
        <f>VLOOKUP(Table1[[#This Row],[Eq No]],[1]!Table3[[Eq.No.]:[FY23/34 Acq. Status]],3,FALSE)</f>
        <v>2011</v>
      </c>
      <c r="I44" s="13" t="str">
        <f>VLOOKUP(Table1[[#This Row],[Eq No]],[1]!Table3[[Eq.No.]:[FY23/34 Acq. Status]],12,FALSE)</f>
        <v>2.5D 4x4</v>
      </c>
      <c r="J44" s="13" t="str">
        <f>VLOOKUP(Table1[[#This Row],[Eq No]],[1]!Table3[[Eq.No.]:[FY23/34 Acq. Status]],17,FALSE)</f>
        <v>L/Cruiser 4x4 (Converted to UG Spec)</v>
      </c>
      <c r="K44" s="2">
        <v>0</v>
      </c>
      <c r="L44" s="2">
        <v>0</v>
      </c>
      <c r="M44" s="2">
        <v>3760306.4600920002</v>
      </c>
    </row>
    <row r="45" spans="2:13" hidden="1" x14ac:dyDescent="0.25">
      <c r="B45" s="3" t="s">
        <v>51</v>
      </c>
      <c r="C45" s="4" t="s">
        <v>66</v>
      </c>
      <c r="D45" s="1" t="s">
        <v>21</v>
      </c>
      <c r="E45" s="1" t="str">
        <f>RIGHT(Table1[[#This Row],[PROJECT TITLE]],6)</f>
        <v>LD0259</v>
      </c>
      <c r="F45" s="10" t="s">
        <v>8</v>
      </c>
      <c r="G45" s="13" t="str">
        <f>VLOOKUP(Table1[[#This Row],[Eq No]],[1]!Table3[[Eq.No.]:[FY23/34 Acq. Status]],2,FALSE)</f>
        <v>BR Services - Salvage yard</v>
      </c>
      <c r="H45" s="12">
        <f>VLOOKUP(Table1[[#This Row],[Eq No]],[1]!Table3[[Eq.No.]:[FY23/34 Acq. Status]],3,FALSE)</f>
        <v>2011</v>
      </c>
      <c r="I45" s="13" t="str">
        <f>VLOOKUP(Table1[[#This Row],[Eq No]],[1]!Table3[[Eq.No.]:[FY23/34 Acq. Status]],12,FALSE)</f>
        <v>2.5D 4x4</v>
      </c>
      <c r="J45" s="13" t="str">
        <f>VLOOKUP(Table1[[#This Row],[Eq No]],[1]!Table3[[Eq.No.]:[FY23/34 Acq. Status]],17,FALSE)</f>
        <v>4 x 2 (2.5D) SRX</v>
      </c>
      <c r="K45" s="2">
        <v>0</v>
      </c>
      <c r="L45" s="2">
        <v>1167311.3472</v>
      </c>
      <c r="M45" s="2">
        <v>0</v>
      </c>
    </row>
    <row r="46" spans="2:13" hidden="1" x14ac:dyDescent="0.25">
      <c r="B46" s="3" t="s">
        <v>51</v>
      </c>
      <c r="C46" s="4" t="s">
        <v>67</v>
      </c>
      <c r="D46" s="1" t="s">
        <v>21</v>
      </c>
      <c r="E46" s="1" t="str">
        <f>RIGHT(Table1[[#This Row],[PROJECT TITLE]],6)</f>
        <v>LD0269</v>
      </c>
      <c r="F46" s="10" t="s">
        <v>8</v>
      </c>
      <c r="G46" s="13" t="str">
        <f>VLOOKUP(Table1[[#This Row],[Eq No]],[1]!Table3[[Eq.No.]:[FY23/34 Acq. Status]],2,FALSE)</f>
        <v>IT</v>
      </c>
      <c r="H46" s="12">
        <f>VLOOKUP(Table1[[#This Row],[Eq No]],[1]!Table3[[Eq.No.]:[FY23/34 Acq. Status]],3,FALSE)</f>
        <v>2011</v>
      </c>
      <c r="I46" s="13" t="str">
        <f>VLOOKUP(Table1[[#This Row],[Eq No]],[1]!Table3[[Eq.No.]:[FY23/34 Acq. Status]],12,FALSE)</f>
        <v>2.5D 4x4</v>
      </c>
      <c r="J46" s="13" t="str">
        <f>VLOOKUP(Table1[[#This Row],[Eq No]],[1]!Table3[[Eq.No.]:[FY23/34 Acq. Status]],17,FALSE)</f>
        <v>4 x 4 (2.5D)</v>
      </c>
      <c r="K46" s="2">
        <v>0</v>
      </c>
      <c r="L46" s="2">
        <v>1201331.1872</v>
      </c>
      <c r="M46" s="2">
        <v>0</v>
      </c>
    </row>
    <row r="47" spans="2:13" hidden="1" x14ac:dyDescent="0.25">
      <c r="B47" s="3" t="s">
        <v>51</v>
      </c>
      <c r="C47" s="4" t="s">
        <v>68</v>
      </c>
      <c r="D47" s="1" t="s">
        <v>21</v>
      </c>
      <c r="E47" s="1" t="str">
        <f>RIGHT(Table1[[#This Row],[PROJECT TITLE]],6)</f>
        <v>LD0270</v>
      </c>
      <c r="F47" s="10" t="s">
        <v>8</v>
      </c>
      <c r="G47" s="13" t="str">
        <f>VLOOKUP(Table1[[#This Row],[Eq No]],[1]!Table3[[Eq.No.]:[FY23/34 Acq. Status]],2,FALSE)</f>
        <v>Serveyors</v>
      </c>
      <c r="H47" s="12">
        <f>VLOOKUP(Table1[[#This Row],[Eq No]],[1]!Table3[[Eq.No.]:[FY23/34 Acq. Status]],3,FALSE)</f>
        <v>2011</v>
      </c>
      <c r="I47" s="13" t="str">
        <f>VLOOKUP(Table1[[#This Row],[Eq No]],[1]!Table3[[Eq.No.]:[FY23/34 Acq. Status]],12,FALSE)</f>
        <v>2.5D 4x4</v>
      </c>
      <c r="J47" s="13" t="str">
        <f>VLOOKUP(Table1[[#This Row],[Eq No]],[1]!Table3[[Eq.No.]:[FY23/34 Acq. Status]],17,FALSE)</f>
        <v>4 x 4 (2.5D)</v>
      </c>
      <c r="K47" s="2">
        <v>0</v>
      </c>
      <c r="L47" s="2">
        <v>1201331.1872</v>
      </c>
      <c r="M47" s="2">
        <v>0</v>
      </c>
    </row>
    <row r="48" spans="2:13" hidden="1" x14ac:dyDescent="0.25">
      <c r="B48" s="3" t="s">
        <v>51</v>
      </c>
      <c r="C48" s="4" t="s">
        <v>69</v>
      </c>
      <c r="D48" s="1" t="s">
        <v>21</v>
      </c>
      <c r="E48" s="1" t="str">
        <f>RIGHT(Table1[[#This Row],[PROJECT TITLE]],6)</f>
        <v>LD0273</v>
      </c>
      <c r="F48" s="10" t="s">
        <v>8</v>
      </c>
      <c r="G48" s="13" t="str">
        <f>VLOOKUP(Table1[[#This Row],[Eq No]],[1]!Table3[[Eq.No.]:[FY23/34 Acq. Status]],2,FALSE)</f>
        <v>Geologist,MRM</v>
      </c>
      <c r="H48" s="12">
        <f>VLOOKUP(Table1[[#This Row],[Eq No]],[1]!Table3[[Eq.No.]:[FY23/34 Acq. Status]],3,FALSE)</f>
        <v>2012</v>
      </c>
      <c r="I48" s="13" t="str">
        <f>VLOOKUP(Table1[[#This Row],[Eq No]],[1]!Table3[[Eq.No.]:[FY23/34 Acq. Status]],12,FALSE)</f>
        <v>2.5D 4x4</v>
      </c>
      <c r="J48" s="13" t="str">
        <f>VLOOKUP(Table1[[#This Row],[Eq No]],[1]!Table3[[Eq.No.]:[FY23/34 Acq. Status]],17,FALSE)</f>
        <v>4 x 4 (2.5D)</v>
      </c>
      <c r="K48" s="2">
        <v>0</v>
      </c>
      <c r="L48" s="2">
        <v>1201331.1872</v>
      </c>
      <c r="M48" s="2">
        <v>0</v>
      </c>
    </row>
    <row r="49" spans="2:13" hidden="1" x14ac:dyDescent="0.25">
      <c r="B49" s="3" t="s">
        <v>51</v>
      </c>
      <c r="C49" s="4" t="s">
        <v>70</v>
      </c>
      <c r="D49" s="1" t="s">
        <v>21</v>
      </c>
      <c r="E49" s="1" t="str">
        <f>RIGHT(Table1[[#This Row],[PROJECT TITLE]],6)</f>
        <v>LD0274</v>
      </c>
      <c r="F49" s="10" t="s">
        <v>8</v>
      </c>
      <c r="G49" s="13" t="str">
        <f>VLOOKUP(Table1[[#This Row],[Eq No]],[1]!Table3[[Eq.No.]:[FY23/34 Acq. Status]],2,FALSE)</f>
        <v>Safety</v>
      </c>
      <c r="H49" s="12">
        <f>VLOOKUP(Table1[[#This Row],[Eq No]],[1]!Table3[[Eq.No.]:[FY23/34 Acq. Status]],3,FALSE)</f>
        <v>2012</v>
      </c>
      <c r="I49" s="13" t="str">
        <f>VLOOKUP(Table1[[#This Row],[Eq No]],[1]!Table3[[Eq.No.]:[FY23/34 Acq. Status]],12,FALSE)</f>
        <v>2.5D 4x4</v>
      </c>
      <c r="J49" s="13" t="str">
        <f>VLOOKUP(Table1[[#This Row],[Eq No]],[1]!Table3[[Eq.No.]:[FY23/34 Acq. Status]],17,FALSE)</f>
        <v>4 x 4 (2.5D)</v>
      </c>
      <c r="K49" s="2">
        <v>0</v>
      </c>
      <c r="L49" s="2">
        <v>1201331.1872</v>
      </c>
      <c r="M49" s="2">
        <v>0</v>
      </c>
    </row>
    <row r="50" spans="2:13" hidden="1" x14ac:dyDescent="0.25">
      <c r="B50" s="3" t="s">
        <v>51</v>
      </c>
      <c r="C50" s="4" t="s">
        <v>71</v>
      </c>
      <c r="D50" s="1" t="s">
        <v>21</v>
      </c>
      <c r="E50" s="1" t="str">
        <f>RIGHT(Table1[[#This Row],[PROJECT TITLE]],6)</f>
        <v>LD0294</v>
      </c>
      <c r="F50" s="10" t="s">
        <v>8</v>
      </c>
      <c r="G50" s="13" t="str">
        <f>VLOOKUP(Table1[[#This Row],[Eq No]],[1]!Table3[[Eq.No.]:[FY23/34 Acq. Status]],2,FALSE)</f>
        <v>Port Elizabeth - Port Logistics</v>
      </c>
      <c r="H50" s="12">
        <f>VLOOKUP(Table1[[#This Row],[Eq No]],[1]!Table3[[Eq.No.]:[FY23/34 Acq. Status]],3,FALSE)</f>
        <v>2012</v>
      </c>
      <c r="I50" s="13" t="str">
        <f>VLOOKUP(Table1[[#This Row],[Eq No]],[1]!Table3[[Eq.No.]:[FY23/34 Acq. Status]],12,FALSE)</f>
        <v>2.5D 4x4</v>
      </c>
      <c r="J50" s="13" t="str">
        <f>VLOOKUP(Table1[[#This Row],[Eq No]],[1]!Table3[[Eq.No.]:[FY23/34 Acq. Status]],17,FALSE)</f>
        <v>4 x 2, 2.5D S/C</v>
      </c>
      <c r="K50" s="2">
        <v>0</v>
      </c>
      <c r="L50" s="2">
        <v>1167311.3472</v>
      </c>
      <c r="M50" s="2">
        <v>0</v>
      </c>
    </row>
    <row r="51" spans="2:13" hidden="1" x14ac:dyDescent="0.25">
      <c r="B51" s="3" t="s">
        <v>51</v>
      </c>
      <c r="C51" s="4" t="s">
        <v>72</v>
      </c>
      <c r="D51" s="1" t="s">
        <v>21</v>
      </c>
      <c r="E51" s="1" t="str">
        <f>RIGHT(Table1[[#This Row],[PROJECT TITLE]],6)</f>
        <v>LD0301</v>
      </c>
      <c r="F51" s="10" t="s">
        <v>8</v>
      </c>
      <c r="G51" s="13" t="str">
        <f>VLOOKUP(Table1[[#This Row],[Eq No]],[1]!Table3[[Eq.No.]:[FY23/34 Acq. Status]],2,FALSE)</f>
        <v>Geologist,MRM</v>
      </c>
      <c r="H51" s="12">
        <f>VLOOKUP(Table1[[#This Row],[Eq No]],[1]!Table3[[Eq.No.]:[FY23/34 Acq. Status]],3,FALSE)</f>
        <v>2013</v>
      </c>
      <c r="I51" s="13" t="str">
        <f>VLOOKUP(Table1[[#This Row],[Eq No]],[1]!Table3[[Eq.No.]:[FY23/34 Acq. Status]],12,FALSE)</f>
        <v>2.5D 4x4</v>
      </c>
      <c r="J51" s="13" t="str">
        <f>VLOOKUP(Table1[[#This Row],[Eq No]],[1]!Table3[[Eq.No.]:[FY23/34 Acq. Status]],17,FALSE)</f>
        <v>4 x 4 (2.5D)</v>
      </c>
      <c r="K51" s="2">
        <v>0</v>
      </c>
      <c r="L51" s="2">
        <v>0</v>
      </c>
      <c r="M51" s="2">
        <v>1239840.3537999999</v>
      </c>
    </row>
    <row r="52" spans="2:13" hidden="1" x14ac:dyDescent="0.25">
      <c r="B52" s="3" t="s">
        <v>51</v>
      </c>
      <c r="C52" s="4" t="s">
        <v>73</v>
      </c>
      <c r="D52" s="1" t="s">
        <v>21</v>
      </c>
      <c r="E52" s="1" t="str">
        <f>RIGHT(Table1[[#This Row],[PROJECT TITLE]],6)</f>
        <v>LD0306</v>
      </c>
      <c r="F52" s="10" t="s">
        <v>8</v>
      </c>
      <c r="G52" s="13" t="str">
        <f>VLOOKUP(Table1[[#This Row],[Eq No]],[1]!Table3[[Eq.No.]:[FY23/34 Acq. Status]],2,FALSE)</f>
        <v>Hygiene</v>
      </c>
      <c r="H52" s="12">
        <f>VLOOKUP(Table1[[#This Row],[Eq No]],[1]!Table3[[Eq.No.]:[FY23/34 Acq. Status]],3,FALSE)</f>
        <v>2013</v>
      </c>
      <c r="I52" s="13" t="str">
        <f>VLOOKUP(Table1[[#This Row],[Eq No]],[1]!Table3[[Eq.No.]:[FY23/34 Acq. Status]],12,FALSE)</f>
        <v>2.5D 4x4</v>
      </c>
      <c r="J52" s="13" t="str">
        <f>VLOOKUP(Table1[[#This Row],[Eq No]],[1]!Table3[[Eq.No.]:[FY23/34 Acq. Status]],17,FALSE)</f>
        <v>4 x 4 (2.5D)</v>
      </c>
      <c r="K52" s="2">
        <v>0</v>
      </c>
      <c r="L52" s="2">
        <v>1201331.1872</v>
      </c>
      <c r="M52" s="2">
        <v>0</v>
      </c>
    </row>
    <row r="53" spans="2:13" hidden="1" x14ac:dyDescent="0.25">
      <c r="B53" s="3" t="s">
        <v>51</v>
      </c>
      <c r="C53" s="4" t="s">
        <v>74</v>
      </c>
      <c r="D53" s="1" t="s">
        <v>21</v>
      </c>
      <c r="E53" s="1" t="str">
        <f>RIGHT(Table1[[#This Row],[PROJECT TITLE]],6)</f>
        <v>LD0333</v>
      </c>
      <c r="F53" s="10" t="s">
        <v>8</v>
      </c>
      <c r="G53" s="13" t="str">
        <f>VLOOKUP(Table1[[#This Row],[Eq No]],[1]!Table3[[Eq.No.]:[FY23/34 Acq. Status]],2,FALSE)</f>
        <v>BR Civils Services</v>
      </c>
      <c r="H53" s="12">
        <f>VLOOKUP(Table1[[#This Row],[Eq No]],[1]!Table3[[Eq.No.]:[FY23/34 Acq. Status]],3,FALSE)</f>
        <v>2014</v>
      </c>
      <c r="I53" s="13" t="str">
        <f>VLOOKUP(Table1[[#This Row],[Eq No]],[1]!Table3[[Eq.No.]:[FY23/34 Acq. Status]],12,FALSE)</f>
        <v>2.5D 4x2</v>
      </c>
      <c r="J53" s="13" t="str">
        <f>VLOOKUP(Table1[[#This Row],[Eq No]],[1]!Table3[[Eq.No.]:[FY23/34 Acq. Status]],17,FALSE)</f>
        <v>4 x 4 (2.5D)</v>
      </c>
      <c r="K53" s="2">
        <v>0</v>
      </c>
      <c r="L53" s="2">
        <v>1201331.1872</v>
      </c>
      <c r="M53" s="2">
        <v>0</v>
      </c>
    </row>
    <row r="54" spans="2:13" hidden="1" x14ac:dyDescent="0.25">
      <c r="B54" s="3" t="s">
        <v>51</v>
      </c>
      <c r="C54" s="4" t="s">
        <v>75</v>
      </c>
      <c r="D54" s="1" t="s">
        <v>21</v>
      </c>
      <c r="E54" s="1" t="str">
        <f>RIGHT(Table1[[#This Row],[PROJECT TITLE]],6)</f>
        <v>LD0335</v>
      </c>
      <c r="F54" s="10" t="s">
        <v>8</v>
      </c>
      <c r="G54" s="13" t="str">
        <f>VLOOKUP(Table1[[#This Row],[Eq No]],[1]!Table3[[Eq.No.]:[FY23/34 Acq. Status]],2,FALSE)</f>
        <v>BR Civils Services</v>
      </c>
      <c r="H54" s="12">
        <f>VLOOKUP(Table1[[#This Row],[Eq No]],[1]!Table3[[Eq.No.]:[FY23/34 Acq. Status]],3,FALSE)</f>
        <v>2014</v>
      </c>
      <c r="I54" s="13" t="str">
        <f>VLOOKUP(Table1[[#This Row],[Eq No]],[1]!Table3[[Eq.No.]:[FY23/34 Acq. Status]],12,FALSE)</f>
        <v>2.5D 4x2</v>
      </c>
      <c r="J54" s="13" t="str">
        <f>VLOOKUP(Table1[[#This Row],[Eq No]],[1]!Table3[[Eq.No.]:[FY23/34 Acq. Status]],17,FALSE)</f>
        <v>4 x 4 (2.5D)</v>
      </c>
      <c r="K54" s="2">
        <v>0</v>
      </c>
      <c r="L54" s="2">
        <v>1201331.1872</v>
      </c>
      <c r="M54" s="2">
        <v>0</v>
      </c>
    </row>
    <row r="55" spans="2:13" hidden="1" x14ac:dyDescent="0.25">
      <c r="B55" s="3" t="s">
        <v>51</v>
      </c>
      <c r="C55" s="4" t="s">
        <v>76</v>
      </c>
      <c r="D55" s="1" t="s">
        <v>21</v>
      </c>
      <c r="E55" s="1" t="str">
        <f>RIGHT(Table1[[#This Row],[PROJECT TITLE]],6)</f>
        <v>LD0336</v>
      </c>
      <c r="F55" s="10" t="s">
        <v>8</v>
      </c>
      <c r="G55" s="13" t="str">
        <f>VLOOKUP(Table1[[#This Row],[Eq No]],[1]!Table3[[Eq.No.]:[FY23/34 Acq. Status]],2,FALSE)</f>
        <v>BR Civils Services</v>
      </c>
      <c r="H55" s="12">
        <f>VLOOKUP(Table1[[#This Row],[Eq No]],[1]!Table3[[Eq.No.]:[FY23/34 Acq. Status]],3,FALSE)</f>
        <v>2014</v>
      </c>
      <c r="I55" s="13" t="str">
        <f>VLOOKUP(Table1[[#This Row],[Eq No]],[1]!Table3[[Eq.No.]:[FY23/34 Acq. Status]],12,FALSE)</f>
        <v>2.5D 4x2</v>
      </c>
      <c r="J55" s="13" t="str">
        <f>VLOOKUP(Table1[[#This Row],[Eq No]],[1]!Table3[[Eq.No.]:[FY23/34 Acq. Status]],17,FALSE)</f>
        <v>4 x 4 (2.5D)</v>
      </c>
      <c r="K55" s="2">
        <v>0</v>
      </c>
      <c r="L55" s="2">
        <v>1201331.1872</v>
      </c>
      <c r="M55" s="2">
        <v>0</v>
      </c>
    </row>
    <row r="56" spans="2:13" hidden="1" x14ac:dyDescent="0.25">
      <c r="B56" s="3" t="s">
        <v>51</v>
      </c>
      <c r="C56" s="4" t="s">
        <v>77</v>
      </c>
      <c r="D56" s="1" t="s">
        <v>21</v>
      </c>
      <c r="E56" s="1" t="str">
        <f>RIGHT(Table1[[#This Row],[PROJECT TITLE]],6)</f>
        <v>LD0337</v>
      </c>
      <c r="F56" s="10" t="s">
        <v>8</v>
      </c>
      <c r="G56" s="13" t="str">
        <f>VLOOKUP(Table1[[#This Row],[Eq No]],[1]!Table3[[Eq.No.]:[FY23/34 Acq. Status]],2,FALSE)</f>
        <v>BR Civils Services</v>
      </c>
      <c r="H56" s="12">
        <f>VLOOKUP(Table1[[#This Row],[Eq No]],[1]!Table3[[Eq.No.]:[FY23/34 Acq. Status]],3,FALSE)</f>
        <v>2014</v>
      </c>
      <c r="I56" s="13" t="str">
        <f>VLOOKUP(Table1[[#This Row],[Eq No]],[1]!Table3[[Eq.No.]:[FY23/34 Acq. Status]],12,FALSE)</f>
        <v>2.5D 4x2</v>
      </c>
      <c r="J56" s="13" t="str">
        <f>VLOOKUP(Table1[[#This Row],[Eq No]],[1]!Table3[[Eq.No.]:[FY23/34 Acq. Status]],17,FALSE)</f>
        <v>4 x 2 (2.5D)</v>
      </c>
      <c r="K56" s="2">
        <v>0</v>
      </c>
      <c r="L56" s="2">
        <v>1167311.3472</v>
      </c>
      <c r="M56" s="2">
        <v>0</v>
      </c>
    </row>
    <row r="57" spans="2:13" hidden="1" x14ac:dyDescent="0.25">
      <c r="B57" s="3" t="s">
        <v>51</v>
      </c>
      <c r="C57" s="4" t="s">
        <v>78</v>
      </c>
      <c r="D57" s="1" t="s">
        <v>21</v>
      </c>
      <c r="E57" s="1" t="str">
        <f>RIGHT(Table1[[#This Row],[PROJECT TITLE]],6)</f>
        <v>LD0338</v>
      </c>
      <c r="F57" s="10" t="s">
        <v>8</v>
      </c>
      <c r="G57" s="13" t="str">
        <f>VLOOKUP(Table1[[#This Row],[Eq No]],[1]!Table3[[Eq.No.]:[FY23/34 Acq. Status]],2,FALSE)</f>
        <v>BR Elect Services</v>
      </c>
      <c r="H57" s="12">
        <f>VLOOKUP(Table1[[#This Row],[Eq No]],[1]!Table3[[Eq.No.]:[FY23/34 Acq. Status]],3,FALSE)</f>
        <v>2014</v>
      </c>
      <c r="I57" s="13" t="str">
        <f>VLOOKUP(Table1[[#This Row],[Eq No]],[1]!Table3[[Eq.No.]:[FY23/34 Acq. Status]],12,FALSE)</f>
        <v>2.5D 4x2</v>
      </c>
      <c r="J57" s="13" t="str">
        <f>VLOOKUP(Table1[[#This Row],[Eq No]],[1]!Table3[[Eq.No.]:[FY23/34 Acq. Status]],17,FALSE)</f>
        <v>4 x 2 (2.5D)</v>
      </c>
      <c r="K57" s="2">
        <v>0</v>
      </c>
      <c r="L57" s="2">
        <v>1167311.3472</v>
      </c>
      <c r="M57" s="2">
        <v>0</v>
      </c>
    </row>
    <row r="58" spans="2:13" hidden="1" x14ac:dyDescent="0.25">
      <c r="B58" s="3" t="s">
        <v>51</v>
      </c>
      <c r="C58" s="4" t="s">
        <v>79</v>
      </c>
      <c r="D58" s="1" t="s">
        <v>21</v>
      </c>
      <c r="E58" s="1" t="str">
        <f>RIGHT(Table1[[#This Row],[PROJECT TITLE]],6)</f>
        <v>LD0339</v>
      </c>
      <c r="F58" s="10" t="s">
        <v>8</v>
      </c>
      <c r="G58" s="13">
        <f>VLOOKUP(Table1[[#This Row],[Eq No]],[1]!Table3[[Eq.No.]:[FY23/34 Acq. Status]],2,FALSE)</f>
        <v>0</v>
      </c>
      <c r="H58" s="12">
        <f>VLOOKUP(Table1[[#This Row],[Eq No]],[1]!Table3[[Eq.No.]:[FY23/34 Acq. Status]],3,FALSE)</f>
        <v>2014</v>
      </c>
      <c r="I58" s="13" t="str">
        <f>VLOOKUP(Table1[[#This Row],[Eq No]],[1]!Table3[[Eq.No.]:[FY23/34 Acq. Status]],12,FALSE)</f>
        <v>2.5D 4x4</v>
      </c>
      <c r="J58" s="13" t="str">
        <f>VLOOKUP(Table1[[#This Row],[Eq No]],[1]!Table3[[Eq.No.]:[FY23/34 Acq. Status]],17,FALSE)</f>
        <v>4 x 4 (2.5D)</v>
      </c>
      <c r="K58" s="2">
        <v>0</v>
      </c>
      <c r="L58" s="2">
        <v>1201331.1872</v>
      </c>
      <c r="M58" s="2">
        <v>0</v>
      </c>
    </row>
    <row r="59" spans="2:13" hidden="1" x14ac:dyDescent="0.25">
      <c r="B59" s="3" t="s">
        <v>51</v>
      </c>
      <c r="C59" s="4" t="s">
        <v>80</v>
      </c>
      <c r="D59" s="1" t="s">
        <v>21</v>
      </c>
      <c r="E59" s="1" t="str">
        <f>RIGHT(Table1[[#This Row],[PROJECT TITLE]],6)</f>
        <v>LD0340</v>
      </c>
      <c r="F59" s="10" t="s">
        <v>8</v>
      </c>
      <c r="G59" s="13">
        <f>VLOOKUP(Table1[[#This Row],[Eq No]],[1]!Table3[[Eq.No.]:[FY23/34 Acq. Status]],2,FALSE)</f>
        <v>0</v>
      </c>
      <c r="H59" s="12">
        <f>VLOOKUP(Table1[[#This Row],[Eq No]],[1]!Table3[[Eq.No.]:[FY23/34 Acq. Status]],3,FALSE)</f>
        <v>2014</v>
      </c>
      <c r="I59" s="13" t="str">
        <f>VLOOKUP(Table1[[#This Row],[Eq No]],[1]!Table3[[Eq.No.]:[FY23/34 Acq. Status]],12,FALSE)</f>
        <v>2.5D 4x4</v>
      </c>
      <c r="J59" s="13" t="str">
        <f>VLOOKUP(Table1[[#This Row],[Eq No]],[1]!Table3[[Eq.No.]:[FY23/34 Acq. Status]],17,FALSE)</f>
        <v>4 x 4 (2.5D)</v>
      </c>
      <c r="K59" s="2">
        <v>0</v>
      </c>
      <c r="L59" s="2">
        <v>1201331.1872</v>
      </c>
      <c r="M59" s="2">
        <v>0</v>
      </c>
    </row>
    <row r="60" spans="2:13" hidden="1" x14ac:dyDescent="0.25">
      <c r="B60" s="3" t="s">
        <v>51</v>
      </c>
      <c r="C60" s="4" t="s">
        <v>81</v>
      </c>
      <c r="D60" s="1" t="s">
        <v>21</v>
      </c>
      <c r="E60" s="1" t="str">
        <f>RIGHT(Table1[[#This Row],[PROJECT TITLE]],6)</f>
        <v>LD0364</v>
      </c>
      <c r="F60" s="10" t="s">
        <v>8</v>
      </c>
      <c r="G60" s="13" t="str">
        <f>VLOOKUP(Table1[[#This Row],[Eq No]],[1]!Table3[[Eq.No.]:[FY23/34 Acq. Status]],2,FALSE)</f>
        <v>BR Projects</v>
      </c>
      <c r="H60" s="12">
        <f>VLOOKUP(Table1[[#This Row],[Eq No]],[1]!Table3[[Eq.No.]:[FY23/34 Acq. Status]],3,FALSE)</f>
        <v>2014</v>
      </c>
      <c r="I60" s="13" t="str">
        <f>VLOOKUP(Table1[[#This Row],[Eq No]],[1]!Table3[[Eq.No.]:[FY23/34 Acq. Status]],12,FALSE)</f>
        <v>2.5D 4x2</v>
      </c>
      <c r="J60" s="13" t="str">
        <f>VLOOKUP(Table1[[#This Row],[Eq No]],[1]!Table3[[Eq.No.]:[FY23/34 Acq. Status]],17,FALSE)</f>
        <v>4 x 4 (2.5D)</v>
      </c>
      <c r="K60" s="2">
        <v>0</v>
      </c>
      <c r="L60" s="2">
        <v>0</v>
      </c>
      <c r="M60" s="2">
        <v>1239840.3537999999</v>
      </c>
    </row>
    <row r="61" spans="2:13" hidden="1" x14ac:dyDescent="0.25">
      <c r="B61" s="3" t="s">
        <v>51</v>
      </c>
      <c r="C61" s="4" t="s">
        <v>82</v>
      </c>
      <c r="D61" s="1" t="s">
        <v>21</v>
      </c>
      <c r="E61" s="1" t="str">
        <f>RIGHT(Table1[[#This Row],[PROJECT TITLE]],6)</f>
        <v>LD0374</v>
      </c>
      <c r="F61" s="10" t="s">
        <v>8</v>
      </c>
      <c r="G61" s="13" t="str">
        <f>VLOOKUP(Table1[[#This Row],[Eq No]],[1]!Table3[[Eq.No.]:[FY23/34 Acq. Status]],2,FALSE)</f>
        <v>Proto</v>
      </c>
      <c r="H61" s="12">
        <f>VLOOKUP(Table1[[#This Row],[Eq No]],[1]!Table3[[Eq.No.]:[FY23/34 Acq. Status]],3,FALSE)</f>
        <v>2015</v>
      </c>
      <c r="I61" s="13" t="str">
        <f>VLOOKUP(Table1[[#This Row],[Eq No]],[1]!Table3[[Eq.No.]:[FY23/34 Acq. Status]],12,FALSE)</f>
        <v>Land Cruiser 70 4.2D V8</v>
      </c>
      <c r="J61" s="13" t="str">
        <f>VLOOKUP(Table1[[#This Row],[Eq No]],[1]!Table3[[Eq.No.]:[FY23/34 Acq. Status]],17,FALSE)</f>
        <v>L/C, 4x4, 4.2D</v>
      </c>
      <c r="K61" s="2">
        <v>0</v>
      </c>
      <c r="L61" s="2">
        <v>0</v>
      </c>
      <c r="M61" s="2">
        <v>1633230.1538</v>
      </c>
    </row>
    <row r="62" spans="2:13" hidden="1" x14ac:dyDescent="0.25">
      <c r="B62" s="3" t="s">
        <v>51</v>
      </c>
      <c r="C62" s="4" t="s">
        <v>83</v>
      </c>
      <c r="D62" s="1" t="s">
        <v>21</v>
      </c>
      <c r="E62" s="1" t="str">
        <f>RIGHT(Table1[[#This Row],[PROJECT TITLE]],6)</f>
        <v>LD0375</v>
      </c>
      <c r="F62" s="10" t="s">
        <v>8</v>
      </c>
      <c r="G62" s="13" t="str">
        <f>VLOOKUP(Table1[[#This Row],[Eq No]],[1]!Table3[[Eq.No.]:[FY23/34 Acq. Status]],2,FALSE)</f>
        <v>Nch 3 Elect</v>
      </c>
      <c r="H62" s="12">
        <f>VLOOKUP(Table1[[#This Row],[Eq No]],[1]!Table3[[Eq.No.]:[FY23/34 Acq. Status]],3,FALSE)</f>
        <v>2015</v>
      </c>
      <c r="I62" s="13" t="str">
        <f>VLOOKUP(Table1[[#This Row],[Eq No]],[1]!Table3[[Eq.No.]:[FY23/34 Acq. Status]],12,FALSE)</f>
        <v>2.5D 4x4</v>
      </c>
      <c r="J62" s="13" t="str">
        <f>VLOOKUP(Table1[[#This Row],[Eq No]],[1]!Table3[[Eq.No.]:[FY23/34 Acq. Status]],17,FALSE)</f>
        <v>4 x 4 (2.5D)</v>
      </c>
      <c r="K62" s="2">
        <v>0</v>
      </c>
      <c r="L62" s="2">
        <v>0</v>
      </c>
      <c r="M62" s="2">
        <v>1239840.3537999999</v>
      </c>
    </row>
    <row r="63" spans="2:13" hidden="1" x14ac:dyDescent="0.25">
      <c r="B63" s="3" t="s">
        <v>51</v>
      </c>
      <c r="C63" s="4" t="s">
        <v>84</v>
      </c>
      <c r="D63" s="1" t="s">
        <v>21</v>
      </c>
      <c r="E63" s="1" t="str">
        <f>RIGHT(Table1[[#This Row],[PROJECT TITLE]],6)</f>
        <v>LD0462</v>
      </c>
      <c r="F63" s="10" t="s">
        <v>8</v>
      </c>
      <c r="G63" s="13" t="str">
        <f>VLOOKUP(Table1[[#This Row],[Eq No]],[1]!Table3[[Eq.No.]:[FY23/34 Acq. Status]],2,FALSE)</f>
        <v>BR HOD</v>
      </c>
      <c r="H63" s="12">
        <f>VLOOKUP(Table1[[#This Row],[Eq No]],[1]!Table3[[Eq.No.]:[FY23/34 Acq. Status]],3,FALSE)</f>
        <v>2016</v>
      </c>
      <c r="I63" s="13" t="str">
        <f>VLOOKUP(Table1[[#This Row],[Eq No]],[1]!Table3[[Eq.No.]:[FY23/34 Acq. Status]],12,FALSE)</f>
        <v>2.8 GD6 D/C RAI 4x2</v>
      </c>
      <c r="J63" s="13" t="str">
        <f>VLOOKUP(Table1[[#This Row],[Eq No]],[1]!Table3[[Eq.No.]:[FY23/34 Acq. Status]],17,FALSE)</f>
        <v>4x4 DC 2.8GD-6</v>
      </c>
      <c r="K63" s="2">
        <v>0</v>
      </c>
      <c r="L63" s="2">
        <v>0</v>
      </c>
      <c r="M63" s="2">
        <v>1239840.3537999999</v>
      </c>
    </row>
    <row r="64" spans="2:13" hidden="1" x14ac:dyDescent="0.25">
      <c r="B64" s="3" t="s">
        <v>51</v>
      </c>
      <c r="C64" s="4" t="s">
        <v>85</v>
      </c>
      <c r="D64" s="1" t="s">
        <v>21</v>
      </c>
      <c r="E64" s="1" t="str">
        <f>RIGHT(Table1[[#This Row],[PROJECT TITLE]],6)</f>
        <v>LD0464</v>
      </c>
      <c r="F64" s="10" t="s">
        <v>8</v>
      </c>
      <c r="G64" s="13" t="str">
        <f>VLOOKUP(Table1[[#This Row],[Eq No]],[1]!Table3[[Eq.No.]:[FY23/34 Acq. Status]],2,FALSE)</f>
        <v>Training Centre</v>
      </c>
      <c r="H64" s="12">
        <f>VLOOKUP(Table1[[#This Row],[Eq No]],[1]!Table3[[Eq.No.]:[FY23/34 Acq. Status]],3,FALSE)</f>
        <v>2017</v>
      </c>
      <c r="I64" s="13" t="str">
        <f>VLOOKUP(Table1[[#This Row],[Eq No]],[1]!Table3[[Eq.No.]:[FY23/34 Acq. Status]],12,FALSE)</f>
        <v xml:space="preserve">2.4 GD6 D/C 4x4 SRX </v>
      </c>
      <c r="J64" s="13" t="str">
        <f>VLOOKUP(Table1[[#This Row],[Eq No]],[1]!Table3[[Eq.No.]:[FY23/34 Acq. Status]],17,FALSE)</f>
        <v>L/Cruiser 4x4 (Converted to UG Spec)</v>
      </c>
      <c r="K64" s="2">
        <v>0</v>
      </c>
      <c r="L64" s="2">
        <v>0</v>
      </c>
      <c r="M64" s="2">
        <v>3760306.4600920002</v>
      </c>
    </row>
    <row r="65" spans="2:13" hidden="1" x14ac:dyDescent="0.25">
      <c r="B65" s="3" t="s">
        <v>51</v>
      </c>
      <c r="C65" s="4" t="s">
        <v>86</v>
      </c>
      <c r="D65" s="1" t="s">
        <v>21</v>
      </c>
      <c r="E65" s="1" t="str">
        <f>RIGHT(Table1[[#This Row],[PROJECT TITLE]],6)</f>
        <v>LD0472</v>
      </c>
      <c r="F65" s="10" t="s">
        <v>8</v>
      </c>
      <c r="G65" s="13" t="str">
        <f>VLOOKUP(Table1[[#This Row],[Eq No]],[1]!Table3[[Eq.No.]:[FY23/34 Acq. Status]],2,FALSE)</f>
        <v>Security</v>
      </c>
      <c r="H65" s="12">
        <f>VLOOKUP(Table1[[#This Row],[Eq No]],[1]!Table3[[Eq.No.]:[FY23/34 Acq. Status]],3,FALSE)</f>
        <v>2017</v>
      </c>
      <c r="I65" s="13" t="str">
        <f>VLOOKUP(Table1[[#This Row],[Eq No]],[1]!Table3[[Eq.No.]:[FY23/34 Acq. Status]],12,FALSE)</f>
        <v>2.4, GD6, D/C</v>
      </c>
      <c r="J65" s="13" t="str">
        <f>VLOOKUP(Table1[[#This Row],[Eq No]],[1]!Table3[[Eq.No.]:[FY23/34 Acq. Status]],17,FALSE)</f>
        <v>Hilux D/C 2.4GD6 4x4 RAI MT</v>
      </c>
      <c r="K65" s="2">
        <v>0</v>
      </c>
      <c r="L65" s="2">
        <v>0</v>
      </c>
      <c r="M65" s="2">
        <v>1130228.1164000002</v>
      </c>
    </row>
    <row r="66" spans="2:13" hidden="1" x14ac:dyDescent="0.25">
      <c r="B66" s="3" t="s">
        <v>51</v>
      </c>
      <c r="C66" s="4" t="s">
        <v>87</v>
      </c>
      <c r="D66" s="1" t="s">
        <v>21</v>
      </c>
      <c r="E66" s="1" t="str">
        <f>RIGHT(Table1[[#This Row],[PROJECT TITLE]],6)</f>
        <v>LD0473</v>
      </c>
      <c r="F66" s="10" t="s">
        <v>8</v>
      </c>
      <c r="G66" s="13" t="str">
        <f>VLOOKUP(Table1[[#This Row],[Eq No]],[1]!Table3[[Eq.No.]:[FY23/34 Acq. Status]],2,FALSE)</f>
        <v>Instrumentation</v>
      </c>
      <c r="H66" s="12">
        <f>VLOOKUP(Table1[[#This Row],[Eq No]],[1]!Table3[[Eq.No.]:[FY23/34 Acq. Status]],3,FALSE)</f>
        <v>2018</v>
      </c>
      <c r="I66" s="13" t="str">
        <f>VLOOKUP(Table1[[#This Row],[Eq No]],[1]!Table3[[Eq.No.]:[FY23/34 Acq. Status]],12,FALSE)</f>
        <v>2.4 GD6 S/C SRX 4x4</v>
      </c>
      <c r="J66" s="13" t="str">
        <f>VLOOKUP(Table1[[#This Row],[Eq No]],[1]!Table3[[Eq.No.]:[FY23/34 Acq. Status]],17,FALSE)</f>
        <v>2.4, GD6, S/C</v>
      </c>
      <c r="K66" s="2">
        <v>0</v>
      </c>
      <c r="L66" s="2">
        <v>0</v>
      </c>
      <c r="M66" s="2">
        <v>1204729.9938000001</v>
      </c>
    </row>
    <row r="67" spans="2:13" hidden="1" x14ac:dyDescent="0.25">
      <c r="B67" s="3" t="s">
        <v>51</v>
      </c>
      <c r="C67" s="4" t="s">
        <v>88</v>
      </c>
      <c r="D67" s="1" t="s">
        <v>21</v>
      </c>
      <c r="E67" s="1" t="str">
        <f>RIGHT(Table1[[#This Row],[PROJECT TITLE]],6)</f>
        <v>LD0474</v>
      </c>
      <c r="F67" s="10" t="s">
        <v>8</v>
      </c>
      <c r="G67" s="13" t="str">
        <f>VLOOKUP(Table1[[#This Row],[Eq No]],[1]!Table3[[Eq.No.]:[FY23/34 Acq. Status]],2,FALSE)</f>
        <v>Instrumentation</v>
      </c>
      <c r="H67" s="12">
        <f>VLOOKUP(Table1[[#This Row],[Eq No]],[1]!Table3[[Eq.No.]:[FY23/34 Acq. Status]],3,FALSE)</f>
        <v>2018</v>
      </c>
      <c r="I67" s="13" t="str">
        <f>VLOOKUP(Table1[[#This Row],[Eq No]],[1]!Table3[[Eq.No.]:[FY23/34 Acq. Status]],12,FALSE)</f>
        <v>2.4 GD6 S/C SRX 4x4</v>
      </c>
      <c r="J67" s="13" t="str">
        <f>VLOOKUP(Table1[[#This Row],[Eq No]],[1]!Table3[[Eq.No.]:[FY23/34 Acq. Status]],17,FALSE)</f>
        <v>2.4, GD6, S/C</v>
      </c>
      <c r="K67" s="2">
        <v>0</v>
      </c>
      <c r="L67" s="2">
        <v>0</v>
      </c>
      <c r="M67" s="2">
        <v>1204729.9938000001</v>
      </c>
    </row>
    <row r="68" spans="2:13" hidden="1" x14ac:dyDescent="0.25">
      <c r="B68" s="3" t="s">
        <v>51</v>
      </c>
      <c r="C68" s="4" t="s">
        <v>89</v>
      </c>
      <c r="D68" s="1" t="s">
        <v>21</v>
      </c>
      <c r="E68" s="1" t="str">
        <f>RIGHT(Table1[[#This Row],[PROJECT TITLE]],6)</f>
        <v>LD0487</v>
      </c>
      <c r="F68" s="10" t="s">
        <v>8</v>
      </c>
      <c r="G68" s="13">
        <f>VLOOKUP(Table1[[#This Row],[Eq No]],[1]!Table3[[Eq.No.]:[FY23/34 Acq. Status]],2,FALSE)</f>
        <v>0</v>
      </c>
      <c r="H68" s="12">
        <f>VLOOKUP(Table1[[#This Row],[Eq No]],[1]!Table3[[Eq.No.]:[FY23/34 Acq. Status]],3,FALSE)</f>
        <v>2018</v>
      </c>
      <c r="I68" s="13" t="str">
        <f>VLOOKUP(Table1[[#This Row],[Eq No]],[1]!Table3[[Eq.No.]:[FY23/34 Acq. Status]],12,FALSE)</f>
        <v>2.4GD6 D/C 4x4 SRX 6AT</v>
      </c>
      <c r="J68" s="13" t="str">
        <f>VLOOKUP(Table1[[#This Row],[Eq No]],[1]!Table3[[Eq.No.]:[FY23/34 Acq. Status]],17,FALSE)</f>
        <v>Hilux D/C 2.4GD6 4x4 RAI MT</v>
      </c>
      <c r="K68" s="2">
        <v>0</v>
      </c>
      <c r="L68" s="2">
        <v>0</v>
      </c>
      <c r="M68" s="2">
        <v>1130228.1164000002</v>
      </c>
    </row>
    <row r="69" spans="2:13" hidden="1" x14ac:dyDescent="0.25">
      <c r="B69" s="3" t="s">
        <v>51</v>
      </c>
      <c r="C69" s="4" t="s">
        <v>90</v>
      </c>
      <c r="D69" s="1" t="s">
        <v>21</v>
      </c>
      <c r="E69" s="1" t="str">
        <f>RIGHT(Table1[[#This Row],[PROJECT TITLE]],6)</f>
        <v>LD0488</v>
      </c>
      <c r="F69" s="10" t="s">
        <v>8</v>
      </c>
      <c r="G69" s="13" t="str">
        <f>VLOOKUP(Table1[[#This Row],[Eq No]],[1]!Table3[[Eq.No.]:[FY23/34 Acq. Status]],2,FALSE)</f>
        <v xml:space="preserve">BR Services </v>
      </c>
      <c r="H69" s="12">
        <f>VLOOKUP(Table1[[#This Row],[Eq No]],[1]!Table3[[Eq.No.]:[FY23/34 Acq. Status]],3,FALSE)</f>
        <v>2018</v>
      </c>
      <c r="I69" s="13" t="str">
        <f>VLOOKUP(Table1[[#This Row],[Eq No]],[1]!Table3[[Eq.No.]:[FY23/34 Acq. Status]],12,FALSE)</f>
        <v>2.4GD6 D/C 4x4 SRX 6MT</v>
      </c>
      <c r="J69" s="13" t="str">
        <f>VLOOKUP(Table1[[#This Row],[Eq No]],[1]!Table3[[Eq.No.]:[FY23/34 Acq. Status]],17,FALSE)</f>
        <v>Hilux D/C 2.4GD6 4x4 RAI MT</v>
      </c>
      <c r="K69" s="2">
        <v>0</v>
      </c>
      <c r="L69" s="2">
        <v>0</v>
      </c>
      <c r="M69" s="2">
        <v>1130228.1164000002</v>
      </c>
    </row>
    <row r="70" spans="2:13" hidden="1" x14ac:dyDescent="0.25">
      <c r="B70" s="3" t="s">
        <v>51</v>
      </c>
      <c r="C70" s="4" t="s">
        <v>91</v>
      </c>
      <c r="D70" s="1" t="s">
        <v>92</v>
      </c>
      <c r="E70" s="1" t="str">
        <f>RIGHT(Table1[[#This Row],[PROJECT TITLE]],6)</f>
        <v>TK0060</v>
      </c>
      <c r="F70" s="10" t="s">
        <v>8</v>
      </c>
      <c r="G70" s="13" t="str">
        <f>VLOOKUP(Table1[[#This Row],[Eq No]],[1]!Table3[[Eq.No.]:[FY23/34 Acq. Status]],2,FALSE)</f>
        <v>Fire House - Fire Truck</v>
      </c>
      <c r="H70" s="12">
        <f>VLOOKUP(Table1[[#This Row],[Eq No]],[1]!Table3[[Eq.No.]:[FY23/34 Acq. Status]],3,FALSE)</f>
        <v>2011</v>
      </c>
      <c r="I70" s="13" t="str">
        <f>VLOOKUP(Table1[[#This Row],[Eq No]],[1]!Table3[[Eq.No.]:[FY23/34 Acq. Status]],12,FALSE)</f>
        <v>Equipment Not found on Asset List</v>
      </c>
      <c r="J70" s="13" t="str">
        <f>VLOOKUP(Table1[[#This Row],[Eq No]],[1]!Table3[[Eq.No.]:[FY23/34 Acq. Status]],17,FALSE)</f>
        <v>Mobile Fire Truck P340</v>
      </c>
      <c r="K70" s="2">
        <v>0</v>
      </c>
      <c r="L70" s="2">
        <v>7440121.0574438404</v>
      </c>
      <c r="M70" s="2">
        <v>0</v>
      </c>
    </row>
    <row r="71" spans="2:13" hidden="1" x14ac:dyDescent="0.25">
      <c r="B71" s="3" t="s">
        <v>51</v>
      </c>
      <c r="C71" s="4" t="s">
        <v>93</v>
      </c>
      <c r="D71" s="1" t="s">
        <v>92</v>
      </c>
      <c r="E71" s="1" t="str">
        <f>RIGHT(Table1[[#This Row],[PROJECT TITLE]],6)</f>
        <v>TK0071</v>
      </c>
      <c r="F71" s="10" t="s">
        <v>8</v>
      </c>
      <c r="G71" s="13" t="str">
        <f>VLOOKUP(Table1[[#This Row],[Eq No]],[1]!Table3[[Eq.No.]:[FY23/34 Acq. Status]],2,FALSE)</f>
        <v>BR Services Fitter/Bolier</v>
      </c>
      <c r="H71" s="12">
        <f>VLOOKUP(Table1[[#This Row],[Eq No]],[1]!Table3[[Eq.No.]:[FY23/34 Acq. Status]],3,FALSE)</f>
        <v>2011</v>
      </c>
      <c r="I71" s="13" t="str">
        <f>VLOOKUP(Table1[[#This Row],[Eq No]],[1]!Table3[[Eq.No.]:[FY23/34 Acq. Status]],12,FALSE)</f>
        <v>Hino Super F</v>
      </c>
      <c r="J71" s="13" t="str">
        <f>VLOOKUP(Table1[[#This Row],[Eq No]],[1]!Table3[[Eq.No.]:[FY23/34 Acq. Status]],17,FALSE)</f>
        <v>Hino500,1324Tipper</v>
      </c>
      <c r="K71" s="2">
        <v>0</v>
      </c>
      <c r="L71" s="2">
        <v>2126185.3695999999</v>
      </c>
      <c r="M71" s="2">
        <v>0</v>
      </c>
    </row>
    <row r="72" spans="2:13" hidden="1" x14ac:dyDescent="0.25">
      <c r="B72" s="3" t="s">
        <v>51</v>
      </c>
      <c r="C72" s="4" t="s">
        <v>94</v>
      </c>
      <c r="D72" s="1" t="s">
        <v>95</v>
      </c>
      <c r="E72" s="1" t="str">
        <f>RIGHT(Table1[[#This Row],[PROJECT TITLE]],6)</f>
        <v>UV0011</v>
      </c>
      <c r="F72" s="10" t="s">
        <v>8</v>
      </c>
      <c r="G72" s="13" t="str">
        <f>VLOOKUP(Table1[[#This Row],[Eq No]],[1]!Table3[[Eq.No.]:[FY23/34 Acq. Status]],2,FALSE)</f>
        <v>Proto</v>
      </c>
      <c r="H72" s="12">
        <f>VLOOKUP(Table1[[#This Row],[Eq No]],[1]!Table3[[Eq.No.]:[FY23/34 Acq. Status]],3,FALSE)</f>
        <v>2001</v>
      </c>
      <c r="I72" s="13" t="str">
        <f>VLOOKUP(Table1[[#This Row],[Eq No]],[1]!Table3[[Eq.No.]:[FY23/34 Acq. Status]],12,FALSE)</f>
        <v>Land Cruiser 70 4.2D</v>
      </c>
      <c r="J72" s="13" t="str">
        <f>VLOOKUP(Table1[[#This Row],[Eq No]],[1]!Table3[[Eq.No.]:[FY23/34 Acq. Status]],17,FALSE)</f>
        <v>L/C, 4x4, 4.2D</v>
      </c>
      <c r="K72" s="2">
        <v>0</v>
      </c>
      <c r="L72" s="2">
        <v>0</v>
      </c>
      <c r="M72" s="2">
        <v>1633230.1538</v>
      </c>
    </row>
    <row r="73" spans="2:13" hidden="1" x14ac:dyDescent="0.25">
      <c r="B73" s="3" t="s">
        <v>51</v>
      </c>
      <c r="C73" s="4" t="s">
        <v>96</v>
      </c>
      <c r="D73" s="1" t="s">
        <v>97</v>
      </c>
      <c r="E73" s="1" t="str">
        <f>RIGHT(Table1[[#This Row],[PROJECT TITLE]],6)</f>
        <v>GD0008</v>
      </c>
      <c r="F73" s="10" t="s">
        <v>43</v>
      </c>
      <c r="G73" s="13" t="str">
        <f>VLOOKUP(Table1[[#This Row],[Eq No]],[1]!Table3[[Eq.No.]:[FY23/34 Acq. Status]],2,FALSE)</f>
        <v>Gloria U/G</v>
      </c>
      <c r="H73" s="12">
        <f>VLOOKUP(Table1[[#This Row],[Eq No]],[1]!Table3[[Eq.No.]:[FY23/34 Acq. Status]],3,FALSE)</f>
        <v>2016</v>
      </c>
      <c r="I73" s="13" t="str">
        <f>VLOOKUP(Table1[[#This Row],[Eq No]],[1]!Table3[[Eq.No.]:[FY23/34 Acq. Status]],12,FALSE)</f>
        <v>120G</v>
      </c>
      <c r="J73" s="13" t="str">
        <f>VLOOKUP(Table1[[#This Row],[Eq No]],[1]!Table3[[Eq.No.]:[FY23/34 Acq. Status]],17,FALSE)</f>
        <v>120G</v>
      </c>
      <c r="K73" s="2">
        <v>0</v>
      </c>
      <c r="L73" s="2">
        <v>6404325.3673113603</v>
      </c>
      <c r="M73" s="2">
        <v>0</v>
      </c>
    </row>
    <row r="74" spans="2:13" hidden="1" x14ac:dyDescent="0.25">
      <c r="B74" s="3" t="s">
        <v>51</v>
      </c>
      <c r="C74" s="4" t="s">
        <v>98</v>
      </c>
      <c r="D74" s="1" t="s">
        <v>21</v>
      </c>
      <c r="E74" s="1" t="str">
        <f>RIGHT(Table1[[#This Row],[PROJECT TITLE]],6)</f>
        <v>LD0226</v>
      </c>
      <c r="F74" s="10" t="s">
        <v>43</v>
      </c>
      <c r="G74" s="13" t="str">
        <f>VLOOKUP(Table1[[#This Row],[Eq No]],[1]!Table3[[Eq.No.]:[FY23/34 Acq. Status]],2,FALSE)</f>
        <v>Stretcher carrier</v>
      </c>
      <c r="H74" s="12">
        <f>VLOOKUP(Table1[[#This Row],[Eq No]],[1]!Table3[[Eq.No.]:[FY23/34 Acq. Status]],3,FALSE)</f>
        <v>2009</v>
      </c>
      <c r="I74" s="13" t="str">
        <f>VLOOKUP(Table1[[#This Row],[Eq No]],[1]!Table3[[Eq.No.]:[FY23/34 Acq. Status]],12,FALSE)</f>
        <v>LDV, TOYOTA Stretcher carrier</v>
      </c>
      <c r="J74" s="13" t="str">
        <f>VLOOKUP(Table1[[#This Row],[Eq No]],[1]!Table3[[Eq.No.]:[FY23/34 Acq. Status]],17,FALSE)</f>
        <v>L/cruiser 4x4 (Converted to UG Spec)</v>
      </c>
      <c r="K74" s="2">
        <v>0</v>
      </c>
      <c r="L74" s="2">
        <v>3643512.1748480005</v>
      </c>
      <c r="M74" s="2">
        <v>0</v>
      </c>
    </row>
    <row r="75" spans="2:13" hidden="1" x14ac:dyDescent="0.25">
      <c r="B75" s="3" t="s">
        <v>51</v>
      </c>
      <c r="C75" s="4" t="s">
        <v>99</v>
      </c>
      <c r="D75" s="1" t="s">
        <v>21</v>
      </c>
      <c r="E75" s="1" t="str">
        <f>RIGHT(Table1[[#This Row],[PROJECT TITLE]],6)</f>
        <v>LD0287</v>
      </c>
      <c r="F75" s="10" t="s">
        <v>43</v>
      </c>
      <c r="G75" s="13" t="str">
        <f>VLOOKUP(Table1[[#This Row],[Eq No]],[1]!Table3[[Eq.No.]:[FY23/34 Acq. Status]],2,FALSE)</f>
        <v>Gloria S/Plant</v>
      </c>
      <c r="H75" s="12">
        <f>VLOOKUP(Table1[[#This Row],[Eq No]],[1]!Table3[[Eq.No.]:[FY23/34 Acq. Status]],3,FALSE)</f>
        <v>2013</v>
      </c>
      <c r="I75" s="13" t="str">
        <f>VLOOKUP(Table1[[#This Row],[Eq No]],[1]!Table3[[Eq.No.]:[FY23/34 Acq. Status]],12,FALSE)</f>
        <v>L/C, 4x4, 4.2D</v>
      </c>
      <c r="J75" s="13" t="str">
        <f>VLOOKUP(Table1[[#This Row],[Eq No]],[1]!Table3[[Eq.No.]:[FY23/34 Acq. Status]],17,FALSE)</f>
        <v>L/C, 4x4, 4.2D</v>
      </c>
      <c r="K75" s="2">
        <v>0</v>
      </c>
      <c r="L75" s="2">
        <v>0</v>
      </c>
      <c r="M75" s="2">
        <v>1633230.1538</v>
      </c>
    </row>
    <row r="76" spans="2:13" hidden="1" x14ac:dyDescent="0.25">
      <c r="B76" s="3" t="s">
        <v>51</v>
      </c>
      <c r="C76" s="4" t="s">
        <v>100</v>
      </c>
      <c r="D76" s="1" t="s">
        <v>21</v>
      </c>
      <c r="E76" s="1" t="str">
        <f>RIGHT(Table1[[#This Row],[PROJECT TITLE]],6)</f>
        <v>LD0412</v>
      </c>
      <c r="F76" s="10" t="s">
        <v>43</v>
      </c>
      <c r="G76" s="13" t="str">
        <f>VLOOKUP(Table1[[#This Row],[Eq No]],[1]!Table3[[Eq.No.]:[FY23/34 Acq. Status]],2,FALSE)</f>
        <v>Gloria U/G</v>
      </c>
      <c r="H76" s="12">
        <f>VLOOKUP(Table1[[#This Row],[Eq No]],[1]!Table3[[Eq.No.]:[FY23/34 Acq. Status]],3,FALSE)</f>
        <v>2020</v>
      </c>
      <c r="I76" s="13" t="str">
        <f>VLOOKUP(Table1[[#This Row],[Eq No]],[1]!Table3[[Eq.No.]:[FY23/34 Acq. Status]],12,FALSE)</f>
        <v>Maverick D/C</v>
      </c>
      <c r="J76" s="13" t="str">
        <f>VLOOKUP(Table1[[#This Row],[Eq No]],[1]!Table3[[Eq.No.]:[FY23/34 Acq. Status]],17,FALSE)</f>
        <v>L/Cruiser 4x4 (Converted to UG Spec)</v>
      </c>
      <c r="K76" s="2">
        <v>0</v>
      </c>
      <c r="L76" s="2">
        <v>3643512.1748480005</v>
      </c>
      <c r="M76" s="2">
        <v>0</v>
      </c>
    </row>
    <row r="77" spans="2:13" hidden="1" x14ac:dyDescent="0.25">
      <c r="B77" s="3" t="s">
        <v>51</v>
      </c>
      <c r="C77" s="4" t="s">
        <v>101</v>
      </c>
      <c r="D77" s="1" t="s">
        <v>21</v>
      </c>
      <c r="E77" s="1" t="str">
        <f>RIGHT(Table1[[#This Row],[PROJECT TITLE]],6)</f>
        <v>LD0451</v>
      </c>
      <c r="F77" s="10" t="s">
        <v>43</v>
      </c>
      <c r="G77" s="13" t="str">
        <f>VLOOKUP(Table1[[#This Row],[Eq No]],[1]!Table3[[Eq.No.]:[FY23/34 Acq. Status]],2,FALSE)</f>
        <v>Gloria U/G</v>
      </c>
      <c r="H77" s="12">
        <f>VLOOKUP(Table1[[#This Row],[Eq No]],[1]!Table3[[Eq.No.]:[FY23/34 Acq. Status]],3,FALSE)</f>
        <v>2018</v>
      </c>
      <c r="I77" s="13" t="str">
        <f>VLOOKUP(Table1[[#This Row],[Eq No]],[1]!Table3[[Eq.No.]:[FY23/34 Acq. Status]],12,FALSE)</f>
        <v>Maverick D/C</v>
      </c>
      <c r="J77" s="13" t="str">
        <f>VLOOKUP(Table1[[#This Row],[Eq No]],[1]!Table3[[Eq.No.]:[FY23/34 Acq. Status]],17,FALSE)</f>
        <v>L/Cruiser 4x4 (Converted to UG Spec)</v>
      </c>
      <c r="K77" s="2">
        <v>0</v>
      </c>
      <c r="L77" s="2">
        <v>0</v>
      </c>
      <c r="M77" s="2">
        <v>3760306.4600920002</v>
      </c>
    </row>
    <row r="78" spans="2:13" hidden="1" x14ac:dyDescent="0.25">
      <c r="B78" s="3" t="s">
        <v>51</v>
      </c>
      <c r="C78" s="4" t="s">
        <v>102</v>
      </c>
      <c r="D78" s="1" t="s">
        <v>95</v>
      </c>
      <c r="E78" s="1" t="str">
        <f>RIGHT(Table1[[#This Row],[PROJECT TITLE]],6)</f>
        <v>UV0076</v>
      </c>
      <c r="F78" s="10" t="s">
        <v>43</v>
      </c>
      <c r="G78" s="13" t="str">
        <f>VLOOKUP(Table1[[#This Row],[Eq No]],[1]!Table3[[Eq.No.]:[FY23/34 Acq. Status]],2,FALSE)</f>
        <v>Gloria U/G</v>
      </c>
      <c r="H78" s="12">
        <f>VLOOKUP(Table1[[#This Row],[Eq No]],[1]!Table3[[Eq.No.]:[FY23/34 Acq. Status]],3,FALSE)</f>
        <v>2015</v>
      </c>
      <c r="I78" s="13" t="str">
        <f>VLOOKUP(Table1[[#This Row],[Eq No]],[1]!Table3[[Eq.No.]:[FY23/34 Acq. Status]],12,FALSE)</f>
        <v>Maverick Man Lift</v>
      </c>
      <c r="J78" s="13" t="str">
        <f>VLOOKUP(Table1[[#This Row],[Eq No]],[1]!Table3[[Eq.No.]:[FY23/34 Acq. Status]],17,FALSE)</f>
        <v>L/Cruiser 4x4 (Converted to UG Spec)</v>
      </c>
      <c r="K78" s="2">
        <v>0</v>
      </c>
      <c r="L78" s="2">
        <v>0</v>
      </c>
      <c r="M78" s="2">
        <v>3760306.4600920002</v>
      </c>
    </row>
    <row r="79" spans="2:13" hidden="1" x14ac:dyDescent="0.25">
      <c r="B79" s="3" t="s">
        <v>51</v>
      </c>
      <c r="C79" s="4" t="s">
        <v>103</v>
      </c>
      <c r="D79" s="1" t="s">
        <v>95</v>
      </c>
      <c r="E79" s="1" t="str">
        <f>RIGHT(Table1[[#This Row],[PROJECT TITLE]],6)</f>
        <v>UV0083</v>
      </c>
      <c r="F79" s="10" t="s">
        <v>43</v>
      </c>
      <c r="G79" s="13" t="str">
        <f>VLOOKUP(Table1[[#This Row],[Eq No]],[1]!Table3[[Eq.No.]:[FY23/34 Acq. Status]],2,FALSE)</f>
        <v>Gloria U/G</v>
      </c>
      <c r="H79" s="12">
        <f>VLOOKUP(Table1[[#This Row],[Eq No]],[1]!Table3[[Eq.No.]:[FY23/34 Acq. Status]],3,FALSE)</f>
        <v>2016</v>
      </c>
      <c r="I79" s="13" t="str">
        <f>VLOOKUP(Table1[[#This Row],[Eq No]],[1]!Table3[[Eq.No.]:[FY23/34 Acq. Status]],12,FALSE)</f>
        <v>Casette Carrier</v>
      </c>
      <c r="J79" s="13" t="str">
        <f>VLOOKUP(Table1[[#This Row],[Eq No]],[1]!Table3[[Eq.No.]:[FY23/34 Acq. Status]],17,FALSE)</f>
        <v>Casette Carrier</v>
      </c>
      <c r="K79" s="2">
        <v>0</v>
      </c>
      <c r="L79" s="2">
        <v>6692310.9120000005</v>
      </c>
      <c r="M79" s="2">
        <v>0</v>
      </c>
    </row>
    <row r="80" spans="2:13" hidden="1" x14ac:dyDescent="0.25">
      <c r="B80" s="3" t="s">
        <v>51</v>
      </c>
      <c r="C80" s="4" t="s">
        <v>104</v>
      </c>
      <c r="D80" s="1" t="s">
        <v>95</v>
      </c>
      <c r="E80" s="1" t="str">
        <f>RIGHT(Table1[[#This Row],[PROJECT TITLE]],6)</f>
        <v>UV0089</v>
      </c>
      <c r="F80" s="10" t="s">
        <v>43</v>
      </c>
      <c r="G80" s="13" t="str">
        <f>VLOOKUP(Table1[[#This Row],[Eq No]],[1]!Table3[[Eq.No.]:[FY23/34 Acq. Status]],2,FALSE)</f>
        <v>Gloria U/G</v>
      </c>
      <c r="H80" s="12">
        <f>VLOOKUP(Table1[[#This Row],[Eq No]],[1]!Table3[[Eq.No.]:[FY23/34 Acq. Status]],3,FALSE)</f>
        <v>2017</v>
      </c>
      <c r="I80" s="13" t="str">
        <f>VLOOKUP(Table1[[#This Row],[Eq No]],[1]!Table3[[Eq.No.]:[FY23/34 Acq. Status]],12,FALSE)</f>
        <v>Maverick S/Cab</v>
      </c>
      <c r="J80" s="13" t="str">
        <f>VLOOKUP(Table1[[#This Row],[Eq No]],[1]!Table3[[Eq.No.]:[FY23/34 Acq. Status]],17,FALSE)</f>
        <v>L/Cruiser 4x4 (Converted to UG Spec)</v>
      </c>
      <c r="K80" s="2">
        <v>0</v>
      </c>
      <c r="L80" s="2">
        <v>0</v>
      </c>
      <c r="M80" s="2">
        <v>3760306.4600920002</v>
      </c>
    </row>
    <row r="81" spans="2:13" hidden="1" x14ac:dyDescent="0.25">
      <c r="B81" s="3" t="s">
        <v>51</v>
      </c>
      <c r="C81" s="4" t="s">
        <v>105</v>
      </c>
      <c r="D81" s="1" t="s">
        <v>95</v>
      </c>
      <c r="E81" s="1" t="str">
        <f>RIGHT(Table1[[#This Row],[PROJECT TITLE]],6)</f>
        <v>UV0095</v>
      </c>
      <c r="F81" s="10" t="s">
        <v>43</v>
      </c>
      <c r="G81" s="13" t="str">
        <f>VLOOKUP(Table1[[#This Row],[Eq No]],[1]!Table3[[Eq.No.]:[FY23/34 Acq. Status]],2,FALSE)</f>
        <v>Gloria U/G</v>
      </c>
      <c r="H81" s="12">
        <f>VLOOKUP(Table1[[#This Row],[Eq No]],[1]!Table3[[Eq.No.]:[FY23/34 Acq. Status]],3,FALSE)</f>
        <v>2017</v>
      </c>
      <c r="I81" s="13" t="str">
        <f>VLOOKUP(Table1[[#This Row],[Eq No]],[1]!Table3[[Eq.No.]:[FY23/34 Acq. Status]],12,FALSE)</f>
        <v>Maverick S/Cab</v>
      </c>
      <c r="J81" s="13" t="str">
        <f>VLOOKUP(Table1[[#This Row],[Eq No]],[1]!Table3[[Eq.No.]:[FY23/34 Acq. Status]],17,FALSE)</f>
        <v>L/Cruiser 4x4 (Converted to UG Spec)</v>
      </c>
      <c r="K81" s="2">
        <v>0</v>
      </c>
      <c r="L81" s="2">
        <v>3643512.1748480005</v>
      </c>
      <c r="M81" s="2">
        <v>0</v>
      </c>
    </row>
    <row r="82" spans="2:13" hidden="1" x14ac:dyDescent="0.25">
      <c r="B82" s="3" t="s">
        <v>51</v>
      </c>
      <c r="C82" s="4" t="s">
        <v>106</v>
      </c>
      <c r="D82" s="1" t="s">
        <v>95</v>
      </c>
      <c r="E82" s="1" t="str">
        <f>RIGHT(Table1[[#This Row],[PROJECT TITLE]],6)</f>
        <v>UV0097</v>
      </c>
      <c r="F82" s="10" t="s">
        <v>43</v>
      </c>
      <c r="G82" s="13" t="str">
        <f>VLOOKUP(Table1[[#This Row],[Eq No]],[1]!Table3[[Eq.No.]:[FY23/34 Acq. Status]],2,FALSE)</f>
        <v>Gloria U/G</v>
      </c>
      <c r="H82" s="12">
        <f>VLOOKUP(Table1[[#This Row],[Eq No]],[1]!Table3[[Eq.No.]:[FY23/34 Acq. Status]],3,FALSE)</f>
        <v>2017</v>
      </c>
      <c r="I82" s="13" t="str">
        <f>VLOOKUP(Table1[[#This Row],[Eq No]],[1]!Table3[[Eq.No.]:[FY23/34 Acq. Status]],12,FALSE)</f>
        <v>Maverick Man Lift</v>
      </c>
      <c r="J82" s="13" t="str">
        <f>VLOOKUP(Table1[[#This Row],[Eq No]],[1]!Table3[[Eq.No.]:[FY23/34 Acq. Status]],17,FALSE)</f>
        <v>L/Cruiser 4x4 (Converted to UG Spec)</v>
      </c>
      <c r="K82" s="2">
        <v>0</v>
      </c>
      <c r="L82" s="2">
        <v>0</v>
      </c>
      <c r="M82" s="2">
        <v>3760306.4600920002</v>
      </c>
    </row>
    <row r="83" spans="2:13" hidden="1" x14ac:dyDescent="0.25">
      <c r="B83" s="3" t="s">
        <v>51</v>
      </c>
      <c r="C83" s="4" t="s">
        <v>107</v>
      </c>
      <c r="D83" s="1" t="s">
        <v>95</v>
      </c>
      <c r="E83" s="1" t="str">
        <f>RIGHT(Table1[[#This Row],[PROJECT TITLE]],6)</f>
        <v>UV0104</v>
      </c>
      <c r="F83" s="10" t="s">
        <v>43</v>
      </c>
      <c r="G83" s="13" t="str">
        <f>VLOOKUP(Table1[[#This Row],[Eq No]],[1]!Table3[[Eq.No.]:[FY23/34 Acq. Status]],2,FALSE)</f>
        <v>Gloria U/G</v>
      </c>
      <c r="H83" s="12">
        <f>VLOOKUP(Table1[[#This Row],[Eq No]],[1]!Table3[[Eq.No.]:[FY23/34 Acq. Status]],3,FALSE)</f>
        <v>2017</v>
      </c>
      <c r="I83" s="13" t="str">
        <f>VLOOKUP(Table1[[#This Row],[Eq No]],[1]!Table3[[Eq.No.]:[FY23/34 Acq. Status]],12,FALSE)</f>
        <v>Maverick Jam pot</v>
      </c>
      <c r="J83" s="13" t="str">
        <f>VLOOKUP(Table1[[#This Row],[Eq No]],[1]!Table3[[Eq.No.]:[FY23/34 Acq. Status]],17,FALSE)</f>
        <v>L/Cruiser 4x4 (Converted to UG Spec)</v>
      </c>
      <c r="K83" s="2">
        <v>0</v>
      </c>
      <c r="L83" s="2">
        <v>0</v>
      </c>
      <c r="M83" s="2">
        <v>3760306.4600920002</v>
      </c>
    </row>
    <row r="84" spans="2:13" hidden="1" x14ac:dyDescent="0.25">
      <c r="B84" s="3" t="s">
        <v>51</v>
      </c>
      <c r="C84" s="4" t="s">
        <v>108</v>
      </c>
      <c r="D84" s="1" t="s">
        <v>15</v>
      </c>
      <c r="E84" s="1" t="str">
        <f>RIGHT(Table1[[#This Row],[PROJECT TITLE]],6)</f>
        <v>CR0102</v>
      </c>
      <c r="F84" s="10" t="s">
        <v>16</v>
      </c>
      <c r="G84" s="13" t="str">
        <f>VLOOKUP(Table1[[#This Row],[Eq No]],[1]!Table3[[Eq.No.]:[FY23/34 Acq. Status]],2,FALSE)</f>
        <v>Shafts &amp; Winders</v>
      </c>
      <c r="H84" s="12">
        <f>VLOOKUP(Table1[[#This Row],[Eq No]],[1]!Table3[[Eq.No.]:[FY23/34 Acq. Status]],3,FALSE)</f>
        <v>2015</v>
      </c>
      <c r="I84" s="13" t="str">
        <f>VLOOKUP(Table1[[#This Row],[Eq No]],[1]!Table3[[Eq.No.]:[FY23/34 Acq. Status]],12,FALSE)</f>
        <v>LTM1060-3.1-60Ton</v>
      </c>
      <c r="J84" s="13" t="str">
        <f>VLOOKUP(Table1[[#This Row],[Eq No]],[1]!Table3[[Eq.No.]:[FY23/34 Acq. Status]],17,FALSE)</f>
        <v>LTM1060-3.1-60Ton</v>
      </c>
      <c r="K84" s="2">
        <v>0</v>
      </c>
      <c r="L84" s="2">
        <v>0</v>
      </c>
      <c r="M84" s="2">
        <v>23448654.336960003</v>
      </c>
    </row>
    <row r="85" spans="2:13" hidden="1" x14ac:dyDescent="0.25">
      <c r="B85" s="3" t="s">
        <v>51</v>
      </c>
      <c r="C85" s="4" t="s">
        <v>109</v>
      </c>
      <c r="D85" s="1" t="s">
        <v>21</v>
      </c>
      <c r="E85" s="1" t="str">
        <f>RIGHT(Table1[[#This Row],[PROJECT TITLE]],6)</f>
        <v>LD0485</v>
      </c>
      <c r="F85" s="10" t="s">
        <v>16</v>
      </c>
      <c r="G85" s="13" t="str">
        <f>VLOOKUP(Table1[[#This Row],[Eq No]],[1]!Table3[[Eq.No.]:[FY23/34 Acq. Status]],2,FALSE)</f>
        <v>Shaft &amp; Winders -  CSH 607 NC - REPCAP 1718</v>
      </c>
      <c r="H85" s="12">
        <f>VLOOKUP(Table1[[#This Row],[Eq No]],[1]!Table3[[Eq.No.]:[FY23/34 Acq. Status]],3,FALSE)</f>
        <v>2018</v>
      </c>
      <c r="I85" s="13" t="str">
        <f>VLOOKUP(Table1[[#This Row],[Eq No]],[1]!Table3[[Eq.No.]:[FY23/34 Acq. Status]],12,FALSE)</f>
        <v>2.4 GD6 D/C SRX</v>
      </c>
      <c r="J85" s="13" t="str">
        <f>VLOOKUP(Table1[[#This Row],[Eq No]],[1]!Table3[[Eq.No.]:[FY23/34 Acq. Status]],17,FALSE)</f>
        <v>2.4 GD6 D/C SRX</v>
      </c>
      <c r="K85" s="2">
        <v>0</v>
      </c>
      <c r="L85" s="2">
        <v>0</v>
      </c>
      <c r="M85" s="2">
        <v>1141467.2757999999</v>
      </c>
    </row>
    <row r="86" spans="2:13" hidden="1" x14ac:dyDescent="0.25">
      <c r="B86" s="3" t="s">
        <v>51</v>
      </c>
      <c r="C86" s="4" t="s">
        <v>110</v>
      </c>
      <c r="D86" s="1" t="s">
        <v>15</v>
      </c>
      <c r="E86" s="1" t="str">
        <f>RIGHT(Table1[[#This Row],[PROJECT TITLE]],6)</f>
        <v>CR0105</v>
      </c>
      <c r="F86" s="10" t="s">
        <v>16</v>
      </c>
      <c r="G86" s="13">
        <f>VLOOKUP(Table1[[#This Row],[Eq No]],[1]!Table3[[Eq.No.]:[FY23/34 Acq. Status]],2,FALSE)</f>
        <v>0</v>
      </c>
      <c r="H86" s="12">
        <f>VLOOKUP(Table1[[#This Row],[Eq No]],[1]!Table3[[Eq.No.]:[FY23/34 Acq. Status]],3,FALSE)</f>
        <v>2015</v>
      </c>
      <c r="I86" s="13" t="str">
        <f>VLOOKUP(Table1[[#This Row],[Eq No]],[1]!Table3[[Eq.No.]:[FY23/34 Acq. Status]],12,FALSE)</f>
        <v>Crane MHT780 T Evolution</v>
      </c>
      <c r="J86" s="13" t="str">
        <f>VLOOKUP(Table1[[#This Row],[Eq No]],[1]!Table3[[Eq.No.]:[FY23/34 Acq. Status]],17,FALSE)</f>
        <v>Crane MHT780 T Evolution</v>
      </c>
      <c r="K86" s="2">
        <v>0</v>
      </c>
      <c r="L86" s="2">
        <v>13604531.5328</v>
      </c>
      <c r="M86" s="2">
        <v>0</v>
      </c>
    </row>
    <row r="87" spans="2:13" hidden="1" x14ac:dyDescent="0.25">
      <c r="B87" s="3" t="s">
        <v>51</v>
      </c>
      <c r="C87" s="4" t="s">
        <v>111</v>
      </c>
      <c r="D87" s="1" t="s">
        <v>39</v>
      </c>
      <c r="E87" s="1" t="str">
        <f>RIGHT(Table1[[#This Row],[PROJECT TITLE]],6)</f>
        <v>DT0107</v>
      </c>
      <c r="F87" s="10" t="s">
        <v>16</v>
      </c>
      <c r="G87" s="13" t="str">
        <f>VLOOKUP(Table1[[#This Row],[Eq No]],[1]!Table3[[Eq.No.]:[FY23/34 Acq. Status]],2,FALSE)</f>
        <v>NCHW II UG</v>
      </c>
      <c r="H87" s="12">
        <f>VLOOKUP(Table1[[#This Row],[Eq No]],[1]!Table3[[Eq.No.]:[FY23/34 Acq. Status]],3,FALSE)</f>
        <v>2015</v>
      </c>
      <c r="I87" s="13" t="str">
        <f>VLOOKUP(Table1[[#This Row],[Eq No]],[1]!Table3[[Eq.No.]:[FY23/34 Acq. Status]],12,FALSE)</f>
        <v>MT 436 LP</v>
      </c>
      <c r="J87" s="13" t="str">
        <f>VLOOKUP(Table1[[#This Row],[Eq No]],[1]!Table3[[Eq.No.]:[FY23/34 Acq. Status]],17,FALSE)</f>
        <v>Elphinstone AD30 LP</v>
      </c>
      <c r="K87" s="2">
        <v>0</v>
      </c>
      <c r="L87" s="2">
        <v>23276539.660799999</v>
      </c>
      <c r="M87" s="2">
        <v>0</v>
      </c>
    </row>
    <row r="88" spans="2:13" hidden="1" x14ac:dyDescent="0.25">
      <c r="B88" s="3" t="s">
        <v>51</v>
      </c>
      <c r="C88" s="4" t="s">
        <v>112</v>
      </c>
      <c r="D88" s="1" t="s">
        <v>39</v>
      </c>
      <c r="E88" s="1" t="str">
        <f>RIGHT(Table1[[#This Row],[PROJECT TITLE]],6)</f>
        <v>DT0120</v>
      </c>
      <c r="F88" s="10" t="s">
        <v>16</v>
      </c>
      <c r="G88" s="13" t="str">
        <f>VLOOKUP(Table1[[#This Row],[Eq No]],[1]!Table3[[Eq.No.]:[FY23/34 Acq. Status]],2,FALSE)</f>
        <v>NCHW II UG</v>
      </c>
      <c r="H88" s="12">
        <f>VLOOKUP(Table1[[#This Row],[Eq No]],[1]!Table3[[Eq.No.]:[FY23/34 Acq. Status]],3,FALSE)</f>
        <v>2017</v>
      </c>
      <c r="I88" s="13" t="str">
        <f>VLOOKUP(Table1[[#This Row],[Eq No]],[1]!Table3[[Eq.No.]:[FY23/34 Acq. Status]],12,FALSE)</f>
        <v>Elphinstone AD30</v>
      </c>
      <c r="J88" s="13" t="str">
        <f>VLOOKUP(Table1[[#This Row],[Eq No]],[1]!Table3[[Eq.No.]:[FY23/34 Acq. Status]],17,FALSE)</f>
        <v>Elphinstone AD30 LP</v>
      </c>
      <c r="K88" s="2">
        <v>0</v>
      </c>
      <c r="L88" s="2">
        <v>0</v>
      </c>
      <c r="M88" s="2">
        <v>24022678.738200001</v>
      </c>
    </row>
    <row r="89" spans="2:13" hidden="1" x14ac:dyDescent="0.25">
      <c r="B89" s="3" t="s">
        <v>51</v>
      </c>
      <c r="C89" s="4" t="s">
        <v>113</v>
      </c>
      <c r="D89" s="1" t="s">
        <v>39</v>
      </c>
      <c r="E89" s="1" t="str">
        <f>RIGHT(Table1[[#This Row],[PROJECT TITLE]],6)</f>
        <v>DT0121</v>
      </c>
      <c r="F89" s="10" t="s">
        <v>16</v>
      </c>
      <c r="G89" s="13" t="str">
        <f>VLOOKUP(Table1[[#This Row],[Eq No]],[1]!Table3[[Eq.No.]:[FY23/34 Acq. Status]],2,FALSE)</f>
        <v>NCHW II UG</v>
      </c>
      <c r="H89" s="12">
        <f>VLOOKUP(Table1[[#This Row],[Eq No]],[1]!Table3[[Eq.No.]:[FY23/34 Acq. Status]],3,FALSE)</f>
        <v>2017</v>
      </c>
      <c r="I89" s="13" t="str">
        <f>VLOOKUP(Table1[[#This Row],[Eq No]],[1]!Table3[[Eq.No.]:[FY23/34 Acq. Status]],12,FALSE)</f>
        <v>Elphinstone AD30 LP</v>
      </c>
      <c r="J89" s="13" t="str">
        <f>VLOOKUP(Table1[[#This Row],[Eq No]],[1]!Table3[[Eq.No.]:[FY23/34 Acq. Status]],17,FALSE)</f>
        <v>Elphinstone AD30 LP</v>
      </c>
      <c r="K89" s="2">
        <v>0</v>
      </c>
      <c r="L89" s="2">
        <v>0</v>
      </c>
      <c r="M89" s="2">
        <v>24022678.738200001</v>
      </c>
    </row>
    <row r="90" spans="2:13" hidden="1" x14ac:dyDescent="0.25">
      <c r="B90" s="3" t="s">
        <v>51</v>
      </c>
      <c r="C90" s="4" t="s">
        <v>114</v>
      </c>
      <c r="D90" s="1" t="s">
        <v>7</v>
      </c>
      <c r="E90" s="1" t="str">
        <f>RIGHT(Table1[[#This Row],[PROJECT TITLE]],6)</f>
        <v>FL0066</v>
      </c>
      <c r="F90" s="10" t="s">
        <v>16</v>
      </c>
      <c r="G90" s="13" t="str">
        <f>VLOOKUP(Table1[[#This Row],[Eq No]],[1]!Table3[[Eq.No.]:[FY23/34 Acq. Status]],2,FALSE)</f>
        <v>NCHW II UG</v>
      </c>
      <c r="H90" s="12">
        <f>VLOOKUP(Table1[[#This Row],[Eq No]],[1]!Table3[[Eq.No.]:[FY23/34 Acq. Status]],3,FALSE)</f>
        <v>2014</v>
      </c>
      <c r="I90" s="13" t="str">
        <f>VLOOKUP(Table1[[#This Row],[Eq No]],[1]!Table3[[Eq.No.]:[FY23/34 Acq. Status]],12,FALSE)</f>
        <v>ST14</v>
      </c>
      <c r="J90" s="13" t="str">
        <f>VLOOKUP(Table1[[#This Row],[Eq No]],[1]!Table3[[Eq.No.]:[FY23/34 Acq. Status]],17,FALSE)</f>
        <v>ST14</v>
      </c>
      <c r="K90" s="2">
        <v>0</v>
      </c>
      <c r="L90" s="2">
        <v>26914293.568</v>
      </c>
      <c r="M90" s="2">
        <v>0</v>
      </c>
    </row>
    <row r="91" spans="2:13" hidden="1" x14ac:dyDescent="0.25">
      <c r="B91" s="3" t="s">
        <v>51</v>
      </c>
      <c r="C91" s="4" t="s">
        <v>115</v>
      </c>
      <c r="D91" s="1" t="s">
        <v>7</v>
      </c>
      <c r="E91" s="1" t="str">
        <f>RIGHT(Table1[[#This Row],[PROJECT TITLE]],6)</f>
        <v>FL0067</v>
      </c>
      <c r="F91" s="10" t="s">
        <v>16</v>
      </c>
      <c r="G91" s="13" t="str">
        <f>VLOOKUP(Table1[[#This Row],[Eq No]],[1]!Table3[[Eq.No.]:[FY23/34 Acq. Status]],2,FALSE)</f>
        <v>NCHW II UG</v>
      </c>
      <c r="H91" s="12">
        <f>VLOOKUP(Table1[[#This Row],[Eq No]],[1]!Table3[[Eq.No.]:[FY23/34 Acq. Status]],3,FALSE)</f>
        <v>2014</v>
      </c>
      <c r="I91" s="13" t="str">
        <f>VLOOKUP(Table1[[#This Row],[Eq No]],[1]!Table3[[Eq.No.]:[FY23/34 Acq. Status]],12,FALSE)</f>
        <v>ST14</v>
      </c>
      <c r="J91" s="13" t="str">
        <f>VLOOKUP(Table1[[#This Row],[Eq No]],[1]!Table3[[Eq.No.]:[FY23/34 Acq. Status]],17,FALSE)</f>
        <v>ST14</v>
      </c>
      <c r="K91" s="2">
        <v>0</v>
      </c>
      <c r="L91" s="2">
        <v>26914293.568</v>
      </c>
      <c r="M91" s="2">
        <v>0</v>
      </c>
    </row>
    <row r="92" spans="2:13" hidden="1" x14ac:dyDescent="0.25">
      <c r="B92" s="3" t="s">
        <v>51</v>
      </c>
      <c r="C92" s="4" t="s">
        <v>116</v>
      </c>
      <c r="D92" s="1" t="s">
        <v>7</v>
      </c>
      <c r="E92" s="1" t="str">
        <f>RIGHT(Table1[[#This Row],[PROJECT TITLE]],6)</f>
        <v>FL0077</v>
      </c>
      <c r="F92" s="10" t="s">
        <v>16</v>
      </c>
      <c r="G92" s="13" t="str">
        <f>VLOOKUP(Table1[[#This Row],[Eq No]],[1]!Table3[[Eq.No.]:[FY23/34 Acq. Status]],2,FALSE)</f>
        <v>NCHW II UG</v>
      </c>
      <c r="H92" s="12">
        <f>VLOOKUP(Table1[[#This Row],[Eq No]],[1]!Table3[[Eq.No.]:[FY23/34 Acq. Status]],3,FALSE)</f>
        <v>2017</v>
      </c>
      <c r="I92" s="13" t="str">
        <f>VLOOKUP(Table1[[#This Row],[Eq No]],[1]!Table3[[Eq.No.]:[FY23/34 Acq. Status]],12,FALSE)</f>
        <v>ST1030</v>
      </c>
      <c r="J92" s="13" t="str">
        <f>VLOOKUP(Table1[[#This Row],[Eq No]],[1]!Table3[[Eq.No.]:[FY23/34 Acq. Status]],17,FALSE)</f>
        <v>ST1030</v>
      </c>
      <c r="K92" s="2">
        <v>0</v>
      </c>
      <c r="L92" s="2">
        <v>0</v>
      </c>
      <c r="M92" s="2">
        <v>18807242.346999999</v>
      </c>
    </row>
    <row r="93" spans="2:13" hidden="1" x14ac:dyDescent="0.25">
      <c r="B93" s="3" t="s">
        <v>51</v>
      </c>
      <c r="C93" s="4" t="s">
        <v>117</v>
      </c>
      <c r="D93" s="1" t="s">
        <v>7</v>
      </c>
      <c r="E93" s="1" t="str">
        <f>RIGHT(Table1[[#This Row],[PROJECT TITLE]],6)</f>
        <v>FL0085</v>
      </c>
      <c r="F93" s="10" t="s">
        <v>16</v>
      </c>
      <c r="G93" s="13" t="str">
        <f>VLOOKUP(Table1[[#This Row],[Eq No]],[1]!Table3[[Eq.No.]:[FY23/34 Acq. Status]],2,FALSE)</f>
        <v>NCHW II UG</v>
      </c>
      <c r="H93" s="12">
        <f>VLOOKUP(Table1[[#This Row],[Eq No]],[1]!Table3[[Eq.No.]:[FY23/34 Acq. Status]],3,FALSE)</f>
        <v>2018</v>
      </c>
      <c r="I93" s="13" t="str">
        <f>VLOOKUP(Table1[[#This Row],[Eq No]],[1]!Table3[[Eq.No.]:[FY23/34 Acq. Status]],12,FALSE)</f>
        <v>ST1030LP</v>
      </c>
      <c r="J93" s="13" t="str">
        <f>VLOOKUP(Table1[[#This Row],[Eq No]],[1]!Table3[[Eq.No.]:[FY23/34 Acq. Status]],17,FALSE)</f>
        <v>ST1030LP</v>
      </c>
      <c r="K93" s="2">
        <v>0</v>
      </c>
      <c r="L93" s="2">
        <v>0</v>
      </c>
      <c r="M93" s="2">
        <v>18807242.346999999</v>
      </c>
    </row>
    <row r="94" spans="2:13" hidden="1" x14ac:dyDescent="0.25">
      <c r="B94" s="3" t="s">
        <v>51</v>
      </c>
      <c r="C94" s="4" t="s">
        <v>118</v>
      </c>
      <c r="D94" s="1" t="s">
        <v>119</v>
      </c>
      <c r="E94" s="1" t="str">
        <f>RIGHT(Table1[[#This Row],[PROJECT TITLE]],6)</f>
        <v>HD0053</v>
      </c>
      <c r="F94" s="10" t="s">
        <v>16</v>
      </c>
      <c r="G94" s="13" t="str">
        <f>VLOOKUP(Table1[[#This Row],[Eq No]],[1]!Table3[[Eq.No.]:[FY23/34 Acq. Status]],2,FALSE)</f>
        <v>NCHW II UG</v>
      </c>
      <c r="H94" s="12">
        <f>VLOOKUP(Table1[[#This Row],[Eq No]],[1]!Table3[[Eq.No.]:[FY23/34 Acq. Status]],3,FALSE)</f>
        <v>2018</v>
      </c>
      <c r="I94" s="13" t="str">
        <f>VLOOKUP(Table1[[#This Row],[Eq No]],[1]!Table3[[Eq.No.]:[FY23/34 Acq. Status]],12,FALSE)</f>
        <v>Double Boom 282</v>
      </c>
      <c r="J94" s="13" t="str">
        <f>VLOOKUP(Table1[[#This Row],[Eq No]],[1]!Table3[[Eq.No.]:[FY23/34 Acq. Status]],17,FALSE)</f>
        <v>Double Boom 282</v>
      </c>
      <c r="K94" s="2">
        <v>0</v>
      </c>
      <c r="L94" s="2">
        <v>20842117.158399999</v>
      </c>
      <c r="M94" s="2">
        <v>0</v>
      </c>
    </row>
    <row r="95" spans="2:13" hidden="1" x14ac:dyDescent="0.25">
      <c r="B95" s="3" t="s">
        <v>51</v>
      </c>
      <c r="C95" s="4" t="s">
        <v>120</v>
      </c>
      <c r="D95" s="1" t="s">
        <v>21</v>
      </c>
      <c r="E95" s="1" t="str">
        <f>RIGHT(Table1[[#This Row],[PROJECT TITLE]],6)</f>
        <v>LD0426</v>
      </c>
      <c r="F95" s="10" t="s">
        <v>16</v>
      </c>
      <c r="G95" s="13">
        <f>VLOOKUP(Table1[[#This Row],[Eq No]],[1]!Table3[[Eq.No.]:[FY23/34 Acq. Status]],2,FALSE)</f>
        <v>0</v>
      </c>
      <c r="H95" s="12">
        <f>VLOOKUP(Table1[[#This Row],[Eq No]],[1]!Table3[[Eq.No.]:[FY23/34 Acq. Status]],3,FALSE)</f>
        <v>2017</v>
      </c>
      <c r="I95" s="13" t="str">
        <f>VLOOKUP(Table1[[#This Row],[Eq No]],[1]!Table3[[Eq.No.]:[FY23/34 Acq. Status]],12,FALSE)</f>
        <v>D/Cab Maverick</v>
      </c>
      <c r="J95" s="13" t="str">
        <f>VLOOKUP(Table1[[#This Row],[Eq No]],[1]!Table3[[Eq.No.]:[FY23/34 Acq. Status]],17,FALSE)</f>
        <v>L/Cruiser 4x4 (Converted to UG Spec)</v>
      </c>
      <c r="K95" s="2">
        <v>0</v>
      </c>
      <c r="L95" s="2">
        <v>3643512.1748480005</v>
      </c>
      <c r="M95" s="2">
        <v>0</v>
      </c>
    </row>
    <row r="96" spans="2:13" hidden="1" x14ac:dyDescent="0.25">
      <c r="B96" s="3" t="s">
        <v>51</v>
      </c>
      <c r="C96" s="4" t="s">
        <v>121</v>
      </c>
      <c r="D96" s="1" t="s">
        <v>21</v>
      </c>
      <c r="E96" s="1" t="str">
        <f>RIGHT(Table1[[#This Row],[PROJECT TITLE]],6)</f>
        <v>LD0450</v>
      </c>
      <c r="F96" s="10" t="s">
        <v>16</v>
      </c>
      <c r="G96" s="13">
        <f>VLOOKUP(Table1[[#This Row],[Eq No]],[1]!Table3[[Eq.No.]:[FY23/34 Acq. Status]],2,FALSE)</f>
        <v>0</v>
      </c>
      <c r="H96" s="12">
        <f>VLOOKUP(Table1[[#This Row],[Eq No]],[1]!Table3[[Eq.No.]:[FY23/34 Acq. Status]],3,FALSE)</f>
        <v>2019</v>
      </c>
      <c r="I96" s="13" t="str">
        <f>VLOOKUP(Table1[[#This Row],[Eq No]],[1]!Table3[[Eq.No.]:[FY23/34 Acq. Status]],12,FALSE)</f>
        <v>D/Cab Maverick</v>
      </c>
      <c r="J96" s="13" t="str">
        <f>VLOOKUP(Table1[[#This Row],[Eq No]],[1]!Table3[[Eq.No.]:[FY23/34 Acq. Status]],17,FALSE)</f>
        <v>L/Cruiser 4x4 (Converted to UG Spec)</v>
      </c>
      <c r="K96" s="2">
        <v>0</v>
      </c>
      <c r="L96" s="2">
        <v>3643512.1748480005</v>
      </c>
      <c r="M96" s="2">
        <v>0</v>
      </c>
    </row>
    <row r="97" spans="2:13" hidden="1" x14ac:dyDescent="0.25">
      <c r="B97" s="3" t="s">
        <v>51</v>
      </c>
      <c r="C97" s="4" t="s">
        <v>122</v>
      </c>
      <c r="D97" s="1" t="s">
        <v>21</v>
      </c>
      <c r="E97" s="1" t="str">
        <f>RIGHT(Table1[[#This Row],[PROJECT TITLE]],6)</f>
        <v>LD0499</v>
      </c>
      <c r="F97" s="10" t="s">
        <v>16</v>
      </c>
      <c r="G97" s="13" t="str">
        <f>VLOOKUP(Table1[[#This Row],[Eq No]],[1]!Table3[[Eq.No.]:[FY23/34 Acq. Status]],2,FALSE)</f>
        <v>Mining NCH2</v>
      </c>
      <c r="H97" s="12">
        <f>VLOOKUP(Table1[[#This Row],[Eq No]],[1]!Table3[[Eq.No.]:[FY23/34 Acq. Status]],3,FALSE)</f>
        <v>2018</v>
      </c>
      <c r="I97" s="13" t="str">
        <f>VLOOKUP(Table1[[#This Row],[Eq No]],[1]!Table3[[Eq.No.]:[FY23/34 Acq. Status]],12,FALSE)</f>
        <v>2.4 GD6 D/C SRX</v>
      </c>
      <c r="J97" s="13" t="str">
        <f>VLOOKUP(Table1[[#This Row],[Eq No]],[1]!Table3[[Eq.No.]:[FY23/34 Acq. Status]],17,FALSE)</f>
        <v>2.4 GD6 D/C SRX</v>
      </c>
      <c r="K97" s="2">
        <v>0</v>
      </c>
      <c r="L97" s="2">
        <v>1106013.5552000001</v>
      </c>
      <c r="M97" s="2">
        <v>0</v>
      </c>
    </row>
    <row r="98" spans="2:13" hidden="1" x14ac:dyDescent="0.25">
      <c r="B98" s="3" t="s">
        <v>51</v>
      </c>
      <c r="C98" s="4" t="s">
        <v>123</v>
      </c>
      <c r="D98" s="1" t="s">
        <v>21</v>
      </c>
      <c r="E98" s="1" t="str">
        <f>RIGHT(Table1[[#This Row],[PROJECT TITLE]],6)</f>
        <v>LD0509</v>
      </c>
      <c r="F98" s="10" t="s">
        <v>16</v>
      </c>
      <c r="G98" s="13" t="str">
        <f>VLOOKUP(Table1[[#This Row],[Eq No]],[1]!Table3[[Eq.No.]:[FY23/34 Acq. Status]],2,FALSE)</f>
        <v>Projects - DRA</v>
      </c>
      <c r="H98" s="12">
        <f>VLOOKUP(Table1[[#This Row],[Eq No]],[1]!Table3[[Eq.No.]:[FY23/34 Acq. Status]],3,FALSE)</f>
        <v>2019</v>
      </c>
      <c r="I98" s="13" t="str">
        <f>VLOOKUP(Table1[[#This Row],[Eq No]],[1]!Table3[[Eq.No.]:[FY23/34 Acq. Status]],12,FALSE)</f>
        <v>D/Cab Maverick</v>
      </c>
      <c r="J98" s="13" t="str">
        <f>VLOOKUP(Table1[[#This Row],[Eq No]],[1]!Table3[[Eq.No.]:[FY23/34 Acq. Status]],17,FALSE)</f>
        <v>L/Cruiser 4x4 (Converted to UG Spec)</v>
      </c>
      <c r="K98" s="2">
        <v>0</v>
      </c>
      <c r="L98" s="2">
        <v>0</v>
      </c>
      <c r="M98" s="2">
        <v>3760306.4600920002</v>
      </c>
    </row>
    <row r="99" spans="2:13" hidden="1" x14ac:dyDescent="0.25">
      <c r="B99" s="3" t="s">
        <v>51</v>
      </c>
      <c r="C99" s="4" t="s">
        <v>124</v>
      </c>
      <c r="D99" s="1" t="s">
        <v>28</v>
      </c>
      <c r="E99" s="1" t="str">
        <f>RIGHT(Table1[[#This Row],[PROJECT TITLE]],6)</f>
        <v>RT0040</v>
      </c>
      <c r="F99" s="10" t="s">
        <v>16</v>
      </c>
      <c r="G99" s="13" t="str">
        <f>VLOOKUP(Table1[[#This Row],[Eq No]],[1]!Table3[[Eq.No.]:[FY23/34 Acq. Status]],2,FALSE)</f>
        <v>NCH II UG</v>
      </c>
      <c r="H99" s="12">
        <f>VLOOKUP(Table1[[#This Row],[Eq No]],[1]!Table3[[Eq.No.]:[FY23/34 Acq. Status]],3,FALSE)</f>
        <v>2014</v>
      </c>
      <c r="I99" s="13" t="str">
        <f>VLOOKUP(Table1[[#This Row],[Eq No]],[1]!Table3[[Eq.No.]:[FY23/34 Acq. Status]],12,FALSE)</f>
        <v>Boltec 235H</v>
      </c>
      <c r="J99" s="13" t="str">
        <f>VLOOKUP(Table1[[#This Row],[Eq No]],[1]!Table3[[Eq.No.]:[FY23/34 Acq. Status]],17,FALSE)</f>
        <v>Boltec 235H</v>
      </c>
      <c r="K99" s="2">
        <v>0</v>
      </c>
      <c r="L99" s="2">
        <v>20662674.918400001</v>
      </c>
      <c r="M99" s="2">
        <v>0</v>
      </c>
    </row>
    <row r="100" spans="2:13" hidden="1" x14ac:dyDescent="0.25">
      <c r="B100" s="3" t="s">
        <v>51</v>
      </c>
      <c r="C100" s="4" t="s">
        <v>125</v>
      </c>
      <c r="D100" s="1" t="s">
        <v>28</v>
      </c>
      <c r="E100" s="1" t="str">
        <f>RIGHT(Table1[[#This Row],[PROJECT TITLE]],6)</f>
        <v>RT0043</v>
      </c>
      <c r="F100" s="10" t="s">
        <v>16</v>
      </c>
      <c r="G100" s="13" t="str">
        <f>VLOOKUP(Table1[[#This Row],[Eq No]],[1]!Table3[[Eq.No.]:[FY23/34 Acq. Status]],2,FALSE)</f>
        <v>NCH II UG</v>
      </c>
      <c r="H100" s="12">
        <f>VLOOKUP(Table1[[#This Row],[Eq No]],[1]!Table3[[Eq.No.]:[FY23/34 Acq. Status]],3,FALSE)</f>
        <v>2018</v>
      </c>
      <c r="I100" s="13" t="str">
        <f>VLOOKUP(Table1[[#This Row],[Eq No]],[1]!Table3[[Eq.No.]:[FY23/34 Acq. Status]],12,FALSE)</f>
        <v>Boltec 235H</v>
      </c>
      <c r="J100" s="13" t="str">
        <f>VLOOKUP(Table1[[#This Row],[Eq No]],[1]!Table3[[Eq.No.]:[FY23/34 Acq. Status]],17,FALSE)</f>
        <v>Boltec 235H</v>
      </c>
      <c r="K100" s="2">
        <v>0</v>
      </c>
      <c r="L100" s="2">
        <v>0</v>
      </c>
      <c r="M100" s="2">
        <v>21325025.483599998</v>
      </c>
    </row>
    <row r="101" spans="2:13" hidden="1" x14ac:dyDescent="0.25">
      <c r="B101" s="3" t="s">
        <v>51</v>
      </c>
      <c r="C101" s="4" t="s">
        <v>126</v>
      </c>
      <c r="D101" s="1" t="s">
        <v>31</v>
      </c>
      <c r="E101" s="1" t="str">
        <f>RIGHT(Table1[[#This Row],[PROJECT TITLE]],6)</f>
        <v>SR0033</v>
      </c>
      <c r="F101" s="10" t="s">
        <v>16</v>
      </c>
      <c r="G101" s="13" t="str">
        <f>VLOOKUP(Table1[[#This Row],[Eq No]],[1]!Table3[[Eq.No.]:[FY23/34 Acq. Status]],2,FALSE)</f>
        <v>NCHW II UG</v>
      </c>
      <c r="H101" s="12">
        <f>VLOOKUP(Table1[[#This Row],[Eq No]],[1]!Table3[[Eq.No.]:[FY23/34 Acq. Status]],3,FALSE)</f>
        <v>2017</v>
      </c>
      <c r="I101" s="13" t="str">
        <f>VLOOKUP(Table1[[#This Row],[Eq No]],[1]!Table3[[Eq.No.]:[FY23/34 Acq. Status]],12,FALSE)</f>
        <v>4 Wheeler</v>
      </c>
      <c r="J101" s="13" t="str">
        <f>VLOOKUP(Table1[[#This Row],[Eq No]],[1]!Table3[[Eq.No.]:[FY23/34 Acq. Status]],17,FALSE)</f>
        <v>Scaler 220 E, 4-Wheeler</v>
      </c>
      <c r="K101" s="2">
        <v>0</v>
      </c>
      <c r="L101" s="2">
        <v>6592121.2415999994</v>
      </c>
      <c r="M101" s="2">
        <v>0</v>
      </c>
    </row>
    <row r="102" spans="2:13" hidden="1" x14ac:dyDescent="0.25">
      <c r="B102" s="3" t="s">
        <v>51</v>
      </c>
      <c r="C102" s="4" t="s">
        <v>127</v>
      </c>
      <c r="D102" s="1" t="s">
        <v>95</v>
      </c>
      <c r="E102" s="1" t="str">
        <f>RIGHT(Table1[[#This Row],[PROJECT TITLE]],6)</f>
        <v>UV0054</v>
      </c>
      <c r="F102" s="10" t="s">
        <v>16</v>
      </c>
      <c r="G102" s="13" t="str">
        <f>VLOOKUP(Table1[[#This Row],[Eq No]],[1]!Table3[[Eq.No.]:[FY23/34 Acq. Status]],2,FALSE)</f>
        <v>Logistics</v>
      </c>
      <c r="H102" s="12">
        <f>VLOOKUP(Table1[[#This Row],[Eq No]],[1]!Table3[[Eq.No.]:[FY23/34 Acq. Status]],3,FALSE)</f>
        <v>2015</v>
      </c>
      <c r="I102" s="13" t="str">
        <f>VLOOKUP(Table1[[#This Row],[Eq No]],[1]!Table3[[Eq.No.]:[FY23/34 Acq. Status]],12,FALSE)</f>
        <v>UV80/Carr/MKIII</v>
      </c>
      <c r="J102" s="13" t="str">
        <f>VLOOKUP(Table1[[#This Row],[Eq No]],[1]!Table3[[Eq.No.]:[FY23/34 Acq. Status]],17,FALSE)</f>
        <v>UV80/Carr/MKIII</v>
      </c>
      <c r="K102" s="2">
        <v>0</v>
      </c>
      <c r="L102" s="2">
        <v>6692310.9120000005</v>
      </c>
      <c r="M102" s="2">
        <v>0</v>
      </c>
    </row>
    <row r="103" spans="2:13" hidden="1" x14ac:dyDescent="0.25">
      <c r="B103" s="3" t="s">
        <v>51</v>
      </c>
      <c r="C103" s="4" t="s">
        <v>128</v>
      </c>
      <c r="D103" s="1" t="s">
        <v>95</v>
      </c>
      <c r="E103" s="1" t="str">
        <f>RIGHT(Table1[[#This Row],[PROJECT TITLE]],6)</f>
        <v>UV0057</v>
      </c>
      <c r="F103" s="10" t="s">
        <v>16</v>
      </c>
      <c r="G103" s="13" t="str">
        <f>VLOOKUP(Table1[[#This Row],[Eq No]],[1]!Table3[[Eq.No.]:[FY23/34 Acq. Status]],2,FALSE)</f>
        <v>Logistics</v>
      </c>
      <c r="H103" s="12" t="e">
        <f>VLOOKUP(Table1[[#This Row],[Eq No]],[1]!Table3[[Eq.No.]:[FY23/34 Acq. Status]],3,FALSE)</f>
        <v>#N/A</v>
      </c>
      <c r="I103" s="13" t="str">
        <f>VLOOKUP(Table1[[#This Row],[Eq No]],[1]!Table3[[Eq.No.]:[FY23/34 Acq. Status]],12,FALSE)</f>
        <v>UV80/Carr/MKIII</v>
      </c>
      <c r="J103" s="13" t="str">
        <f>VLOOKUP(Table1[[#This Row],[Eq No]],[1]!Table3[[Eq.No.]:[FY23/34 Acq. Status]],17,FALSE)</f>
        <v>UV80/Carr/MKIII</v>
      </c>
      <c r="K103" s="2">
        <v>0</v>
      </c>
      <c r="L103" s="2">
        <v>0</v>
      </c>
      <c r="M103" s="2">
        <v>6906835.6979999999</v>
      </c>
    </row>
    <row r="104" spans="2:13" hidden="1" x14ac:dyDescent="0.25">
      <c r="B104" s="3" t="s">
        <v>51</v>
      </c>
      <c r="C104" s="4" t="s">
        <v>129</v>
      </c>
      <c r="D104" s="1" t="s">
        <v>95</v>
      </c>
      <c r="E104" s="1" t="str">
        <f>RIGHT(Table1[[#This Row],[PROJECT TITLE]],6)</f>
        <v>UV0084</v>
      </c>
      <c r="F104" s="10" t="s">
        <v>16</v>
      </c>
      <c r="G104" s="13" t="str">
        <f>VLOOKUP(Table1[[#This Row],[Eq No]],[1]!Table3[[Eq.No.]:[FY23/34 Acq. Status]],2,FALSE)</f>
        <v>Electricians U/G</v>
      </c>
      <c r="H104" s="12">
        <f>VLOOKUP(Table1[[#This Row],[Eq No]],[1]!Table3[[Eq.No.]:[FY23/34 Acq. Status]],3,FALSE)</f>
        <v>2019</v>
      </c>
      <c r="I104" s="13" t="str">
        <f>VLOOKUP(Table1[[#This Row],[Eq No]],[1]!Table3[[Eq.No.]:[FY23/34 Acq. Status]],12,FALSE)</f>
        <v>UV80/Scis/Crane</v>
      </c>
      <c r="J104" s="13" t="str">
        <f>VLOOKUP(Table1[[#This Row],[Eq No]],[1]!Table3[[Eq.No.]:[FY23/34 Acq. Status]],17,FALSE)</f>
        <v>UV80/Scis/Crane</v>
      </c>
      <c r="K104" s="2">
        <v>0</v>
      </c>
      <c r="L104" s="2">
        <v>8306390.9119999995</v>
      </c>
      <c r="M104" s="2">
        <v>0</v>
      </c>
    </row>
    <row r="105" spans="2:13" hidden="1" x14ac:dyDescent="0.25">
      <c r="B105" s="3" t="s">
        <v>51</v>
      </c>
      <c r="C105" s="4" t="s">
        <v>130</v>
      </c>
      <c r="D105" s="1" t="s">
        <v>95</v>
      </c>
      <c r="E105" s="1" t="str">
        <f>RIGHT(Table1[[#This Row],[PROJECT TITLE]],6)</f>
        <v>UV0108</v>
      </c>
      <c r="F105" s="10" t="s">
        <v>16</v>
      </c>
      <c r="G105" s="13" t="str">
        <f>VLOOKUP(Table1[[#This Row],[Eq No]],[1]!Table3[[Eq.No.]:[FY23/34 Acq. Status]],2,FALSE)</f>
        <v>Mining</v>
      </c>
      <c r="H105" s="12">
        <f>VLOOKUP(Table1[[#This Row],[Eq No]],[1]!Table3[[Eq.No.]:[FY23/34 Acq. Status]],3,FALSE)</f>
        <v>2018</v>
      </c>
      <c r="I105" s="13" t="str">
        <f>VLOOKUP(Table1[[#This Row],[Eq No]],[1]!Table3[[Eq.No.]:[FY23/34 Acq. Status]],12,FALSE)</f>
        <v>UV80/EmulCarr/+Crn</v>
      </c>
      <c r="J105" s="13" t="str">
        <f>VLOOKUP(Table1[[#This Row],[Eq No]],[1]!Table3[[Eq.No.]:[FY23/34 Acq. Status]],17,FALSE)</f>
        <v>UV80 Emul Char</v>
      </c>
      <c r="K105" s="2">
        <v>0</v>
      </c>
      <c r="L105" s="2">
        <v>9051350.9120000005</v>
      </c>
      <c r="M105" s="2">
        <v>0</v>
      </c>
    </row>
    <row r="106" spans="2:13" hidden="1" x14ac:dyDescent="0.25">
      <c r="B106" s="3" t="s">
        <v>51</v>
      </c>
      <c r="C106" s="4" t="s">
        <v>131</v>
      </c>
      <c r="D106" s="1" t="s">
        <v>95</v>
      </c>
      <c r="E106" s="1" t="str">
        <f>RIGHT(Table1[[#This Row],[PROJECT TITLE]],6)</f>
        <v>UV0118</v>
      </c>
      <c r="F106" s="10" t="s">
        <v>16</v>
      </c>
      <c r="G106" s="13" t="str">
        <f>VLOOKUP(Table1[[#This Row],[Eq No]],[1]!Table3[[Eq.No.]:[FY23/34 Acq. Status]],2,FALSE)</f>
        <v>Logistics</v>
      </c>
      <c r="H106" s="12">
        <f>VLOOKUP(Table1[[#This Row],[Eq No]],[1]!Table3[[Eq.No.]:[FY23/34 Acq. Status]],3,FALSE)</f>
        <v>2021</v>
      </c>
      <c r="I106" s="13" t="str">
        <f>VLOOKUP(Table1[[#This Row],[Eq No]],[1]!Table3[[Eq.No.]:[FY23/34 Acq. Status]],12,FALSE)</f>
        <v>RORO</v>
      </c>
      <c r="J106" s="13" t="str">
        <f>VLOOKUP(Table1[[#This Row],[Eq No]],[1]!Table3[[Eq.No.]:[FY23/34 Acq. Status]],17,FALSE)</f>
        <v>RORO</v>
      </c>
      <c r="K106" s="2">
        <v>0</v>
      </c>
      <c r="L106" s="2">
        <v>0</v>
      </c>
      <c r="M106" s="2">
        <v>8357729.269452001</v>
      </c>
    </row>
    <row r="107" spans="2:13" hidden="1" x14ac:dyDescent="0.25">
      <c r="B107" s="3" t="s">
        <v>51</v>
      </c>
      <c r="C107" s="4" t="s">
        <v>132</v>
      </c>
      <c r="D107" s="1" t="s">
        <v>95</v>
      </c>
      <c r="E107" s="1" t="str">
        <f>RIGHT(Table1[[#This Row],[PROJECT TITLE]],6)</f>
        <v>UV0119</v>
      </c>
      <c r="F107" s="10" t="s">
        <v>16</v>
      </c>
      <c r="G107" s="13" t="str">
        <f>VLOOKUP(Table1[[#This Row],[Eq No]],[1]!Table3[[Eq.No.]:[FY23/34 Acq. Status]],2,FALSE)</f>
        <v>Logistics</v>
      </c>
      <c r="H107" s="12">
        <f>VLOOKUP(Table1[[#This Row],[Eq No]],[1]!Table3[[Eq.No.]:[FY23/34 Acq. Status]],3,FALSE)</f>
        <v>2020</v>
      </c>
      <c r="I107" s="13" t="str">
        <f>VLOOKUP(Table1[[#This Row],[Eq No]],[1]!Table3[[Eq.No.]:[FY23/34 Acq. Status]],12,FALSE)</f>
        <v>PLACER</v>
      </c>
      <c r="J107" s="13" t="str">
        <f>VLOOKUP(Table1[[#This Row],[Eq No]],[1]!Table3[[Eq.No.]:[FY23/34 Acq. Status]],17,FALSE)</f>
        <v>roro</v>
      </c>
      <c r="K107" s="2">
        <v>0</v>
      </c>
      <c r="L107" s="2">
        <v>0</v>
      </c>
      <c r="M107" s="2">
        <v>8357729.269452001</v>
      </c>
    </row>
    <row r="108" spans="2:13" hidden="1" x14ac:dyDescent="0.25">
      <c r="B108" s="3" t="s">
        <v>51</v>
      </c>
      <c r="C108" s="4" t="s">
        <v>133</v>
      </c>
      <c r="D108" s="1" t="s">
        <v>39</v>
      </c>
      <c r="E108" s="1" t="str">
        <f>RIGHT(Table1[[#This Row],[PROJECT TITLE]],6)</f>
        <v>DT0118</v>
      </c>
      <c r="F108" s="10" t="s">
        <v>29</v>
      </c>
      <c r="G108" s="13" t="str">
        <f>VLOOKUP(Table1[[#This Row],[Eq No]],[1]!Table3[[Eq.No.]:[FY23/34 Acq. Status]],2,FALSE)</f>
        <v>Load &amp; Haul</v>
      </c>
      <c r="H108" s="12">
        <f>VLOOKUP(Table1[[#This Row],[Eq No]],[1]!Table3[[Eq.No.]:[FY23/34 Acq. Status]],3,FALSE)</f>
        <v>2017</v>
      </c>
      <c r="I108" s="13" t="str">
        <f>VLOOKUP(Table1[[#This Row],[Eq No]],[1]!Table3[[Eq.No.]:[FY23/34 Acq. Status]],12,FALSE)</f>
        <v>Elphinstone AD30</v>
      </c>
      <c r="J108" s="13" t="str">
        <f>VLOOKUP(Table1[[#This Row],[Eq No]],[1]!Table3[[Eq.No.]:[FY23/34 Acq. Status]],17,FALSE)</f>
        <v>MT42B</v>
      </c>
      <c r="K108" s="2">
        <v>0</v>
      </c>
      <c r="L108" s="2">
        <v>0</v>
      </c>
      <c r="M108" s="2">
        <v>34808580.048799999</v>
      </c>
    </row>
    <row r="109" spans="2:13" hidden="1" x14ac:dyDescent="0.25">
      <c r="B109" s="3" t="s">
        <v>51</v>
      </c>
      <c r="C109" s="4" t="s">
        <v>134</v>
      </c>
      <c r="D109" s="1" t="s">
        <v>39</v>
      </c>
      <c r="E109" s="1" t="str">
        <f>RIGHT(Table1[[#This Row],[PROJECT TITLE]],6)</f>
        <v>DT0145</v>
      </c>
      <c r="F109" s="10" t="s">
        <v>29</v>
      </c>
      <c r="G109" s="13" t="str">
        <f>VLOOKUP(Table1[[#This Row],[Eq No]],[1]!Table3[[Eq.No.]:[FY23/34 Acq. Status]],2,FALSE)</f>
        <v>Load &amp; Haul</v>
      </c>
      <c r="H109" s="12">
        <f>VLOOKUP(Table1[[#This Row],[Eq No]],[1]!Table3[[Eq.No.]:[FY23/34 Acq. Status]],3,FALSE)</f>
        <v>2020</v>
      </c>
      <c r="I109" s="13" t="str">
        <f>VLOOKUP(Table1[[#This Row],[Eq No]],[1]!Table3[[Eq.No.]:[FY23/34 Acq. Status]],12,FALSE)</f>
        <v>Elphinstone AD45</v>
      </c>
      <c r="J109" s="13" t="str">
        <f>VLOOKUP(Table1[[#This Row],[Eq No]],[1]!Table3[[Eq.No.]:[FY23/34 Acq. Status]],17,FALSE)</f>
        <v>MT42B</v>
      </c>
      <c r="K109" s="2">
        <v>0</v>
      </c>
      <c r="L109" s="2">
        <v>33727433.267200001</v>
      </c>
      <c r="M109" s="2">
        <v>0</v>
      </c>
    </row>
    <row r="110" spans="2:13" hidden="1" x14ac:dyDescent="0.25">
      <c r="B110" s="3" t="s">
        <v>51</v>
      </c>
      <c r="C110" s="4" t="s">
        <v>135</v>
      </c>
      <c r="D110" s="1" t="s">
        <v>39</v>
      </c>
      <c r="E110" s="1" t="str">
        <f>RIGHT(Table1[[#This Row],[PROJECT TITLE]],6)</f>
        <v>DT0148</v>
      </c>
      <c r="F110" s="10" t="s">
        <v>29</v>
      </c>
      <c r="G110" s="13" t="str">
        <f>VLOOKUP(Table1[[#This Row],[Eq No]],[1]!Table3[[Eq.No.]:[FY23/34 Acq. Status]],2,FALSE)</f>
        <v>Load &amp; Haul</v>
      </c>
      <c r="H110" s="12">
        <f>VLOOKUP(Table1[[#This Row],[Eq No]],[1]!Table3[[Eq.No.]:[FY23/34 Acq. Status]],3,FALSE)</f>
        <v>2020</v>
      </c>
      <c r="I110" s="13" t="str">
        <f>VLOOKUP(Table1[[#This Row],[Eq No]],[1]!Table3[[Eq.No.]:[FY23/34 Acq. Status]],12,FALSE)</f>
        <v>Elphinstone AD45</v>
      </c>
      <c r="J110" s="13" t="str">
        <f>VLOOKUP(Table1[[#This Row],[Eq No]],[1]!Table3[[Eq.No.]:[FY23/34 Acq. Status]],17,FALSE)</f>
        <v>MT42B</v>
      </c>
      <c r="K110" s="2">
        <v>0</v>
      </c>
      <c r="L110" s="2">
        <v>0</v>
      </c>
      <c r="M110" s="2">
        <v>34808580.048799999</v>
      </c>
    </row>
    <row r="111" spans="2:13" hidden="1" x14ac:dyDescent="0.25">
      <c r="B111" s="3" t="s">
        <v>51</v>
      </c>
      <c r="C111" s="4" t="s">
        <v>136</v>
      </c>
      <c r="D111" s="1" t="s">
        <v>7</v>
      </c>
      <c r="E111" s="1" t="str">
        <f>RIGHT(Table1[[#This Row],[PROJECT TITLE]],6)</f>
        <v>FL0091</v>
      </c>
      <c r="F111" s="10" t="s">
        <v>29</v>
      </c>
      <c r="G111" s="13" t="str">
        <f>VLOOKUP(Table1[[#This Row],[Eq No]],[1]!Table3[[Eq.No.]:[FY23/34 Acq. Status]],2,FALSE)</f>
        <v>Load &amp; Haul</v>
      </c>
      <c r="H111" s="12">
        <f>VLOOKUP(Table1[[#This Row],[Eq No]],[1]!Table3[[Eq.No.]:[FY23/34 Acq. Status]],3,FALSE)</f>
        <v>2019</v>
      </c>
      <c r="I111" s="13" t="str">
        <f>VLOOKUP(Table1[[#This Row],[Eq No]],[1]!Table3[[Eq.No.]:[FY23/34 Acq. Status]],12,FALSE)</f>
        <v>ST14</v>
      </c>
      <c r="J111" s="13" t="str">
        <f>VLOOKUP(Table1[[#This Row],[Eq No]],[1]!Table3[[Eq.No.]:[FY23/34 Acq. Status]],17,FALSE)</f>
        <v>ST14B</v>
      </c>
      <c r="K111" s="2">
        <v>0</v>
      </c>
      <c r="L111" s="2">
        <v>31066169.203199998</v>
      </c>
      <c r="M111" s="2">
        <v>0</v>
      </c>
    </row>
    <row r="112" spans="2:13" hidden="1" x14ac:dyDescent="0.25">
      <c r="B112" s="3" t="s">
        <v>51</v>
      </c>
      <c r="C112" s="4" t="s">
        <v>137</v>
      </c>
      <c r="D112" s="1" t="s">
        <v>7</v>
      </c>
      <c r="E112" s="1" t="str">
        <f>RIGHT(Table1[[#This Row],[PROJECT TITLE]],6)</f>
        <v>FL0101</v>
      </c>
      <c r="F112" s="10" t="s">
        <v>29</v>
      </c>
      <c r="G112" s="13" t="str">
        <f>VLOOKUP(Table1[[#This Row],[Eq No]],[1]!Table3[[Eq.No.]:[FY23/34 Acq. Status]],2,FALSE)</f>
        <v>Load &amp; Haul</v>
      </c>
      <c r="H112" s="12">
        <f>VLOOKUP(Table1[[#This Row],[Eq No]],[1]!Table3[[Eq.No.]:[FY23/34 Acq. Status]],3,FALSE)</f>
        <v>2021</v>
      </c>
      <c r="I112" s="13" t="str">
        <f>VLOOKUP(Table1[[#This Row],[Eq No]],[1]!Table3[[Eq.No.]:[FY23/34 Acq. Status]],12,FALSE)</f>
        <v>ST14</v>
      </c>
      <c r="J112" s="13" t="str">
        <f>VLOOKUP(Table1[[#This Row],[Eq No]],[1]!Table3[[Eq.No.]:[FY23/34 Acq. Status]],17,FALSE)</f>
        <v>ST14B</v>
      </c>
      <c r="K112" s="2">
        <v>0</v>
      </c>
      <c r="L112" s="2">
        <v>0</v>
      </c>
      <c r="M112" s="2">
        <v>32062008.0678</v>
      </c>
    </row>
    <row r="113" spans="2:13" hidden="1" x14ac:dyDescent="0.25">
      <c r="B113" s="3" t="s">
        <v>51</v>
      </c>
      <c r="C113" s="4" t="s">
        <v>138</v>
      </c>
      <c r="D113" s="1" t="s">
        <v>119</v>
      </c>
      <c r="E113" s="1" t="str">
        <f>RIGHT(Table1[[#This Row],[PROJECT TITLE]],6)</f>
        <v>HD0049</v>
      </c>
      <c r="F113" s="10" t="s">
        <v>29</v>
      </c>
      <c r="G113" s="13" t="str">
        <f>VLOOKUP(Table1[[#This Row],[Eq No]],[1]!Table3[[Eq.No.]:[FY23/34 Acq. Status]],2,FALSE)</f>
        <v>SEAM 2 Section</v>
      </c>
      <c r="H113" s="12">
        <f>VLOOKUP(Table1[[#This Row],[Eq No]],[1]!Table3[[Eq.No.]:[FY23/34 Acq. Status]],3,FALSE)</f>
        <v>2019</v>
      </c>
      <c r="I113" s="13" t="str">
        <f>VLOOKUP(Table1[[#This Row],[Eq No]],[1]!Table3[[Eq.No.]:[FY23/34 Acq. Status]],12,FALSE)</f>
        <v>EPIROC S2</v>
      </c>
      <c r="J113" s="13" t="str">
        <f>VLOOKUP(Table1[[#This Row],[Eq No]],[1]!Table3[[Eq.No.]:[FY23/34 Acq. Status]],17,FALSE)</f>
        <v>EPIROC S2</v>
      </c>
      <c r="K113" s="2">
        <v>0</v>
      </c>
      <c r="L113" s="2">
        <v>28291717.158399999</v>
      </c>
      <c r="M113" s="2">
        <v>0</v>
      </c>
    </row>
    <row r="114" spans="2:13" hidden="1" x14ac:dyDescent="0.25">
      <c r="B114" s="3" t="s">
        <v>51</v>
      </c>
      <c r="C114" s="4" t="s">
        <v>139</v>
      </c>
      <c r="D114" s="1" t="s">
        <v>119</v>
      </c>
      <c r="E114" s="1" t="str">
        <f>RIGHT(Table1[[#This Row],[PROJECT TITLE]],6)</f>
        <v>HD0050</v>
      </c>
      <c r="F114" s="10" t="s">
        <v>29</v>
      </c>
      <c r="G114" s="13" t="str">
        <f>VLOOKUP(Table1[[#This Row],[Eq No]],[1]!Table3[[Eq.No.]:[FY23/34 Acq. Status]],2,FALSE)</f>
        <v>SEAM 2 Section</v>
      </c>
      <c r="H114" s="12">
        <f>VLOOKUP(Table1[[#This Row],[Eq No]],[1]!Table3[[Eq.No.]:[FY23/34 Acq. Status]],3,FALSE)</f>
        <v>2019</v>
      </c>
      <c r="I114" s="13" t="str">
        <f>VLOOKUP(Table1[[#This Row],[Eq No]],[1]!Table3[[Eq.No.]:[FY23/34 Acq. Status]],12,FALSE)</f>
        <v>EPIROC S2</v>
      </c>
      <c r="J114" s="13" t="str">
        <f>VLOOKUP(Table1[[#This Row],[Eq No]],[1]!Table3[[Eq.No.]:[FY23/34 Acq. Status]],17,FALSE)</f>
        <v>EPIROC S2</v>
      </c>
      <c r="K114" s="2">
        <v>0</v>
      </c>
      <c r="L114" s="2">
        <v>28291717.158399999</v>
      </c>
      <c r="M114" s="2">
        <v>0</v>
      </c>
    </row>
    <row r="115" spans="2:13" hidden="1" x14ac:dyDescent="0.25">
      <c r="B115" s="3" t="s">
        <v>51</v>
      </c>
      <c r="C115" s="4" t="s">
        <v>140</v>
      </c>
      <c r="D115" s="1" t="s">
        <v>119</v>
      </c>
      <c r="E115" s="1" t="str">
        <f>RIGHT(Table1[[#This Row],[PROJECT TITLE]],6)</f>
        <v>HD0051</v>
      </c>
      <c r="F115" s="10" t="s">
        <v>29</v>
      </c>
      <c r="G115" s="13" t="str">
        <f>VLOOKUP(Table1[[#This Row],[Eq No]],[1]!Table3[[Eq.No.]:[FY23/34 Acq. Status]],2,FALSE)</f>
        <v>Drill &amp; Blast</v>
      </c>
      <c r="H115" s="12">
        <f>VLOOKUP(Table1[[#This Row],[Eq No]],[1]!Table3[[Eq.No.]:[FY23/34 Acq. Status]],3,FALSE)</f>
        <v>2019</v>
      </c>
      <c r="I115" s="13" t="str">
        <f>VLOOKUP(Table1[[#This Row],[Eq No]],[1]!Table3[[Eq.No.]:[FY23/34 Acq. Status]],12,FALSE)</f>
        <v>EPIROC S2</v>
      </c>
      <c r="J115" s="13" t="str">
        <f>VLOOKUP(Table1[[#This Row],[Eq No]],[1]!Table3[[Eq.No.]:[FY23/34 Acq. Status]],17,FALSE)</f>
        <v>EPIROC S2</v>
      </c>
      <c r="K115" s="2">
        <v>0</v>
      </c>
      <c r="L115" s="2">
        <v>0</v>
      </c>
      <c r="M115" s="2">
        <v>29198619.818599999</v>
      </c>
    </row>
    <row r="116" spans="2:13" hidden="1" x14ac:dyDescent="0.25">
      <c r="B116" s="3" t="s">
        <v>51</v>
      </c>
      <c r="C116" s="4" t="s">
        <v>141</v>
      </c>
      <c r="D116" s="1" t="s">
        <v>119</v>
      </c>
      <c r="E116" s="1" t="str">
        <f>RIGHT(Table1[[#This Row],[PROJECT TITLE]],6)</f>
        <v>HD0052</v>
      </c>
      <c r="F116" s="10" t="s">
        <v>29</v>
      </c>
      <c r="G116" s="13" t="str">
        <f>VLOOKUP(Table1[[#This Row],[Eq No]],[1]!Table3[[Eq.No.]:[FY23/34 Acq. Status]],2,FALSE)</f>
        <v>Central Section</v>
      </c>
      <c r="H116" s="12">
        <f>VLOOKUP(Table1[[#This Row],[Eq No]],[1]!Table3[[Eq.No.]:[FY23/34 Acq. Status]],3,FALSE)</f>
        <v>2019</v>
      </c>
      <c r="I116" s="13" t="str">
        <f>VLOOKUP(Table1[[#This Row],[Eq No]],[1]!Table3[[Eq.No.]:[FY23/34 Acq. Status]],12,FALSE)</f>
        <v>EPIROC S2</v>
      </c>
      <c r="J116" s="13" t="str">
        <f>VLOOKUP(Table1[[#This Row],[Eq No]],[1]!Table3[[Eq.No.]:[FY23/34 Acq. Status]],17,FALSE)</f>
        <v>EPIROC S2</v>
      </c>
      <c r="K116" s="2">
        <v>0</v>
      </c>
      <c r="L116" s="2">
        <v>0</v>
      </c>
      <c r="M116" s="2">
        <v>29198619.818599999</v>
      </c>
    </row>
    <row r="117" spans="2:13" hidden="1" x14ac:dyDescent="0.25">
      <c r="B117" s="3" t="s">
        <v>51</v>
      </c>
      <c r="C117" s="4" t="s">
        <v>142</v>
      </c>
      <c r="D117" s="1" t="s">
        <v>21</v>
      </c>
      <c r="E117" s="1" t="str">
        <f>RIGHT(Table1[[#This Row],[PROJECT TITLE]],6)</f>
        <v>LD0401</v>
      </c>
      <c r="F117" s="10" t="s">
        <v>29</v>
      </c>
      <c r="G117" s="13">
        <f>VLOOKUP(Table1[[#This Row],[Eq No]],[1]!Table3[[Eq.No.]:[FY23/34 Acq. Status]],2,FALSE)</f>
        <v>0</v>
      </c>
      <c r="H117" s="12">
        <f>VLOOKUP(Table1[[#This Row],[Eq No]],[1]!Table3[[Eq.No.]:[FY23/34 Acq. Status]],3,FALSE)</f>
        <v>2017</v>
      </c>
      <c r="I117" s="13" t="str">
        <f>VLOOKUP(Table1[[#This Row],[Eq No]],[1]!Table3[[Eq.No.]:[FY23/34 Acq. Status]],12,FALSE)</f>
        <v>D/Cab Maverick</v>
      </c>
      <c r="J117" s="13" t="str">
        <f>VLOOKUP(Table1[[#This Row],[Eq No]],[1]!Table3[[Eq.No.]:[FY23/34 Acq. Status]],17,FALSE)</f>
        <v>L/Cruiser 4x4 (Converted to UG Spec)</v>
      </c>
      <c r="K117" s="2">
        <v>0</v>
      </c>
      <c r="L117" s="2">
        <v>0</v>
      </c>
      <c r="M117" s="2">
        <v>3760306.4600920002</v>
      </c>
    </row>
    <row r="118" spans="2:13" hidden="1" x14ac:dyDescent="0.25">
      <c r="B118" s="3" t="s">
        <v>51</v>
      </c>
      <c r="C118" s="4" t="s">
        <v>143</v>
      </c>
      <c r="D118" s="1" t="s">
        <v>21</v>
      </c>
      <c r="E118" s="1" t="str">
        <f>RIGHT(Table1[[#This Row],[PROJECT TITLE]],6)</f>
        <v>LD0405</v>
      </c>
      <c r="F118" s="10" t="s">
        <v>29</v>
      </c>
      <c r="G118" s="13">
        <f>VLOOKUP(Table1[[#This Row],[Eq No]],[1]!Table3[[Eq.No.]:[FY23/34 Acq. Status]],2,FALSE)</f>
        <v>0</v>
      </c>
      <c r="H118" s="12">
        <f>VLOOKUP(Table1[[#This Row],[Eq No]],[1]!Table3[[Eq.No.]:[FY23/34 Acq. Status]],3,FALSE)</f>
        <v>2017</v>
      </c>
      <c r="I118" s="13" t="str">
        <f>VLOOKUP(Table1[[#This Row],[Eq No]],[1]!Table3[[Eq.No.]:[FY23/34 Acq. Status]],12,FALSE)</f>
        <v>D/Cab Maverick</v>
      </c>
      <c r="J118" s="13" t="str">
        <f>VLOOKUP(Table1[[#This Row],[Eq No]],[1]!Table3[[Eq.No.]:[FY23/34 Acq. Status]],17,FALSE)</f>
        <v>L/Cruiser 4x4 (Converted to UG Spec)</v>
      </c>
      <c r="K118" s="2">
        <v>0</v>
      </c>
      <c r="L118" s="2">
        <v>0</v>
      </c>
      <c r="M118" s="2">
        <v>3760306.4600920002</v>
      </c>
    </row>
    <row r="119" spans="2:13" hidden="1" x14ac:dyDescent="0.25">
      <c r="B119" s="3" t="s">
        <v>51</v>
      </c>
      <c r="C119" s="4" t="s">
        <v>144</v>
      </c>
      <c r="D119" s="1" t="s">
        <v>21</v>
      </c>
      <c r="E119" s="1" t="str">
        <f>RIGHT(Table1[[#This Row],[PROJECT TITLE]],6)</f>
        <v>LD0445</v>
      </c>
      <c r="F119" s="10" t="s">
        <v>29</v>
      </c>
      <c r="G119" s="13">
        <f>VLOOKUP(Table1[[#This Row],[Eq No]],[1]!Table3[[Eq.No.]:[FY23/34 Acq. Status]],2,FALSE)</f>
        <v>0</v>
      </c>
      <c r="H119" s="12">
        <f>VLOOKUP(Table1[[#This Row],[Eq No]],[1]!Table3[[Eq.No.]:[FY23/34 Acq. Status]],3,FALSE)</f>
        <v>2017</v>
      </c>
      <c r="I119" s="13" t="str">
        <f>VLOOKUP(Table1[[#This Row],[Eq No]],[1]!Table3[[Eq.No.]:[FY23/34 Acq. Status]],12,FALSE)</f>
        <v>D/Cab Maverick</v>
      </c>
      <c r="J119" s="13" t="str">
        <f>VLOOKUP(Table1[[#This Row],[Eq No]],[1]!Table3[[Eq.No.]:[FY23/34 Acq. Status]],17,FALSE)</f>
        <v>L/Cruiser 4x4 (Converted to UG Spec)</v>
      </c>
      <c r="K119" s="2">
        <v>0</v>
      </c>
      <c r="L119" s="2">
        <v>3643512.1748480005</v>
      </c>
      <c r="M119" s="2">
        <v>0</v>
      </c>
    </row>
    <row r="120" spans="2:13" hidden="1" x14ac:dyDescent="0.25">
      <c r="B120" s="3" t="s">
        <v>51</v>
      </c>
      <c r="C120" s="4" t="s">
        <v>145</v>
      </c>
      <c r="D120" s="1" t="s">
        <v>21</v>
      </c>
      <c r="E120" s="1" t="str">
        <f>RIGHT(Table1[[#This Row],[PROJECT TITLE]],6)</f>
        <v>LD0452</v>
      </c>
      <c r="F120" s="10" t="s">
        <v>29</v>
      </c>
      <c r="G120" s="13">
        <f>VLOOKUP(Table1[[#This Row],[Eq No]],[1]!Table3[[Eq.No.]:[FY23/34 Acq. Status]],2,FALSE)</f>
        <v>0</v>
      </c>
      <c r="H120" s="12">
        <f>VLOOKUP(Table1[[#This Row],[Eq No]],[1]!Table3[[Eq.No.]:[FY23/34 Acq. Status]],3,FALSE)</f>
        <v>2017</v>
      </c>
      <c r="I120" s="13" t="str">
        <f>VLOOKUP(Table1[[#This Row],[Eq No]],[1]!Table3[[Eq.No.]:[FY23/34 Acq. Status]],12,FALSE)</f>
        <v>D/Cab Maverick</v>
      </c>
      <c r="J120" s="13" t="str">
        <f>VLOOKUP(Table1[[#This Row],[Eq No]],[1]!Table3[[Eq.No.]:[FY23/34 Acq. Status]],17,FALSE)</f>
        <v>L/Cruiser 4x4 (Converted to UG Spec)</v>
      </c>
      <c r="K120" s="2">
        <v>0</v>
      </c>
      <c r="L120" s="2">
        <v>0</v>
      </c>
      <c r="M120" s="2">
        <v>3760306.4600920002</v>
      </c>
    </row>
    <row r="121" spans="2:13" hidden="1" x14ac:dyDescent="0.25">
      <c r="B121" s="3" t="s">
        <v>51</v>
      </c>
      <c r="C121" s="4" t="s">
        <v>146</v>
      </c>
      <c r="D121" s="1" t="s">
        <v>21</v>
      </c>
      <c r="E121" s="1" t="str">
        <f>RIGHT(Table1[[#This Row],[PROJECT TITLE]],6)</f>
        <v>LD0512</v>
      </c>
      <c r="F121" s="10" t="s">
        <v>29</v>
      </c>
      <c r="G121" s="13">
        <f>VLOOKUP(Table1[[#This Row],[Eq No]],[1]!Table3[[Eq.No.]:[FY23/34 Acq. Status]],2,FALSE)</f>
        <v>0</v>
      </c>
      <c r="H121" s="12">
        <f>VLOOKUP(Table1[[#This Row],[Eq No]],[1]!Table3[[Eq.No.]:[FY23/34 Acq. Status]],3,FALSE)</f>
        <v>2019</v>
      </c>
      <c r="I121" s="13" t="str">
        <f>VLOOKUP(Table1[[#This Row],[Eq No]],[1]!Table3[[Eq.No.]:[FY23/34 Acq. Status]],12,FALSE)</f>
        <v>D/Cab Maverick</v>
      </c>
      <c r="J121" s="13" t="str">
        <f>VLOOKUP(Table1[[#This Row],[Eq No]],[1]!Table3[[Eq.No.]:[FY23/34 Acq. Status]],17,FALSE)</f>
        <v>L/Cruiser 4x4 (Converted to UG Spec)</v>
      </c>
      <c r="K121" s="2">
        <v>0</v>
      </c>
      <c r="L121" s="2">
        <v>3643512.1748480005</v>
      </c>
      <c r="M121" s="2">
        <v>0</v>
      </c>
    </row>
    <row r="122" spans="2:13" hidden="1" x14ac:dyDescent="0.25">
      <c r="B122" s="3" t="s">
        <v>51</v>
      </c>
      <c r="C122" s="4" t="s">
        <v>147</v>
      </c>
      <c r="D122" s="1" t="s">
        <v>28</v>
      </c>
      <c r="E122" s="1" t="str">
        <f>RIGHT(Table1[[#This Row],[PROJECT TITLE]],6)</f>
        <v>RT0044</v>
      </c>
      <c r="F122" s="10" t="s">
        <v>29</v>
      </c>
      <c r="G122" s="13" t="str">
        <f>VLOOKUP(Table1[[#This Row],[Eq No]],[1]!Table3[[Eq.No.]:[FY23/34 Acq. Status]],2,FALSE)</f>
        <v>N3</v>
      </c>
      <c r="H122" s="12">
        <f>VLOOKUP(Table1[[#This Row],[Eq No]],[1]!Table3[[Eq.No.]:[FY23/34 Acq. Status]],3,FALSE)</f>
        <v>2018</v>
      </c>
      <c r="I122" s="13" t="str">
        <f>VLOOKUP(Table1[[#This Row],[Eq No]],[1]!Table3[[Eq.No.]:[FY23/34 Acq. Status]],12,FALSE)</f>
        <v>Boltec 235H</v>
      </c>
      <c r="J122" s="13" t="str">
        <f>VLOOKUP(Table1[[#This Row],[Eq No]],[1]!Table3[[Eq.No.]:[FY23/34 Acq. Status]],17,FALSE)</f>
        <v>Boltec 235H</v>
      </c>
      <c r="K122" s="2">
        <v>0</v>
      </c>
      <c r="L122" s="2">
        <v>0</v>
      </c>
      <c r="M122" s="2">
        <v>21325025.483599998</v>
      </c>
    </row>
    <row r="123" spans="2:13" hidden="1" x14ac:dyDescent="0.25">
      <c r="B123" s="3" t="s">
        <v>51</v>
      </c>
      <c r="C123" s="4" t="s">
        <v>148</v>
      </c>
      <c r="D123" s="1" t="s">
        <v>95</v>
      </c>
      <c r="E123" s="1" t="str">
        <f>RIGHT(Table1[[#This Row],[PROJECT TITLE]],6)</f>
        <v>UV0056</v>
      </c>
      <c r="F123" s="10" t="s">
        <v>29</v>
      </c>
      <c r="G123" s="13">
        <f>VLOOKUP(Table1[[#This Row],[Eq No]],[1]!Table3[[Eq.No.]:[FY23/34 Acq. Status]],2,FALSE)</f>
        <v>0</v>
      </c>
      <c r="H123" s="12">
        <f>VLOOKUP(Table1[[#This Row],[Eq No]],[1]!Table3[[Eq.No.]:[FY23/34 Acq. Status]],3,FALSE)</f>
        <v>2016</v>
      </c>
      <c r="I123" s="13" t="str">
        <f>VLOOKUP(Table1[[#This Row],[Eq No]],[1]!Table3[[Eq.No.]:[FY23/34 Acq. Status]],12,FALSE)</f>
        <v>UV80 Scissor</v>
      </c>
      <c r="J123" s="13" t="str">
        <f>VLOOKUP(Table1[[#This Row],[Eq No]],[1]!Table3[[Eq.No.]:[FY23/34 Acq. Status]],17,FALSE)</f>
        <v>UV80 Scissor Lift</v>
      </c>
      <c r="K123" s="2">
        <v>0</v>
      </c>
      <c r="L123" s="2">
        <v>8306390.9119999995</v>
      </c>
      <c r="M123" s="2">
        <v>0</v>
      </c>
    </row>
    <row r="124" spans="2:13" hidden="1" x14ac:dyDescent="0.25">
      <c r="B124" s="3" t="s">
        <v>51</v>
      </c>
      <c r="C124" s="4" t="s">
        <v>149</v>
      </c>
      <c r="D124" s="1" t="s">
        <v>95</v>
      </c>
      <c r="E124" s="1" t="str">
        <f>RIGHT(Table1[[#This Row],[PROJECT TITLE]],6)</f>
        <v>UV0074</v>
      </c>
      <c r="F124" s="10" t="s">
        <v>29</v>
      </c>
      <c r="G124" s="13">
        <f>VLOOKUP(Table1[[#This Row],[Eq No]],[1]!Table3[[Eq.No.]:[FY23/34 Acq. Status]],2,FALSE)</f>
        <v>0</v>
      </c>
      <c r="H124" s="12">
        <f>VLOOKUP(Table1[[#This Row],[Eq No]],[1]!Table3[[Eq.No.]:[FY23/34 Acq. Status]],3,FALSE)</f>
        <v>2016</v>
      </c>
      <c r="I124" s="13" t="str">
        <f>VLOOKUP(Table1[[#This Row],[Eq No]],[1]!Table3[[Eq.No.]:[FY23/34 Acq. Status]],12,FALSE)</f>
        <v>S/Cab Manlift</v>
      </c>
      <c r="J124" s="13" t="str">
        <f>VLOOKUP(Table1[[#This Row],[Eq No]],[1]!Table3[[Eq.No.]:[FY23/34 Acq. Status]],17,FALSE)</f>
        <v>L/Cruiser 4x4 (Converted to UG Spec)</v>
      </c>
      <c r="K124" s="2">
        <v>0</v>
      </c>
      <c r="L124" s="2">
        <v>0</v>
      </c>
      <c r="M124" s="2">
        <v>3760306.4600920002</v>
      </c>
    </row>
    <row r="125" spans="2:13" hidden="1" x14ac:dyDescent="0.25">
      <c r="B125" s="3" t="s">
        <v>51</v>
      </c>
      <c r="C125" s="4" t="s">
        <v>150</v>
      </c>
      <c r="D125" s="1" t="s">
        <v>95</v>
      </c>
      <c r="E125" s="1" t="str">
        <f>RIGHT(Table1[[#This Row],[PROJECT TITLE]],6)</f>
        <v>UV0075</v>
      </c>
      <c r="F125" s="10" t="s">
        <v>29</v>
      </c>
      <c r="G125" s="13">
        <f>VLOOKUP(Table1[[#This Row],[Eq No]],[1]!Table3[[Eq.No.]:[FY23/34 Acq. Status]],2,FALSE)</f>
        <v>0</v>
      </c>
      <c r="H125" s="12">
        <f>VLOOKUP(Table1[[#This Row],[Eq No]],[1]!Table3[[Eq.No.]:[FY23/34 Acq. Status]],3,FALSE)</f>
        <v>2016</v>
      </c>
      <c r="I125" s="13" t="str">
        <f>VLOOKUP(Table1[[#This Row],[Eq No]],[1]!Table3[[Eq.No.]:[FY23/34 Acq. Status]],12,FALSE)</f>
        <v>S/Cab Manlift</v>
      </c>
      <c r="J125" s="13" t="str">
        <f>VLOOKUP(Table1[[#This Row],[Eq No]],[1]!Table3[[Eq.No.]:[FY23/34 Acq. Status]],17,FALSE)</f>
        <v>L/Cruiser 4x4 (Converted to UG Spec)</v>
      </c>
      <c r="K125" s="2">
        <v>0</v>
      </c>
      <c r="L125" s="2">
        <v>0</v>
      </c>
      <c r="M125" s="2">
        <v>3760306.4600920002</v>
      </c>
    </row>
    <row r="126" spans="2:13" hidden="1" x14ac:dyDescent="0.25">
      <c r="B126" s="3" t="s">
        <v>51</v>
      </c>
      <c r="C126" s="4" t="s">
        <v>151</v>
      </c>
      <c r="D126" s="1" t="s">
        <v>95</v>
      </c>
      <c r="E126" s="1" t="str">
        <f>RIGHT(Table1[[#This Row],[PROJECT TITLE]],6)</f>
        <v>UV0079</v>
      </c>
      <c r="F126" s="10" t="s">
        <v>29</v>
      </c>
      <c r="G126" s="13">
        <f>VLOOKUP(Table1[[#This Row],[Eq No]],[1]!Table3[[Eq.No.]:[FY23/34 Acq. Status]],2,FALSE)</f>
        <v>0</v>
      </c>
      <c r="H126" s="12">
        <f>VLOOKUP(Table1[[#This Row],[Eq No]],[1]!Table3[[Eq.No.]:[FY23/34 Acq. Status]],3,FALSE)</f>
        <v>2016</v>
      </c>
      <c r="I126" s="13" t="str">
        <f>VLOOKUP(Table1[[#This Row],[Eq No]],[1]!Table3[[Eq.No.]:[FY23/34 Acq. Status]],12,FALSE)</f>
        <v>UV80-Liberator</v>
      </c>
      <c r="J126" s="13" t="str">
        <f>VLOOKUP(Table1[[#This Row],[Eq No]],[1]!Table3[[Eq.No.]:[FY23/34 Acq. Status]],17,FALSE)</f>
        <v>UV80/Carr/MKIII</v>
      </c>
      <c r="K126" s="2">
        <v>0</v>
      </c>
      <c r="L126" s="2">
        <v>0</v>
      </c>
      <c r="M126" s="2">
        <v>6906835.6979999999</v>
      </c>
    </row>
    <row r="127" spans="2:13" hidden="1" x14ac:dyDescent="0.25">
      <c r="B127" s="3" t="s">
        <v>51</v>
      </c>
      <c r="C127" s="4" t="s">
        <v>152</v>
      </c>
      <c r="D127" s="1" t="s">
        <v>95</v>
      </c>
      <c r="E127" s="1" t="str">
        <f>RIGHT(Table1[[#This Row],[PROJECT TITLE]],6)</f>
        <v>UV0081</v>
      </c>
      <c r="F127" s="10" t="s">
        <v>29</v>
      </c>
      <c r="G127" s="13">
        <f>VLOOKUP(Table1[[#This Row],[Eq No]],[1]!Table3[[Eq.No.]:[FY23/34 Acq. Status]],2,FALSE)</f>
        <v>0</v>
      </c>
      <c r="H127" s="12">
        <f>VLOOKUP(Table1[[#This Row],[Eq No]],[1]!Table3[[Eq.No.]:[FY23/34 Acq. Status]],3,FALSE)</f>
        <v>2016</v>
      </c>
      <c r="I127" s="13" t="str">
        <f>VLOOKUP(Table1[[#This Row],[Eq No]],[1]!Table3[[Eq.No.]:[FY23/34 Acq. Status]],12,FALSE)</f>
        <v>UV80-Liberator</v>
      </c>
      <c r="J127" s="13" t="str">
        <f>VLOOKUP(Table1[[#This Row],[Eq No]],[1]!Table3[[Eq.No.]:[FY23/34 Acq. Status]],17,FALSE)</f>
        <v>UV80/Carr/MKIII</v>
      </c>
      <c r="K127" s="2">
        <v>0</v>
      </c>
      <c r="L127" s="2">
        <v>0</v>
      </c>
      <c r="M127" s="2">
        <v>6906835.6979999999</v>
      </c>
    </row>
    <row r="128" spans="2:13" hidden="1" x14ac:dyDescent="0.25">
      <c r="B128" s="3" t="s">
        <v>51</v>
      </c>
      <c r="C128" s="4" t="s">
        <v>153</v>
      </c>
      <c r="D128" s="1" t="s">
        <v>39</v>
      </c>
      <c r="E128" s="1" t="str">
        <f>RIGHT(Table1[[#This Row],[PROJECT TITLE]],6)</f>
        <v>DT0129</v>
      </c>
      <c r="F128" s="10" t="s">
        <v>19</v>
      </c>
      <c r="G128" s="13" t="str">
        <f>VLOOKUP(Table1[[#This Row],[Eq No]],[1]!Table3[[Eq.No.]:[FY23/34 Acq. Status]],2,FALSE)</f>
        <v>SOT NCH2</v>
      </c>
      <c r="H128" s="12">
        <f>VLOOKUP(Table1[[#This Row],[Eq No]],[1]!Table3[[Eq.No.]:[FY23/34 Acq. Status]],3,FALSE)</f>
        <v>2018</v>
      </c>
      <c r="I128" s="13" t="str">
        <f>VLOOKUP(Table1[[#This Row],[Eq No]],[1]!Table3[[Eq.No.]:[FY23/34 Acq. Status]],12,FALSE)</f>
        <v>B50E, 6x6</v>
      </c>
      <c r="J128" s="13" t="str">
        <f>VLOOKUP(Table1[[#This Row],[Eq No]],[1]!Table3[[Eq.No.]:[FY23/34 Acq. Status]],17,FALSE)</f>
        <v>B50E, 6x6</v>
      </c>
      <c r="K128" s="2">
        <v>0</v>
      </c>
      <c r="L128" s="2">
        <v>13814041.6</v>
      </c>
      <c r="M128" s="2">
        <v>0</v>
      </c>
    </row>
    <row r="129" spans="2:13" hidden="1" x14ac:dyDescent="0.25">
      <c r="B129" s="3" t="s">
        <v>51</v>
      </c>
      <c r="C129" s="4" t="s">
        <v>154</v>
      </c>
      <c r="D129" s="1" t="s">
        <v>39</v>
      </c>
      <c r="E129" s="1" t="str">
        <f>RIGHT(Table1[[#This Row],[PROJECT TITLE]],6)</f>
        <v>DT0130</v>
      </c>
      <c r="F129" s="10" t="s">
        <v>19</v>
      </c>
      <c r="G129" s="13" t="str">
        <f>VLOOKUP(Table1[[#This Row],[Eq No]],[1]!Table3[[Eq.No.]:[FY23/34 Acq. Status]],2,FALSE)</f>
        <v>SOT NCH2</v>
      </c>
      <c r="H129" s="12">
        <f>VLOOKUP(Table1[[#This Row],[Eq No]],[1]!Table3[[Eq.No.]:[FY23/34 Acq. Status]],3,FALSE)</f>
        <v>2018</v>
      </c>
      <c r="I129" s="13" t="str">
        <f>VLOOKUP(Table1[[#This Row],[Eq No]],[1]!Table3[[Eq.No.]:[FY23/34 Acq. Status]],12,FALSE)</f>
        <v>B50E, 6x6</v>
      </c>
      <c r="J129" s="13" t="str">
        <f>VLOOKUP(Table1[[#This Row],[Eq No]],[1]!Table3[[Eq.No.]:[FY23/34 Acq. Status]],17,FALSE)</f>
        <v>B50E, 6x6</v>
      </c>
      <c r="K129" s="2">
        <v>0</v>
      </c>
      <c r="L129" s="2">
        <v>13814041.6</v>
      </c>
      <c r="M129" s="2">
        <v>0</v>
      </c>
    </row>
    <row r="130" spans="2:13" hidden="1" x14ac:dyDescent="0.25">
      <c r="B130" s="3" t="s">
        <v>51</v>
      </c>
      <c r="C130" s="4" t="s">
        <v>155</v>
      </c>
      <c r="D130" s="1" t="s">
        <v>39</v>
      </c>
      <c r="E130" s="1" t="str">
        <f>RIGHT(Table1[[#This Row],[PROJECT TITLE]],6)</f>
        <v>DT0133</v>
      </c>
      <c r="F130" s="10" t="s">
        <v>19</v>
      </c>
      <c r="G130" s="13" t="str">
        <f>VLOOKUP(Table1[[#This Row],[Eq No]],[1]!Table3[[Eq.No.]:[FY23/34 Acq. Status]],2,FALSE)</f>
        <v>SOT NCH2</v>
      </c>
      <c r="H130" s="12">
        <f>VLOOKUP(Table1[[#This Row],[Eq No]],[1]!Table3[[Eq.No.]:[FY23/34 Acq. Status]],3,FALSE)</f>
        <v>2019</v>
      </c>
      <c r="I130" s="13" t="str">
        <f>VLOOKUP(Table1[[#This Row],[Eq No]],[1]!Table3[[Eq.No.]:[FY23/34 Acq. Status]],12,FALSE)</f>
        <v>B50E, 6x6</v>
      </c>
      <c r="J130" s="13" t="str">
        <f>VLOOKUP(Table1[[#This Row],[Eq No]],[1]!Table3[[Eq.No.]:[FY23/34 Acq. Status]],17,FALSE)</f>
        <v>B50E, 6x6</v>
      </c>
      <c r="K130" s="2">
        <v>0</v>
      </c>
      <c r="L130" s="2">
        <v>0</v>
      </c>
      <c r="M130" s="2">
        <v>14256856.4</v>
      </c>
    </row>
    <row r="131" spans="2:13" hidden="1" x14ac:dyDescent="0.25">
      <c r="B131" s="3" t="s">
        <v>51</v>
      </c>
      <c r="C131" s="4" t="s">
        <v>156</v>
      </c>
      <c r="D131" s="1" t="s">
        <v>39</v>
      </c>
      <c r="E131" s="1" t="str">
        <f>RIGHT(Table1[[#This Row],[PROJECT TITLE]],6)</f>
        <v>DT0134</v>
      </c>
      <c r="F131" s="10" t="s">
        <v>19</v>
      </c>
      <c r="G131" s="13" t="str">
        <f>VLOOKUP(Table1[[#This Row],[Eq No]],[1]!Table3[[Eq.No.]:[FY23/34 Acq. Status]],2,FALSE)</f>
        <v>SOT NCH2</v>
      </c>
      <c r="H131" s="12">
        <f>VLOOKUP(Table1[[#This Row],[Eq No]],[1]!Table3[[Eq.No.]:[FY23/34 Acq. Status]],3,FALSE)</f>
        <v>2019</v>
      </c>
      <c r="I131" s="13" t="str">
        <f>VLOOKUP(Table1[[#This Row],[Eq No]],[1]!Table3[[Eq.No.]:[FY23/34 Acq. Status]],12,FALSE)</f>
        <v>B50E, 6x6</v>
      </c>
      <c r="J131" s="13" t="str">
        <f>VLOOKUP(Table1[[#This Row],[Eq No]],[1]!Table3[[Eq.No.]:[FY23/34 Acq. Status]],17,FALSE)</f>
        <v>B50E, 6x6</v>
      </c>
      <c r="K131" s="2">
        <v>0</v>
      </c>
      <c r="L131" s="2">
        <v>0</v>
      </c>
      <c r="M131" s="2">
        <v>14256856.4</v>
      </c>
    </row>
    <row r="132" spans="2:13" hidden="1" x14ac:dyDescent="0.25">
      <c r="B132" s="3" t="s">
        <v>51</v>
      </c>
      <c r="C132" s="4" t="s">
        <v>157</v>
      </c>
      <c r="D132" s="1" t="s">
        <v>39</v>
      </c>
      <c r="E132" s="1" t="str">
        <f>RIGHT(Table1[[#This Row],[PROJECT TITLE]],6)</f>
        <v>DT0136</v>
      </c>
      <c r="F132" s="10" t="s">
        <v>19</v>
      </c>
      <c r="G132" s="13" t="str">
        <f>VLOOKUP(Table1[[#This Row],[Eq No]],[1]!Table3[[Eq.No.]:[FY23/34 Acq. Status]],2,FALSE)</f>
        <v>SOT NCH2</v>
      </c>
      <c r="H132" s="12">
        <f>VLOOKUP(Table1[[#This Row],[Eq No]],[1]!Table3[[Eq.No.]:[FY23/34 Acq. Status]],3,FALSE)</f>
        <v>2019</v>
      </c>
      <c r="I132" s="13" t="str">
        <f>VLOOKUP(Table1[[#This Row],[Eq No]],[1]!Table3[[Eq.No.]:[FY23/34 Acq. Status]],12,FALSE)</f>
        <v>B50E, 6x6</v>
      </c>
      <c r="J132" s="13" t="str">
        <f>VLOOKUP(Table1[[#This Row],[Eq No]],[1]!Table3[[Eq.No.]:[FY23/34 Acq. Status]],17,FALSE)</f>
        <v>B50E, 6x6</v>
      </c>
      <c r="K132" s="2">
        <v>0</v>
      </c>
      <c r="L132" s="2">
        <v>0</v>
      </c>
      <c r="M132" s="2">
        <v>14256856.4</v>
      </c>
    </row>
    <row r="133" spans="2:13" hidden="1" x14ac:dyDescent="0.25">
      <c r="B133" s="3" t="s">
        <v>51</v>
      </c>
      <c r="C133" s="4" t="s">
        <v>158</v>
      </c>
      <c r="D133" s="1" t="s">
        <v>39</v>
      </c>
      <c r="E133" s="1" t="str">
        <f>RIGHT(Table1[[#This Row],[PROJECT TITLE]],6)</f>
        <v>DT0137</v>
      </c>
      <c r="F133" s="10" t="s">
        <v>19</v>
      </c>
      <c r="G133" s="13" t="str">
        <f>VLOOKUP(Table1[[#This Row],[Eq No]],[1]!Table3[[Eq.No.]:[FY23/34 Acq. Status]],2,FALSE)</f>
        <v>SOT NCH2</v>
      </c>
      <c r="H133" s="12">
        <f>VLOOKUP(Table1[[#This Row],[Eq No]],[1]!Table3[[Eq.No.]:[FY23/34 Acq. Status]],3,FALSE)</f>
        <v>2019</v>
      </c>
      <c r="I133" s="13" t="str">
        <f>VLOOKUP(Table1[[#This Row],[Eq No]],[1]!Table3[[Eq.No.]:[FY23/34 Acq. Status]],12,FALSE)</f>
        <v>B50E, 6x6</v>
      </c>
      <c r="J133" s="13" t="str">
        <f>VLOOKUP(Table1[[#This Row],[Eq No]],[1]!Table3[[Eq.No.]:[FY23/34 Acq. Status]],17,FALSE)</f>
        <v>B50E, 6x6</v>
      </c>
      <c r="K133" s="2">
        <v>0</v>
      </c>
      <c r="L133" s="2">
        <v>0</v>
      </c>
      <c r="M133" s="2">
        <v>14256856.4</v>
      </c>
    </row>
    <row r="134" spans="2:13" hidden="1" x14ac:dyDescent="0.25">
      <c r="B134" s="3" t="s">
        <v>51</v>
      </c>
      <c r="C134" s="4" t="s">
        <v>159</v>
      </c>
      <c r="D134" s="1" t="s">
        <v>13</v>
      </c>
      <c r="E134" s="1" t="str">
        <f>RIGHT(Table1[[#This Row],[PROJECT TITLE]],6)</f>
        <v>ER0005</v>
      </c>
      <c r="F134" s="10" t="s">
        <v>19</v>
      </c>
      <c r="G134" s="13" t="str">
        <f>VLOOKUP(Table1[[#This Row],[Eq No]],[1]!Table3[[Eq.No.]:[FY23/34 Acq. Status]],2,FALSE)</f>
        <v>SOT NCH2</v>
      </c>
      <c r="H134" s="12">
        <f>VLOOKUP(Table1[[#This Row],[Eq No]],[1]!Table3[[Eq.No.]:[FY23/34 Acq. Status]],3,FALSE)</f>
        <v>2017</v>
      </c>
      <c r="I134" s="13" t="str">
        <f>VLOOKUP(Table1[[#This Row],[Eq No]],[1]!Table3[[Eq.No.]:[FY23/34 Acq. Status]],12,FALSE)</f>
        <v>312D2L (Hyd)</v>
      </c>
      <c r="J134" s="13" t="str">
        <f>VLOOKUP(Table1[[#This Row],[Eq No]],[1]!Table3[[Eq.No.]:[FY23/34 Acq. Status]],17,FALSE)</f>
        <v>312D2L (Hyd)</v>
      </c>
      <c r="K134" s="2">
        <v>0</v>
      </c>
      <c r="L134" s="2">
        <v>0</v>
      </c>
      <c r="M134" s="2">
        <v>5009539.3510682639</v>
      </c>
    </row>
    <row r="135" spans="2:13" hidden="1" x14ac:dyDescent="0.25">
      <c r="B135" s="3" t="s">
        <v>51</v>
      </c>
      <c r="C135" s="4" t="s">
        <v>160</v>
      </c>
      <c r="D135" s="1" t="s">
        <v>7</v>
      </c>
      <c r="E135" s="1" t="str">
        <f>RIGHT(Table1[[#This Row],[PROJECT TITLE]],6)</f>
        <v>FL0094</v>
      </c>
      <c r="F135" s="10" t="s">
        <v>19</v>
      </c>
      <c r="G135" s="13" t="str">
        <f>VLOOKUP(Table1[[#This Row],[Eq No]],[1]!Table3[[Eq.No.]:[FY23/34 Acq. Status]],2,FALSE)</f>
        <v>SOT NCH2</v>
      </c>
      <c r="H135" s="12">
        <f>VLOOKUP(Table1[[#This Row],[Eq No]],[1]!Table3[[Eq.No.]:[FY23/34 Acq. Status]],3,FALSE)</f>
        <v>2020</v>
      </c>
      <c r="I135" s="13" t="str">
        <f>VLOOKUP(Table1[[#This Row],[Eq No]],[1]!Table3[[Eq.No.]:[FY23/34 Acq. Status]],12,FALSE)</f>
        <v>L2706E</v>
      </c>
      <c r="J135" s="13" t="str">
        <f>VLOOKUP(Table1[[#This Row],[Eq No]],[1]!Table3[[Eq.No.]:[FY23/34 Acq. Status]],17,FALSE)</f>
        <v>Caterpillar 966L FEL</v>
      </c>
      <c r="K135" s="2">
        <v>0</v>
      </c>
      <c r="L135" s="2">
        <v>0</v>
      </c>
      <c r="M135" s="2">
        <v>13595654</v>
      </c>
    </row>
    <row r="136" spans="2:13" hidden="1" x14ac:dyDescent="0.25">
      <c r="B136" s="3" t="s">
        <v>51</v>
      </c>
      <c r="C136" s="4" t="s">
        <v>161</v>
      </c>
      <c r="D136" s="1" t="s">
        <v>97</v>
      </c>
      <c r="E136" s="1" t="str">
        <f>RIGHT(Table1[[#This Row],[PROJECT TITLE]],6)</f>
        <v>GD0010</v>
      </c>
      <c r="F136" s="10" t="s">
        <v>19</v>
      </c>
      <c r="G136" s="13" t="str">
        <f>VLOOKUP(Table1[[#This Row],[Eq No]],[1]!Table3[[Eq.No.]:[FY23/34 Acq. Status]],2,FALSE)</f>
        <v>SOT NCH2</v>
      </c>
      <c r="H136" s="12">
        <f>VLOOKUP(Table1[[#This Row],[Eq No]],[1]!Table3[[Eq.No.]:[FY23/34 Acq. Status]],3,FALSE)</f>
        <v>2018</v>
      </c>
      <c r="I136" s="13" t="str">
        <f>VLOOKUP(Table1[[#This Row],[Eq No]],[1]!Table3[[Eq.No.]:[FY23/34 Acq. Status]],12,FALSE)</f>
        <v>670G</v>
      </c>
      <c r="J136" s="13" t="str">
        <f>VLOOKUP(Table1[[#This Row],[Eq No]],[1]!Table3[[Eq.No.]:[FY23/34 Acq. Status]],17,FALSE)</f>
        <v>670G</v>
      </c>
      <c r="K136" s="2">
        <v>0</v>
      </c>
      <c r="L136" s="2">
        <v>0</v>
      </c>
      <c r="M136" s="2">
        <v>7873496.6090290016</v>
      </c>
    </row>
    <row r="137" spans="2:13" hidden="1" x14ac:dyDescent="0.25">
      <c r="B137" s="1">
        <v>805120260603</v>
      </c>
      <c r="C137" s="4" t="s">
        <v>162</v>
      </c>
      <c r="D137" s="1" t="s">
        <v>21</v>
      </c>
      <c r="E137" s="1" t="str">
        <f>RIGHT(Table1[[#This Row],[PROJECT TITLE]],6)</f>
        <v>LD0302</v>
      </c>
      <c r="F137" s="10" t="s">
        <v>19</v>
      </c>
      <c r="G137" s="13" t="str">
        <f>VLOOKUP(Table1[[#This Row],[Eq No]],[1]!Table3[[Eq.No.]:[FY23/34 Acq. Status]],2,FALSE)</f>
        <v>Mark Makappie</v>
      </c>
      <c r="H137" s="12">
        <f>VLOOKUP(Table1[[#This Row],[Eq No]],[1]!Table3[[Eq.No.]:[FY23/34 Acq. Status]],3,FALSE)</f>
        <v>2013</v>
      </c>
      <c r="I137" s="13" t="str">
        <f>VLOOKUP(Table1[[#This Row],[Eq No]],[1]!Table3[[Eq.No.]:[FY23/34 Acq. Status]],12,FALSE)</f>
        <v>4 x 4 (2.5D) D/C</v>
      </c>
      <c r="J137" s="13" t="str">
        <f>VLOOKUP(Table1[[#This Row],[Eq No]],[1]!Table3[[Eq.No.]:[FY23/34 Acq. Status]],17,FALSE)</f>
        <v>4 x 4 (2.5D) D/C</v>
      </c>
      <c r="K137" s="2">
        <v>1157210.132</v>
      </c>
      <c r="L137" s="2">
        <v>0</v>
      </c>
      <c r="M137" s="2">
        <v>0</v>
      </c>
    </row>
    <row r="138" spans="2:13" hidden="1" x14ac:dyDescent="0.25">
      <c r="B138" s="3" t="s">
        <v>51</v>
      </c>
      <c r="C138" s="4" t="s">
        <v>163</v>
      </c>
      <c r="D138" s="1" t="s">
        <v>18</v>
      </c>
      <c r="E138" s="1" t="str">
        <f>RIGHT(Table1[[#This Row],[PROJECT TITLE]],6)</f>
        <v>WK1004</v>
      </c>
      <c r="F138" s="10" t="s">
        <v>19</v>
      </c>
      <c r="G138" s="13" t="str">
        <f>VLOOKUP(Table1[[#This Row],[Eq No]],[1]!Table3[[Eq.No.]:[FY23/34 Acq. Status]],2,FALSE)</f>
        <v>SOT NCH2</v>
      </c>
      <c r="H138" s="12">
        <f>VLOOKUP(Table1[[#This Row],[Eq No]],[1]!Table3[[Eq.No.]:[FY23/34 Acq. Status]],3,FALSE)</f>
        <v>2018</v>
      </c>
      <c r="I138" s="13" t="str">
        <f>VLOOKUP(Table1[[#This Row],[Eq No]],[1]!Table3[[Eq.No.]:[FY23/34 Acq. Status]],12,FALSE)</f>
        <v>B30E (27000L)</v>
      </c>
      <c r="J138" s="13" t="str">
        <f>VLOOKUP(Table1[[#This Row],[Eq No]],[1]!Table3[[Eq.No.]:[FY23/34 Acq. Status]],17,FALSE)</f>
        <v>B30E(27000L)</v>
      </c>
      <c r="K138" s="2">
        <v>0</v>
      </c>
      <c r="L138" s="2">
        <v>0</v>
      </c>
      <c r="M138" s="2">
        <v>10451662.125020597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AEAD-D4A2-4190-BE36-972E5E4ADBCF}">
  <dimension ref="B2:M138"/>
  <sheetViews>
    <sheetView workbookViewId="0">
      <selection activeCell="E8" sqref="E8:E139"/>
    </sheetView>
  </sheetViews>
  <sheetFormatPr defaultRowHeight="15" x14ac:dyDescent="0.25"/>
  <cols>
    <col min="1" max="1" width="4.28515625" customWidth="1"/>
    <col min="2" max="2" width="13.42578125" customWidth="1"/>
    <col min="3" max="3" width="24.140625" bestFit="1" customWidth="1"/>
    <col min="4" max="4" width="17.140625" bestFit="1" customWidth="1"/>
    <col min="5" max="5" width="17.140625" customWidth="1"/>
    <col min="6" max="6" width="12.28515625" style="11" customWidth="1"/>
    <col min="7" max="7" width="40.42578125" style="11" bestFit="1" customWidth="1"/>
    <col min="8" max="8" width="12.42578125" style="11" customWidth="1"/>
    <col min="9" max="9" width="18.7109375" style="11" customWidth="1"/>
    <col min="10" max="10" width="33" style="11" customWidth="1"/>
    <col min="11" max="13" width="11.5703125" bestFit="1" customWidth="1"/>
  </cols>
  <sheetData>
    <row r="2" spans="2:13" ht="15.75" x14ac:dyDescent="0.25">
      <c r="B2" s="5" t="s">
        <v>0</v>
      </c>
      <c r="C2" s="6" t="s">
        <v>1</v>
      </c>
      <c r="D2" s="6" t="s">
        <v>2</v>
      </c>
      <c r="E2" s="6" t="s">
        <v>164</v>
      </c>
      <c r="F2" s="9" t="s">
        <v>3</v>
      </c>
      <c r="G2" s="9" t="s">
        <v>165</v>
      </c>
      <c r="H2" s="9" t="s">
        <v>166</v>
      </c>
      <c r="I2" s="9" t="s">
        <v>167</v>
      </c>
      <c r="J2" s="9" t="s">
        <v>168</v>
      </c>
      <c r="K2" s="7" t="s">
        <v>4</v>
      </c>
      <c r="L2" s="7" t="s">
        <v>5</v>
      </c>
      <c r="M2" s="7" t="s">
        <v>6</v>
      </c>
    </row>
    <row r="3" spans="2:13" hidden="1" x14ac:dyDescent="0.25">
      <c r="B3" s="1">
        <v>804020260001</v>
      </c>
      <c r="C3" s="1" t="s">
        <v>9</v>
      </c>
      <c r="D3" s="1" t="s">
        <v>10</v>
      </c>
      <c r="E3" s="1" t="str">
        <f>RIGHT(Table13[[#This Row],[PROJECT TITLE]],6)</f>
        <v>BS0025</v>
      </c>
      <c r="F3" s="10" t="s">
        <v>8</v>
      </c>
      <c r="G3" s="13" t="str">
        <f>VLOOKUP(Table13[[#This Row],[Eq No]],[1]!Table3[[Eq.No.]:[FY23/34 Acq. Status]],2,FALSE)</f>
        <v>Pool Transport</v>
      </c>
      <c r="H3" s="12">
        <f>VLOOKUP(Table13[[#This Row],[Eq No]],[1]!Table3[[Eq.No.]:[FY23/34 Acq. Status]],3,FALSE)</f>
        <v>2012</v>
      </c>
      <c r="I3" s="13" t="str">
        <f>VLOOKUP(Table13[[#This Row],[Eq No]],[1]!Table3[[Eq.No.]:[FY23/34 Acq. Status]],12,FALSE)</f>
        <v>Sprinter 515 CDI, 23 Seat</v>
      </c>
      <c r="J3" s="13" t="str">
        <f>VLOOKUP(Table13[[#This Row],[Eq No]],[1]!Table3[[Eq.No.]:[FY23/34 Acq. Status]],17,FALSE)</f>
        <v>NCV 515 CDI PVZA</v>
      </c>
      <c r="K3" s="2">
        <v>1082830.5669007734</v>
      </c>
      <c r="L3" s="2">
        <v>0</v>
      </c>
      <c r="M3" s="2">
        <v>0</v>
      </c>
    </row>
    <row r="4" spans="2:13" hidden="1" x14ac:dyDescent="0.25">
      <c r="B4" s="1">
        <v>804020260002</v>
      </c>
      <c r="C4" s="1" t="s">
        <v>11</v>
      </c>
      <c r="D4" s="1" t="s">
        <v>12</v>
      </c>
      <c r="E4" s="1" t="str">
        <f>RIGHT(Table13[[#This Row],[PROJECT TITLE]],6)</f>
        <v>CB0024</v>
      </c>
      <c r="F4" s="10" t="s">
        <v>8</v>
      </c>
      <c r="G4" s="13" t="str">
        <f>VLOOKUP(Table13[[#This Row],[Eq No]],[1]!Table3[[Eq.No.]:[FY23/34 Acq. Status]],2,FALSE)</f>
        <v>Pool Transport</v>
      </c>
      <c r="H4" s="12">
        <f>VLOOKUP(Table13[[#This Row],[Eq No]],[1]!Table3[[Eq.No.]:[FY23/34 Acq. Status]],3,FALSE)</f>
        <v>2012</v>
      </c>
      <c r="I4" s="13" t="str">
        <f>VLOOKUP(Table13[[#This Row],[Eq No]],[1]!Table3[[Eq.No.]:[FY23/34 Acq. Status]],12,FALSE)</f>
        <v>Combi T5 Caravelle</v>
      </c>
      <c r="J4" s="13" t="str">
        <f>VLOOKUP(Table13[[#This Row],[Eq No]],[1]!Table3[[Eq.No.]:[FY23/34 Acq. Status]],17,FALSE)</f>
        <v>Combi T5 Caravelle</v>
      </c>
      <c r="K4" s="2">
        <v>1654343.2041145277</v>
      </c>
      <c r="L4" s="2">
        <v>0</v>
      </c>
      <c r="M4" s="2">
        <v>0</v>
      </c>
    </row>
    <row r="5" spans="2:13" hidden="1" x14ac:dyDescent="0.25">
      <c r="B5" s="8">
        <v>805120250013</v>
      </c>
      <c r="C5" s="8" t="s">
        <v>14</v>
      </c>
      <c r="D5" s="1" t="s">
        <v>15</v>
      </c>
      <c r="E5" s="1" t="str">
        <f>RIGHT(Table13[[#This Row],[PROJECT TITLE]],6)</f>
        <v>CR0094</v>
      </c>
      <c r="F5" s="10" t="s">
        <v>16</v>
      </c>
      <c r="G5" s="13">
        <f>VLOOKUP(Table13[[#This Row],[Eq No]],[1]!Table3[[Eq.No.]:[FY23/34 Acq. Status]],2,FALSE)</f>
        <v>0</v>
      </c>
      <c r="H5" s="12">
        <f>VLOOKUP(Table13[[#This Row],[Eq No]],[1]!Table3[[Eq.No.]:[FY23/34 Acq. Status]],3,FALSE)</f>
        <v>2014</v>
      </c>
      <c r="I5" s="13" t="str">
        <f>VLOOKUP(Table13[[#This Row],[Eq No]],[1]!Table3[[Eq.No.]:[FY23/34 Acq. Status]],12,FALSE)</f>
        <v>Crane MHT780 T Evolution</v>
      </c>
      <c r="J5" s="13" t="str">
        <f>VLOOKUP(Table13[[#This Row],[Eq No]],[1]!Table3[[Eq.No.]:[FY23/34 Acq. Status]],17,FALSE)</f>
        <v>Crane MHT780 T Evolution</v>
      </c>
      <c r="K5" s="2">
        <v>0</v>
      </c>
      <c r="L5" s="2">
        <v>0</v>
      </c>
      <c r="M5" s="2">
        <v>12683026</v>
      </c>
    </row>
    <row r="6" spans="2:13" hidden="1" x14ac:dyDescent="0.25">
      <c r="B6" s="8">
        <v>806120250604</v>
      </c>
      <c r="C6" s="8" t="s">
        <v>17</v>
      </c>
      <c r="D6" s="1" t="s">
        <v>18</v>
      </c>
      <c r="E6" s="1" t="str">
        <f>RIGHT(Table13[[#This Row],[PROJECT TITLE]],6)</f>
        <v>WK1005</v>
      </c>
      <c r="F6" s="10" t="s">
        <v>19</v>
      </c>
      <c r="G6" s="13" t="str">
        <f>VLOOKUP(Table13[[#This Row],[Eq No]],[1]!Table3[[Eq.No.]:[FY23/34 Acq. Status]],2,FALSE)</f>
        <v>SOT NCH2</v>
      </c>
      <c r="H6" s="12">
        <f>VLOOKUP(Table13[[#This Row],[Eq No]],[1]!Table3[[Eq.No.]:[FY23/34 Acq. Status]],3,FALSE)</f>
        <v>2018</v>
      </c>
      <c r="I6" s="13" t="str">
        <f>VLOOKUP(Table13[[#This Row],[Eq No]],[1]!Table3[[Eq.No.]:[FY23/34 Acq. Status]],12,FALSE)</f>
        <v>B30E (27000L)</v>
      </c>
      <c r="J6" s="13" t="str">
        <f>VLOOKUP(Table13[[#This Row],[Eq No]],[1]!Table3[[Eq.No.]:[FY23/34 Acq. Status]],17,FALSE)</f>
        <v>B30E(27000L)</v>
      </c>
      <c r="K6" s="2">
        <v>8991504</v>
      </c>
      <c r="L6" s="2">
        <v>0</v>
      </c>
      <c r="M6" s="2">
        <v>0</v>
      </c>
    </row>
    <row r="7" spans="2:13" hidden="1" x14ac:dyDescent="0.25">
      <c r="B7" s="8">
        <v>805120260101</v>
      </c>
      <c r="C7" s="8" t="s">
        <v>20</v>
      </c>
      <c r="D7" s="1" t="s">
        <v>21</v>
      </c>
      <c r="E7" s="1" t="str">
        <f>RIGHT(Table13[[#This Row],[PROJECT TITLE]],6)</f>
        <v>LD0303</v>
      </c>
      <c r="F7" s="10" t="s">
        <v>16</v>
      </c>
      <c r="G7" s="13" t="str">
        <f>VLOOKUP(Table13[[#This Row],[Eq No]],[1]!Table3[[Eq.No.]:[FY23/34 Acq. Status]],2,FALSE)</f>
        <v>Shafts &amp; Winders - CHL 667 NC</v>
      </c>
      <c r="H7" s="12">
        <f>VLOOKUP(Table13[[#This Row],[Eq No]],[1]!Table3[[Eq.No.]:[FY23/34 Acq. Status]],3,FALSE)</f>
        <v>2013</v>
      </c>
      <c r="I7" s="13" t="str">
        <f>VLOOKUP(Table13[[#This Row],[Eq No]],[1]!Table3[[Eq.No.]:[FY23/34 Acq. Status]],12,FALSE)</f>
        <v>4x2, 2.5D</v>
      </c>
      <c r="J7" s="13" t="str">
        <f>VLOOKUP(Table13[[#This Row],[Eq No]],[1]!Table3[[Eq.No.]:[FY23/34 Acq. Status]],17,FALSE)</f>
        <v>4x2, 2.5D, D Nel</v>
      </c>
      <c r="K7" s="2">
        <v>1124439.7320000001</v>
      </c>
      <c r="L7" s="2">
        <v>0</v>
      </c>
      <c r="M7" s="2">
        <v>0</v>
      </c>
    </row>
    <row r="8" spans="2:13" x14ac:dyDescent="0.25">
      <c r="B8" s="8">
        <v>805120260007</v>
      </c>
      <c r="C8" s="8" t="s">
        <v>22</v>
      </c>
      <c r="D8" s="1" t="s">
        <v>21</v>
      </c>
      <c r="E8" s="1" t="str">
        <f>RIGHT(Table13[[#This Row],[PROJECT TITLE]],6)</f>
        <v>LD0341</v>
      </c>
      <c r="F8" s="10" t="s">
        <v>16</v>
      </c>
      <c r="G8" s="13" t="str">
        <f>VLOOKUP(Table13[[#This Row],[Eq No]],[1]!Table3[[Eq.No.]:[FY23/34 Acq. Status]],2,FALSE)</f>
        <v>Stretcher L/C (Capt)</v>
      </c>
      <c r="H8" s="12">
        <f>VLOOKUP(Table13[[#This Row],[Eq No]],[1]!Table3[[Eq.No.]:[FY23/34 Acq. Status]],3,FALSE)</f>
        <v>2014</v>
      </c>
      <c r="I8" s="13" t="str">
        <f>VLOOKUP(Table13[[#This Row],[Eq No]],[1]!Table3[[Eq.No.]:[FY23/34 Acq. Status]],12,FALSE)</f>
        <v>L/C, 4x4, 4.2D Expl</v>
      </c>
      <c r="J8" s="13" t="str">
        <f>VLOOKUP(Table13[[#This Row],[Eq No]],[1]!Table3[[Eq.No.]:[FY23/34 Acq. Status]],17,FALSE)</f>
        <v>L/Cruiser 4x4 (Converted to UG Spec)</v>
      </c>
      <c r="K8" s="2">
        <v>2911697.6168799996</v>
      </c>
      <c r="L8" s="2">
        <v>0</v>
      </c>
      <c r="M8" s="2">
        <v>0</v>
      </c>
    </row>
    <row r="9" spans="2:13" x14ac:dyDescent="0.25">
      <c r="B9" s="8">
        <v>805120260008</v>
      </c>
      <c r="C9" s="8" t="s">
        <v>23</v>
      </c>
      <c r="D9" s="1" t="s">
        <v>21</v>
      </c>
      <c r="E9" s="1" t="str">
        <f>RIGHT(Table13[[#This Row],[PROJECT TITLE]],6)</f>
        <v>LD0411</v>
      </c>
      <c r="F9" s="10" t="s">
        <v>16</v>
      </c>
      <c r="G9" s="13">
        <f>VLOOKUP(Table13[[#This Row],[Eq No]],[1]!Table3[[Eq.No.]:[FY23/34 Acq. Status]],2,FALSE)</f>
        <v>0</v>
      </c>
      <c r="H9" s="12">
        <f>VLOOKUP(Table13[[#This Row],[Eq No]],[1]!Table3[[Eq.No.]:[FY23/34 Acq. Status]],3,FALSE)</f>
        <v>2017</v>
      </c>
      <c r="I9" s="13" t="str">
        <f>VLOOKUP(Table13[[#This Row],[Eq No]],[1]!Table3[[Eq.No.]:[FY23/34 Acq. Status]],12,FALSE)</f>
        <v>D/Cab Maverick</v>
      </c>
      <c r="J9" s="13" t="str">
        <f>VLOOKUP(Table13[[#This Row],[Eq No]],[1]!Table3[[Eq.No.]:[FY23/34 Acq. Status]],17,FALSE)</f>
        <v>L/Cruiser 4x4 (Converted to UG Spec)</v>
      </c>
      <c r="K9" s="2">
        <v>2911697.6168799996</v>
      </c>
      <c r="L9" s="2">
        <v>0</v>
      </c>
      <c r="M9" s="2">
        <v>0</v>
      </c>
    </row>
    <row r="10" spans="2:13" x14ac:dyDescent="0.25">
      <c r="B10" s="8">
        <v>805120260009</v>
      </c>
      <c r="C10" s="8" t="s">
        <v>24</v>
      </c>
      <c r="D10" s="1" t="s">
        <v>21</v>
      </c>
      <c r="E10" s="1" t="str">
        <f>RIGHT(Table13[[#This Row],[PROJECT TITLE]],6)</f>
        <v>LD0414</v>
      </c>
      <c r="F10" s="10" t="s">
        <v>16</v>
      </c>
      <c r="G10" s="13">
        <f>VLOOKUP(Table13[[#This Row],[Eq No]],[1]!Table3[[Eq.No.]:[FY23/34 Acq. Status]],2,FALSE)</f>
        <v>0</v>
      </c>
      <c r="H10" s="12">
        <f>VLOOKUP(Table13[[#This Row],[Eq No]],[1]!Table3[[Eq.No.]:[FY23/34 Acq. Status]],3,FALSE)</f>
        <v>2017</v>
      </c>
      <c r="I10" s="13" t="str">
        <f>VLOOKUP(Table13[[#This Row],[Eq No]],[1]!Table3[[Eq.No.]:[FY23/34 Acq. Status]],12,FALSE)</f>
        <v>D/Cab Maverick</v>
      </c>
      <c r="J10" s="13" t="str">
        <f>VLOOKUP(Table13[[#This Row],[Eq No]],[1]!Table3[[Eq.No.]:[FY23/34 Acq. Status]],17,FALSE)</f>
        <v>L/Cruiser 4x4 (Converted to UG Spec)</v>
      </c>
      <c r="K10" s="2">
        <v>2911697.6168799996</v>
      </c>
      <c r="L10" s="2">
        <v>0</v>
      </c>
      <c r="M10" s="2">
        <v>0</v>
      </c>
    </row>
    <row r="11" spans="2:13" x14ac:dyDescent="0.25">
      <c r="B11" s="8">
        <v>805120260010</v>
      </c>
      <c r="C11" s="8" t="s">
        <v>25</v>
      </c>
      <c r="D11" s="1" t="s">
        <v>21</v>
      </c>
      <c r="E11" s="1" t="str">
        <f>RIGHT(Table13[[#This Row],[PROJECT TITLE]],6)</f>
        <v>LD0415</v>
      </c>
      <c r="F11" s="10" t="s">
        <v>16</v>
      </c>
      <c r="G11" s="13" t="str">
        <f>VLOOKUP(Table13[[#This Row],[Eq No]],[1]!Table3[[Eq.No.]:[FY23/34 Acq. Status]],2,FALSE)</f>
        <v>Itireleng UG</v>
      </c>
      <c r="H11" s="12">
        <f>VLOOKUP(Table13[[#This Row],[Eq No]],[1]!Table3[[Eq.No.]:[FY23/34 Acq. Status]],3,FALSE)</f>
        <v>2017</v>
      </c>
      <c r="I11" s="13" t="str">
        <f>VLOOKUP(Table13[[#This Row],[Eq No]],[1]!Table3[[Eq.No.]:[FY23/34 Acq. Status]],12,FALSE)</f>
        <v>D/Cab Maverick</v>
      </c>
      <c r="J11" s="13" t="str">
        <f>VLOOKUP(Table13[[#This Row],[Eq No]],[1]!Table3[[Eq.No.]:[FY23/34 Acq. Status]],17,FALSE)</f>
        <v>L/Cruiser 4x4 (Converted to UG Spec)</v>
      </c>
      <c r="K11" s="2">
        <v>2911697.6168799996</v>
      </c>
      <c r="L11" s="2">
        <v>0</v>
      </c>
      <c r="M11" s="2">
        <v>0</v>
      </c>
    </row>
    <row r="12" spans="2:13" x14ac:dyDescent="0.25">
      <c r="B12" s="8">
        <v>805120260011</v>
      </c>
      <c r="C12" s="8" t="s">
        <v>26</v>
      </c>
      <c r="D12" s="1" t="s">
        <v>21</v>
      </c>
      <c r="E12" s="1" t="str">
        <f>RIGHT(Table13[[#This Row],[PROJECT TITLE]],6)</f>
        <v>LD0199</v>
      </c>
      <c r="F12" s="10" t="s">
        <v>16</v>
      </c>
      <c r="G12" s="13" t="str">
        <f>VLOOKUP(Table13[[#This Row],[Eq No]],[1]!Table3[[Eq.No.]:[FY23/34 Acq. Status]],2,FALSE)</f>
        <v>N2 SHERQ</v>
      </c>
      <c r="H12" s="12">
        <f>VLOOKUP(Table13[[#This Row],[Eq No]],[1]!Table3[[Eq.No.]:[FY23/34 Acq. Status]],3,FALSE)</f>
        <v>2007</v>
      </c>
      <c r="I12" s="13" t="str">
        <f>VLOOKUP(Table13[[#This Row],[Eq No]],[1]!Table3[[Eq.No.]:[FY23/34 Acq. Status]],12,FALSE)</f>
        <v>4 x 4 (2.5D)</v>
      </c>
      <c r="J12" s="13" t="str">
        <f>VLOOKUP(Table13[[#This Row],[Eq No]],[1]!Table3[[Eq.No.]:[FY23/34 Acq. Status]],17,FALSE)</f>
        <v>L/Cruiser 4x4 (Converted to UG Spec)</v>
      </c>
      <c r="K12" s="2">
        <v>2911697.6168799996</v>
      </c>
      <c r="L12" s="2">
        <v>0</v>
      </c>
      <c r="M12" s="2">
        <v>0</v>
      </c>
    </row>
    <row r="13" spans="2:13" hidden="1" x14ac:dyDescent="0.25">
      <c r="B13" s="8">
        <v>805220250006</v>
      </c>
      <c r="C13" s="8" t="s">
        <v>27</v>
      </c>
      <c r="D13" s="1" t="s">
        <v>28</v>
      </c>
      <c r="E13" s="1" t="str">
        <f>RIGHT(Table13[[#This Row],[PROJECT TITLE]],6)</f>
        <v>RT0039</v>
      </c>
      <c r="F13" s="10" t="s">
        <v>29</v>
      </c>
      <c r="G13" s="13" t="str">
        <f>VLOOKUP(Table13[[#This Row],[Eq No]],[1]!Table3[[Eq.No.]:[FY23/34 Acq. Status]],2,FALSE)</f>
        <v>SEAM 2 Section</v>
      </c>
      <c r="H13" s="12">
        <f>VLOOKUP(Table13[[#This Row],[Eq No]],[1]!Table3[[Eq.No.]:[FY23/34 Acq. Status]],3,FALSE)</f>
        <v>2014</v>
      </c>
      <c r="I13" s="13" t="str">
        <f>VLOOKUP(Table13[[#This Row],[Eq No]],[1]!Table3[[Eq.No.]:[FY23/34 Acq. Status]],12,FALSE)</f>
        <v>Boltec 235H</v>
      </c>
      <c r="J13" s="13" t="str">
        <f>VLOOKUP(Table13[[#This Row],[Eq No]],[1]!Table3[[Eq.No.]:[FY23/34 Acq. Status]],17,FALSE)</f>
        <v>Boltec 235H</v>
      </c>
      <c r="K13" s="2">
        <v>19263083</v>
      </c>
      <c r="L13" s="2">
        <v>0</v>
      </c>
      <c r="M13" s="2">
        <v>0</v>
      </c>
    </row>
    <row r="14" spans="2:13" hidden="1" x14ac:dyDescent="0.25">
      <c r="B14" s="8">
        <v>805220250007</v>
      </c>
      <c r="C14" s="8" t="s">
        <v>30</v>
      </c>
      <c r="D14" s="1" t="s">
        <v>31</v>
      </c>
      <c r="E14" s="1" t="str">
        <f>RIGHT(Table13[[#This Row],[PROJECT TITLE]],6)</f>
        <v>SR0024</v>
      </c>
      <c r="F14" s="10" t="s">
        <v>29</v>
      </c>
      <c r="G14" s="13" t="str">
        <f>VLOOKUP(Table13[[#This Row],[Eq No]],[1]!Table3[[Eq.No.]:[FY23/34 Acq. Status]],2,FALSE)</f>
        <v>N3</v>
      </c>
      <c r="H14" s="12">
        <f>VLOOKUP(Table13[[#This Row],[Eq No]],[1]!Table3[[Eq.No.]:[FY23/34 Acq. Status]],3,FALSE)</f>
        <v>2014</v>
      </c>
      <c r="I14" s="13" t="str">
        <f>VLOOKUP(Table13[[#This Row],[Eq No]],[1]!Table3[[Eq.No.]:[FY23/34 Acq. Status]],12,FALSE)</f>
        <v>Super 220E</v>
      </c>
      <c r="J14" s="13" t="str">
        <f>VLOOKUP(Table13[[#This Row],[Eq No]],[1]!Table3[[Eq.No.]:[FY23/34 Acq. Status]],17,FALSE)</f>
        <v>Scaler 220 E, 4-Wheeler</v>
      </c>
      <c r="K14" s="2">
        <v>6145603</v>
      </c>
      <c r="L14" s="2">
        <v>0</v>
      </c>
      <c r="M14" s="2">
        <v>0</v>
      </c>
    </row>
    <row r="15" spans="2:13" hidden="1" x14ac:dyDescent="0.25">
      <c r="B15" s="8">
        <v>805220250008</v>
      </c>
      <c r="C15" s="8" t="s">
        <v>32</v>
      </c>
      <c r="D15" s="1" t="s">
        <v>31</v>
      </c>
      <c r="E15" s="1" t="str">
        <f>RIGHT(Table13[[#This Row],[PROJECT TITLE]],6)</f>
        <v>SR0028</v>
      </c>
      <c r="F15" s="10" t="s">
        <v>29</v>
      </c>
      <c r="G15" s="13" t="str">
        <f>VLOOKUP(Table13[[#This Row],[Eq No]],[1]!Table3[[Eq.No.]:[FY23/34 Acq. Status]],2,FALSE)</f>
        <v>Central Section</v>
      </c>
      <c r="H15" s="12">
        <f>VLOOKUP(Table13[[#This Row],[Eq No]],[1]!Table3[[Eq.No.]:[FY23/34 Acq. Status]],3,FALSE)</f>
        <v>2014</v>
      </c>
      <c r="I15" s="13" t="str">
        <f>VLOOKUP(Table13[[#This Row],[Eq No]],[1]!Table3[[Eq.No.]:[FY23/34 Acq. Status]],12,FALSE)</f>
        <v>Super 220E</v>
      </c>
      <c r="J15" s="13" t="str">
        <f>VLOOKUP(Table13[[#This Row],[Eq No]],[1]!Table3[[Eq.No.]:[FY23/34 Acq. Status]],17,FALSE)</f>
        <v>Scaler 220 E, 4-Wheeler</v>
      </c>
      <c r="K15" s="2">
        <v>6145603</v>
      </c>
      <c r="L15" s="2">
        <v>0</v>
      </c>
      <c r="M15" s="2">
        <v>0</v>
      </c>
    </row>
    <row r="16" spans="2:13" hidden="1" x14ac:dyDescent="0.25">
      <c r="B16" s="8">
        <v>805220250009</v>
      </c>
      <c r="C16" s="8" t="s">
        <v>33</v>
      </c>
      <c r="D16" s="1" t="s">
        <v>31</v>
      </c>
      <c r="E16" s="1" t="str">
        <f>RIGHT(Table13[[#This Row],[PROJECT TITLE]],6)</f>
        <v>SR0030</v>
      </c>
      <c r="F16" s="10" t="s">
        <v>29</v>
      </c>
      <c r="G16" s="13" t="str">
        <f>VLOOKUP(Table13[[#This Row],[Eq No]],[1]!Table3[[Eq.No.]:[FY23/34 Acq. Status]],2,FALSE)</f>
        <v>North Section</v>
      </c>
      <c r="H16" s="12">
        <f>VLOOKUP(Table13[[#This Row],[Eq No]],[1]!Table3[[Eq.No.]:[FY23/34 Acq. Status]],3,FALSE)</f>
        <v>2014</v>
      </c>
      <c r="I16" s="13" t="str">
        <f>VLOOKUP(Table13[[#This Row],[Eq No]],[1]!Table3[[Eq.No.]:[FY23/34 Acq. Status]],12,FALSE)</f>
        <v>Super 220E</v>
      </c>
      <c r="J16" s="13" t="str">
        <f>VLOOKUP(Table13[[#This Row],[Eq No]],[1]!Table3[[Eq.No.]:[FY23/34 Acq. Status]],17,FALSE)</f>
        <v>Scaler 220 E, 4-Wheeler</v>
      </c>
      <c r="K16" s="2">
        <v>6145603</v>
      </c>
      <c r="L16" s="2">
        <v>0</v>
      </c>
      <c r="M16" s="2">
        <v>0</v>
      </c>
    </row>
    <row r="17" spans="2:13" hidden="1" x14ac:dyDescent="0.25">
      <c r="B17" s="8">
        <v>805220250012</v>
      </c>
      <c r="C17" s="8" t="s">
        <v>34</v>
      </c>
      <c r="D17" s="1" t="s">
        <v>21</v>
      </c>
      <c r="E17" s="1" t="str">
        <f>RIGHT(Table13[[#This Row],[PROJECT TITLE]],6)</f>
        <v>LD0457</v>
      </c>
      <c r="F17" s="10" t="s">
        <v>29</v>
      </c>
      <c r="G17" s="13">
        <f>VLOOKUP(Table13[[#This Row],[Eq No]],[1]!Table3[[Eq.No.]:[FY23/34 Acq. Status]],2,FALSE)</f>
        <v>0</v>
      </c>
      <c r="H17" s="12">
        <f>VLOOKUP(Table13[[#This Row],[Eq No]],[1]!Table3[[Eq.No.]:[FY23/34 Acq. Status]],3,FALSE)</f>
        <v>2017</v>
      </c>
      <c r="I17" s="13" t="str">
        <f>VLOOKUP(Table13[[#This Row],[Eq No]],[1]!Table3[[Eq.No.]:[FY23/34 Acq. Status]],12,FALSE)</f>
        <v>D/Cab Maverick</v>
      </c>
      <c r="J17" s="13" t="str">
        <f>VLOOKUP(Table13[[#This Row],[Eq No]],[1]!Table3[[Eq.No.]:[FY23/34 Acq. Status]],17,FALSE)</f>
        <v>L/Cruiser 4x4 (Converted to UG Spec)</v>
      </c>
      <c r="K17" s="2">
        <v>2761718</v>
      </c>
      <c r="L17" s="2">
        <v>0</v>
      </c>
      <c r="M17" s="2">
        <v>0</v>
      </c>
    </row>
    <row r="18" spans="2:13" hidden="1" x14ac:dyDescent="0.25">
      <c r="B18" s="8">
        <v>805220250013</v>
      </c>
      <c r="C18" s="8" t="s">
        <v>35</v>
      </c>
      <c r="D18" s="1" t="s">
        <v>21</v>
      </c>
      <c r="E18" s="1" t="str">
        <f>RIGHT(Table13[[#This Row],[PROJECT TITLE]],6)</f>
        <v>LD0480</v>
      </c>
      <c r="F18" s="10" t="s">
        <v>29</v>
      </c>
      <c r="G18" s="13">
        <f>VLOOKUP(Table13[[#This Row],[Eq No]],[1]!Table3[[Eq.No.]:[FY23/34 Acq. Status]],2,FALSE)</f>
        <v>0</v>
      </c>
      <c r="H18" s="12">
        <f>VLOOKUP(Table13[[#This Row],[Eq No]],[1]!Table3[[Eq.No.]:[FY23/34 Acq. Status]],3,FALSE)</f>
        <v>2019</v>
      </c>
      <c r="I18" s="13" t="str">
        <f>VLOOKUP(Table13[[#This Row],[Eq No]],[1]!Table3[[Eq.No.]:[FY23/34 Acq. Status]],12,FALSE)</f>
        <v>D/Cab Maverick</v>
      </c>
      <c r="J18" s="13" t="str">
        <f>VLOOKUP(Table13[[#This Row],[Eq No]],[1]!Table3[[Eq.No.]:[FY23/34 Acq. Status]],17,FALSE)</f>
        <v>L/Cruiser 4x4 (Converted to UG Spec)</v>
      </c>
      <c r="K18" s="2">
        <v>2761718</v>
      </c>
      <c r="L18" s="2">
        <v>0</v>
      </c>
      <c r="M18" s="2">
        <v>0</v>
      </c>
    </row>
    <row r="19" spans="2:13" hidden="1" x14ac:dyDescent="0.25">
      <c r="B19" s="8">
        <v>805220250014</v>
      </c>
      <c r="C19" s="8" t="s">
        <v>36</v>
      </c>
      <c r="D19" s="1" t="s">
        <v>21</v>
      </c>
      <c r="E19" s="1" t="str">
        <f>RIGHT(Table13[[#This Row],[PROJECT TITLE]],6)</f>
        <v>LD0481</v>
      </c>
      <c r="F19" s="10" t="s">
        <v>29</v>
      </c>
      <c r="G19" s="13">
        <f>VLOOKUP(Table13[[#This Row],[Eq No]],[1]!Table3[[Eq.No.]:[FY23/34 Acq. Status]],2,FALSE)</f>
        <v>0</v>
      </c>
      <c r="H19" s="12">
        <f>VLOOKUP(Table13[[#This Row],[Eq No]],[1]!Table3[[Eq.No.]:[FY23/34 Acq. Status]],3,FALSE)</f>
        <v>2019</v>
      </c>
      <c r="I19" s="13" t="str">
        <f>VLOOKUP(Table13[[#This Row],[Eq No]],[1]!Table3[[Eq.No.]:[FY23/34 Acq. Status]],12,FALSE)</f>
        <v>D/Cab Maverick</v>
      </c>
      <c r="J19" s="13" t="str">
        <f>VLOOKUP(Table13[[#This Row],[Eq No]],[1]!Table3[[Eq.No.]:[FY23/34 Acq. Status]],17,FALSE)</f>
        <v>L/Cruiser 4x4 (Converted to UG Spec)</v>
      </c>
      <c r="K19" s="2">
        <v>2761718</v>
      </c>
      <c r="L19" s="2">
        <v>0</v>
      </c>
      <c r="M19" s="2">
        <v>0</v>
      </c>
    </row>
    <row r="20" spans="2:13" hidden="1" x14ac:dyDescent="0.25">
      <c r="B20" s="8">
        <v>805220250015</v>
      </c>
      <c r="C20" s="8" t="s">
        <v>37</v>
      </c>
      <c r="D20" s="1" t="s">
        <v>21</v>
      </c>
      <c r="E20" s="1" t="str">
        <f>RIGHT(Table13[[#This Row],[PROJECT TITLE]],6)</f>
        <v>LD0482</v>
      </c>
      <c r="F20" s="10" t="s">
        <v>29</v>
      </c>
      <c r="G20" s="13">
        <f>VLOOKUP(Table13[[#This Row],[Eq No]],[1]!Table3[[Eq.No.]:[FY23/34 Acq. Status]],2,FALSE)</f>
        <v>0</v>
      </c>
      <c r="H20" s="12">
        <f>VLOOKUP(Table13[[#This Row],[Eq No]],[1]!Table3[[Eq.No.]:[FY23/34 Acq. Status]],3,FALSE)</f>
        <v>2019</v>
      </c>
      <c r="I20" s="13" t="str">
        <f>VLOOKUP(Table13[[#This Row],[Eq No]],[1]!Table3[[Eq.No.]:[FY23/34 Acq. Status]],12,FALSE)</f>
        <v>D/Cab Maverick</v>
      </c>
      <c r="J20" s="13" t="str">
        <f>VLOOKUP(Table13[[#This Row],[Eq No]],[1]!Table3[[Eq.No.]:[FY23/34 Acq. Status]],17,FALSE)</f>
        <v>L/Cruiser 4x4 (Converted to UG Spec)</v>
      </c>
      <c r="K20" s="2">
        <v>2761718</v>
      </c>
      <c r="L20" s="2">
        <v>0</v>
      </c>
      <c r="M20" s="2">
        <v>0</v>
      </c>
    </row>
    <row r="21" spans="2:13" hidden="1" x14ac:dyDescent="0.25">
      <c r="B21" s="8">
        <v>805220260006</v>
      </c>
      <c r="C21" s="8" t="s">
        <v>38</v>
      </c>
      <c r="D21" s="1" t="s">
        <v>39</v>
      </c>
      <c r="E21" s="1" t="str">
        <f>RIGHT(Table13[[#This Row],[PROJECT TITLE]],6)</f>
        <v>DT0143</v>
      </c>
      <c r="F21" s="10" t="s">
        <v>29</v>
      </c>
      <c r="G21" s="13" t="str">
        <f>VLOOKUP(Table13[[#This Row],[Eq No]],[1]!Table3[[Eq.No.]:[FY23/34 Acq. Status]],2,FALSE)</f>
        <v>Load &amp; Haul</v>
      </c>
      <c r="H21" s="12">
        <f>VLOOKUP(Table13[[#This Row],[Eq No]],[1]!Table3[[Eq.No.]:[FY23/34 Acq. Status]],3,FALSE)</f>
        <v>2019</v>
      </c>
      <c r="I21" s="13" t="str">
        <f>VLOOKUP(Table13[[#This Row],[Eq No]],[1]!Table3[[Eq.No.]:[FY23/34 Acq. Status]],12,FALSE)</f>
        <v>Elphinstone AD45</v>
      </c>
      <c r="J21" s="13" t="str">
        <f>VLOOKUP(Table13[[#This Row],[Eq No]],[1]!Table3[[Eq.No.]:[FY23/34 Acq. Status]],17,FALSE)</f>
        <v>Elphinstone AD30</v>
      </c>
      <c r="K21" s="2">
        <v>20151247.324000001</v>
      </c>
      <c r="L21" s="2">
        <v>0</v>
      </c>
      <c r="M21" s="2">
        <v>0</v>
      </c>
    </row>
    <row r="22" spans="2:13" hidden="1" x14ac:dyDescent="0.25">
      <c r="B22" s="8">
        <v>805220260007</v>
      </c>
      <c r="C22" s="8" t="s">
        <v>40</v>
      </c>
      <c r="D22" s="1" t="s">
        <v>21</v>
      </c>
      <c r="E22" s="1" t="str">
        <f>RIGHT(Table13[[#This Row],[PROJECT TITLE]],6)</f>
        <v>LD0421</v>
      </c>
      <c r="F22" s="10" t="s">
        <v>29</v>
      </c>
      <c r="G22" s="13">
        <f>VLOOKUP(Table13[[#This Row],[Eq No]],[1]!Table3[[Eq.No.]:[FY23/34 Acq. Status]],2,FALSE)</f>
        <v>0</v>
      </c>
      <c r="H22" s="12">
        <f>VLOOKUP(Table13[[#This Row],[Eq No]],[1]!Table3[[Eq.No.]:[FY23/34 Acq. Status]],3,FALSE)</f>
        <v>2016</v>
      </c>
      <c r="I22" s="13" t="str">
        <f>VLOOKUP(Table13[[#This Row],[Eq No]],[1]!Table3[[Eq.No.]:[FY23/34 Acq. Status]],12,FALSE)</f>
        <v>D/Cab Maverick</v>
      </c>
      <c r="J22" s="13" t="str">
        <f>VLOOKUP(Table13[[#This Row],[Eq No]],[1]!Table3[[Eq.No.]:[FY23/34 Acq. Status]],17,FALSE)</f>
        <v>L/Cruiser 4x4 (Converted to UG Spec)</v>
      </c>
      <c r="K22" s="2">
        <v>2911697.6168799996</v>
      </c>
      <c r="L22" s="2">
        <v>0</v>
      </c>
      <c r="M22" s="2">
        <v>0</v>
      </c>
    </row>
    <row r="23" spans="2:13" hidden="1" x14ac:dyDescent="0.25">
      <c r="B23" s="8">
        <v>805220260008</v>
      </c>
      <c r="C23" s="8" t="s">
        <v>41</v>
      </c>
      <c r="D23" s="1" t="s">
        <v>21</v>
      </c>
      <c r="E23" s="1" t="str">
        <f>RIGHT(Table13[[#This Row],[PROJECT TITLE]],6)</f>
        <v>LD0465</v>
      </c>
      <c r="F23" s="10" t="s">
        <v>29</v>
      </c>
      <c r="G23" s="13" t="str">
        <f>VLOOKUP(Table13[[#This Row],[Eq No]],[1]!Table3[[Eq.No.]:[FY23/34 Acq. Status]],2,FALSE)</f>
        <v>Nch 3 Elect</v>
      </c>
      <c r="H23" s="12">
        <f>VLOOKUP(Table13[[#This Row],[Eq No]],[1]!Table3[[Eq.No.]:[FY23/34 Acq. Status]],3,FALSE)</f>
        <v>2017</v>
      </c>
      <c r="I23" s="13" t="str">
        <f>VLOOKUP(Table13[[#This Row],[Eq No]],[1]!Table3[[Eq.No.]:[FY23/34 Acq. Status]],12,FALSE)</f>
        <v>2.45 D-4D, D/C</v>
      </c>
      <c r="J23" s="13" t="str">
        <f>VLOOKUP(Table13[[#This Row],[Eq No]],[1]!Table3[[Eq.No.]:[FY23/34 Acq. Status]],17,FALSE)</f>
        <v>L/Cruiser 4x4 (Converted to UG Spec)</v>
      </c>
      <c r="K23" s="2">
        <v>2911697.6168799996</v>
      </c>
      <c r="L23" s="2">
        <v>0</v>
      </c>
      <c r="M23" s="2">
        <v>0</v>
      </c>
    </row>
    <row r="24" spans="2:13" hidden="1" x14ac:dyDescent="0.25">
      <c r="B24" s="1">
        <v>807120250009</v>
      </c>
      <c r="C24" s="1" t="s">
        <v>42</v>
      </c>
      <c r="D24" s="1" t="s">
        <v>21</v>
      </c>
      <c r="E24" s="1" t="str">
        <f>RIGHT(Table13[[#This Row],[PROJECT TITLE]],6)</f>
        <v>LD0453</v>
      </c>
      <c r="F24" s="10" t="s">
        <v>43</v>
      </c>
      <c r="G24" s="13" t="str">
        <f>VLOOKUP(Table13[[#This Row],[Eq No]],[1]!Table3[[Eq.No.]:[FY23/34 Acq. Status]],2,FALSE)</f>
        <v>Gloria U/G</v>
      </c>
      <c r="H24" s="12">
        <f>VLOOKUP(Table13[[#This Row],[Eq No]],[1]!Table3[[Eq.No.]:[FY23/34 Acq. Status]],3,FALSE)</f>
        <v>2018</v>
      </c>
      <c r="I24" s="13" t="str">
        <f>VLOOKUP(Table13[[#This Row],[Eq No]],[1]!Table3[[Eq.No.]:[FY23/34 Acq. Status]],12,FALSE)</f>
        <v>Maverick D/C</v>
      </c>
      <c r="J24" s="13" t="str">
        <f>VLOOKUP(Table13[[#This Row],[Eq No]],[1]!Table3[[Eq.No.]:[FY23/34 Acq. Status]],17,FALSE)</f>
        <v>L/Cruiser 4x4 (Converted to UG Spec)</v>
      </c>
      <c r="K24" s="2">
        <v>2761718</v>
      </c>
      <c r="L24" s="2">
        <v>0</v>
      </c>
      <c r="M24" s="2">
        <v>0</v>
      </c>
    </row>
    <row r="25" spans="2:13" hidden="1" x14ac:dyDescent="0.25">
      <c r="B25" s="1">
        <v>807120250010</v>
      </c>
      <c r="C25" s="1" t="s">
        <v>44</v>
      </c>
      <c r="D25" s="1" t="s">
        <v>21</v>
      </c>
      <c r="E25" s="1" t="str">
        <f>RIGHT(Table13[[#This Row],[PROJECT TITLE]],6)</f>
        <v>LD0517</v>
      </c>
      <c r="F25" s="10" t="s">
        <v>43</v>
      </c>
      <c r="G25" s="13" t="str">
        <f>VLOOKUP(Table13[[#This Row],[Eq No]],[1]!Table3[[Eq.No.]:[FY23/34 Acq. Status]],2,FALSE)</f>
        <v>Gloria U/G</v>
      </c>
      <c r="H25" s="12">
        <f>VLOOKUP(Table13[[#This Row],[Eq No]],[1]!Table3[[Eq.No.]:[FY23/34 Acq. Status]],3,FALSE)</f>
        <v>2018</v>
      </c>
      <c r="I25" s="13" t="str">
        <f>VLOOKUP(Table13[[#This Row],[Eq No]],[1]!Table3[[Eq.No.]:[FY23/34 Acq. Status]],12,FALSE)</f>
        <v>Maverick D/C</v>
      </c>
      <c r="J25" s="13" t="str">
        <f>VLOOKUP(Table13[[#This Row],[Eq No]],[1]!Table3[[Eq.No.]:[FY23/34 Acq. Status]],17,FALSE)</f>
        <v>L/Cruiser 4x4 (Converted to UG Spec)</v>
      </c>
      <c r="K25" s="2">
        <v>2761718</v>
      </c>
      <c r="L25" s="2">
        <v>0</v>
      </c>
      <c r="M25" s="2">
        <v>0</v>
      </c>
    </row>
    <row r="26" spans="2:13" hidden="1" x14ac:dyDescent="0.25">
      <c r="B26" s="1">
        <v>807120260006</v>
      </c>
      <c r="C26" s="1" t="s">
        <v>45</v>
      </c>
      <c r="D26" s="1" t="s">
        <v>39</v>
      </c>
      <c r="E26" s="1" t="str">
        <f>RIGHT(Table13[[#This Row],[PROJECT TITLE]],6)</f>
        <v>DT0105</v>
      </c>
      <c r="F26" s="10" t="s">
        <v>43</v>
      </c>
      <c r="G26" s="13" t="str">
        <f>VLOOKUP(Table13[[#This Row],[Eq No]],[1]!Table3[[Eq.No.]:[FY23/34 Acq. Status]],2,FALSE)</f>
        <v>Gloria U/G</v>
      </c>
      <c r="H26" s="12">
        <f>VLOOKUP(Table13[[#This Row],[Eq No]],[1]!Table3[[Eq.No.]:[FY23/34 Acq. Status]],3,FALSE)</f>
        <v>2015</v>
      </c>
      <c r="I26" s="13" t="str">
        <f>VLOOKUP(Table13[[#This Row],[Eq No]],[1]!Table3[[Eq.No.]:[FY23/34 Acq. Status]],12,FALSE)</f>
        <v>MT 436 LP</v>
      </c>
      <c r="J26" s="13" t="str">
        <f>VLOOKUP(Table13[[#This Row],[Eq No]],[1]!Table3[[Eq.No.]:[FY23/34 Acq. Status]],17,FALSE)</f>
        <v>Elphinstone AD30</v>
      </c>
      <c r="K26" s="2">
        <v>20151247.324000001</v>
      </c>
      <c r="L26" s="2">
        <v>0</v>
      </c>
      <c r="M26" s="2">
        <v>0</v>
      </c>
    </row>
    <row r="27" spans="2:13" hidden="1" x14ac:dyDescent="0.25">
      <c r="B27" s="1">
        <v>807120260007</v>
      </c>
      <c r="C27" s="1" t="s">
        <v>46</v>
      </c>
      <c r="D27" s="1" t="s">
        <v>39</v>
      </c>
      <c r="E27" s="1" t="str">
        <f>RIGHT(Table13[[#This Row],[PROJECT TITLE]],6)</f>
        <v>DT0106</v>
      </c>
      <c r="F27" s="10" t="s">
        <v>43</v>
      </c>
      <c r="G27" s="13" t="str">
        <f>VLOOKUP(Table13[[#This Row],[Eq No]],[1]!Table3[[Eq.No.]:[FY23/34 Acq. Status]],2,FALSE)</f>
        <v>Gloria U/G</v>
      </c>
      <c r="H27" s="12">
        <f>VLOOKUP(Table13[[#This Row],[Eq No]],[1]!Table3[[Eq.No.]:[FY23/34 Acq. Status]],3,FALSE)</f>
        <v>2015</v>
      </c>
      <c r="I27" s="13" t="str">
        <f>VLOOKUP(Table13[[#This Row],[Eq No]],[1]!Table3[[Eq.No.]:[FY23/34 Acq. Status]],12,FALSE)</f>
        <v>MT 436 LP</v>
      </c>
      <c r="J27" s="13" t="str">
        <f>VLOOKUP(Table13[[#This Row],[Eq No]],[1]!Table3[[Eq.No.]:[FY23/34 Acq. Status]],17,FALSE)</f>
        <v>Elphinstone AD30</v>
      </c>
      <c r="K27" s="2">
        <v>20151247.324000001</v>
      </c>
      <c r="L27" s="2">
        <v>0</v>
      </c>
      <c r="M27" s="2">
        <v>0</v>
      </c>
    </row>
    <row r="28" spans="2:13" hidden="1" x14ac:dyDescent="0.25">
      <c r="B28" s="1">
        <v>807120260008</v>
      </c>
      <c r="C28" s="1" t="s">
        <v>47</v>
      </c>
      <c r="D28" s="1" t="s">
        <v>21</v>
      </c>
      <c r="E28" s="1" t="str">
        <f>RIGHT(Table13[[#This Row],[PROJECT TITLE]],6)</f>
        <v>LD0330</v>
      </c>
      <c r="F28" s="10" t="s">
        <v>43</v>
      </c>
      <c r="G28" s="13" t="str">
        <f>VLOOKUP(Table13[[#This Row],[Eq No]],[1]!Table3[[Eq.No.]:[FY23/34 Acq. Status]],2,FALSE)</f>
        <v>Hilux Single Cab Hilux SC 2.5</v>
      </c>
      <c r="H28" s="12">
        <f>VLOOKUP(Table13[[#This Row],[Eq No]],[1]!Table3[[Eq.No.]:[FY23/34 Acq. Status]],3,FALSE)</f>
        <v>2014</v>
      </c>
      <c r="I28" s="13" t="str">
        <f>VLOOKUP(Table13[[#This Row],[Eq No]],[1]!Table3[[Eq.No.]:[FY23/34 Acq. Status]],12,FALSE)</f>
        <v>4 x 4 (2.5D)</v>
      </c>
      <c r="J28" s="13" t="str">
        <f>VLOOKUP(Table13[[#This Row],[Eq No]],[1]!Table3[[Eq.No.]:[FY23/34 Acq. Status]],17,FALSE)</f>
        <v>4 x 4 (2.5D)</v>
      </c>
      <c r="K28" s="2">
        <v>1157210.132</v>
      </c>
      <c r="L28" s="2">
        <v>0</v>
      </c>
      <c r="M28" s="2">
        <v>0</v>
      </c>
    </row>
    <row r="29" spans="2:13" hidden="1" x14ac:dyDescent="0.25">
      <c r="B29" s="1">
        <v>807120260009</v>
      </c>
      <c r="C29" s="1" t="s">
        <v>48</v>
      </c>
      <c r="D29" s="1" t="s">
        <v>21</v>
      </c>
      <c r="E29" s="1" t="str">
        <f>RIGHT(Table13[[#This Row],[PROJECT TITLE]],6)</f>
        <v>LD0331</v>
      </c>
      <c r="F29" s="10" t="s">
        <v>43</v>
      </c>
      <c r="G29" s="13" t="str">
        <f>VLOOKUP(Table13[[#This Row],[Eq No]],[1]!Table3[[Eq.No.]:[FY23/34 Acq. Status]],2,FALSE)</f>
        <v>Instumentation Gloria</v>
      </c>
      <c r="H29" s="12">
        <f>VLOOKUP(Table13[[#This Row],[Eq No]],[1]!Table3[[Eq.No.]:[FY23/34 Acq. Status]],3,FALSE)</f>
        <v>2014</v>
      </c>
      <c r="I29" s="13" t="str">
        <f>VLOOKUP(Table13[[#This Row],[Eq No]],[1]!Table3[[Eq.No.]:[FY23/34 Acq. Status]],12,FALSE)</f>
        <v>4 x 4 (2.5D)</v>
      </c>
      <c r="J29" s="13" t="str">
        <f>VLOOKUP(Table13[[#This Row],[Eq No]],[1]!Table3[[Eq.No.]:[FY23/34 Acq. Status]],17,FALSE)</f>
        <v>4 x 4 (2.5D)</v>
      </c>
      <c r="K29" s="2">
        <v>1157210.132</v>
      </c>
      <c r="L29" s="2">
        <v>0</v>
      </c>
      <c r="M29" s="2">
        <v>0</v>
      </c>
    </row>
    <row r="30" spans="2:13" hidden="1" x14ac:dyDescent="0.25">
      <c r="B30" s="1">
        <v>807120260010</v>
      </c>
      <c r="C30" s="1" t="s">
        <v>49</v>
      </c>
      <c r="D30" s="1" t="s">
        <v>21</v>
      </c>
      <c r="E30" s="1" t="str">
        <f>RIGHT(Table13[[#This Row],[PROJECT TITLE]],6)</f>
        <v>LD0344</v>
      </c>
      <c r="F30" s="10" t="s">
        <v>43</v>
      </c>
      <c r="G30" s="13" t="str">
        <f>VLOOKUP(Table13[[#This Row],[Eq No]],[1]!Table3[[Eq.No.]:[FY23/34 Acq. Status]],2,FALSE)</f>
        <v>Replacement L/C Mech</v>
      </c>
      <c r="H30" s="12">
        <f>VLOOKUP(Table13[[#This Row],[Eq No]],[1]!Table3[[Eq.No.]:[FY23/34 Acq. Status]],3,FALSE)</f>
        <v>2014</v>
      </c>
      <c r="I30" s="13" t="str">
        <f>VLOOKUP(Table13[[#This Row],[Eq No]],[1]!Table3[[Eq.No.]:[FY23/34 Acq. Status]],12,FALSE)</f>
        <v>L/C, 4x4, 4.2D</v>
      </c>
      <c r="J30" s="13" t="str">
        <f>VLOOKUP(Table13[[#This Row],[Eq No]],[1]!Table3[[Eq.No.]:[FY23/34 Acq. Status]],17,FALSE)</f>
        <v>L/Cruiser 4x4 (Converted to UG Spec)</v>
      </c>
      <c r="K30" s="2">
        <v>2911697.6168799996</v>
      </c>
      <c r="L30" s="2">
        <v>0</v>
      </c>
      <c r="M30" s="2">
        <v>0</v>
      </c>
    </row>
    <row r="31" spans="2:13" hidden="1" x14ac:dyDescent="0.25">
      <c r="B31" s="1">
        <v>807120260011</v>
      </c>
      <c r="C31" s="1" t="s">
        <v>50</v>
      </c>
      <c r="D31" s="1" t="s">
        <v>21</v>
      </c>
      <c r="E31" s="1" t="str">
        <f>RIGHT(Table13[[#This Row],[PROJECT TITLE]],6)</f>
        <v>LD0425</v>
      </c>
      <c r="F31" s="10" t="s">
        <v>43</v>
      </c>
      <c r="G31" s="13" t="str">
        <f>VLOOKUP(Table13[[#This Row],[Eq No]],[1]!Table3[[Eq.No.]:[FY23/34 Acq. Status]],2,FALSE)</f>
        <v>Gloria U/G</v>
      </c>
      <c r="H31" s="12">
        <f>VLOOKUP(Table13[[#This Row],[Eq No]],[1]!Table3[[Eq.No.]:[FY23/34 Acq. Status]],3,FALSE)</f>
        <v>2017</v>
      </c>
      <c r="I31" s="13" t="str">
        <f>VLOOKUP(Table13[[#This Row],[Eq No]],[1]!Table3[[Eq.No.]:[FY23/34 Acq. Status]],12,FALSE)</f>
        <v>Maverick D/C</v>
      </c>
      <c r="J31" s="13" t="str">
        <f>VLOOKUP(Table13[[#This Row],[Eq No]],[1]!Table3[[Eq.No.]:[FY23/34 Acq. Status]],17,FALSE)</f>
        <v>L/Cruiser 4x4 (Converted to UG Spec)</v>
      </c>
      <c r="K31" s="2">
        <v>2911697.6168799996</v>
      </c>
      <c r="L31" s="2">
        <v>0</v>
      </c>
      <c r="M31" s="2">
        <v>0</v>
      </c>
    </row>
    <row r="32" spans="2:13" hidden="1" x14ac:dyDescent="0.25">
      <c r="B32" s="3" t="s">
        <v>51</v>
      </c>
      <c r="C32" s="1" t="s">
        <v>52</v>
      </c>
      <c r="D32" s="1" t="s">
        <v>10</v>
      </c>
      <c r="E32" s="1" t="str">
        <f>RIGHT(Table13[[#This Row],[PROJECT TITLE]],6)</f>
        <v>BS0028</v>
      </c>
      <c r="F32" s="10" t="s">
        <v>8</v>
      </c>
      <c r="G32" s="13" t="str">
        <f>VLOOKUP(Table13[[#This Row],[Eq No]],[1]!Table3[[Eq.No.]:[FY23/34 Acq. Status]],2,FALSE)</f>
        <v>Pool Transport</v>
      </c>
      <c r="H32" s="12">
        <f>VLOOKUP(Table13[[#This Row],[Eq No]],[1]!Table3[[Eq.No.]:[FY23/34 Acq. Status]],3,FALSE)</f>
        <v>2017</v>
      </c>
      <c r="I32" s="13" t="str">
        <f>VLOOKUP(Table13[[#This Row],[Eq No]],[1]!Table3[[Eq.No.]:[FY23/34 Acq. Status]],12,FALSE)</f>
        <v>Sprinter</v>
      </c>
      <c r="J32" s="13" t="str">
        <f>VLOOKUP(Table13[[#This Row],[Eq No]],[1]!Table3[[Eq.No.]:[FY23/34 Acq. Status]],17,FALSE)</f>
        <v>Sprinter 516 CDI</v>
      </c>
      <c r="K32" s="2">
        <v>0</v>
      </c>
      <c r="L32" s="2">
        <v>0</v>
      </c>
      <c r="M32" s="2">
        <v>1990160.4942191234</v>
      </c>
    </row>
    <row r="33" spans="2:13" hidden="1" x14ac:dyDescent="0.25">
      <c r="B33" s="3" t="s">
        <v>51</v>
      </c>
      <c r="C33" s="4" t="s">
        <v>53</v>
      </c>
      <c r="D33" s="1" t="s">
        <v>12</v>
      </c>
      <c r="E33" s="1" t="str">
        <f>RIGHT(Table13[[#This Row],[PROJECT TITLE]],6)</f>
        <v>CB0025</v>
      </c>
      <c r="F33" s="10" t="s">
        <v>8</v>
      </c>
      <c r="G33" s="13" t="str">
        <f>VLOOKUP(Table13[[#This Row],[Eq No]],[1]!Table3[[Eq.No.]:[FY23/34 Acq. Status]],2,FALSE)</f>
        <v>Proto</v>
      </c>
      <c r="H33" s="12">
        <f>VLOOKUP(Table13[[#This Row],[Eq No]],[1]!Table3[[Eq.No.]:[FY23/34 Acq. Status]],3,FALSE)</f>
        <v>2014</v>
      </c>
      <c r="I33" s="13" t="str">
        <f>VLOOKUP(Table13[[#This Row],[Eq No]],[1]!Table3[[Eq.No.]:[FY23/34 Acq. Status]],12,FALSE)</f>
        <v>Quantum 2.5D-4D</v>
      </c>
      <c r="J33" s="13" t="str">
        <f>VLOOKUP(Table13[[#This Row],[Eq No]],[1]!Table3[[Eq.No.]:[FY23/34 Acq. Status]],17,FALSE)</f>
        <v>Quantum 2.5D-4D</v>
      </c>
      <c r="K33" s="2">
        <v>0</v>
      </c>
      <c r="L33" s="2">
        <v>0</v>
      </c>
      <c r="M33" s="2">
        <v>1672142.5046951747</v>
      </c>
    </row>
    <row r="34" spans="2:13" hidden="1" x14ac:dyDescent="0.25">
      <c r="B34" s="3" t="s">
        <v>51</v>
      </c>
      <c r="C34" s="4" t="s">
        <v>54</v>
      </c>
      <c r="D34" s="1" t="s">
        <v>12</v>
      </c>
      <c r="E34" s="1" t="str">
        <f>RIGHT(Table13[[#This Row],[PROJECT TITLE]],6)</f>
        <v>CB0030</v>
      </c>
      <c r="F34" s="10" t="s">
        <v>8</v>
      </c>
      <c r="G34" s="13" t="str">
        <f>VLOOKUP(Table13[[#This Row],[Eq No]],[1]!Table3[[Eq.No.]:[FY23/34 Acq. Status]],2,FALSE)</f>
        <v>Pool Transport</v>
      </c>
      <c r="H34" s="12">
        <f>VLOOKUP(Table13[[#This Row],[Eq No]],[1]!Table3[[Eq.No.]:[FY23/34 Acq. Status]],3,FALSE)</f>
        <v>2017</v>
      </c>
      <c r="I34" s="13" t="str">
        <f>VLOOKUP(Table13[[#This Row],[Eq No]],[1]!Table3[[Eq.No.]:[FY23/34 Acq. Status]],12,FALSE)</f>
        <v>Quantum Mini Bus 14St</v>
      </c>
      <c r="J34" s="13" t="str">
        <f>VLOOKUP(Table13[[#This Row],[Eq No]],[1]!Table3[[Eq.No.]:[FY23/34 Acq. Status]],17,FALSE)</f>
        <v>Quantum Mini Bus 14St</v>
      </c>
      <c r="K34" s="2">
        <v>0</v>
      </c>
      <c r="L34" s="2">
        <v>1620206.1291006159</v>
      </c>
      <c r="M34" s="2">
        <v>0</v>
      </c>
    </row>
    <row r="35" spans="2:13" hidden="1" x14ac:dyDescent="0.25">
      <c r="B35" s="3" t="s">
        <v>51</v>
      </c>
      <c r="C35" s="4" t="s">
        <v>55</v>
      </c>
      <c r="D35" s="1" t="s">
        <v>12</v>
      </c>
      <c r="E35" s="1" t="str">
        <f>RIGHT(Table13[[#This Row],[PROJECT TITLE]],6)</f>
        <v>CB0033</v>
      </c>
      <c r="F35" s="10" t="s">
        <v>8</v>
      </c>
      <c r="G35" s="13" t="str">
        <f>VLOOKUP(Table13[[#This Row],[Eq No]],[1]!Table3[[Eq.No.]:[FY23/34 Acq. Status]],2,FALSE)</f>
        <v>Pool Transport</v>
      </c>
      <c r="H35" s="12">
        <f>VLOOKUP(Table13[[#This Row],[Eq No]],[1]!Table3[[Eq.No.]:[FY23/34 Acq. Status]],3,FALSE)</f>
        <v>2018</v>
      </c>
      <c r="I35" s="13" t="str">
        <f>VLOOKUP(Table13[[#This Row],[Eq No]],[1]!Table3[[Eq.No.]:[FY23/34 Acq. Status]],12,FALSE)</f>
        <v>Quantum Mini Bus 10St</v>
      </c>
      <c r="J35" s="13" t="str">
        <f>VLOOKUP(Table13[[#This Row],[Eq No]],[1]!Table3[[Eq.No.]:[FY23/34 Acq. Status]],17,FALSE)</f>
        <v>Quantum Mini Bus 10St</v>
      </c>
      <c r="K35" s="2">
        <v>0</v>
      </c>
      <c r="L35" s="2">
        <v>1620206.1291006159</v>
      </c>
      <c r="M35" s="2">
        <v>0</v>
      </c>
    </row>
    <row r="36" spans="2:13" hidden="1" x14ac:dyDescent="0.25">
      <c r="B36" s="3" t="s">
        <v>51</v>
      </c>
      <c r="C36" s="4" t="s">
        <v>56</v>
      </c>
      <c r="D36" s="1" t="s">
        <v>57</v>
      </c>
      <c r="E36" s="1" t="str">
        <f>RIGHT(Table13[[#This Row],[PROJECT TITLE]],6)</f>
        <v>CD0011</v>
      </c>
      <c r="F36" s="10" t="s">
        <v>8</v>
      </c>
      <c r="G36" s="13" t="str">
        <f>VLOOKUP(Table13[[#This Row],[Eq No]],[1]!Table3[[Eq.No.]:[FY23/34 Acq. Status]],2,FALSE)</f>
        <v>Pool Transport</v>
      </c>
      <c r="H36" s="12">
        <f>VLOOKUP(Table13[[#This Row],[Eq No]],[1]!Table3[[Eq.No.]:[FY23/34 Acq. Status]],3,FALSE)</f>
        <v>2018</v>
      </c>
      <c r="I36" s="13" t="str">
        <f>VLOOKUP(Table13[[#This Row],[Eq No]],[1]!Table3[[Eq.No.]:[FY23/34 Acq. Status]],12,FALSE)</f>
        <v>Avanza 1.5 TX</v>
      </c>
      <c r="J36" s="13" t="str">
        <f>VLOOKUP(Table13[[#This Row],[Eq No]],[1]!Table3[[Eq.No.]:[FY23/34 Acq. Status]],17,FALSE)</f>
        <v>Avanza 1.5 SX</v>
      </c>
      <c r="K36" s="2">
        <v>0</v>
      </c>
      <c r="L36" s="2">
        <v>0</v>
      </c>
      <c r="M36" s="2">
        <v>874000.65379999997</v>
      </c>
    </row>
    <row r="37" spans="2:13" hidden="1" x14ac:dyDescent="0.25">
      <c r="B37" s="3" t="s">
        <v>51</v>
      </c>
      <c r="C37" s="4" t="s">
        <v>58</v>
      </c>
      <c r="D37" s="1" t="s">
        <v>57</v>
      </c>
      <c r="E37" s="1" t="str">
        <f>RIGHT(Table13[[#This Row],[PROJECT TITLE]],6)</f>
        <v>CD0012</v>
      </c>
      <c r="F37" s="10" t="s">
        <v>8</v>
      </c>
      <c r="G37" s="13" t="str">
        <f>VLOOKUP(Table13[[#This Row],[Eq No]],[1]!Table3[[Eq.No.]:[FY23/34 Acq. Status]],2,FALSE)</f>
        <v>Pool Transport</v>
      </c>
      <c r="H37" s="12">
        <f>VLOOKUP(Table13[[#This Row],[Eq No]],[1]!Table3[[Eq.No.]:[FY23/34 Acq. Status]],3,FALSE)</f>
        <v>2018</v>
      </c>
      <c r="I37" s="13" t="str">
        <f>VLOOKUP(Table13[[#This Row],[Eq No]],[1]!Table3[[Eq.No.]:[FY23/34 Acq. Status]],12,FALSE)</f>
        <v>Avanza 1.5 TX</v>
      </c>
      <c r="J37" s="13" t="str">
        <f>VLOOKUP(Table13[[#This Row],[Eq No]],[1]!Table3[[Eq.No.]:[FY23/34 Acq. Status]],17,FALSE)</f>
        <v>Avanza 1.5 SX</v>
      </c>
      <c r="K37" s="2">
        <v>0</v>
      </c>
      <c r="L37" s="2">
        <v>0</v>
      </c>
      <c r="M37" s="2">
        <v>874000.65379999997</v>
      </c>
    </row>
    <row r="38" spans="2:13" hidden="1" x14ac:dyDescent="0.25">
      <c r="B38" s="3" t="s">
        <v>51</v>
      </c>
      <c r="C38" s="4" t="s">
        <v>59</v>
      </c>
      <c r="D38" s="1" t="s">
        <v>15</v>
      </c>
      <c r="E38" s="1" t="str">
        <f>RIGHT(Table13[[#This Row],[PROJECT TITLE]],6)</f>
        <v>CR0107</v>
      </c>
      <c r="F38" s="10" t="s">
        <v>8</v>
      </c>
      <c r="G38" s="13" t="str">
        <f>VLOOKUP(Table13[[#This Row],[Eq No]],[1]!Table3[[Eq.No.]:[FY23/34 Acq. Status]],2,FALSE)</f>
        <v>BR Stores</v>
      </c>
      <c r="H38" s="12">
        <f>VLOOKUP(Table13[[#This Row],[Eq No]],[1]!Table3[[Eq.No.]:[FY23/34 Acq. Status]],3,FALSE)</f>
        <v>2014</v>
      </c>
      <c r="I38" s="13" t="str">
        <f>VLOOKUP(Table13[[#This Row],[Eq No]],[1]!Table3[[Eq.No.]:[FY23/34 Acq. Status]],12,FALSE)</f>
        <v>MHT-X 10120 L</v>
      </c>
      <c r="J38" s="13" t="str">
        <f>VLOOKUP(Table13[[#This Row],[Eq No]],[1]!Table3[[Eq.No.]:[FY23/34 Acq. Status]],17,FALSE)</f>
        <v>MHT-X 10120 L</v>
      </c>
      <c r="K38" s="2">
        <v>0</v>
      </c>
      <c r="L38" s="2">
        <v>13969014.279429123</v>
      </c>
      <c r="M38" s="2">
        <v>0</v>
      </c>
    </row>
    <row r="39" spans="2:13" hidden="1" x14ac:dyDescent="0.25">
      <c r="B39" s="3" t="s">
        <v>51</v>
      </c>
      <c r="C39" s="4" t="s">
        <v>60</v>
      </c>
      <c r="D39" s="1" t="s">
        <v>15</v>
      </c>
      <c r="E39" s="1" t="str">
        <f>RIGHT(Table13[[#This Row],[PROJECT TITLE]],6)</f>
        <v>CR0121</v>
      </c>
      <c r="F39" s="10" t="s">
        <v>8</v>
      </c>
      <c r="G39" s="13" t="str">
        <f>VLOOKUP(Table13[[#This Row],[Eq No]],[1]!Table3[[Eq.No.]:[FY23/34 Acq. Status]],2,FALSE)</f>
        <v>BR Stores</v>
      </c>
      <c r="H39" s="12">
        <f>VLOOKUP(Table13[[#This Row],[Eq No]],[1]!Table3[[Eq.No.]:[FY23/34 Acq. Status]],3,FALSE)</f>
        <v>2015</v>
      </c>
      <c r="I39" s="13" t="str">
        <f>VLOOKUP(Table13[[#This Row],[Eq No]],[1]!Table3[[Eq.No.]:[FY23/34 Acq. Status]],12,FALSE)</f>
        <v>MHT-X 780</v>
      </c>
      <c r="J39" s="13" t="str">
        <f>VLOOKUP(Table13[[#This Row],[Eq No]],[1]!Table3[[Eq.No.]:[FY23/34 Acq. Status]],17,FALSE)</f>
        <v>MHT-X 780</v>
      </c>
      <c r="K39" s="2">
        <v>0</v>
      </c>
      <c r="L39" s="2">
        <v>0</v>
      </c>
      <c r="M39" s="2">
        <v>11988921.38066224</v>
      </c>
    </row>
    <row r="40" spans="2:13" hidden="1" x14ac:dyDescent="0.25">
      <c r="B40" s="3" t="s">
        <v>51</v>
      </c>
      <c r="C40" s="4" t="s">
        <v>61</v>
      </c>
      <c r="D40" s="1" t="s">
        <v>15</v>
      </c>
      <c r="E40" s="1" t="str">
        <f>RIGHT(Table13[[#This Row],[PROJECT TITLE]],6)</f>
        <v>CR0145</v>
      </c>
      <c r="F40" s="10" t="s">
        <v>8</v>
      </c>
      <c r="G40" s="13" t="str">
        <f>VLOOKUP(Table13[[#This Row],[Eq No]],[1]!Table3[[Eq.No.]:[FY23/34 Acq. Status]],2,FALSE)</f>
        <v>BR Stores</v>
      </c>
      <c r="H40" s="12">
        <f>VLOOKUP(Table13[[#This Row],[Eq No]],[1]!Table3[[Eq.No.]:[FY23/34 Acq. Status]],3,FALSE)</f>
        <v>2016</v>
      </c>
      <c r="I40" s="13" t="str">
        <f>VLOOKUP(Table13[[#This Row],[Eq No]],[1]!Table3[[Eq.No.]:[FY23/34 Acq. Status]],12,FALSE)</f>
        <v>MT-X 742</v>
      </c>
      <c r="J40" s="13" t="str">
        <f>VLOOKUP(Table13[[#This Row],[Eq No]],[1]!Table3[[Eq.No.]:[FY23/34 Acq. Status]],17,FALSE)</f>
        <v>MT-X 742</v>
      </c>
      <c r="K40" s="2">
        <v>0</v>
      </c>
      <c r="L40" s="2">
        <v>0</v>
      </c>
      <c r="M40" s="2">
        <v>11988921.38066224</v>
      </c>
    </row>
    <row r="41" spans="2:13" hidden="1" x14ac:dyDescent="0.25">
      <c r="B41" s="3" t="s">
        <v>51</v>
      </c>
      <c r="C41" s="4" t="s">
        <v>62</v>
      </c>
      <c r="D41" s="1" t="s">
        <v>21</v>
      </c>
      <c r="E41" s="1" t="str">
        <f>RIGHT(Table13[[#This Row],[PROJECT TITLE]],6)</f>
        <v>LD0239</v>
      </c>
      <c r="F41" s="10" t="s">
        <v>8</v>
      </c>
      <c r="G41" s="13" t="str">
        <f>VLOOKUP(Table13[[#This Row],[Eq No]],[1]!Table3[[Eq.No.]:[FY23/34 Acq. Status]],2,FALSE)</f>
        <v>BRMO</v>
      </c>
      <c r="H41" s="12">
        <f>VLOOKUP(Table13[[#This Row],[Eq No]],[1]!Table3[[Eq.No.]:[FY23/34 Acq. Status]],3,FALSE)</f>
        <v>2010</v>
      </c>
      <c r="I41" s="13" t="str">
        <f>VLOOKUP(Table13[[#This Row],[Eq No]],[1]!Table3[[Eq.No.]:[FY23/34 Acq. Status]],12,FALSE)</f>
        <v>2.5D 4x4</v>
      </c>
      <c r="J41" s="13" t="str">
        <f>VLOOKUP(Table13[[#This Row],[Eq No]],[1]!Table3[[Eq.No.]:[FY23/34 Acq. Status]],17,FALSE)</f>
        <v>L/Cruiser 4x4 (Converted to UG Spec)</v>
      </c>
      <c r="K41" s="2">
        <v>0</v>
      </c>
      <c r="L41" s="2">
        <v>3643512.1748480005</v>
      </c>
      <c r="M41" s="2">
        <v>0</v>
      </c>
    </row>
    <row r="42" spans="2:13" hidden="1" x14ac:dyDescent="0.25">
      <c r="B42" s="3" t="s">
        <v>51</v>
      </c>
      <c r="C42" s="4" t="s">
        <v>63</v>
      </c>
      <c r="D42" s="1" t="s">
        <v>21</v>
      </c>
      <c r="E42" s="1" t="str">
        <f>RIGHT(Table13[[#This Row],[PROJECT TITLE]],6)</f>
        <v>LD0252</v>
      </c>
      <c r="F42" s="10" t="s">
        <v>8</v>
      </c>
      <c r="G42" s="13" t="str">
        <f>VLOOKUP(Table13[[#This Row],[Eq No]],[1]!Table3[[Eq.No.]:[FY23/34 Acq. Status]],2,FALSE)</f>
        <v>Environmental</v>
      </c>
      <c r="H42" s="12">
        <f>VLOOKUP(Table13[[#This Row],[Eq No]],[1]!Table3[[Eq.No.]:[FY23/34 Acq. Status]],3,FALSE)</f>
        <v>2010</v>
      </c>
      <c r="I42" s="13" t="str">
        <f>VLOOKUP(Table13[[#This Row],[Eq No]],[1]!Table3[[Eq.No.]:[FY23/34 Acq. Status]],12,FALSE)</f>
        <v>2.5D 4x4</v>
      </c>
      <c r="J42" s="13" t="str">
        <f>VLOOKUP(Table13[[#This Row],[Eq No]],[1]!Table3[[Eq.No.]:[FY23/34 Acq. Status]],17,FALSE)</f>
        <v>4 x 4 (2.5D)</v>
      </c>
      <c r="K42" s="2">
        <v>0</v>
      </c>
      <c r="L42" s="2">
        <v>0</v>
      </c>
      <c r="M42" s="2">
        <v>1239840.3537999999</v>
      </c>
    </row>
    <row r="43" spans="2:13" hidden="1" x14ac:dyDescent="0.25">
      <c r="B43" s="3" t="s">
        <v>51</v>
      </c>
      <c r="C43" s="4" t="s">
        <v>64</v>
      </c>
      <c r="D43" s="1" t="s">
        <v>21</v>
      </c>
      <c r="E43" s="1" t="str">
        <f>RIGHT(Table13[[#This Row],[PROJECT TITLE]],6)</f>
        <v>LD0253</v>
      </c>
      <c r="F43" s="10" t="s">
        <v>8</v>
      </c>
      <c r="G43" s="13" t="str">
        <f>VLOOKUP(Table13[[#This Row],[Eq No]],[1]!Table3[[Eq.No.]:[FY23/34 Acq. Status]],2,FALSE)</f>
        <v>Geologist,MRM</v>
      </c>
      <c r="H43" s="12">
        <f>VLOOKUP(Table13[[#This Row],[Eq No]],[1]!Table3[[Eq.No.]:[FY23/34 Acq. Status]],3,FALSE)</f>
        <v>2010</v>
      </c>
      <c r="I43" s="13" t="str">
        <f>VLOOKUP(Table13[[#This Row],[Eq No]],[1]!Table3[[Eq.No.]:[FY23/34 Acq. Status]],12,FALSE)</f>
        <v>2.5D 4x4</v>
      </c>
      <c r="J43" s="13" t="str">
        <f>VLOOKUP(Table13[[#This Row],[Eq No]],[1]!Table3[[Eq.No.]:[FY23/34 Acq. Status]],17,FALSE)</f>
        <v>4 x 4 (2.5D)</v>
      </c>
      <c r="K43" s="2">
        <v>0</v>
      </c>
      <c r="L43" s="2">
        <v>0</v>
      </c>
      <c r="M43" s="2">
        <v>1239840.3537999999</v>
      </c>
    </row>
    <row r="44" spans="2:13" hidden="1" x14ac:dyDescent="0.25">
      <c r="B44" s="3" t="s">
        <v>51</v>
      </c>
      <c r="C44" s="4" t="s">
        <v>65</v>
      </c>
      <c r="D44" s="1" t="s">
        <v>21</v>
      </c>
      <c r="E44" s="1" t="str">
        <f>RIGHT(Table13[[#This Row],[PROJECT TITLE]],6)</f>
        <v>LD0256</v>
      </c>
      <c r="F44" s="10" t="s">
        <v>8</v>
      </c>
      <c r="G44" s="13" t="str">
        <f>VLOOKUP(Table13[[#This Row],[Eq No]],[1]!Table3[[Eq.No.]:[FY23/34 Acq. Status]],2,FALSE)</f>
        <v>Training Centre N3</v>
      </c>
      <c r="H44" s="12">
        <f>VLOOKUP(Table13[[#This Row],[Eq No]],[1]!Table3[[Eq.No.]:[FY23/34 Acq. Status]],3,FALSE)</f>
        <v>2011</v>
      </c>
      <c r="I44" s="13" t="str">
        <f>VLOOKUP(Table13[[#This Row],[Eq No]],[1]!Table3[[Eq.No.]:[FY23/34 Acq. Status]],12,FALSE)</f>
        <v>2.5D 4x4</v>
      </c>
      <c r="J44" s="13" t="str">
        <f>VLOOKUP(Table13[[#This Row],[Eq No]],[1]!Table3[[Eq.No.]:[FY23/34 Acq. Status]],17,FALSE)</f>
        <v>L/Cruiser 4x4 (Converted to UG Spec)</v>
      </c>
      <c r="K44" s="2">
        <v>0</v>
      </c>
      <c r="L44" s="2">
        <v>0</v>
      </c>
      <c r="M44" s="2">
        <v>3760306.4600920002</v>
      </c>
    </row>
    <row r="45" spans="2:13" hidden="1" x14ac:dyDescent="0.25">
      <c r="B45" s="3" t="s">
        <v>51</v>
      </c>
      <c r="C45" s="4" t="s">
        <v>66</v>
      </c>
      <c r="D45" s="1" t="s">
        <v>21</v>
      </c>
      <c r="E45" s="1" t="str">
        <f>RIGHT(Table13[[#This Row],[PROJECT TITLE]],6)</f>
        <v>LD0259</v>
      </c>
      <c r="F45" s="10" t="s">
        <v>8</v>
      </c>
      <c r="G45" s="13" t="str">
        <f>VLOOKUP(Table13[[#This Row],[Eq No]],[1]!Table3[[Eq.No.]:[FY23/34 Acq. Status]],2,FALSE)</f>
        <v>BR Services - Salvage yard</v>
      </c>
      <c r="H45" s="12">
        <f>VLOOKUP(Table13[[#This Row],[Eq No]],[1]!Table3[[Eq.No.]:[FY23/34 Acq. Status]],3,FALSE)</f>
        <v>2011</v>
      </c>
      <c r="I45" s="13" t="str">
        <f>VLOOKUP(Table13[[#This Row],[Eq No]],[1]!Table3[[Eq.No.]:[FY23/34 Acq. Status]],12,FALSE)</f>
        <v>2.5D 4x4</v>
      </c>
      <c r="J45" s="13" t="str">
        <f>VLOOKUP(Table13[[#This Row],[Eq No]],[1]!Table3[[Eq.No.]:[FY23/34 Acq. Status]],17,FALSE)</f>
        <v>4 x 2 (2.5D) SRX</v>
      </c>
      <c r="K45" s="2">
        <v>0</v>
      </c>
      <c r="L45" s="2">
        <v>1167311.3472</v>
      </c>
      <c r="M45" s="2">
        <v>0</v>
      </c>
    </row>
    <row r="46" spans="2:13" hidden="1" x14ac:dyDescent="0.25">
      <c r="B46" s="3" t="s">
        <v>51</v>
      </c>
      <c r="C46" s="4" t="s">
        <v>67</v>
      </c>
      <c r="D46" s="1" t="s">
        <v>21</v>
      </c>
      <c r="E46" s="1" t="str">
        <f>RIGHT(Table13[[#This Row],[PROJECT TITLE]],6)</f>
        <v>LD0269</v>
      </c>
      <c r="F46" s="10" t="s">
        <v>8</v>
      </c>
      <c r="G46" s="13" t="str">
        <f>VLOOKUP(Table13[[#This Row],[Eq No]],[1]!Table3[[Eq.No.]:[FY23/34 Acq. Status]],2,FALSE)</f>
        <v>IT</v>
      </c>
      <c r="H46" s="12">
        <f>VLOOKUP(Table13[[#This Row],[Eq No]],[1]!Table3[[Eq.No.]:[FY23/34 Acq. Status]],3,FALSE)</f>
        <v>2011</v>
      </c>
      <c r="I46" s="13" t="str">
        <f>VLOOKUP(Table13[[#This Row],[Eq No]],[1]!Table3[[Eq.No.]:[FY23/34 Acq. Status]],12,FALSE)</f>
        <v>2.5D 4x4</v>
      </c>
      <c r="J46" s="13" t="str">
        <f>VLOOKUP(Table13[[#This Row],[Eq No]],[1]!Table3[[Eq.No.]:[FY23/34 Acq. Status]],17,FALSE)</f>
        <v>4 x 4 (2.5D)</v>
      </c>
      <c r="K46" s="2">
        <v>0</v>
      </c>
      <c r="L46" s="2">
        <v>1201331.1872</v>
      </c>
      <c r="M46" s="2">
        <v>0</v>
      </c>
    </row>
    <row r="47" spans="2:13" hidden="1" x14ac:dyDescent="0.25">
      <c r="B47" s="3" t="s">
        <v>51</v>
      </c>
      <c r="C47" s="4" t="s">
        <v>68</v>
      </c>
      <c r="D47" s="1" t="s">
        <v>21</v>
      </c>
      <c r="E47" s="1" t="str">
        <f>RIGHT(Table13[[#This Row],[PROJECT TITLE]],6)</f>
        <v>LD0270</v>
      </c>
      <c r="F47" s="10" t="s">
        <v>8</v>
      </c>
      <c r="G47" s="13" t="str">
        <f>VLOOKUP(Table13[[#This Row],[Eq No]],[1]!Table3[[Eq.No.]:[FY23/34 Acq. Status]],2,FALSE)</f>
        <v>Serveyors</v>
      </c>
      <c r="H47" s="12">
        <f>VLOOKUP(Table13[[#This Row],[Eq No]],[1]!Table3[[Eq.No.]:[FY23/34 Acq. Status]],3,FALSE)</f>
        <v>2011</v>
      </c>
      <c r="I47" s="13" t="str">
        <f>VLOOKUP(Table13[[#This Row],[Eq No]],[1]!Table3[[Eq.No.]:[FY23/34 Acq. Status]],12,FALSE)</f>
        <v>2.5D 4x4</v>
      </c>
      <c r="J47" s="13" t="str">
        <f>VLOOKUP(Table13[[#This Row],[Eq No]],[1]!Table3[[Eq.No.]:[FY23/34 Acq. Status]],17,FALSE)</f>
        <v>4 x 4 (2.5D)</v>
      </c>
      <c r="K47" s="2">
        <v>0</v>
      </c>
      <c r="L47" s="2">
        <v>1201331.1872</v>
      </c>
      <c r="M47" s="2">
        <v>0</v>
      </c>
    </row>
    <row r="48" spans="2:13" hidden="1" x14ac:dyDescent="0.25">
      <c r="B48" s="3" t="s">
        <v>51</v>
      </c>
      <c r="C48" s="4" t="s">
        <v>69</v>
      </c>
      <c r="D48" s="1" t="s">
        <v>21</v>
      </c>
      <c r="E48" s="1" t="str">
        <f>RIGHT(Table13[[#This Row],[PROJECT TITLE]],6)</f>
        <v>LD0273</v>
      </c>
      <c r="F48" s="10" t="s">
        <v>8</v>
      </c>
      <c r="G48" s="13" t="str">
        <f>VLOOKUP(Table13[[#This Row],[Eq No]],[1]!Table3[[Eq.No.]:[FY23/34 Acq. Status]],2,FALSE)</f>
        <v>Geologist,MRM</v>
      </c>
      <c r="H48" s="12">
        <f>VLOOKUP(Table13[[#This Row],[Eq No]],[1]!Table3[[Eq.No.]:[FY23/34 Acq. Status]],3,FALSE)</f>
        <v>2012</v>
      </c>
      <c r="I48" s="13" t="str">
        <f>VLOOKUP(Table13[[#This Row],[Eq No]],[1]!Table3[[Eq.No.]:[FY23/34 Acq. Status]],12,FALSE)</f>
        <v>2.5D 4x4</v>
      </c>
      <c r="J48" s="13" t="str">
        <f>VLOOKUP(Table13[[#This Row],[Eq No]],[1]!Table3[[Eq.No.]:[FY23/34 Acq. Status]],17,FALSE)</f>
        <v>4 x 4 (2.5D)</v>
      </c>
      <c r="K48" s="2">
        <v>0</v>
      </c>
      <c r="L48" s="2">
        <v>1201331.1872</v>
      </c>
      <c r="M48" s="2">
        <v>0</v>
      </c>
    </row>
    <row r="49" spans="2:13" hidden="1" x14ac:dyDescent="0.25">
      <c r="B49" s="3" t="s">
        <v>51</v>
      </c>
      <c r="C49" s="4" t="s">
        <v>70</v>
      </c>
      <c r="D49" s="1" t="s">
        <v>21</v>
      </c>
      <c r="E49" s="1" t="str">
        <f>RIGHT(Table13[[#This Row],[PROJECT TITLE]],6)</f>
        <v>LD0274</v>
      </c>
      <c r="F49" s="10" t="s">
        <v>8</v>
      </c>
      <c r="G49" s="13" t="str">
        <f>VLOOKUP(Table13[[#This Row],[Eq No]],[1]!Table3[[Eq.No.]:[FY23/34 Acq. Status]],2,FALSE)</f>
        <v>Safety</v>
      </c>
      <c r="H49" s="12">
        <f>VLOOKUP(Table13[[#This Row],[Eq No]],[1]!Table3[[Eq.No.]:[FY23/34 Acq. Status]],3,FALSE)</f>
        <v>2012</v>
      </c>
      <c r="I49" s="13" t="str">
        <f>VLOOKUP(Table13[[#This Row],[Eq No]],[1]!Table3[[Eq.No.]:[FY23/34 Acq. Status]],12,FALSE)</f>
        <v>2.5D 4x4</v>
      </c>
      <c r="J49" s="13" t="str">
        <f>VLOOKUP(Table13[[#This Row],[Eq No]],[1]!Table3[[Eq.No.]:[FY23/34 Acq. Status]],17,FALSE)</f>
        <v>4 x 4 (2.5D)</v>
      </c>
      <c r="K49" s="2">
        <v>0</v>
      </c>
      <c r="L49" s="2">
        <v>1201331.1872</v>
      </c>
      <c r="M49" s="2">
        <v>0</v>
      </c>
    </row>
    <row r="50" spans="2:13" hidden="1" x14ac:dyDescent="0.25">
      <c r="B50" s="3" t="s">
        <v>51</v>
      </c>
      <c r="C50" s="4" t="s">
        <v>71</v>
      </c>
      <c r="D50" s="1" t="s">
        <v>21</v>
      </c>
      <c r="E50" s="1" t="str">
        <f>RIGHT(Table13[[#This Row],[PROJECT TITLE]],6)</f>
        <v>LD0294</v>
      </c>
      <c r="F50" s="10" t="s">
        <v>8</v>
      </c>
      <c r="G50" s="13" t="str">
        <f>VLOOKUP(Table13[[#This Row],[Eq No]],[1]!Table3[[Eq.No.]:[FY23/34 Acq. Status]],2,FALSE)</f>
        <v>Port Elizabeth - Port Logistics</v>
      </c>
      <c r="H50" s="12">
        <f>VLOOKUP(Table13[[#This Row],[Eq No]],[1]!Table3[[Eq.No.]:[FY23/34 Acq. Status]],3,FALSE)</f>
        <v>2012</v>
      </c>
      <c r="I50" s="13" t="str">
        <f>VLOOKUP(Table13[[#This Row],[Eq No]],[1]!Table3[[Eq.No.]:[FY23/34 Acq. Status]],12,FALSE)</f>
        <v>2.5D 4x4</v>
      </c>
      <c r="J50" s="13" t="str">
        <f>VLOOKUP(Table13[[#This Row],[Eq No]],[1]!Table3[[Eq.No.]:[FY23/34 Acq. Status]],17,FALSE)</f>
        <v>4 x 2, 2.5D S/C</v>
      </c>
      <c r="K50" s="2">
        <v>0</v>
      </c>
      <c r="L50" s="2">
        <v>1167311.3472</v>
      </c>
      <c r="M50" s="2">
        <v>0</v>
      </c>
    </row>
    <row r="51" spans="2:13" hidden="1" x14ac:dyDescent="0.25">
      <c r="B51" s="3" t="s">
        <v>51</v>
      </c>
      <c r="C51" s="4" t="s">
        <v>72</v>
      </c>
      <c r="D51" s="1" t="s">
        <v>21</v>
      </c>
      <c r="E51" s="1" t="str">
        <f>RIGHT(Table13[[#This Row],[PROJECT TITLE]],6)</f>
        <v>LD0301</v>
      </c>
      <c r="F51" s="10" t="s">
        <v>8</v>
      </c>
      <c r="G51" s="13" t="str">
        <f>VLOOKUP(Table13[[#This Row],[Eq No]],[1]!Table3[[Eq.No.]:[FY23/34 Acq. Status]],2,FALSE)</f>
        <v>Geologist,MRM</v>
      </c>
      <c r="H51" s="12">
        <f>VLOOKUP(Table13[[#This Row],[Eq No]],[1]!Table3[[Eq.No.]:[FY23/34 Acq. Status]],3,FALSE)</f>
        <v>2013</v>
      </c>
      <c r="I51" s="13" t="str">
        <f>VLOOKUP(Table13[[#This Row],[Eq No]],[1]!Table3[[Eq.No.]:[FY23/34 Acq. Status]],12,FALSE)</f>
        <v>2.5D 4x4</v>
      </c>
      <c r="J51" s="13" t="str">
        <f>VLOOKUP(Table13[[#This Row],[Eq No]],[1]!Table3[[Eq.No.]:[FY23/34 Acq. Status]],17,FALSE)</f>
        <v>4 x 4 (2.5D)</v>
      </c>
      <c r="K51" s="2">
        <v>0</v>
      </c>
      <c r="L51" s="2">
        <v>0</v>
      </c>
      <c r="M51" s="2">
        <v>1239840.3537999999</v>
      </c>
    </row>
    <row r="52" spans="2:13" hidden="1" x14ac:dyDescent="0.25">
      <c r="B52" s="3" t="s">
        <v>51</v>
      </c>
      <c r="C52" s="4" t="s">
        <v>73</v>
      </c>
      <c r="D52" s="1" t="s">
        <v>21</v>
      </c>
      <c r="E52" s="1" t="str">
        <f>RIGHT(Table13[[#This Row],[PROJECT TITLE]],6)</f>
        <v>LD0306</v>
      </c>
      <c r="F52" s="10" t="s">
        <v>8</v>
      </c>
      <c r="G52" s="13" t="str">
        <f>VLOOKUP(Table13[[#This Row],[Eq No]],[1]!Table3[[Eq.No.]:[FY23/34 Acq. Status]],2,FALSE)</f>
        <v>Hygiene</v>
      </c>
      <c r="H52" s="12">
        <f>VLOOKUP(Table13[[#This Row],[Eq No]],[1]!Table3[[Eq.No.]:[FY23/34 Acq. Status]],3,FALSE)</f>
        <v>2013</v>
      </c>
      <c r="I52" s="13" t="str">
        <f>VLOOKUP(Table13[[#This Row],[Eq No]],[1]!Table3[[Eq.No.]:[FY23/34 Acq. Status]],12,FALSE)</f>
        <v>2.5D 4x4</v>
      </c>
      <c r="J52" s="13" t="str">
        <f>VLOOKUP(Table13[[#This Row],[Eq No]],[1]!Table3[[Eq.No.]:[FY23/34 Acq. Status]],17,FALSE)</f>
        <v>4 x 4 (2.5D)</v>
      </c>
      <c r="K52" s="2">
        <v>0</v>
      </c>
      <c r="L52" s="2">
        <v>1201331.1872</v>
      </c>
      <c r="M52" s="2">
        <v>0</v>
      </c>
    </row>
    <row r="53" spans="2:13" hidden="1" x14ac:dyDescent="0.25">
      <c r="B53" s="3" t="s">
        <v>51</v>
      </c>
      <c r="C53" s="4" t="s">
        <v>74</v>
      </c>
      <c r="D53" s="1" t="s">
        <v>21</v>
      </c>
      <c r="E53" s="1" t="str">
        <f>RIGHT(Table13[[#This Row],[PROJECT TITLE]],6)</f>
        <v>LD0333</v>
      </c>
      <c r="F53" s="10" t="s">
        <v>8</v>
      </c>
      <c r="G53" s="13" t="str">
        <f>VLOOKUP(Table13[[#This Row],[Eq No]],[1]!Table3[[Eq.No.]:[FY23/34 Acq. Status]],2,FALSE)</f>
        <v>BR Civils Services</v>
      </c>
      <c r="H53" s="12">
        <f>VLOOKUP(Table13[[#This Row],[Eq No]],[1]!Table3[[Eq.No.]:[FY23/34 Acq. Status]],3,FALSE)</f>
        <v>2014</v>
      </c>
      <c r="I53" s="13" t="str">
        <f>VLOOKUP(Table13[[#This Row],[Eq No]],[1]!Table3[[Eq.No.]:[FY23/34 Acq. Status]],12,FALSE)</f>
        <v>2.5D 4x2</v>
      </c>
      <c r="J53" s="13" t="str">
        <f>VLOOKUP(Table13[[#This Row],[Eq No]],[1]!Table3[[Eq.No.]:[FY23/34 Acq. Status]],17,FALSE)</f>
        <v>4 x 4 (2.5D)</v>
      </c>
      <c r="K53" s="2">
        <v>0</v>
      </c>
      <c r="L53" s="2">
        <v>1201331.1872</v>
      </c>
      <c r="M53" s="2">
        <v>0</v>
      </c>
    </row>
    <row r="54" spans="2:13" hidden="1" x14ac:dyDescent="0.25">
      <c r="B54" s="3" t="s">
        <v>51</v>
      </c>
      <c r="C54" s="4" t="s">
        <v>75</v>
      </c>
      <c r="D54" s="1" t="s">
        <v>21</v>
      </c>
      <c r="E54" s="1" t="str">
        <f>RIGHT(Table13[[#This Row],[PROJECT TITLE]],6)</f>
        <v>LD0335</v>
      </c>
      <c r="F54" s="10" t="s">
        <v>8</v>
      </c>
      <c r="G54" s="13" t="str">
        <f>VLOOKUP(Table13[[#This Row],[Eq No]],[1]!Table3[[Eq.No.]:[FY23/34 Acq. Status]],2,FALSE)</f>
        <v>BR Civils Services</v>
      </c>
      <c r="H54" s="12">
        <f>VLOOKUP(Table13[[#This Row],[Eq No]],[1]!Table3[[Eq.No.]:[FY23/34 Acq. Status]],3,FALSE)</f>
        <v>2014</v>
      </c>
      <c r="I54" s="13" t="str">
        <f>VLOOKUP(Table13[[#This Row],[Eq No]],[1]!Table3[[Eq.No.]:[FY23/34 Acq. Status]],12,FALSE)</f>
        <v>2.5D 4x2</v>
      </c>
      <c r="J54" s="13" t="str">
        <f>VLOOKUP(Table13[[#This Row],[Eq No]],[1]!Table3[[Eq.No.]:[FY23/34 Acq. Status]],17,FALSE)</f>
        <v>4 x 4 (2.5D)</v>
      </c>
      <c r="K54" s="2">
        <v>0</v>
      </c>
      <c r="L54" s="2">
        <v>1201331.1872</v>
      </c>
      <c r="M54" s="2">
        <v>0</v>
      </c>
    </row>
    <row r="55" spans="2:13" hidden="1" x14ac:dyDescent="0.25">
      <c r="B55" s="3" t="s">
        <v>51</v>
      </c>
      <c r="C55" s="4" t="s">
        <v>76</v>
      </c>
      <c r="D55" s="1" t="s">
        <v>21</v>
      </c>
      <c r="E55" s="1" t="str">
        <f>RIGHT(Table13[[#This Row],[PROJECT TITLE]],6)</f>
        <v>LD0336</v>
      </c>
      <c r="F55" s="10" t="s">
        <v>8</v>
      </c>
      <c r="G55" s="13" t="str">
        <f>VLOOKUP(Table13[[#This Row],[Eq No]],[1]!Table3[[Eq.No.]:[FY23/34 Acq. Status]],2,FALSE)</f>
        <v>BR Civils Services</v>
      </c>
      <c r="H55" s="12">
        <f>VLOOKUP(Table13[[#This Row],[Eq No]],[1]!Table3[[Eq.No.]:[FY23/34 Acq. Status]],3,FALSE)</f>
        <v>2014</v>
      </c>
      <c r="I55" s="13" t="str">
        <f>VLOOKUP(Table13[[#This Row],[Eq No]],[1]!Table3[[Eq.No.]:[FY23/34 Acq. Status]],12,FALSE)</f>
        <v>2.5D 4x2</v>
      </c>
      <c r="J55" s="13" t="str">
        <f>VLOOKUP(Table13[[#This Row],[Eq No]],[1]!Table3[[Eq.No.]:[FY23/34 Acq. Status]],17,FALSE)</f>
        <v>4 x 4 (2.5D)</v>
      </c>
      <c r="K55" s="2">
        <v>0</v>
      </c>
      <c r="L55" s="2">
        <v>1201331.1872</v>
      </c>
      <c r="M55" s="2">
        <v>0</v>
      </c>
    </row>
    <row r="56" spans="2:13" hidden="1" x14ac:dyDescent="0.25">
      <c r="B56" s="3" t="s">
        <v>51</v>
      </c>
      <c r="C56" s="4" t="s">
        <v>77</v>
      </c>
      <c r="D56" s="1" t="s">
        <v>21</v>
      </c>
      <c r="E56" s="1" t="str">
        <f>RIGHT(Table13[[#This Row],[PROJECT TITLE]],6)</f>
        <v>LD0337</v>
      </c>
      <c r="F56" s="10" t="s">
        <v>8</v>
      </c>
      <c r="G56" s="13" t="str">
        <f>VLOOKUP(Table13[[#This Row],[Eq No]],[1]!Table3[[Eq.No.]:[FY23/34 Acq. Status]],2,FALSE)</f>
        <v>BR Civils Services</v>
      </c>
      <c r="H56" s="12">
        <f>VLOOKUP(Table13[[#This Row],[Eq No]],[1]!Table3[[Eq.No.]:[FY23/34 Acq. Status]],3,FALSE)</f>
        <v>2014</v>
      </c>
      <c r="I56" s="13" t="str">
        <f>VLOOKUP(Table13[[#This Row],[Eq No]],[1]!Table3[[Eq.No.]:[FY23/34 Acq. Status]],12,FALSE)</f>
        <v>2.5D 4x2</v>
      </c>
      <c r="J56" s="13" t="str">
        <f>VLOOKUP(Table13[[#This Row],[Eq No]],[1]!Table3[[Eq.No.]:[FY23/34 Acq. Status]],17,FALSE)</f>
        <v>4 x 2 (2.5D)</v>
      </c>
      <c r="K56" s="2">
        <v>0</v>
      </c>
      <c r="L56" s="2">
        <v>1167311.3472</v>
      </c>
      <c r="M56" s="2">
        <v>0</v>
      </c>
    </row>
    <row r="57" spans="2:13" hidden="1" x14ac:dyDescent="0.25">
      <c r="B57" s="3" t="s">
        <v>51</v>
      </c>
      <c r="C57" s="4" t="s">
        <v>78</v>
      </c>
      <c r="D57" s="1" t="s">
        <v>21</v>
      </c>
      <c r="E57" s="1" t="str">
        <f>RIGHT(Table13[[#This Row],[PROJECT TITLE]],6)</f>
        <v>LD0338</v>
      </c>
      <c r="F57" s="10" t="s">
        <v>8</v>
      </c>
      <c r="G57" s="13" t="str">
        <f>VLOOKUP(Table13[[#This Row],[Eq No]],[1]!Table3[[Eq.No.]:[FY23/34 Acq. Status]],2,FALSE)</f>
        <v>BR Elect Services</v>
      </c>
      <c r="H57" s="12">
        <f>VLOOKUP(Table13[[#This Row],[Eq No]],[1]!Table3[[Eq.No.]:[FY23/34 Acq. Status]],3,FALSE)</f>
        <v>2014</v>
      </c>
      <c r="I57" s="13" t="str">
        <f>VLOOKUP(Table13[[#This Row],[Eq No]],[1]!Table3[[Eq.No.]:[FY23/34 Acq. Status]],12,FALSE)</f>
        <v>2.5D 4x2</v>
      </c>
      <c r="J57" s="13" t="str">
        <f>VLOOKUP(Table13[[#This Row],[Eq No]],[1]!Table3[[Eq.No.]:[FY23/34 Acq. Status]],17,FALSE)</f>
        <v>4 x 2 (2.5D)</v>
      </c>
      <c r="K57" s="2">
        <v>0</v>
      </c>
      <c r="L57" s="2">
        <v>1167311.3472</v>
      </c>
      <c r="M57" s="2">
        <v>0</v>
      </c>
    </row>
    <row r="58" spans="2:13" hidden="1" x14ac:dyDescent="0.25">
      <c r="B58" s="3" t="s">
        <v>51</v>
      </c>
      <c r="C58" s="4" t="s">
        <v>79</v>
      </c>
      <c r="D58" s="1" t="s">
        <v>21</v>
      </c>
      <c r="E58" s="1" t="str">
        <f>RIGHT(Table13[[#This Row],[PROJECT TITLE]],6)</f>
        <v>LD0339</v>
      </c>
      <c r="F58" s="10" t="s">
        <v>8</v>
      </c>
      <c r="G58" s="13">
        <f>VLOOKUP(Table13[[#This Row],[Eq No]],[1]!Table3[[Eq.No.]:[FY23/34 Acq. Status]],2,FALSE)</f>
        <v>0</v>
      </c>
      <c r="H58" s="12">
        <f>VLOOKUP(Table13[[#This Row],[Eq No]],[1]!Table3[[Eq.No.]:[FY23/34 Acq. Status]],3,FALSE)</f>
        <v>2014</v>
      </c>
      <c r="I58" s="13" t="str">
        <f>VLOOKUP(Table13[[#This Row],[Eq No]],[1]!Table3[[Eq.No.]:[FY23/34 Acq. Status]],12,FALSE)</f>
        <v>2.5D 4x4</v>
      </c>
      <c r="J58" s="13" t="str">
        <f>VLOOKUP(Table13[[#This Row],[Eq No]],[1]!Table3[[Eq.No.]:[FY23/34 Acq. Status]],17,FALSE)</f>
        <v>4 x 4 (2.5D)</v>
      </c>
      <c r="K58" s="2">
        <v>0</v>
      </c>
      <c r="L58" s="2">
        <v>1201331.1872</v>
      </c>
      <c r="M58" s="2">
        <v>0</v>
      </c>
    </row>
    <row r="59" spans="2:13" hidden="1" x14ac:dyDescent="0.25">
      <c r="B59" s="3" t="s">
        <v>51</v>
      </c>
      <c r="C59" s="4" t="s">
        <v>80</v>
      </c>
      <c r="D59" s="1" t="s">
        <v>21</v>
      </c>
      <c r="E59" s="1" t="str">
        <f>RIGHT(Table13[[#This Row],[PROJECT TITLE]],6)</f>
        <v>LD0340</v>
      </c>
      <c r="F59" s="10" t="s">
        <v>8</v>
      </c>
      <c r="G59" s="13">
        <f>VLOOKUP(Table13[[#This Row],[Eq No]],[1]!Table3[[Eq.No.]:[FY23/34 Acq. Status]],2,FALSE)</f>
        <v>0</v>
      </c>
      <c r="H59" s="12">
        <f>VLOOKUP(Table13[[#This Row],[Eq No]],[1]!Table3[[Eq.No.]:[FY23/34 Acq. Status]],3,FALSE)</f>
        <v>2014</v>
      </c>
      <c r="I59" s="13" t="str">
        <f>VLOOKUP(Table13[[#This Row],[Eq No]],[1]!Table3[[Eq.No.]:[FY23/34 Acq. Status]],12,FALSE)</f>
        <v>2.5D 4x4</v>
      </c>
      <c r="J59" s="13" t="str">
        <f>VLOOKUP(Table13[[#This Row],[Eq No]],[1]!Table3[[Eq.No.]:[FY23/34 Acq. Status]],17,FALSE)</f>
        <v>4 x 4 (2.5D)</v>
      </c>
      <c r="K59" s="2">
        <v>0</v>
      </c>
      <c r="L59" s="2">
        <v>1201331.1872</v>
      </c>
      <c r="M59" s="2">
        <v>0</v>
      </c>
    </row>
    <row r="60" spans="2:13" hidden="1" x14ac:dyDescent="0.25">
      <c r="B60" s="3" t="s">
        <v>51</v>
      </c>
      <c r="C60" s="4" t="s">
        <v>81</v>
      </c>
      <c r="D60" s="1" t="s">
        <v>21</v>
      </c>
      <c r="E60" s="1" t="str">
        <f>RIGHT(Table13[[#This Row],[PROJECT TITLE]],6)</f>
        <v>LD0364</v>
      </c>
      <c r="F60" s="10" t="s">
        <v>8</v>
      </c>
      <c r="G60" s="13" t="str">
        <f>VLOOKUP(Table13[[#This Row],[Eq No]],[1]!Table3[[Eq.No.]:[FY23/34 Acq. Status]],2,FALSE)</f>
        <v>BR Projects</v>
      </c>
      <c r="H60" s="12">
        <f>VLOOKUP(Table13[[#This Row],[Eq No]],[1]!Table3[[Eq.No.]:[FY23/34 Acq. Status]],3,FALSE)</f>
        <v>2014</v>
      </c>
      <c r="I60" s="13" t="str">
        <f>VLOOKUP(Table13[[#This Row],[Eq No]],[1]!Table3[[Eq.No.]:[FY23/34 Acq. Status]],12,FALSE)</f>
        <v>2.5D 4x2</v>
      </c>
      <c r="J60" s="13" t="str">
        <f>VLOOKUP(Table13[[#This Row],[Eq No]],[1]!Table3[[Eq.No.]:[FY23/34 Acq. Status]],17,FALSE)</f>
        <v>4 x 4 (2.5D)</v>
      </c>
      <c r="K60" s="2">
        <v>0</v>
      </c>
      <c r="L60" s="2">
        <v>0</v>
      </c>
      <c r="M60" s="2">
        <v>1239840.3537999999</v>
      </c>
    </row>
    <row r="61" spans="2:13" hidden="1" x14ac:dyDescent="0.25">
      <c r="B61" s="3" t="s">
        <v>51</v>
      </c>
      <c r="C61" s="4" t="s">
        <v>82</v>
      </c>
      <c r="D61" s="1" t="s">
        <v>21</v>
      </c>
      <c r="E61" s="1" t="str">
        <f>RIGHT(Table13[[#This Row],[PROJECT TITLE]],6)</f>
        <v>LD0374</v>
      </c>
      <c r="F61" s="10" t="s">
        <v>8</v>
      </c>
      <c r="G61" s="13" t="str">
        <f>VLOOKUP(Table13[[#This Row],[Eq No]],[1]!Table3[[Eq.No.]:[FY23/34 Acq. Status]],2,FALSE)</f>
        <v>Proto</v>
      </c>
      <c r="H61" s="12">
        <f>VLOOKUP(Table13[[#This Row],[Eq No]],[1]!Table3[[Eq.No.]:[FY23/34 Acq. Status]],3,FALSE)</f>
        <v>2015</v>
      </c>
      <c r="I61" s="13" t="str">
        <f>VLOOKUP(Table13[[#This Row],[Eq No]],[1]!Table3[[Eq.No.]:[FY23/34 Acq. Status]],12,FALSE)</f>
        <v>Land Cruiser 70 4.2D V8</v>
      </c>
      <c r="J61" s="13" t="str">
        <f>VLOOKUP(Table13[[#This Row],[Eq No]],[1]!Table3[[Eq.No.]:[FY23/34 Acq. Status]],17,FALSE)</f>
        <v>L/C, 4x4, 4.2D</v>
      </c>
      <c r="K61" s="2">
        <v>0</v>
      </c>
      <c r="L61" s="2">
        <v>0</v>
      </c>
      <c r="M61" s="2">
        <v>1633230.1538</v>
      </c>
    </row>
    <row r="62" spans="2:13" hidden="1" x14ac:dyDescent="0.25">
      <c r="B62" s="3" t="s">
        <v>51</v>
      </c>
      <c r="C62" s="4" t="s">
        <v>83</v>
      </c>
      <c r="D62" s="1" t="s">
        <v>21</v>
      </c>
      <c r="E62" s="1" t="str">
        <f>RIGHT(Table13[[#This Row],[PROJECT TITLE]],6)</f>
        <v>LD0375</v>
      </c>
      <c r="F62" s="10" t="s">
        <v>8</v>
      </c>
      <c r="G62" s="13" t="str">
        <f>VLOOKUP(Table13[[#This Row],[Eq No]],[1]!Table3[[Eq.No.]:[FY23/34 Acq. Status]],2,FALSE)</f>
        <v>Nch 3 Elect</v>
      </c>
      <c r="H62" s="12">
        <f>VLOOKUP(Table13[[#This Row],[Eq No]],[1]!Table3[[Eq.No.]:[FY23/34 Acq. Status]],3,FALSE)</f>
        <v>2015</v>
      </c>
      <c r="I62" s="13" t="str">
        <f>VLOOKUP(Table13[[#This Row],[Eq No]],[1]!Table3[[Eq.No.]:[FY23/34 Acq. Status]],12,FALSE)</f>
        <v>2.5D 4x4</v>
      </c>
      <c r="J62" s="13" t="str">
        <f>VLOOKUP(Table13[[#This Row],[Eq No]],[1]!Table3[[Eq.No.]:[FY23/34 Acq. Status]],17,FALSE)</f>
        <v>4 x 4 (2.5D)</v>
      </c>
      <c r="K62" s="2">
        <v>0</v>
      </c>
      <c r="L62" s="2">
        <v>0</v>
      </c>
      <c r="M62" s="2">
        <v>1239840.3537999999</v>
      </c>
    </row>
    <row r="63" spans="2:13" hidden="1" x14ac:dyDescent="0.25">
      <c r="B63" s="3" t="s">
        <v>51</v>
      </c>
      <c r="C63" s="4" t="s">
        <v>84</v>
      </c>
      <c r="D63" s="1" t="s">
        <v>21</v>
      </c>
      <c r="E63" s="1" t="str">
        <f>RIGHT(Table13[[#This Row],[PROJECT TITLE]],6)</f>
        <v>LD0462</v>
      </c>
      <c r="F63" s="10" t="s">
        <v>8</v>
      </c>
      <c r="G63" s="13" t="str">
        <f>VLOOKUP(Table13[[#This Row],[Eq No]],[1]!Table3[[Eq.No.]:[FY23/34 Acq. Status]],2,FALSE)</f>
        <v>BR HOD</v>
      </c>
      <c r="H63" s="12">
        <f>VLOOKUP(Table13[[#This Row],[Eq No]],[1]!Table3[[Eq.No.]:[FY23/34 Acq. Status]],3,FALSE)</f>
        <v>2016</v>
      </c>
      <c r="I63" s="13" t="str">
        <f>VLOOKUP(Table13[[#This Row],[Eq No]],[1]!Table3[[Eq.No.]:[FY23/34 Acq. Status]],12,FALSE)</f>
        <v>2.8 GD6 D/C RAI 4x2</v>
      </c>
      <c r="J63" s="13" t="str">
        <f>VLOOKUP(Table13[[#This Row],[Eq No]],[1]!Table3[[Eq.No.]:[FY23/34 Acq. Status]],17,FALSE)</f>
        <v>4x4 DC 2.8GD-6</v>
      </c>
      <c r="K63" s="2">
        <v>0</v>
      </c>
      <c r="L63" s="2">
        <v>0</v>
      </c>
      <c r="M63" s="2">
        <v>1239840.3537999999</v>
      </c>
    </row>
    <row r="64" spans="2:13" hidden="1" x14ac:dyDescent="0.25">
      <c r="B64" s="3" t="s">
        <v>51</v>
      </c>
      <c r="C64" s="4" t="s">
        <v>85</v>
      </c>
      <c r="D64" s="1" t="s">
        <v>21</v>
      </c>
      <c r="E64" s="1" t="str">
        <f>RIGHT(Table13[[#This Row],[PROJECT TITLE]],6)</f>
        <v>LD0464</v>
      </c>
      <c r="F64" s="10" t="s">
        <v>8</v>
      </c>
      <c r="G64" s="13" t="str">
        <f>VLOOKUP(Table13[[#This Row],[Eq No]],[1]!Table3[[Eq.No.]:[FY23/34 Acq. Status]],2,FALSE)</f>
        <v>Training Centre</v>
      </c>
      <c r="H64" s="12">
        <f>VLOOKUP(Table13[[#This Row],[Eq No]],[1]!Table3[[Eq.No.]:[FY23/34 Acq. Status]],3,FALSE)</f>
        <v>2017</v>
      </c>
      <c r="I64" s="13" t="str">
        <f>VLOOKUP(Table13[[#This Row],[Eq No]],[1]!Table3[[Eq.No.]:[FY23/34 Acq. Status]],12,FALSE)</f>
        <v xml:space="preserve">2.4 GD6 D/C 4x4 SRX </v>
      </c>
      <c r="J64" s="13" t="str">
        <f>VLOOKUP(Table13[[#This Row],[Eq No]],[1]!Table3[[Eq.No.]:[FY23/34 Acq. Status]],17,FALSE)</f>
        <v>L/Cruiser 4x4 (Converted to UG Spec)</v>
      </c>
      <c r="K64" s="2">
        <v>0</v>
      </c>
      <c r="L64" s="2">
        <v>0</v>
      </c>
      <c r="M64" s="2">
        <v>3760306.4600920002</v>
      </c>
    </row>
    <row r="65" spans="2:13" hidden="1" x14ac:dyDescent="0.25">
      <c r="B65" s="3" t="s">
        <v>51</v>
      </c>
      <c r="C65" s="4" t="s">
        <v>86</v>
      </c>
      <c r="D65" s="1" t="s">
        <v>21</v>
      </c>
      <c r="E65" s="1" t="str">
        <f>RIGHT(Table13[[#This Row],[PROJECT TITLE]],6)</f>
        <v>LD0472</v>
      </c>
      <c r="F65" s="10" t="s">
        <v>8</v>
      </c>
      <c r="G65" s="13" t="str">
        <f>VLOOKUP(Table13[[#This Row],[Eq No]],[1]!Table3[[Eq.No.]:[FY23/34 Acq. Status]],2,FALSE)</f>
        <v>Security</v>
      </c>
      <c r="H65" s="12">
        <f>VLOOKUP(Table13[[#This Row],[Eq No]],[1]!Table3[[Eq.No.]:[FY23/34 Acq. Status]],3,FALSE)</f>
        <v>2017</v>
      </c>
      <c r="I65" s="13" t="str">
        <f>VLOOKUP(Table13[[#This Row],[Eq No]],[1]!Table3[[Eq.No.]:[FY23/34 Acq. Status]],12,FALSE)</f>
        <v>2.4, GD6, D/C</v>
      </c>
      <c r="J65" s="13" t="str">
        <f>VLOOKUP(Table13[[#This Row],[Eq No]],[1]!Table3[[Eq.No.]:[FY23/34 Acq. Status]],17,FALSE)</f>
        <v>Hilux D/C 2.4GD6 4x4 RAI MT</v>
      </c>
      <c r="K65" s="2">
        <v>0</v>
      </c>
      <c r="L65" s="2">
        <v>0</v>
      </c>
      <c r="M65" s="2">
        <v>1130228.1164000002</v>
      </c>
    </row>
    <row r="66" spans="2:13" hidden="1" x14ac:dyDescent="0.25">
      <c r="B66" s="3" t="s">
        <v>51</v>
      </c>
      <c r="C66" s="4" t="s">
        <v>87</v>
      </c>
      <c r="D66" s="1" t="s">
        <v>21</v>
      </c>
      <c r="E66" s="1" t="str">
        <f>RIGHT(Table13[[#This Row],[PROJECT TITLE]],6)</f>
        <v>LD0473</v>
      </c>
      <c r="F66" s="10" t="s">
        <v>8</v>
      </c>
      <c r="G66" s="13" t="str">
        <f>VLOOKUP(Table13[[#This Row],[Eq No]],[1]!Table3[[Eq.No.]:[FY23/34 Acq. Status]],2,FALSE)</f>
        <v>Instrumentation</v>
      </c>
      <c r="H66" s="12">
        <f>VLOOKUP(Table13[[#This Row],[Eq No]],[1]!Table3[[Eq.No.]:[FY23/34 Acq. Status]],3,FALSE)</f>
        <v>2018</v>
      </c>
      <c r="I66" s="13" t="str">
        <f>VLOOKUP(Table13[[#This Row],[Eq No]],[1]!Table3[[Eq.No.]:[FY23/34 Acq. Status]],12,FALSE)</f>
        <v>2.4 GD6 S/C SRX 4x4</v>
      </c>
      <c r="J66" s="13" t="str">
        <f>VLOOKUP(Table13[[#This Row],[Eq No]],[1]!Table3[[Eq.No.]:[FY23/34 Acq. Status]],17,FALSE)</f>
        <v>2.4, GD6, S/C</v>
      </c>
      <c r="K66" s="2">
        <v>0</v>
      </c>
      <c r="L66" s="2">
        <v>0</v>
      </c>
      <c r="M66" s="2">
        <v>1204729.9938000001</v>
      </c>
    </row>
    <row r="67" spans="2:13" hidden="1" x14ac:dyDescent="0.25">
      <c r="B67" s="3" t="s">
        <v>51</v>
      </c>
      <c r="C67" s="4" t="s">
        <v>88</v>
      </c>
      <c r="D67" s="1" t="s">
        <v>21</v>
      </c>
      <c r="E67" s="1" t="str">
        <f>RIGHT(Table13[[#This Row],[PROJECT TITLE]],6)</f>
        <v>LD0474</v>
      </c>
      <c r="F67" s="10" t="s">
        <v>8</v>
      </c>
      <c r="G67" s="13" t="str">
        <f>VLOOKUP(Table13[[#This Row],[Eq No]],[1]!Table3[[Eq.No.]:[FY23/34 Acq. Status]],2,FALSE)</f>
        <v>Instrumentation</v>
      </c>
      <c r="H67" s="12">
        <f>VLOOKUP(Table13[[#This Row],[Eq No]],[1]!Table3[[Eq.No.]:[FY23/34 Acq. Status]],3,FALSE)</f>
        <v>2018</v>
      </c>
      <c r="I67" s="13" t="str">
        <f>VLOOKUP(Table13[[#This Row],[Eq No]],[1]!Table3[[Eq.No.]:[FY23/34 Acq. Status]],12,FALSE)</f>
        <v>2.4 GD6 S/C SRX 4x4</v>
      </c>
      <c r="J67" s="13" t="str">
        <f>VLOOKUP(Table13[[#This Row],[Eq No]],[1]!Table3[[Eq.No.]:[FY23/34 Acq. Status]],17,FALSE)</f>
        <v>2.4, GD6, S/C</v>
      </c>
      <c r="K67" s="2">
        <v>0</v>
      </c>
      <c r="L67" s="2">
        <v>0</v>
      </c>
      <c r="M67" s="2">
        <v>1204729.9938000001</v>
      </c>
    </row>
    <row r="68" spans="2:13" hidden="1" x14ac:dyDescent="0.25">
      <c r="B68" s="3" t="s">
        <v>51</v>
      </c>
      <c r="C68" s="4" t="s">
        <v>89</v>
      </c>
      <c r="D68" s="1" t="s">
        <v>21</v>
      </c>
      <c r="E68" s="1" t="str">
        <f>RIGHT(Table13[[#This Row],[PROJECT TITLE]],6)</f>
        <v>LD0487</v>
      </c>
      <c r="F68" s="10" t="s">
        <v>8</v>
      </c>
      <c r="G68" s="13">
        <f>VLOOKUP(Table13[[#This Row],[Eq No]],[1]!Table3[[Eq.No.]:[FY23/34 Acq. Status]],2,FALSE)</f>
        <v>0</v>
      </c>
      <c r="H68" s="12">
        <f>VLOOKUP(Table13[[#This Row],[Eq No]],[1]!Table3[[Eq.No.]:[FY23/34 Acq. Status]],3,FALSE)</f>
        <v>2018</v>
      </c>
      <c r="I68" s="13" t="str">
        <f>VLOOKUP(Table13[[#This Row],[Eq No]],[1]!Table3[[Eq.No.]:[FY23/34 Acq. Status]],12,FALSE)</f>
        <v>2.4GD6 D/C 4x4 SRX 6AT</v>
      </c>
      <c r="J68" s="13" t="str">
        <f>VLOOKUP(Table13[[#This Row],[Eq No]],[1]!Table3[[Eq.No.]:[FY23/34 Acq. Status]],17,FALSE)</f>
        <v>Hilux D/C 2.4GD6 4x4 RAI MT</v>
      </c>
      <c r="K68" s="2">
        <v>0</v>
      </c>
      <c r="L68" s="2">
        <v>0</v>
      </c>
      <c r="M68" s="2">
        <v>1130228.1164000002</v>
      </c>
    </row>
    <row r="69" spans="2:13" hidden="1" x14ac:dyDescent="0.25">
      <c r="B69" s="3" t="s">
        <v>51</v>
      </c>
      <c r="C69" s="4" t="s">
        <v>90</v>
      </c>
      <c r="D69" s="1" t="s">
        <v>21</v>
      </c>
      <c r="E69" s="1" t="str">
        <f>RIGHT(Table13[[#This Row],[PROJECT TITLE]],6)</f>
        <v>LD0488</v>
      </c>
      <c r="F69" s="10" t="s">
        <v>8</v>
      </c>
      <c r="G69" s="13" t="str">
        <f>VLOOKUP(Table13[[#This Row],[Eq No]],[1]!Table3[[Eq.No.]:[FY23/34 Acq. Status]],2,FALSE)</f>
        <v xml:space="preserve">BR Services </v>
      </c>
      <c r="H69" s="12">
        <f>VLOOKUP(Table13[[#This Row],[Eq No]],[1]!Table3[[Eq.No.]:[FY23/34 Acq. Status]],3,FALSE)</f>
        <v>2018</v>
      </c>
      <c r="I69" s="13" t="str">
        <f>VLOOKUP(Table13[[#This Row],[Eq No]],[1]!Table3[[Eq.No.]:[FY23/34 Acq. Status]],12,FALSE)</f>
        <v>2.4GD6 D/C 4x4 SRX 6MT</v>
      </c>
      <c r="J69" s="13" t="str">
        <f>VLOOKUP(Table13[[#This Row],[Eq No]],[1]!Table3[[Eq.No.]:[FY23/34 Acq. Status]],17,FALSE)</f>
        <v>Hilux D/C 2.4GD6 4x4 RAI MT</v>
      </c>
      <c r="K69" s="2">
        <v>0</v>
      </c>
      <c r="L69" s="2">
        <v>0</v>
      </c>
      <c r="M69" s="2">
        <v>1130228.1164000002</v>
      </c>
    </row>
    <row r="70" spans="2:13" hidden="1" x14ac:dyDescent="0.25">
      <c r="B70" s="3" t="s">
        <v>51</v>
      </c>
      <c r="C70" s="4" t="s">
        <v>91</v>
      </c>
      <c r="D70" s="1" t="s">
        <v>92</v>
      </c>
      <c r="E70" s="1" t="str">
        <f>RIGHT(Table13[[#This Row],[PROJECT TITLE]],6)</f>
        <v>TK0060</v>
      </c>
      <c r="F70" s="10" t="s">
        <v>8</v>
      </c>
      <c r="G70" s="13" t="str">
        <f>VLOOKUP(Table13[[#This Row],[Eq No]],[1]!Table3[[Eq.No.]:[FY23/34 Acq. Status]],2,FALSE)</f>
        <v>Fire House - Fire Truck</v>
      </c>
      <c r="H70" s="12">
        <f>VLOOKUP(Table13[[#This Row],[Eq No]],[1]!Table3[[Eq.No.]:[FY23/34 Acq. Status]],3,FALSE)</f>
        <v>2011</v>
      </c>
      <c r="I70" s="13" t="str">
        <f>VLOOKUP(Table13[[#This Row],[Eq No]],[1]!Table3[[Eq.No.]:[FY23/34 Acq. Status]],12,FALSE)</f>
        <v>Equipment Not found on Asset List</v>
      </c>
      <c r="J70" s="13" t="str">
        <f>VLOOKUP(Table13[[#This Row],[Eq No]],[1]!Table3[[Eq.No.]:[FY23/34 Acq. Status]],17,FALSE)</f>
        <v>Mobile Fire Truck P340</v>
      </c>
      <c r="K70" s="2">
        <v>0</v>
      </c>
      <c r="L70" s="2">
        <v>7440121.0574438404</v>
      </c>
      <c r="M70" s="2">
        <v>0</v>
      </c>
    </row>
    <row r="71" spans="2:13" hidden="1" x14ac:dyDescent="0.25">
      <c r="B71" s="3" t="s">
        <v>51</v>
      </c>
      <c r="C71" s="4" t="s">
        <v>93</v>
      </c>
      <c r="D71" s="1" t="s">
        <v>92</v>
      </c>
      <c r="E71" s="1" t="str">
        <f>RIGHT(Table13[[#This Row],[PROJECT TITLE]],6)</f>
        <v>TK0071</v>
      </c>
      <c r="F71" s="10" t="s">
        <v>8</v>
      </c>
      <c r="G71" s="13" t="str">
        <f>VLOOKUP(Table13[[#This Row],[Eq No]],[1]!Table3[[Eq.No.]:[FY23/34 Acq. Status]],2,FALSE)</f>
        <v>BR Services Fitter/Bolier</v>
      </c>
      <c r="H71" s="12">
        <f>VLOOKUP(Table13[[#This Row],[Eq No]],[1]!Table3[[Eq.No.]:[FY23/34 Acq. Status]],3,FALSE)</f>
        <v>2011</v>
      </c>
      <c r="I71" s="13" t="str">
        <f>VLOOKUP(Table13[[#This Row],[Eq No]],[1]!Table3[[Eq.No.]:[FY23/34 Acq. Status]],12,FALSE)</f>
        <v>Hino Super F</v>
      </c>
      <c r="J71" s="13" t="str">
        <f>VLOOKUP(Table13[[#This Row],[Eq No]],[1]!Table3[[Eq.No.]:[FY23/34 Acq. Status]],17,FALSE)</f>
        <v>Hino500,1324Tipper</v>
      </c>
      <c r="K71" s="2">
        <v>0</v>
      </c>
      <c r="L71" s="2">
        <v>2126185.3695999999</v>
      </c>
      <c r="M71" s="2">
        <v>0</v>
      </c>
    </row>
    <row r="72" spans="2:13" hidden="1" x14ac:dyDescent="0.25">
      <c r="B72" s="3" t="s">
        <v>51</v>
      </c>
      <c r="C72" s="4" t="s">
        <v>94</v>
      </c>
      <c r="D72" s="1" t="s">
        <v>95</v>
      </c>
      <c r="E72" s="1" t="str">
        <f>RIGHT(Table13[[#This Row],[PROJECT TITLE]],6)</f>
        <v>UV0011</v>
      </c>
      <c r="F72" s="10" t="s">
        <v>8</v>
      </c>
      <c r="G72" s="13" t="str">
        <f>VLOOKUP(Table13[[#This Row],[Eq No]],[1]!Table3[[Eq.No.]:[FY23/34 Acq. Status]],2,FALSE)</f>
        <v>Proto</v>
      </c>
      <c r="H72" s="12">
        <f>VLOOKUP(Table13[[#This Row],[Eq No]],[1]!Table3[[Eq.No.]:[FY23/34 Acq. Status]],3,FALSE)</f>
        <v>2001</v>
      </c>
      <c r="I72" s="13" t="str">
        <f>VLOOKUP(Table13[[#This Row],[Eq No]],[1]!Table3[[Eq.No.]:[FY23/34 Acq. Status]],12,FALSE)</f>
        <v>Land Cruiser 70 4.2D</v>
      </c>
      <c r="J72" s="13" t="str">
        <f>VLOOKUP(Table13[[#This Row],[Eq No]],[1]!Table3[[Eq.No.]:[FY23/34 Acq. Status]],17,FALSE)</f>
        <v>L/C, 4x4, 4.2D</v>
      </c>
      <c r="K72" s="2">
        <v>0</v>
      </c>
      <c r="L72" s="2">
        <v>0</v>
      </c>
      <c r="M72" s="2">
        <v>1633230.1538</v>
      </c>
    </row>
    <row r="73" spans="2:13" hidden="1" x14ac:dyDescent="0.25">
      <c r="B73" s="3" t="s">
        <v>51</v>
      </c>
      <c r="C73" s="4" t="s">
        <v>96</v>
      </c>
      <c r="D73" s="1" t="s">
        <v>97</v>
      </c>
      <c r="E73" s="1" t="str">
        <f>RIGHT(Table13[[#This Row],[PROJECT TITLE]],6)</f>
        <v>GD0008</v>
      </c>
      <c r="F73" s="10" t="s">
        <v>43</v>
      </c>
      <c r="G73" s="13" t="str">
        <f>VLOOKUP(Table13[[#This Row],[Eq No]],[1]!Table3[[Eq.No.]:[FY23/34 Acq. Status]],2,FALSE)</f>
        <v>Gloria U/G</v>
      </c>
      <c r="H73" s="12">
        <f>VLOOKUP(Table13[[#This Row],[Eq No]],[1]!Table3[[Eq.No.]:[FY23/34 Acq. Status]],3,FALSE)</f>
        <v>2016</v>
      </c>
      <c r="I73" s="13" t="str">
        <f>VLOOKUP(Table13[[#This Row],[Eq No]],[1]!Table3[[Eq.No.]:[FY23/34 Acq. Status]],12,FALSE)</f>
        <v>120G</v>
      </c>
      <c r="J73" s="13" t="str">
        <f>VLOOKUP(Table13[[#This Row],[Eq No]],[1]!Table3[[Eq.No.]:[FY23/34 Acq. Status]],17,FALSE)</f>
        <v>120G</v>
      </c>
      <c r="K73" s="2">
        <v>0</v>
      </c>
      <c r="L73" s="2">
        <v>6404325.3673113603</v>
      </c>
      <c r="M73" s="2">
        <v>0</v>
      </c>
    </row>
    <row r="74" spans="2:13" hidden="1" x14ac:dyDescent="0.25">
      <c r="B74" s="3" t="s">
        <v>51</v>
      </c>
      <c r="C74" s="4" t="s">
        <v>98</v>
      </c>
      <c r="D74" s="1" t="s">
        <v>21</v>
      </c>
      <c r="E74" s="1" t="str">
        <f>RIGHT(Table13[[#This Row],[PROJECT TITLE]],6)</f>
        <v>LD0226</v>
      </c>
      <c r="F74" s="10" t="s">
        <v>43</v>
      </c>
      <c r="G74" s="13" t="str">
        <f>VLOOKUP(Table13[[#This Row],[Eq No]],[1]!Table3[[Eq.No.]:[FY23/34 Acq. Status]],2,FALSE)</f>
        <v>Stretcher carrier</v>
      </c>
      <c r="H74" s="12">
        <f>VLOOKUP(Table13[[#This Row],[Eq No]],[1]!Table3[[Eq.No.]:[FY23/34 Acq. Status]],3,FALSE)</f>
        <v>2009</v>
      </c>
      <c r="I74" s="13" t="str">
        <f>VLOOKUP(Table13[[#This Row],[Eq No]],[1]!Table3[[Eq.No.]:[FY23/34 Acq. Status]],12,FALSE)</f>
        <v>LDV, TOYOTA Stretcher carrier</v>
      </c>
      <c r="J74" s="13" t="str">
        <f>VLOOKUP(Table13[[#This Row],[Eq No]],[1]!Table3[[Eq.No.]:[FY23/34 Acq. Status]],17,FALSE)</f>
        <v>L/cruiser 4x4 (Converted to UG Spec)</v>
      </c>
      <c r="K74" s="2">
        <v>0</v>
      </c>
      <c r="L74" s="2">
        <v>3643512.1748480005</v>
      </c>
      <c r="M74" s="2">
        <v>0</v>
      </c>
    </row>
    <row r="75" spans="2:13" hidden="1" x14ac:dyDescent="0.25">
      <c r="B75" s="3" t="s">
        <v>51</v>
      </c>
      <c r="C75" s="4" t="s">
        <v>99</v>
      </c>
      <c r="D75" s="1" t="s">
        <v>21</v>
      </c>
      <c r="E75" s="1" t="str">
        <f>RIGHT(Table13[[#This Row],[PROJECT TITLE]],6)</f>
        <v>LD0287</v>
      </c>
      <c r="F75" s="10" t="s">
        <v>43</v>
      </c>
      <c r="G75" s="13" t="str">
        <f>VLOOKUP(Table13[[#This Row],[Eq No]],[1]!Table3[[Eq.No.]:[FY23/34 Acq. Status]],2,FALSE)</f>
        <v>Gloria S/Plant</v>
      </c>
      <c r="H75" s="12">
        <f>VLOOKUP(Table13[[#This Row],[Eq No]],[1]!Table3[[Eq.No.]:[FY23/34 Acq. Status]],3,FALSE)</f>
        <v>2013</v>
      </c>
      <c r="I75" s="13" t="str">
        <f>VLOOKUP(Table13[[#This Row],[Eq No]],[1]!Table3[[Eq.No.]:[FY23/34 Acq. Status]],12,FALSE)</f>
        <v>L/C, 4x4, 4.2D</v>
      </c>
      <c r="J75" s="13" t="str">
        <f>VLOOKUP(Table13[[#This Row],[Eq No]],[1]!Table3[[Eq.No.]:[FY23/34 Acq. Status]],17,FALSE)</f>
        <v>L/C, 4x4, 4.2D</v>
      </c>
      <c r="K75" s="2">
        <v>0</v>
      </c>
      <c r="L75" s="2">
        <v>0</v>
      </c>
      <c r="M75" s="2">
        <v>1633230.1538</v>
      </c>
    </row>
    <row r="76" spans="2:13" hidden="1" x14ac:dyDescent="0.25">
      <c r="B76" s="3" t="s">
        <v>51</v>
      </c>
      <c r="C76" s="4" t="s">
        <v>100</v>
      </c>
      <c r="D76" s="1" t="s">
        <v>21</v>
      </c>
      <c r="E76" s="1" t="str">
        <f>RIGHT(Table13[[#This Row],[PROJECT TITLE]],6)</f>
        <v>LD0412</v>
      </c>
      <c r="F76" s="10" t="s">
        <v>43</v>
      </c>
      <c r="G76" s="13" t="str">
        <f>VLOOKUP(Table13[[#This Row],[Eq No]],[1]!Table3[[Eq.No.]:[FY23/34 Acq. Status]],2,FALSE)</f>
        <v>Gloria U/G</v>
      </c>
      <c r="H76" s="12">
        <f>VLOOKUP(Table13[[#This Row],[Eq No]],[1]!Table3[[Eq.No.]:[FY23/34 Acq. Status]],3,FALSE)</f>
        <v>2020</v>
      </c>
      <c r="I76" s="13" t="str">
        <f>VLOOKUP(Table13[[#This Row],[Eq No]],[1]!Table3[[Eq.No.]:[FY23/34 Acq. Status]],12,FALSE)</f>
        <v>Maverick D/C</v>
      </c>
      <c r="J76" s="13" t="str">
        <f>VLOOKUP(Table13[[#This Row],[Eq No]],[1]!Table3[[Eq.No.]:[FY23/34 Acq. Status]],17,FALSE)</f>
        <v>L/Cruiser 4x4 (Converted to UG Spec)</v>
      </c>
      <c r="K76" s="2">
        <v>0</v>
      </c>
      <c r="L76" s="2">
        <v>3643512.1748480005</v>
      </c>
      <c r="M76" s="2">
        <v>0</v>
      </c>
    </row>
    <row r="77" spans="2:13" hidden="1" x14ac:dyDescent="0.25">
      <c r="B77" s="3" t="s">
        <v>51</v>
      </c>
      <c r="C77" s="4" t="s">
        <v>101</v>
      </c>
      <c r="D77" s="1" t="s">
        <v>21</v>
      </c>
      <c r="E77" s="1" t="str">
        <f>RIGHT(Table13[[#This Row],[PROJECT TITLE]],6)</f>
        <v>LD0451</v>
      </c>
      <c r="F77" s="10" t="s">
        <v>43</v>
      </c>
      <c r="G77" s="13" t="str">
        <f>VLOOKUP(Table13[[#This Row],[Eq No]],[1]!Table3[[Eq.No.]:[FY23/34 Acq. Status]],2,FALSE)</f>
        <v>Gloria U/G</v>
      </c>
      <c r="H77" s="12">
        <f>VLOOKUP(Table13[[#This Row],[Eq No]],[1]!Table3[[Eq.No.]:[FY23/34 Acq. Status]],3,FALSE)</f>
        <v>2018</v>
      </c>
      <c r="I77" s="13" t="str">
        <f>VLOOKUP(Table13[[#This Row],[Eq No]],[1]!Table3[[Eq.No.]:[FY23/34 Acq. Status]],12,FALSE)</f>
        <v>Maverick D/C</v>
      </c>
      <c r="J77" s="13" t="str">
        <f>VLOOKUP(Table13[[#This Row],[Eq No]],[1]!Table3[[Eq.No.]:[FY23/34 Acq. Status]],17,FALSE)</f>
        <v>L/Cruiser 4x4 (Converted to UG Spec)</v>
      </c>
      <c r="K77" s="2">
        <v>0</v>
      </c>
      <c r="L77" s="2">
        <v>0</v>
      </c>
      <c r="M77" s="2">
        <v>3760306.4600920002</v>
      </c>
    </row>
    <row r="78" spans="2:13" hidden="1" x14ac:dyDescent="0.25">
      <c r="B78" s="3" t="s">
        <v>51</v>
      </c>
      <c r="C78" s="4" t="s">
        <v>102</v>
      </c>
      <c r="D78" s="1" t="s">
        <v>95</v>
      </c>
      <c r="E78" s="1" t="str">
        <f>RIGHT(Table13[[#This Row],[PROJECT TITLE]],6)</f>
        <v>UV0076</v>
      </c>
      <c r="F78" s="10" t="s">
        <v>43</v>
      </c>
      <c r="G78" s="13" t="str">
        <f>VLOOKUP(Table13[[#This Row],[Eq No]],[1]!Table3[[Eq.No.]:[FY23/34 Acq. Status]],2,FALSE)</f>
        <v>Gloria U/G</v>
      </c>
      <c r="H78" s="12">
        <f>VLOOKUP(Table13[[#This Row],[Eq No]],[1]!Table3[[Eq.No.]:[FY23/34 Acq. Status]],3,FALSE)</f>
        <v>2015</v>
      </c>
      <c r="I78" s="13" t="str">
        <f>VLOOKUP(Table13[[#This Row],[Eq No]],[1]!Table3[[Eq.No.]:[FY23/34 Acq. Status]],12,FALSE)</f>
        <v>Maverick Man Lift</v>
      </c>
      <c r="J78" s="13" t="str">
        <f>VLOOKUP(Table13[[#This Row],[Eq No]],[1]!Table3[[Eq.No.]:[FY23/34 Acq. Status]],17,FALSE)</f>
        <v>L/Cruiser 4x4 (Converted to UG Spec)</v>
      </c>
      <c r="K78" s="2">
        <v>0</v>
      </c>
      <c r="L78" s="2">
        <v>0</v>
      </c>
      <c r="M78" s="2">
        <v>3760306.4600920002</v>
      </c>
    </row>
    <row r="79" spans="2:13" hidden="1" x14ac:dyDescent="0.25">
      <c r="B79" s="3" t="s">
        <v>51</v>
      </c>
      <c r="C79" s="4" t="s">
        <v>103</v>
      </c>
      <c r="D79" s="1" t="s">
        <v>95</v>
      </c>
      <c r="E79" s="1" t="str">
        <f>RIGHT(Table13[[#This Row],[PROJECT TITLE]],6)</f>
        <v>UV0083</v>
      </c>
      <c r="F79" s="10" t="s">
        <v>43</v>
      </c>
      <c r="G79" s="13" t="str">
        <f>VLOOKUP(Table13[[#This Row],[Eq No]],[1]!Table3[[Eq.No.]:[FY23/34 Acq. Status]],2,FALSE)</f>
        <v>Gloria U/G</v>
      </c>
      <c r="H79" s="12">
        <f>VLOOKUP(Table13[[#This Row],[Eq No]],[1]!Table3[[Eq.No.]:[FY23/34 Acq. Status]],3,FALSE)</f>
        <v>2016</v>
      </c>
      <c r="I79" s="13" t="str">
        <f>VLOOKUP(Table13[[#This Row],[Eq No]],[1]!Table3[[Eq.No.]:[FY23/34 Acq. Status]],12,FALSE)</f>
        <v>Casette Carrier</v>
      </c>
      <c r="J79" s="13" t="str">
        <f>VLOOKUP(Table13[[#This Row],[Eq No]],[1]!Table3[[Eq.No.]:[FY23/34 Acq. Status]],17,FALSE)</f>
        <v>Casette Carrier</v>
      </c>
      <c r="K79" s="2">
        <v>0</v>
      </c>
      <c r="L79" s="2">
        <v>6692310.9120000005</v>
      </c>
      <c r="M79" s="2">
        <v>0</v>
      </c>
    </row>
    <row r="80" spans="2:13" hidden="1" x14ac:dyDescent="0.25">
      <c r="B80" s="3" t="s">
        <v>51</v>
      </c>
      <c r="C80" s="4" t="s">
        <v>104</v>
      </c>
      <c r="D80" s="1" t="s">
        <v>95</v>
      </c>
      <c r="E80" s="1" t="str">
        <f>RIGHT(Table13[[#This Row],[PROJECT TITLE]],6)</f>
        <v>UV0089</v>
      </c>
      <c r="F80" s="10" t="s">
        <v>43</v>
      </c>
      <c r="G80" s="13" t="str">
        <f>VLOOKUP(Table13[[#This Row],[Eq No]],[1]!Table3[[Eq.No.]:[FY23/34 Acq. Status]],2,FALSE)</f>
        <v>Gloria U/G</v>
      </c>
      <c r="H80" s="12">
        <f>VLOOKUP(Table13[[#This Row],[Eq No]],[1]!Table3[[Eq.No.]:[FY23/34 Acq. Status]],3,FALSE)</f>
        <v>2017</v>
      </c>
      <c r="I80" s="13" t="str">
        <f>VLOOKUP(Table13[[#This Row],[Eq No]],[1]!Table3[[Eq.No.]:[FY23/34 Acq. Status]],12,FALSE)</f>
        <v>Maverick S/Cab</v>
      </c>
      <c r="J80" s="13" t="str">
        <f>VLOOKUP(Table13[[#This Row],[Eq No]],[1]!Table3[[Eq.No.]:[FY23/34 Acq. Status]],17,FALSE)</f>
        <v>L/Cruiser 4x4 (Converted to UG Spec)</v>
      </c>
      <c r="K80" s="2">
        <v>0</v>
      </c>
      <c r="L80" s="2">
        <v>0</v>
      </c>
      <c r="M80" s="2">
        <v>3760306.4600920002</v>
      </c>
    </row>
    <row r="81" spans="2:13" hidden="1" x14ac:dyDescent="0.25">
      <c r="B81" s="3" t="s">
        <v>51</v>
      </c>
      <c r="C81" s="4" t="s">
        <v>105</v>
      </c>
      <c r="D81" s="1" t="s">
        <v>95</v>
      </c>
      <c r="E81" s="1" t="str">
        <f>RIGHT(Table13[[#This Row],[PROJECT TITLE]],6)</f>
        <v>UV0095</v>
      </c>
      <c r="F81" s="10" t="s">
        <v>43</v>
      </c>
      <c r="G81" s="13" t="str">
        <f>VLOOKUP(Table13[[#This Row],[Eq No]],[1]!Table3[[Eq.No.]:[FY23/34 Acq. Status]],2,FALSE)</f>
        <v>Gloria U/G</v>
      </c>
      <c r="H81" s="12">
        <f>VLOOKUP(Table13[[#This Row],[Eq No]],[1]!Table3[[Eq.No.]:[FY23/34 Acq. Status]],3,FALSE)</f>
        <v>2017</v>
      </c>
      <c r="I81" s="13" t="str">
        <f>VLOOKUP(Table13[[#This Row],[Eq No]],[1]!Table3[[Eq.No.]:[FY23/34 Acq. Status]],12,FALSE)</f>
        <v>Maverick S/Cab</v>
      </c>
      <c r="J81" s="13" t="str">
        <f>VLOOKUP(Table13[[#This Row],[Eq No]],[1]!Table3[[Eq.No.]:[FY23/34 Acq. Status]],17,FALSE)</f>
        <v>L/Cruiser 4x4 (Converted to UG Spec)</v>
      </c>
      <c r="K81" s="2">
        <v>0</v>
      </c>
      <c r="L81" s="2">
        <v>3643512.1748480005</v>
      </c>
      <c r="M81" s="2">
        <v>0</v>
      </c>
    </row>
    <row r="82" spans="2:13" hidden="1" x14ac:dyDescent="0.25">
      <c r="B82" s="3" t="s">
        <v>51</v>
      </c>
      <c r="C82" s="4" t="s">
        <v>106</v>
      </c>
      <c r="D82" s="1" t="s">
        <v>95</v>
      </c>
      <c r="E82" s="1" t="str">
        <f>RIGHT(Table13[[#This Row],[PROJECT TITLE]],6)</f>
        <v>UV0097</v>
      </c>
      <c r="F82" s="10" t="s">
        <v>43</v>
      </c>
      <c r="G82" s="13" t="str">
        <f>VLOOKUP(Table13[[#This Row],[Eq No]],[1]!Table3[[Eq.No.]:[FY23/34 Acq. Status]],2,FALSE)</f>
        <v>Gloria U/G</v>
      </c>
      <c r="H82" s="12">
        <f>VLOOKUP(Table13[[#This Row],[Eq No]],[1]!Table3[[Eq.No.]:[FY23/34 Acq. Status]],3,FALSE)</f>
        <v>2017</v>
      </c>
      <c r="I82" s="13" t="str">
        <f>VLOOKUP(Table13[[#This Row],[Eq No]],[1]!Table3[[Eq.No.]:[FY23/34 Acq. Status]],12,FALSE)</f>
        <v>Maverick Man Lift</v>
      </c>
      <c r="J82" s="13" t="str">
        <f>VLOOKUP(Table13[[#This Row],[Eq No]],[1]!Table3[[Eq.No.]:[FY23/34 Acq. Status]],17,FALSE)</f>
        <v>L/Cruiser 4x4 (Converted to UG Spec)</v>
      </c>
      <c r="K82" s="2">
        <v>0</v>
      </c>
      <c r="L82" s="2">
        <v>0</v>
      </c>
      <c r="M82" s="2">
        <v>3760306.4600920002</v>
      </c>
    </row>
    <row r="83" spans="2:13" hidden="1" x14ac:dyDescent="0.25">
      <c r="B83" s="3" t="s">
        <v>51</v>
      </c>
      <c r="C83" s="4" t="s">
        <v>107</v>
      </c>
      <c r="D83" s="1" t="s">
        <v>95</v>
      </c>
      <c r="E83" s="1" t="str">
        <f>RIGHT(Table13[[#This Row],[PROJECT TITLE]],6)</f>
        <v>UV0104</v>
      </c>
      <c r="F83" s="10" t="s">
        <v>43</v>
      </c>
      <c r="G83" s="13" t="str">
        <f>VLOOKUP(Table13[[#This Row],[Eq No]],[1]!Table3[[Eq.No.]:[FY23/34 Acq. Status]],2,FALSE)</f>
        <v>Gloria U/G</v>
      </c>
      <c r="H83" s="12">
        <f>VLOOKUP(Table13[[#This Row],[Eq No]],[1]!Table3[[Eq.No.]:[FY23/34 Acq. Status]],3,FALSE)</f>
        <v>2017</v>
      </c>
      <c r="I83" s="13" t="str">
        <f>VLOOKUP(Table13[[#This Row],[Eq No]],[1]!Table3[[Eq.No.]:[FY23/34 Acq. Status]],12,FALSE)</f>
        <v>Maverick Jam pot</v>
      </c>
      <c r="J83" s="13" t="str">
        <f>VLOOKUP(Table13[[#This Row],[Eq No]],[1]!Table3[[Eq.No.]:[FY23/34 Acq. Status]],17,FALSE)</f>
        <v>L/Cruiser 4x4 (Converted to UG Spec)</v>
      </c>
      <c r="K83" s="2">
        <v>0</v>
      </c>
      <c r="L83" s="2">
        <v>0</v>
      </c>
      <c r="M83" s="2">
        <v>3760306.4600920002</v>
      </c>
    </row>
    <row r="84" spans="2:13" hidden="1" x14ac:dyDescent="0.25">
      <c r="B84" s="3" t="s">
        <v>51</v>
      </c>
      <c r="C84" s="4" t="s">
        <v>108</v>
      </c>
      <c r="D84" s="1" t="s">
        <v>15</v>
      </c>
      <c r="E84" s="1" t="str">
        <f>RIGHT(Table13[[#This Row],[PROJECT TITLE]],6)</f>
        <v>CR0102</v>
      </c>
      <c r="F84" s="10" t="s">
        <v>16</v>
      </c>
      <c r="G84" s="13" t="str">
        <f>VLOOKUP(Table13[[#This Row],[Eq No]],[1]!Table3[[Eq.No.]:[FY23/34 Acq. Status]],2,FALSE)</f>
        <v>Shafts &amp; Winders</v>
      </c>
      <c r="H84" s="12">
        <f>VLOOKUP(Table13[[#This Row],[Eq No]],[1]!Table3[[Eq.No.]:[FY23/34 Acq. Status]],3,FALSE)</f>
        <v>2015</v>
      </c>
      <c r="I84" s="13" t="str">
        <f>VLOOKUP(Table13[[#This Row],[Eq No]],[1]!Table3[[Eq.No.]:[FY23/34 Acq. Status]],12,FALSE)</f>
        <v>LTM1060-3.1-60Ton</v>
      </c>
      <c r="J84" s="13" t="str">
        <f>VLOOKUP(Table13[[#This Row],[Eq No]],[1]!Table3[[Eq.No.]:[FY23/34 Acq. Status]],17,FALSE)</f>
        <v>LTM1060-3.1-60Ton</v>
      </c>
      <c r="K84" s="2">
        <v>0</v>
      </c>
      <c r="L84" s="2">
        <v>0</v>
      </c>
      <c r="M84" s="2">
        <v>23448654.336960003</v>
      </c>
    </row>
    <row r="85" spans="2:13" hidden="1" x14ac:dyDescent="0.25">
      <c r="B85" s="3" t="s">
        <v>51</v>
      </c>
      <c r="C85" s="4" t="s">
        <v>109</v>
      </c>
      <c r="D85" s="1" t="s">
        <v>21</v>
      </c>
      <c r="E85" s="1" t="str">
        <f>RIGHT(Table13[[#This Row],[PROJECT TITLE]],6)</f>
        <v>LD0485</v>
      </c>
      <c r="F85" s="10" t="s">
        <v>16</v>
      </c>
      <c r="G85" s="13" t="str">
        <f>VLOOKUP(Table13[[#This Row],[Eq No]],[1]!Table3[[Eq.No.]:[FY23/34 Acq. Status]],2,FALSE)</f>
        <v>Shaft &amp; Winders -  CSH 607 NC - REPCAP 1718</v>
      </c>
      <c r="H85" s="12">
        <f>VLOOKUP(Table13[[#This Row],[Eq No]],[1]!Table3[[Eq.No.]:[FY23/34 Acq. Status]],3,FALSE)</f>
        <v>2018</v>
      </c>
      <c r="I85" s="13" t="str">
        <f>VLOOKUP(Table13[[#This Row],[Eq No]],[1]!Table3[[Eq.No.]:[FY23/34 Acq. Status]],12,FALSE)</f>
        <v>2.4 GD6 D/C SRX</v>
      </c>
      <c r="J85" s="13" t="str">
        <f>VLOOKUP(Table13[[#This Row],[Eq No]],[1]!Table3[[Eq.No.]:[FY23/34 Acq. Status]],17,FALSE)</f>
        <v>2.4 GD6 D/C SRX</v>
      </c>
      <c r="K85" s="2">
        <v>0</v>
      </c>
      <c r="L85" s="2">
        <v>0</v>
      </c>
      <c r="M85" s="2">
        <v>1141467.2757999999</v>
      </c>
    </row>
    <row r="86" spans="2:13" hidden="1" x14ac:dyDescent="0.25">
      <c r="B86" s="3" t="s">
        <v>51</v>
      </c>
      <c r="C86" s="4" t="s">
        <v>110</v>
      </c>
      <c r="D86" s="1" t="s">
        <v>15</v>
      </c>
      <c r="E86" s="1" t="str">
        <f>RIGHT(Table13[[#This Row],[PROJECT TITLE]],6)</f>
        <v>CR0105</v>
      </c>
      <c r="F86" s="10" t="s">
        <v>16</v>
      </c>
      <c r="G86" s="13">
        <f>VLOOKUP(Table13[[#This Row],[Eq No]],[1]!Table3[[Eq.No.]:[FY23/34 Acq. Status]],2,FALSE)</f>
        <v>0</v>
      </c>
      <c r="H86" s="12">
        <f>VLOOKUP(Table13[[#This Row],[Eq No]],[1]!Table3[[Eq.No.]:[FY23/34 Acq. Status]],3,FALSE)</f>
        <v>2015</v>
      </c>
      <c r="I86" s="13" t="str">
        <f>VLOOKUP(Table13[[#This Row],[Eq No]],[1]!Table3[[Eq.No.]:[FY23/34 Acq. Status]],12,FALSE)</f>
        <v>Crane MHT780 T Evolution</v>
      </c>
      <c r="J86" s="13" t="str">
        <f>VLOOKUP(Table13[[#This Row],[Eq No]],[1]!Table3[[Eq.No.]:[FY23/34 Acq. Status]],17,FALSE)</f>
        <v>Crane MHT780 T Evolution</v>
      </c>
      <c r="K86" s="2">
        <v>0</v>
      </c>
      <c r="L86" s="2">
        <v>13604531.5328</v>
      </c>
      <c r="M86" s="2">
        <v>0</v>
      </c>
    </row>
    <row r="87" spans="2:13" hidden="1" x14ac:dyDescent="0.25">
      <c r="B87" s="3" t="s">
        <v>51</v>
      </c>
      <c r="C87" s="4" t="s">
        <v>111</v>
      </c>
      <c r="D87" s="1" t="s">
        <v>39</v>
      </c>
      <c r="E87" s="1" t="str">
        <f>RIGHT(Table13[[#This Row],[PROJECT TITLE]],6)</f>
        <v>DT0107</v>
      </c>
      <c r="F87" s="10" t="s">
        <v>16</v>
      </c>
      <c r="G87" s="13" t="str">
        <f>VLOOKUP(Table13[[#This Row],[Eq No]],[1]!Table3[[Eq.No.]:[FY23/34 Acq. Status]],2,FALSE)</f>
        <v>NCHW II UG</v>
      </c>
      <c r="H87" s="12">
        <f>VLOOKUP(Table13[[#This Row],[Eq No]],[1]!Table3[[Eq.No.]:[FY23/34 Acq. Status]],3,FALSE)</f>
        <v>2015</v>
      </c>
      <c r="I87" s="13" t="str">
        <f>VLOOKUP(Table13[[#This Row],[Eq No]],[1]!Table3[[Eq.No.]:[FY23/34 Acq. Status]],12,FALSE)</f>
        <v>MT 436 LP</v>
      </c>
      <c r="J87" s="13" t="str">
        <f>VLOOKUP(Table13[[#This Row],[Eq No]],[1]!Table3[[Eq.No.]:[FY23/34 Acq. Status]],17,FALSE)</f>
        <v>Elphinstone AD30 LP</v>
      </c>
      <c r="K87" s="2">
        <v>0</v>
      </c>
      <c r="L87" s="2">
        <v>23276539.660799999</v>
      </c>
      <c r="M87" s="2">
        <v>0</v>
      </c>
    </row>
    <row r="88" spans="2:13" hidden="1" x14ac:dyDescent="0.25">
      <c r="B88" s="3" t="s">
        <v>51</v>
      </c>
      <c r="C88" s="4" t="s">
        <v>112</v>
      </c>
      <c r="D88" s="1" t="s">
        <v>39</v>
      </c>
      <c r="E88" s="1" t="str">
        <f>RIGHT(Table13[[#This Row],[PROJECT TITLE]],6)</f>
        <v>DT0120</v>
      </c>
      <c r="F88" s="10" t="s">
        <v>16</v>
      </c>
      <c r="G88" s="13" t="str">
        <f>VLOOKUP(Table13[[#This Row],[Eq No]],[1]!Table3[[Eq.No.]:[FY23/34 Acq. Status]],2,FALSE)</f>
        <v>NCHW II UG</v>
      </c>
      <c r="H88" s="12">
        <f>VLOOKUP(Table13[[#This Row],[Eq No]],[1]!Table3[[Eq.No.]:[FY23/34 Acq. Status]],3,FALSE)</f>
        <v>2017</v>
      </c>
      <c r="I88" s="13" t="str">
        <f>VLOOKUP(Table13[[#This Row],[Eq No]],[1]!Table3[[Eq.No.]:[FY23/34 Acq. Status]],12,FALSE)</f>
        <v>Elphinstone AD30</v>
      </c>
      <c r="J88" s="13" t="str">
        <f>VLOOKUP(Table13[[#This Row],[Eq No]],[1]!Table3[[Eq.No.]:[FY23/34 Acq. Status]],17,FALSE)</f>
        <v>Elphinstone AD30 LP</v>
      </c>
      <c r="K88" s="2">
        <v>0</v>
      </c>
      <c r="L88" s="2">
        <v>0</v>
      </c>
      <c r="M88" s="2">
        <v>24022678.738200001</v>
      </c>
    </row>
    <row r="89" spans="2:13" hidden="1" x14ac:dyDescent="0.25">
      <c r="B89" s="3" t="s">
        <v>51</v>
      </c>
      <c r="C89" s="4" t="s">
        <v>113</v>
      </c>
      <c r="D89" s="1" t="s">
        <v>39</v>
      </c>
      <c r="E89" s="1" t="str">
        <f>RIGHT(Table13[[#This Row],[PROJECT TITLE]],6)</f>
        <v>DT0121</v>
      </c>
      <c r="F89" s="10" t="s">
        <v>16</v>
      </c>
      <c r="G89" s="13" t="str">
        <f>VLOOKUP(Table13[[#This Row],[Eq No]],[1]!Table3[[Eq.No.]:[FY23/34 Acq. Status]],2,FALSE)</f>
        <v>NCHW II UG</v>
      </c>
      <c r="H89" s="12">
        <f>VLOOKUP(Table13[[#This Row],[Eq No]],[1]!Table3[[Eq.No.]:[FY23/34 Acq. Status]],3,FALSE)</f>
        <v>2017</v>
      </c>
      <c r="I89" s="13" t="str">
        <f>VLOOKUP(Table13[[#This Row],[Eq No]],[1]!Table3[[Eq.No.]:[FY23/34 Acq. Status]],12,FALSE)</f>
        <v>Elphinstone AD30 LP</v>
      </c>
      <c r="J89" s="13" t="str">
        <f>VLOOKUP(Table13[[#This Row],[Eq No]],[1]!Table3[[Eq.No.]:[FY23/34 Acq. Status]],17,FALSE)</f>
        <v>Elphinstone AD30 LP</v>
      </c>
      <c r="K89" s="2">
        <v>0</v>
      </c>
      <c r="L89" s="2">
        <v>0</v>
      </c>
      <c r="M89" s="2">
        <v>24022678.738200001</v>
      </c>
    </row>
    <row r="90" spans="2:13" hidden="1" x14ac:dyDescent="0.25">
      <c r="B90" s="3" t="s">
        <v>51</v>
      </c>
      <c r="C90" s="4" t="s">
        <v>114</v>
      </c>
      <c r="D90" s="1" t="s">
        <v>7</v>
      </c>
      <c r="E90" s="1" t="str">
        <f>RIGHT(Table13[[#This Row],[PROJECT TITLE]],6)</f>
        <v>FL0066</v>
      </c>
      <c r="F90" s="10" t="s">
        <v>16</v>
      </c>
      <c r="G90" s="13" t="str">
        <f>VLOOKUP(Table13[[#This Row],[Eq No]],[1]!Table3[[Eq.No.]:[FY23/34 Acq. Status]],2,FALSE)</f>
        <v>NCHW II UG</v>
      </c>
      <c r="H90" s="12">
        <f>VLOOKUP(Table13[[#This Row],[Eq No]],[1]!Table3[[Eq.No.]:[FY23/34 Acq. Status]],3,FALSE)</f>
        <v>2014</v>
      </c>
      <c r="I90" s="13" t="str">
        <f>VLOOKUP(Table13[[#This Row],[Eq No]],[1]!Table3[[Eq.No.]:[FY23/34 Acq. Status]],12,FALSE)</f>
        <v>ST14</v>
      </c>
      <c r="J90" s="13" t="str">
        <f>VLOOKUP(Table13[[#This Row],[Eq No]],[1]!Table3[[Eq.No.]:[FY23/34 Acq. Status]],17,FALSE)</f>
        <v>ST14</v>
      </c>
      <c r="K90" s="2">
        <v>0</v>
      </c>
      <c r="L90" s="2">
        <v>26914293.568</v>
      </c>
      <c r="M90" s="2">
        <v>0</v>
      </c>
    </row>
    <row r="91" spans="2:13" hidden="1" x14ac:dyDescent="0.25">
      <c r="B91" s="3" t="s">
        <v>51</v>
      </c>
      <c r="C91" s="4" t="s">
        <v>115</v>
      </c>
      <c r="D91" s="1" t="s">
        <v>7</v>
      </c>
      <c r="E91" s="1" t="str">
        <f>RIGHT(Table13[[#This Row],[PROJECT TITLE]],6)</f>
        <v>FL0067</v>
      </c>
      <c r="F91" s="10" t="s">
        <v>16</v>
      </c>
      <c r="G91" s="13" t="str">
        <f>VLOOKUP(Table13[[#This Row],[Eq No]],[1]!Table3[[Eq.No.]:[FY23/34 Acq. Status]],2,FALSE)</f>
        <v>NCHW II UG</v>
      </c>
      <c r="H91" s="12">
        <f>VLOOKUP(Table13[[#This Row],[Eq No]],[1]!Table3[[Eq.No.]:[FY23/34 Acq. Status]],3,FALSE)</f>
        <v>2014</v>
      </c>
      <c r="I91" s="13" t="str">
        <f>VLOOKUP(Table13[[#This Row],[Eq No]],[1]!Table3[[Eq.No.]:[FY23/34 Acq. Status]],12,FALSE)</f>
        <v>ST14</v>
      </c>
      <c r="J91" s="13" t="str">
        <f>VLOOKUP(Table13[[#This Row],[Eq No]],[1]!Table3[[Eq.No.]:[FY23/34 Acq. Status]],17,FALSE)</f>
        <v>ST14</v>
      </c>
      <c r="K91" s="2">
        <v>0</v>
      </c>
      <c r="L91" s="2">
        <v>26914293.568</v>
      </c>
      <c r="M91" s="2">
        <v>0</v>
      </c>
    </row>
    <row r="92" spans="2:13" hidden="1" x14ac:dyDescent="0.25">
      <c r="B92" s="3" t="s">
        <v>51</v>
      </c>
      <c r="C92" s="4" t="s">
        <v>116</v>
      </c>
      <c r="D92" s="1" t="s">
        <v>7</v>
      </c>
      <c r="E92" s="1" t="str">
        <f>RIGHT(Table13[[#This Row],[PROJECT TITLE]],6)</f>
        <v>FL0077</v>
      </c>
      <c r="F92" s="10" t="s">
        <v>16</v>
      </c>
      <c r="G92" s="13" t="str">
        <f>VLOOKUP(Table13[[#This Row],[Eq No]],[1]!Table3[[Eq.No.]:[FY23/34 Acq. Status]],2,FALSE)</f>
        <v>NCHW II UG</v>
      </c>
      <c r="H92" s="12">
        <f>VLOOKUP(Table13[[#This Row],[Eq No]],[1]!Table3[[Eq.No.]:[FY23/34 Acq. Status]],3,FALSE)</f>
        <v>2017</v>
      </c>
      <c r="I92" s="13" t="str">
        <f>VLOOKUP(Table13[[#This Row],[Eq No]],[1]!Table3[[Eq.No.]:[FY23/34 Acq. Status]],12,FALSE)</f>
        <v>ST1030</v>
      </c>
      <c r="J92" s="13" t="str">
        <f>VLOOKUP(Table13[[#This Row],[Eq No]],[1]!Table3[[Eq.No.]:[FY23/34 Acq. Status]],17,FALSE)</f>
        <v>ST1030</v>
      </c>
      <c r="K92" s="2">
        <v>0</v>
      </c>
      <c r="L92" s="2">
        <v>0</v>
      </c>
      <c r="M92" s="2">
        <v>18807242.346999999</v>
      </c>
    </row>
    <row r="93" spans="2:13" hidden="1" x14ac:dyDescent="0.25">
      <c r="B93" s="3" t="s">
        <v>51</v>
      </c>
      <c r="C93" s="4" t="s">
        <v>117</v>
      </c>
      <c r="D93" s="1" t="s">
        <v>7</v>
      </c>
      <c r="E93" s="1" t="str">
        <f>RIGHT(Table13[[#This Row],[PROJECT TITLE]],6)</f>
        <v>FL0085</v>
      </c>
      <c r="F93" s="10" t="s">
        <v>16</v>
      </c>
      <c r="G93" s="13" t="str">
        <f>VLOOKUP(Table13[[#This Row],[Eq No]],[1]!Table3[[Eq.No.]:[FY23/34 Acq. Status]],2,FALSE)</f>
        <v>NCHW II UG</v>
      </c>
      <c r="H93" s="12">
        <f>VLOOKUP(Table13[[#This Row],[Eq No]],[1]!Table3[[Eq.No.]:[FY23/34 Acq. Status]],3,FALSE)</f>
        <v>2018</v>
      </c>
      <c r="I93" s="13" t="str">
        <f>VLOOKUP(Table13[[#This Row],[Eq No]],[1]!Table3[[Eq.No.]:[FY23/34 Acq. Status]],12,FALSE)</f>
        <v>ST1030LP</v>
      </c>
      <c r="J93" s="13" t="str">
        <f>VLOOKUP(Table13[[#This Row],[Eq No]],[1]!Table3[[Eq.No.]:[FY23/34 Acq. Status]],17,FALSE)</f>
        <v>ST1030LP</v>
      </c>
      <c r="K93" s="2">
        <v>0</v>
      </c>
      <c r="L93" s="2">
        <v>0</v>
      </c>
      <c r="M93" s="2">
        <v>18807242.346999999</v>
      </c>
    </row>
    <row r="94" spans="2:13" hidden="1" x14ac:dyDescent="0.25">
      <c r="B94" s="3" t="s">
        <v>51</v>
      </c>
      <c r="C94" s="4" t="s">
        <v>118</v>
      </c>
      <c r="D94" s="1" t="s">
        <v>119</v>
      </c>
      <c r="E94" s="1" t="str">
        <f>RIGHT(Table13[[#This Row],[PROJECT TITLE]],6)</f>
        <v>HD0053</v>
      </c>
      <c r="F94" s="10" t="s">
        <v>16</v>
      </c>
      <c r="G94" s="13" t="str">
        <f>VLOOKUP(Table13[[#This Row],[Eq No]],[1]!Table3[[Eq.No.]:[FY23/34 Acq. Status]],2,FALSE)</f>
        <v>NCHW II UG</v>
      </c>
      <c r="H94" s="12">
        <f>VLOOKUP(Table13[[#This Row],[Eq No]],[1]!Table3[[Eq.No.]:[FY23/34 Acq. Status]],3,FALSE)</f>
        <v>2018</v>
      </c>
      <c r="I94" s="13" t="str">
        <f>VLOOKUP(Table13[[#This Row],[Eq No]],[1]!Table3[[Eq.No.]:[FY23/34 Acq. Status]],12,FALSE)</f>
        <v>Double Boom 282</v>
      </c>
      <c r="J94" s="13" t="str">
        <f>VLOOKUP(Table13[[#This Row],[Eq No]],[1]!Table3[[Eq.No.]:[FY23/34 Acq. Status]],17,FALSE)</f>
        <v>Double Boom 282</v>
      </c>
      <c r="K94" s="2">
        <v>0</v>
      </c>
      <c r="L94" s="2">
        <v>20842117.158399999</v>
      </c>
      <c r="M94" s="2">
        <v>0</v>
      </c>
    </row>
    <row r="95" spans="2:13" hidden="1" x14ac:dyDescent="0.25">
      <c r="B95" s="3" t="s">
        <v>51</v>
      </c>
      <c r="C95" s="4" t="s">
        <v>120</v>
      </c>
      <c r="D95" s="1" t="s">
        <v>21</v>
      </c>
      <c r="E95" s="1" t="str">
        <f>RIGHT(Table13[[#This Row],[PROJECT TITLE]],6)</f>
        <v>LD0426</v>
      </c>
      <c r="F95" s="10" t="s">
        <v>16</v>
      </c>
      <c r="G95" s="13">
        <f>VLOOKUP(Table13[[#This Row],[Eq No]],[1]!Table3[[Eq.No.]:[FY23/34 Acq. Status]],2,FALSE)</f>
        <v>0</v>
      </c>
      <c r="H95" s="12">
        <f>VLOOKUP(Table13[[#This Row],[Eq No]],[1]!Table3[[Eq.No.]:[FY23/34 Acq. Status]],3,FALSE)</f>
        <v>2017</v>
      </c>
      <c r="I95" s="13" t="str">
        <f>VLOOKUP(Table13[[#This Row],[Eq No]],[1]!Table3[[Eq.No.]:[FY23/34 Acq. Status]],12,FALSE)</f>
        <v>D/Cab Maverick</v>
      </c>
      <c r="J95" s="13" t="str">
        <f>VLOOKUP(Table13[[#This Row],[Eq No]],[1]!Table3[[Eq.No.]:[FY23/34 Acq. Status]],17,FALSE)</f>
        <v>L/Cruiser 4x4 (Converted to UG Spec)</v>
      </c>
      <c r="K95" s="2">
        <v>0</v>
      </c>
      <c r="L95" s="2">
        <v>3643512.1748480005</v>
      </c>
      <c r="M95" s="2">
        <v>0</v>
      </c>
    </row>
    <row r="96" spans="2:13" hidden="1" x14ac:dyDescent="0.25">
      <c r="B96" s="3" t="s">
        <v>51</v>
      </c>
      <c r="C96" s="4" t="s">
        <v>121</v>
      </c>
      <c r="D96" s="1" t="s">
        <v>21</v>
      </c>
      <c r="E96" s="1" t="str">
        <f>RIGHT(Table13[[#This Row],[PROJECT TITLE]],6)</f>
        <v>LD0450</v>
      </c>
      <c r="F96" s="10" t="s">
        <v>16</v>
      </c>
      <c r="G96" s="13">
        <f>VLOOKUP(Table13[[#This Row],[Eq No]],[1]!Table3[[Eq.No.]:[FY23/34 Acq. Status]],2,FALSE)</f>
        <v>0</v>
      </c>
      <c r="H96" s="12">
        <f>VLOOKUP(Table13[[#This Row],[Eq No]],[1]!Table3[[Eq.No.]:[FY23/34 Acq. Status]],3,FALSE)</f>
        <v>2019</v>
      </c>
      <c r="I96" s="13" t="str">
        <f>VLOOKUP(Table13[[#This Row],[Eq No]],[1]!Table3[[Eq.No.]:[FY23/34 Acq. Status]],12,FALSE)</f>
        <v>D/Cab Maverick</v>
      </c>
      <c r="J96" s="13" t="str">
        <f>VLOOKUP(Table13[[#This Row],[Eq No]],[1]!Table3[[Eq.No.]:[FY23/34 Acq. Status]],17,FALSE)</f>
        <v>L/Cruiser 4x4 (Converted to UG Spec)</v>
      </c>
      <c r="K96" s="2">
        <v>0</v>
      </c>
      <c r="L96" s="2">
        <v>3643512.1748480005</v>
      </c>
      <c r="M96" s="2">
        <v>0</v>
      </c>
    </row>
    <row r="97" spans="2:13" hidden="1" x14ac:dyDescent="0.25">
      <c r="B97" s="3" t="s">
        <v>51</v>
      </c>
      <c r="C97" s="4" t="s">
        <v>122</v>
      </c>
      <c r="D97" s="1" t="s">
        <v>21</v>
      </c>
      <c r="E97" s="1" t="str">
        <f>RIGHT(Table13[[#This Row],[PROJECT TITLE]],6)</f>
        <v>LD0499</v>
      </c>
      <c r="F97" s="10" t="s">
        <v>16</v>
      </c>
      <c r="G97" s="13" t="str">
        <f>VLOOKUP(Table13[[#This Row],[Eq No]],[1]!Table3[[Eq.No.]:[FY23/34 Acq. Status]],2,FALSE)</f>
        <v>Mining NCH2</v>
      </c>
      <c r="H97" s="12">
        <f>VLOOKUP(Table13[[#This Row],[Eq No]],[1]!Table3[[Eq.No.]:[FY23/34 Acq. Status]],3,FALSE)</f>
        <v>2018</v>
      </c>
      <c r="I97" s="13" t="str">
        <f>VLOOKUP(Table13[[#This Row],[Eq No]],[1]!Table3[[Eq.No.]:[FY23/34 Acq. Status]],12,FALSE)</f>
        <v>2.4 GD6 D/C SRX</v>
      </c>
      <c r="J97" s="13" t="str">
        <f>VLOOKUP(Table13[[#This Row],[Eq No]],[1]!Table3[[Eq.No.]:[FY23/34 Acq. Status]],17,FALSE)</f>
        <v>2.4 GD6 D/C SRX</v>
      </c>
      <c r="K97" s="2">
        <v>0</v>
      </c>
      <c r="L97" s="2">
        <v>1106013.5552000001</v>
      </c>
      <c r="M97" s="2">
        <v>0</v>
      </c>
    </row>
    <row r="98" spans="2:13" hidden="1" x14ac:dyDescent="0.25">
      <c r="B98" s="3" t="s">
        <v>51</v>
      </c>
      <c r="C98" s="4" t="s">
        <v>123</v>
      </c>
      <c r="D98" s="1" t="s">
        <v>21</v>
      </c>
      <c r="E98" s="1" t="str">
        <f>RIGHT(Table13[[#This Row],[PROJECT TITLE]],6)</f>
        <v>LD0509</v>
      </c>
      <c r="F98" s="10" t="s">
        <v>16</v>
      </c>
      <c r="G98" s="13" t="str">
        <f>VLOOKUP(Table13[[#This Row],[Eq No]],[1]!Table3[[Eq.No.]:[FY23/34 Acq. Status]],2,FALSE)</f>
        <v>Projects - DRA</v>
      </c>
      <c r="H98" s="12">
        <f>VLOOKUP(Table13[[#This Row],[Eq No]],[1]!Table3[[Eq.No.]:[FY23/34 Acq. Status]],3,FALSE)</f>
        <v>2019</v>
      </c>
      <c r="I98" s="13" t="str">
        <f>VLOOKUP(Table13[[#This Row],[Eq No]],[1]!Table3[[Eq.No.]:[FY23/34 Acq. Status]],12,FALSE)</f>
        <v>D/Cab Maverick</v>
      </c>
      <c r="J98" s="13" t="str">
        <f>VLOOKUP(Table13[[#This Row],[Eq No]],[1]!Table3[[Eq.No.]:[FY23/34 Acq. Status]],17,FALSE)</f>
        <v>L/Cruiser 4x4 (Converted to UG Spec)</v>
      </c>
      <c r="K98" s="2">
        <v>0</v>
      </c>
      <c r="L98" s="2">
        <v>0</v>
      </c>
      <c r="M98" s="2">
        <v>3760306.4600920002</v>
      </c>
    </row>
    <row r="99" spans="2:13" hidden="1" x14ac:dyDescent="0.25">
      <c r="B99" s="3" t="s">
        <v>51</v>
      </c>
      <c r="C99" s="4" t="s">
        <v>124</v>
      </c>
      <c r="D99" s="1" t="s">
        <v>28</v>
      </c>
      <c r="E99" s="1" t="str">
        <f>RIGHT(Table13[[#This Row],[PROJECT TITLE]],6)</f>
        <v>RT0040</v>
      </c>
      <c r="F99" s="10" t="s">
        <v>16</v>
      </c>
      <c r="G99" s="13" t="str">
        <f>VLOOKUP(Table13[[#This Row],[Eq No]],[1]!Table3[[Eq.No.]:[FY23/34 Acq. Status]],2,FALSE)</f>
        <v>NCH II UG</v>
      </c>
      <c r="H99" s="12">
        <f>VLOOKUP(Table13[[#This Row],[Eq No]],[1]!Table3[[Eq.No.]:[FY23/34 Acq. Status]],3,FALSE)</f>
        <v>2014</v>
      </c>
      <c r="I99" s="13" t="str">
        <f>VLOOKUP(Table13[[#This Row],[Eq No]],[1]!Table3[[Eq.No.]:[FY23/34 Acq. Status]],12,FALSE)</f>
        <v>Boltec 235H</v>
      </c>
      <c r="J99" s="13" t="str">
        <f>VLOOKUP(Table13[[#This Row],[Eq No]],[1]!Table3[[Eq.No.]:[FY23/34 Acq. Status]],17,FALSE)</f>
        <v>Boltec 235H</v>
      </c>
      <c r="K99" s="2">
        <v>0</v>
      </c>
      <c r="L99" s="2">
        <v>20662674.918400001</v>
      </c>
      <c r="M99" s="2">
        <v>0</v>
      </c>
    </row>
    <row r="100" spans="2:13" hidden="1" x14ac:dyDescent="0.25">
      <c r="B100" s="3" t="s">
        <v>51</v>
      </c>
      <c r="C100" s="4" t="s">
        <v>125</v>
      </c>
      <c r="D100" s="1" t="s">
        <v>28</v>
      </c>
      <c r="E100" s="1" t="str">
        <f>RIGHT(Table13[[#This Row],[PROJECT TITLE]],6)</f>
        <v>RT0043</v>
      </c>
      <c r="F100" s="10" t="s">
        <v>16</v>
      </c>
      <c r="G100" s="13" t="str">
        <f>VLOOKUP(Table13[[#This Row],[Eq No]],[1]!Table3[[Eq.No.]:[FY23/34 Acq. Status]],2,FALSE)</f>
        <v>NCH II UG</v>
      </c>
      <c r="H100" s="12">
        <f>VLOOKUP(Table13[[#This Row],[Eq No]],[1]!Table3[[Eq.No.]:[FY23/34 Acq. Status]],3,FALSE)</f>
        <v>2018</v>
      </c>
      <c r="I100" s="13" t="str">
        <f>VLOOKUP(Table13[[#This Row],[Eq No]],[1]!Table3[[Eq.No.]:[FY23/34 Acq. Status]],12,FALSE)</f>
        <v>Boltec 235H</v>
      </c>
      <c r="J100" s="13" t="str">
        <f>VLOOKUP(Table13[[#This Row],[Eq No]],[1]!Table3[[Eq.No.]:[FY23/34 Acq. Status]],17,FALSE)</f>
        <v>Boltec 235H</v>
      </c>
      <c r="K100" s="2">
        <v>0</v>
      </c>
      <c r="L100" s="2">
        <v>0</v>
      </c>
      <c r="M100" s="2">
        <v>21325025.483599998</v>
      </c>
    </row>
    <row r="101" spans="2:13" hidden="1" x14ac:dyDescent="0.25">
      <c r="B101" s="3" t="s">
        <v>51</v>
      </c>
      <c r="C101" s="4" t="s">
        <v>126</v>
      </c>
      <c r="D101" s="1" t="s">
        <v>31</v>
      </c>
      <c r="E101" s="1" t="str">
        <f>RIGHT(Table13[[#This Row],[PROJECT TITLE]],6)</f>
        <v>SR0033</v>
      </c>
      <c r="F101" s="10" t="s">
        <v>16</v>
      </c>
      <c r="G101" s="13" t="str">
        <f>VLOOKUP(Table13[[#This Row],[Eq No]],[1]!Table3[[Eq.No.]:[FY23/34 Acq. Status]],2,FALSE)</f>
        <v>NCHW II UG</v>
      </c>
      <c r="H101" s="12">
        <f>VLOOKUP(Table13[[#This Row],[Eq No]],[1]!Table3[[Eq.No.]:[FY23/34 Acq. Status]],3,FALSE)</f>
        <v>2017</v>
      </c>
      <c r="I101" s="13" t="str">
        <f>VLOOKUP(Table13[[#This Row],[Eq No]],[1]!Table3[[Eq.No.]:[FY23/34 Acq. Status]],12,FALSE)</f>
        <v>4 Wheeler</v>
      </c>
      <c r="J101" s="13" t="str">
        <f>VLOOKUP(Table13[[#This Row],[Eq No]],[1]!Table3[[Eq.No.]:[FY23/34 Acq. Status]],17,FALSE)</f>
        <v>Scaler 220 E, 4-Wheeler</v>
      </c>
      <c r="K101" s="2">
        <v>0</v>
      </c>
      <c r="L101" s="2">
        <v>6592121.2415999994</v>
      </c>
      <c r="M101" s="2">
        <v>0</v>
      </c>
    </row>
    <row r="102" spans="2:13" hidden="1" x14ac:dyDescent="0.25">
      <c r="B102" s="3" t="s">
        <v>51</v>
      </c>
      <c r="C102" s="4" t="s">
        <v>127</v>
      </c>
      <c r="D102" s="1" t="s">
        <v>95</v>
      </c>
      <c r="E102" s="1" t="str">
        <f>RIGHT(Table13[[#This Row],[PROJECT TITLE]],6)</f>
        <v>UV0054</v>
      </c>
      <c r="F102" s="10" t="s">
        <v>16</v>
      </c>
      <c r="G102" s="13" t="str">
        <f>VLOOKUP(Table13[[#This Row],[Eq No]],[1]!Table3[[Eq.No.]:[FY23/34 Acq. Status]],2,FALSE)</f>
        <v>Logistics</v>
      </c>
      <c r="H102" s="12">
        <f>VLOOKUP(Table13[[#This Row],[Eq No]],[1]!Table3[[Eq.No.]:[FY23/34 Acq. Status]],3,FALSE)</f>
        <v>2015</v>
      </c>
      <c r="I102" s="13" t="str">
        <f>VLOOKUP(Table13[[#This Row],[Eq No]],[1]!Table3[[Eq.No.]:[FY23/34 Acq. Status]],12,FALSE)</f>
        <v>UV80/Carr/MKIII</v>
      </c>
      <c r="J102" s="13" t="str">
        <f>VLOOKUP(Table13[[#This Row],[Eq No]],[1]!Table3[[Eq.No.]:[FY23/34 Acq. Status]],17,FALSE)</f>
        <v>UV80/Carr/MKIII</v>
      </c>
      <c r="K102" s="2">
        <v>0</v>
      </c>
      <c r="L102" s="2">
        <v>6692310.9120000005</v>
      </c>
      <c r="M102" s="2">
        <v>0</v>
      </c>
    </row>
    <row r="103" spans="2:13" hidden="1" x14ac:dyDescent="0.25">
      <c r="B103" s="3" t="s">
        <v>51</v>
      </c>
      <c r="C103" s="4" t="s">
        <v>128</v>
      </c>
      <c r="D103" s="1" t="s">
        <v>95</v>
      </c>
      <c r="E103" s="1" t="str">
        <f>RIGHT(Table13[[#This Row],[PROJECT TITLE]],6)</f>
        <v>UV0057</v>
      </c>
      <c r="F103" s="10" t="s">
        <v>16</v>
      </c>
      <c r="G103" s="13" t="str">
        <f>VLOOKUP(Table13[[#This Row],[Eq No]],[1]!Table3[[Eq.No.]:[FY23/34 Acq. Status]],2,FALSE)</f>
        <v>Logistics</v>
      </c>
      <c r="H103" s="12" t="e">
        <f>VLOOKUP(Table13[[#This Row],[Eq No]],[1]!Table3[[Eq.No.]:[FY23/34 Acq. Status]],3,FALSE)</f>
        <v>#N/A</v>
      </c>
      <c r="I103" s="13" t="str">
        <f>VLOOKUP(Table13[[#This Row],[Eq No]],[1]!Table3[[Eq.No.]:[FY23/34 Acq. Status]],12,FALSE)</f>
        <v>UV80/Carr/MKIII</v>
      </c>
      <c r="J103" s="13" t="str">
        <f>VLOOKUP(Table13[[#This Row],[Eq No]],[1]!Table3[[Eq.No.]:[FY23/34 Acq. Status]],17,FALSE)</f>
        <v>UV80/Carr/MKIII</v>
      </c>
      <c r="K103" s="2">
        <v>0</v>
      </c>
      <c r="L103" s="2">
        <v>0</v>
      </c>
      <c r="M103" s="2">
        <v>6906835.6979999999</v>
      </c>
    </row>
    <row r="104" spans="2:13" hidden="1" x14ac:dyDescent="0.25">
      <c r="B104" s="3" t="s">
        <v>51</v>
      </c>
      <c r="C104" s="4" t="s">
        <v>129</v>
      </c>
      <c r="D104" s="1" t="s">
        <v>95</v>
      </c>
      <c r="E104" s="1" t="str">
        <f>RIGHT(Table13[[#This Row],[PROJECT TITLE]],6)</f>
        <v>UV0084</v>
      </c>
      <c r="F104" s="10" t="s">
        <v>16</v>
      </c>
      <c r="G104" s="13" t="str">
        <f>VLOOKUP(Table13[[#This Row],[Eq No]],[1]!Table3[[Eq.No.]:[FY23/34 Acq. Status]],2,FALSE)</f>
        <v>Electricians U/G</v>
      </c>
      <c r="H104" s="12">
        <f>VLOOKUP(Table13[[#This Row],[Eq No]],[1]!Table3[[Eq.No.]:[FY23/34 Acq. Status]],3,FALSE)</f>
        <v>2019</v>
      </c>
      <c r="I104" s="13" t="str">
        <f>VLOOKUP(Table13[[#This Row],[Eq No]],[1]!Table3[[Eq.No.]:[FY23/34 Acq. Status]],12,FALSE)</f>
        <v>UV80/Scis/Crane</v>
      </c>
      <c r="J104" s="13" t="str">
        <f>VLOOKUP(Table13[[#This Row],[Eq No]],[1]!Table3[[Eq.No.]:[FY23/34 Acq. Status]],17,FALSE)</f>
        <v>UV80/Scis/Crane</v>
      </c>
      <c r="K104" s="2">
        <v>0</v>
      </c>
      <c r="L104" s="2">
        <v>8306390.9119999995</v>
      </c>
      <c r="M104" s="2">
        <v>0</v>
      </c>
    </row>
    <row r="105" spans="2:13" hidden="1" x14ac:dyDescent="0.25">
      <c r="B105" s="3" t="s">
        <v>51</v>
      </c>
      <c r="C105" s="4" t="s">
        <v>130</v>
      </c>
      <c r="D105" s="1" t="s">
        <v>95</v>
      </c>
      <c r="E105" s="1" t="str">
        <f>RIGHT(Table13[[#This Row],[PROJECT TITLE]],6)</f>
        <v>UV0108</v>
      </c>
      <c r="F105" s="10" t="s">
        <v>16</v>
      </c>
      <c r="G105" s="13" t="str">
        <f>VLOOKUP(Table13[[#This Row],[Eq No]],[1]!Table3[[Eq.No.]:[FY23/34 Acq. Status]],2,FALSE)</f>
        <v>Mining</v>
      </c>
      <c r="H105" s="12">
        <f>VLOOKUP(Table13[[#This Row],[Eq No]],[1]!Table3[[Eq.No.]:[FY23/34 Acq. Status]],3,FALSE)</f>
        <v>2018</v>
      </c>
      <c r="I105" s="13" t="str">
        <f>VLOOKUP(Table13[[#This Row],[Eq No]],[1]!Table3[[Eq.No.]:[FY23/34 Acq. Status]],12,FALSE)</f>
        <v>UV80/EmulCarr/+Crn</v>
      </c>
      <c r="J105" s="13" t="str">
        <f>VLOOKUP(Table13[[#This Row],[Eq No]],[1]!Table3[[Eq.No.]:[FY23/34 Acq. Status]],17,FALSE)</f>
        <v>UV80 Emul Char</v>
      </c>
      <c r="K105" s="2">
        <v>0</v>
      </c>
      <c r="L105" s="2">
        <v>9051350.9120000005</v>
      </c>
      <c r="M105" s="2">
        <v>0</v>
      </c>
    </row>
    <row r="106" spans="2:13" hidden="1" x14ac:dyDescent="0.25">
      <c r="B106" s="3" t="s">
        <v>51</v>
      </c>
      <c r="C106" s="4" t="s">
        <v>131</v>
      </c>
      <c r="D106" s="1" t="s">
        <v>95</v>
      </c>
      <c r="E106" s="1" t="str">
        <f>RIGHT(Table13[[#This Row],[PROJECT TITLE]],6)</f>
        <v>UV0118</v>
      </c>
      <c r="F106" s="10" t="s">
        <v>16</v>
      </c>
      <c r="G106" s="13" t="str">
        <f>VLOOKUP(Table13[[#This Row],[Eq No]],[1]!Table3[[Eq.No.]:[FY23/34 Acq. Status]],2,FALSE)</f>
        <v>Logistics</v>
      </c>
      <c r="H106" s="12">
        <f>VLOOKUP(Table13[[#This Row],[Eq No]],[1]!Table3[[Eq.No.]:[FY23/34 Acq. Status]],3,FALSE)</f>
        <v>2021</v>
      </c>
      <c r="I106" s="13" t="str">
        <f>VLOOKUP(Table13[[#This Row],[Eq No]],[1]!Table3[[Eq.No.]:[FY23/34 Acq. Status]],12,FALSE)</f>
        <v>RORO</v>
      </c>
      <c r="J106" s="13" t="str">
        <f>VLOOKUP(Table13[[#This Row],[Eq No]],[1]!Table3[[Eq.No.]:[FY23/34 Acq. Status]],17,FALSE)</f>
        <v>RORO</v>
      </c>
      <c r="K106" s="2">
        <v>0</v>
      </c>
      <c r="L106" s="2">
        <v>0</v>
      </c>
      <c r="M106" s="2">
        <v>8357729.269452001</v>
      </c>
    </row>
    <row r="107" spans="2:13" hidden="1" x14ac:dyDescent="0.25">
      <c r="B107" s="3" t="s">
        <v>51</v>
      </c>
      <c r="C107" s="4" t="s">
        <v>132</v>
      </c>
      <c r="D107" s="1" t="s">
        <v>95</v>
      </c>
      <c r="E107" s="1" t="str">
        <f>RIGHT(Table13[[#This Row],[PROJECT TITLE]],6)</f>
        <v>UV0119</v>
      </c>
      <c r="F107" s="10" t="s">
        <v>16</v>
      </c>
      <c r="G107" s="13" t="str">
        <f>VLOOKUP(Table13[[#This Row],[Eq No]],[1]!Table3[[Eq.No.]:[FY23/34 Acq. Status]],2,FALSE)</f>
        <v>Logistics</v>
      </c>
      <c r="H107" s="12">
        <f>VLOOKUP(Table13[[#This Row],[Eq No]],[1]!Table3[[Eq.No.]:[FY23/34 Acq. Status]],3,FALSE)</f>
        <v>2020</v>
      </c>
      <c r="I107" s="13" t="str">
        <f>VLOOKUP(Table13[[#This Row],[Eq No]],[1]!Table3[[Eq.No.]:[FY23/34 Acq. Status]],12,FALSE)</f>
        <v>PLACER</v>
      </c>
      <c r="J107" s="13" t="str">
        <f>VLOOKUP(Table13[[#This Row],[Eq No]],[1]!Table3[[Eq.No.]:[FY23/34 Acq. Status]],17,FALSE)</f>
        <v>roro</v>
      </c>
      <c r="K107" s="2">
        <v>0</v>
      </c>
      <c r="L107" s="2">
        <v>0</v>
      </c>
      <c r="M107" s="2">
        <v>8357729.269452001</v>
      </c>
    </row>
    <row r="108" spans="2:13" hidden="1" x14ac:dyDescent="0.25">
      <c r="B108" s="3" t="s">
        <v>51</v>
      </c>
      <c r="C108" s="4" t="s">
        <v>133</v>
      </c>
      <c r="D108" s="1" t="s">
        <v>39</v>
      </c>
      <c r="E108" s="1" t="str">
        <f>RIGHT(Table13[[#This Row],[PROJECT TITLE]],6)</f>
        <v>DT0118</v>
      </c>
      <c r="F108" s="10" t="s">
        <v>29</v>
      </c>
      <c r="G108" s="13" t="str">
        <f>VLOOKUP(Table13[[#This Row],[Eq No]],[1]!Table3[[Eq.No.]:[FY23/34 Acq. Status]],2,FALSE)</f>
        <v>Load &amp; Haul</v>
      </c>
      <c r="H108" s="12">
        <f>VLOOKUP(Table13[[#This Row],[Eq No]],[1]!Table3[[Eq.No.]:[FY23/34 Acq. Status]],3,FALSE)</f>
        <v>2017</v>
      </c>
      <c r="I108" s="13" t="str">
        <f>VLOOKUP(Table13[[#This Row],[Eq No]],[1]!Table3[[Eq.No.]:[FY23/34 Acq. Status]],12,FALSE)</f>
        <v>Elphinstone AD30</v>
      </c>
      <c r="J108" s="13" t="str">
        <f>VLOOKUP(Table13[[#This Row],[Eq No]],[1]!Table3[[Eq.No.]:[FY23/34 Acq. Status]],17,FALSE)</f>
        <v>MT42B</v>
      </c>
      <c r="K108" s="2">
        <v>0</v>
      </c>
      <c r="L108" s="2">
        <v>0</v>
      </c>
      <c r="M108" s="2">
        <v>34808580.048799999</v>
      </c>
    </row>
    <row r="109" spans="2:13" hidden="1" x14ac:dyDescent="0.25">
      <c r="B109" s="3" t="s">
        <v>51</v>
      </c>
      <c r="C109" s="4" t="s">
        <v>134</v>
      </c>
      <c r="D109" s="1" t="s">
        <v>39</v>
      </c>
      <c r="E109" s="1" t="str">
        <f>RIGHT(Table13[[#This Row],[PROJECT TITLE]],6)</f>
        <v>DT0145</v>
      </c>
      <c r="F109" s="10" t="s">
        <v>29</v>
      </c>
      <c r="G109" s="13" t="str">
        <f>VLOOKUP(Table13[[#This Row],[Eq No]],[1]!Table3[[Eq.No.]:[FY23/34 Acq. Status]],2,FALSE)</f>
        <v>Load &amp; Haul</v>
      </c>
      <c r="H109" s="12">
        <f>VLOOKUP(Table13[[#This Row],[Eq No]],[1]!Table3[[Eq.No.]:[FY23/34 Acq. Status]],3,FALSE)</f>
        <v>2020</v>
      </c>
      <c r="I109" s="13" t="str">
        <f>VLOOKUP(Table13[[#This Row],[Eq No]],[1]!Table3[[Eq.No.]:[FY23/34 Acq. Status]],12,FALSE)</f>
        <v>Elphinstone AD45</v>
      </c>
      <c r="J109" s="13" t="str">
        <f>VLOOKUP(Table13[[#This Row],[Eq No]],[1]!Table3[[Eq.No.]:[FY23/34 Acq. Status]],17,FALSE)</f>
        <v>MT42B</v>
      </c>
      <c r="K109" s="2">
        <v>0</v>
      </c>
      <c r="L109" s="2">
        <v>33727433.267200001</v>
      </c>
      <c r="M109" s="2">
        <v>0</v>
      </c>
    </row>
    <row r="110" spans="2:13" hidden="1" x14ac:dyDescent="0.25">
      <c r="B110" s="3" t="s">
        <v>51</v>
      </c>
      <c r="C110" s="4" t="s">
        <v>135</v>
      </c>
      <c r="D110" s="1" t="s">
        <v>39</v>
      </c>
      <c r="E110" s="1" t="str">
        <f>RIGHT(Table13[[#This Row],[PROJECT TITLE]],6)</f>
        <v>DT0148</v>
      </c>
      <c r="F110" s="10" t="s">
        <v>29</v>
      </c>
      <c r="G110" s="13" t="str">
        <f>VLOOKUP(Table13[[#This Row],[Eq No]],[1]!Table3[[Eq.No.]:[FY23/34 Acq. Status]],2,FALSE)</f>
        <v>Load &amp; Haul</v>
      </c>
      <c r="H110" s="12">
        <f>VLOOKUP(Table13[[#This Row],[Eq No]],[1]!Table3[[Eq.No.]:[FY23/34 Acq. Status]],3,FALSE)</f>
        <v>2020</v>
      </c>
      <c r="I110" s="13" t="str">
        <f>VLOOKUP(Table13[[#This Row],[Eq No]],[1]!Table3[[Eq.No.]:[FY23/34 Acq. Status]],12,FALSE)</f>
        <v>Elphinstone AD45</v>
      </c>
      <c r="J110" s="13" t="str">
        <f>VLOOKUP(Table13[[#This Row],[Eq No]],[1]!Table3[[Eq.No.]:[FY23/34 Acq. Status]],17,FALSE)</f>
        <v>MT42B</v>
      </c>
      <c r="K110" s="2">
        <v>0</v>
      </c>
      <c r="L110" s="2">
        <v>0</v>
      </c>
      <c r="M110" s="2">
        <v>34808580.048799999</v>
      </c>
    </row>
    <row r="111" spans="2:13" hidden="1" x14ac:dyDescent="0.25">
      <c r="B111" s="3" t="s">
        <v>51</v>
      </c>
      <c r="C111" s="4" t="s">
        <v>136</v>
      </c>
      <c r="D111" s="1" t="s">
        <v>7</v>
      </c>
      <c r="E111" s="1" t="str">
        <f>RIGHT(Table13[[#This Row],[PROJECT TITLE]],6)</f>
        <v>FL0091</v>
      </c>
      <c r="F111" s="10" t="s">
        <v>29</v>
      </c>
      <c r="G111" s="13" t="str">
        <f>VLOOKUP(Table13[[#This Row],[Eq No]],[1]!Table3[[Eq.No.]:[FY23/34 Acq. Status]],2,FALSE)</f>
        <v>Load &amp; Haul</v>
      </c>
      <c r="H111" s="12">
        <f>VLOOKUP(Table13[[#This Row],[Eq No]],[1]!Table3[[Eq.No.]:[FY23/34 Acq. Status]],3,FALSE)</f>
        <v>2019</v>
      </c>
      <c r="I111" s="13" t="str">
        <f>VLOOKUP(Table13[[#This Row],[Eq No]],[1]!Table3[[Eq.No.]:[FY23/34 Acq. Status]],12,FALSE)</f>
        <v>ST14</v>
      </c>
      <c r="J111" s="13" t="str">
        <f>VLOOKUP(Table13[[#This Row],[Eq No]],[1]!Table3[[Eq.No.]:[FY23/34 Acq. Status]],17,FALSE)</f>
        <v>ST14B</v>
      </c>
      <c r="K111" s="2">
        <v>0</v>
      </c>
      <c r="L111" s="2">
        <v>31066169.203199998</v>
      </c>
      <c r="M111" s="2">
        <v>0</v>
      </c>
    </row>
    <row r="112" spans="2:13" hidden="1" x14ac:dyDescent="0.25">
      <c r="B112" s="3" t="s">
        <v>51</v>
      </c>
      <c r="C112" s="4" t="s">
        <v>137</v>
      </c>
      <c r="D112" s="1" t="s">
        <v>7</v>
      </c>
      <c r="E112" s="1" t="str">
        <f>RIGHT(Table13[[#This Row],[PROJECT TITLE]],6)</f>
        <v>FL0101</v>
      </c>
      <c r="F112" s="10" t="s">
        <v>29</v>
      </c>
      <c r="G112" s="13" t="str">
        <f>VLOOKUP(Table13[[#This Row],[Eq No]],[1]!Table3[[Eq.No.]:[FY23/34 Acq. Status]],2,FALSE)</f>
        <v>Load &amp; Haul</v>
      </c>
      <c r="H112" s="12">
        <f>VLOOKUP(Table13[[#This Row],[Eq No]],[1]!Table3[[Eq.No.]:[FY23/34 Acq. Status]],3,FALSE)</f>
        <v>2021</v>
      </c>
      <c r="I112" s="13" t="str">
        <f>VLOOKUP(Table13[[#This Row],[Eq No]],[1]!Table3[[Eq.No.]:[FY23/34 Acq. Status]],12,FALSE)</f>
        <v>ST14</v>
      </c>
      <c r="J112" s="13" t="str">
        <f>VLOOKUP(Table13[[#This Row],[Eq No]],[1]!Table3[[Eq.No.]:[FY23/34 Acq. Status]],17,FALSE)</f>
        <v>ST14B</v>
      </c>
      <c r="K112" s="2">
        <v>0</v>
      </c>
      <c r="L112" s="2">
        <v>0</v>
      </c>
      <c r="M112" s="2">
        <v>32062008.0678</v>
      </c>
    </row>
    <row r="113" spans="2:13" hidden="1" x14ac:dyDescent="0.25">
      <c r="B113" s="3" t="s">
        <v>51</v>
      </c>
      <c r="C113" s="4" t="s">
        <v>138</v>
      </c>
      <c r="D113" s="1" t="s">
        <v>119</v>
      </c>
      <c r="E113" s="1" t="str">
        <f>RIGHT(Table13[[#This Row],[PROJECT TITLE]],6)</f>
        <v>HD0049</v>
      </c>
      <c r="F113" s="10" t="s">
        <v>29</v>
      </c>
      <c r="G113" s="13" t="str">
        <f>VLOOKUP(Table13[[#This Row],[Eq No]],[1]!Table3[[Eq.No.]:[FY23/34 Acq. Status]],2,FALSE)</f>
        <v>SEAM 2 Section</v>
      </c>
      <c r="H113" s="12">
        <f>VLOOKUP(Table13[[#This Row],[Eq No]],[1]!Table3[[Eq.No.]:[FY23/34 Acq. Status]],3,FALSE)</f>
        <v>2019</v>
      </c>
      <c r="I113" s="13" t="str">
        <f>VLOOKUP(Table13[[#This Row],[Eq No]],[1]!Table3[[Eq.No.]:[FY23/34 Acq. Status]],12,FALSE)</f>
        <v>EPIROC S2</v>
      </c>
      <c r="J113" s="13" t="str">
        <f>VLOOKUP(Table13[[#This Row],[Eq No]],[1]!Table3[[Eq.No.]:[FY23/34 Acq. Status]],17,FALSE)</f>
        <v>EPIROC S2</v>
      </c>
      <c r="K113" s="2">
        <v>0</v>
      </c>
      <c r="L113" s="2">
        <v>28291717.158399999</v>
      </c>
      <c r="M113" s="2">
        <v>0</v>
      </c>
    </row>
    <row r="114" spans="2:13" hidden="1" x14ac:dyDescent="0.25">
      <c r="B114" s="3" t="s">
        <v>51</v>
      </c>
      <c r="C114" s="4" t="s">
        <v>139</v>
      </c>
      <c r="D114" s="1" t="s">
        <v>119</v>
      </c>
      <c r="E114" s="1" t="str">
        <f>RIGHT(Table13[[#This Row],[PROJECT TITLE]],6)</f>
        <v>HD0050</v>
      </c>
      <c r="F114" s="10" t="s">
        <v>29</v>
      </c>
      <c r="G114" s="13" t="str">
        <f>VLOOKUP(Table13[[#This Row],[Eq No]],[1]!Table3[[Eq.No.]:[FY23/34 Acq. Status]],2,FALSE)</f>
        <v>SEAM 2 Section</v>
      </c>
      <c r="H114" s="12">
        <f>VLOOKUP(Table13[[#This Row],[Eq No]],[1]!Table3[[Eq.No.]:[FY23/34 Acq. Status]],3,FALSE)</f>
        <v>2019</v>
      </c>
      <c r="I114" s="13" t="str">
        <f>VLOOKUP(Table13[[#This Row],[Eq No]],[1]!Table3[[Eq.No.]:[FY23/34 Acq. Status]],12,FALSE)</f>
        <v>EPIROC S2</v>
      </c>
      <c r="J114" s="13" t="str">
        <f>VLOOKUP(Table13[[#This Row],[Eq No]],[1]!Table3[[Eq.No.]:[FY23/34 Acq. Status]],17,FALSE)</f>
        <v>EPIROC S2</v>
      </c>
      <c r="K114" s="2">
        <v>0</v>
      </c>
      <c r="L114" s="2">
        <v>28291717.158399999</v>
      </c>
      <c r="M114" s="2">
        <v>0</v>
      </c>
    </row>
    <row r="115" spans="2:13" hidden="1" x14ac:dyDescent="0.25">
      <c r="B115" s="3" t="s">
        <v>51</v>
      </c>
      <c r="C115" s="4" t="s">
        <v>140</v>
      </c>
      <c r="D115" s="1" t="s">
        <v>119</v>
      </c>
      <c r="E115" s="1" t="str">
        <f>RIGHT(Table13[[#This Row],[PROJECT TITLE]],6)</f>
        <v>HD0051</v>
      </c>
      <c r="F115" s="10" t="s">
        <v>29</v>
      </c>
      <c r="G115" s="13" t="str">
        <f>VLOOKUP(Table13[[#This Row],[Eq No]],[1]!Table3[[Eq.No.]:[FY23/34 Acq. Status]],2,FALSE)</f>
        <v>Drill &amp; Blast</v>
      </c>
      <c r="H115" s="12">
        <f>VLOOKUP(Table13[[#This Row],[Eq No]],[1]!Table3[[Eq.No.]:[FY23/34 Acq. Status]],3,FALSE)</f>
        <v>2019</v>
      </c>
      <c r="I115" s="13" t="str">
        <f>VLOOKUP(Table13[[#This Row],[Eq No]],[1]!Table3[[Eq.No.]:[FY23/34 Acq. Status]],12,FALSE)</f>
        <v>EPIROC S2</v>
      </c>
      <c r="J115" s="13" t="str">
        <f>VLOOKUP(Table13[[#This Row],[Eq No]],[1]!Table3[[Eq.No.]:[FY23/34 Acq. Status]],17,FALSE)</f>
        <v>EPIROC S2</v>
      </c>
      <c r="K115" s="2">
        <v>0</v>
      </c>
      <c r="L115" s="2">
        <v>0</v>
      </c>
      <c r="M115" s="2">
        <v>29198619.818599999</v>
      </c>
    </row>
    <row r="116" spans="2:13" hidden="1" x14ac:dyDescent="0.25">
      <c r="B116" s="3" t="s">
        <v>51</v>
      </c>
      <c r="C116" s="4" t="s">
        <v>141</v>
      </c>
      <c r="D116" s="1" t="s">
        <v>119</v>
      </c>
      <c r="E116" s="1" t="str">
        <f>RIGHT(Table13[[#This Row],[PROJECT TITLE]],6)</f>
        <v>HD0052</v>
      </c>
      <c r="F116" s="10" t="s">
        <v>29</v>
      </c>
      <c r="G116" s="13" t="str">
        <f>VLOOKUP(Table13[[#This Row],[Eq No]],[1]!Table3[[Eq.No.]:[FY23/34 Acq. Status]],2,FALSE)</f>
        <v>Central Section</v>
      </c>
      <c r="H116" s="12">
        <f>VLOOKUP(Table13[[#This Row],[Eq No]],[1]!Table3[[Eq.No.]:[FY23/34 Acq. Status]],3,FALSE)</f>
        <v>2019</v>
      </c>
      <c r="I116" s="13" t="str">
        <f>VLOOKUP(Table13[[#This Row],[Eq No]],[1]!Table3[[Eq.No.]:[FY23/34 Acq. Status]],12,FALSE)</f>
        <v>EPIROC S2</v>
      </c>
      <c r="J116" s="13" t="str">
        <f>VLOOKUP(Table13[[#This Row],[Eq No]],[1]!Table3[[Eq.No.]:[FY23/34 Acq. Status]],17,FALSE)</f>
        <v>EPIROC S2</v>
      </c>
      <c r="K116" s="2">
        <v>0</v>
      </c>
      <c r="L116" s="2">
        <v>0</v>
      </c>
      <c r="M116" s="2">
        <v>29198619.818599999</v>
      </c>
    </row>
    <row r="117" spans="2:13" hidden="1" x14ac:dyDescent="0.25">
      <c r="B117" s="3" t="s">
        <v>51</v>
      </c>
      <c r="C117" s="4" t="s">
        <v>142</v>
      </c>
      <c r="D117" s="1" t="s">
        <v>21</v>
      </c>
      <c r="E117" s="1" t="str">
        <f>RIGHT(Table13[[#This Row],[PROJECT TITLE]],6)</f>
        <v>LD0401</v>
      </c>
      <c r="F117" s="10" t="s">
        <v>29</v>
      </c>
      <c r="G117" s="13">
        <f>VLOOKUP(Table13[[#This Row],[Eq No]],[1]!Table3[[Eq.No.]:[FY23/34 Acq. Status]],2,FALSE)</f>
        <v>0</v>
      </c>
      <c r="H117" s="12">
        <f>VLOOKUP(Table13[[#This Row],[Eq No]],[1]!Table3[[Eq.No.]:[FY23/34 Acq. Status]],3,FALSE)</f>
        <v>2017</v>
      </c>
      <c r="I117" s="13" t="str">
        <f>VLOOKUP(Table13[[#This Row],[Eq No]],[1]!Table3[[Eq.No.]:[FY23/34 Acq. Status]],12,FALSE)</f>
        <v>D/Cab Maverick</v>
      </c>
      <c r="J117" s="13" t="str">
        <f>VLOOKUP(Table13[[#This Row],[Eq No]],[1]!Table3[[Eq.No.]:[FY23/34 Acq. Status]],17,FALSE)</f>
        <v>L/Cruiser 4x4 (Converted to UG Spec)</v>
      </c>
      <c r="K117" s="2">
        <v>0</v>
      </c>
      <c r="L117" s="2">
        <v>0</v>
      </c>
      <c r="M117" s="2">
        <v>3760306.4600920002</v>
      </c>
    </row>
    <row r="118" spans="2:13" hidden="1" x14ac:dyDescent="0.25">
      <c r="B118" s="3" t="s">
        <v>51</v>
      </c>
      <c r="C118" s="4" t="s">
        <v>143</v>
      </c>
      <c r="D118" s="1" t="s">
        <v>21</v>
      </c>
      <c r="E118" s="1" t="str">
        <f>RIGHT(Table13[[#This Row],[PROJECT TITLE]],6)</f>
        <v>LD0405</v>
      </c>
      <c r="F118" s="10" t="s">
        <v>29</v>
      </c>
      <c r="G118" s="13">
        <f>VLOOKUP(Table13[[#This Row],[Eq No]],[1]!Table3[[Eq.No.]:[FY23/34 Acq. Status]],2,FALSE)</f>
        <v>0</v>
      </c>
      <c r="H118" s="12">
        <f>VLOOKUP(Table13[[#This Row],[Eq No]],[1]!Table3[[Eq.No.]:[FY23/34 Acq. Status]],3,FALSE)</f>
        <v>2017</v>
      </c>
      <c r="I118" s="13" t="str">
        <f>VLOOKUP(Table13[[#This Row],[Eq No]],[1]!Table3[[Eq.No.]:[FY23/34 Acq. Status]],12,FALSE)</f>
        <v>D/Cab Maverick</v>
      </c>
      <c r="J118" s="13" t="str">
        <f>VLOOKUP(Table13[[#This Row],[Eq No]],[1]!Table3[[Eq.No.]:[FY23/34 Acq. Status]],17,FALSE)</f>
        <v>L/Cruiser 4x4 (Converted to UG Spec)</v>
      </c>
      <c r="K118" s="2">
        <v>0</v>
      </c>
      <c r="L118" s="2">
        <v>0</v>
      </c>
      <c r="M118" s="2">
        <v>3760306.4600920002</v>
      </c>
    </row>
    <row r="119" spans="2:13" hidden="1" x14ac:dyDescent="0.25">
      <c r="B119" s="3" t="s">
        <v>51</v>
      </c>
      <c r="C119" s="4" t="s">
        <v>144</v>
      </c>
      <c r="D119" s="1" t="s">
        <v>21</v>
      </c>
      <c r="E119" s="1" t="str">
        <f>RIGHT(Table13[[#This Row],[PROJECT TITLE]],6)</f>
        <v>LD0445</v>
      </c>
      <c r="F119" s="10" t="s">
        <v>29</v>
      </c>
      <c r="G119" s="13">
        <f>VLOOKUP(Table13[[#This Row],[Eq No]],[1]!Table3[[Eq.No.]:[FY23/34 Acq. Status]],2,FALSE)</f>
        <v>0</v>
      </c>
      <c r="H119" s="12">
        <f>VLOOKUP(Table13[[#This Row],[Eq No]],[1]!Table3[[Eq.No.]:[FY23/34 Acq. Status]],3,FALSE)</f>
        <v>2017</v>
      </c>
      <c r="I119" s="13" t="str">
        <f>VLOOKUP(Table13[[#This Row],[Eq No]],[1]!Table3[[Eq.No.]:[FY23/34 Acq. Status]],12,FALSE)</f>
        <v>D/Cab Maverick</v>
      </c>
      <c r="J119" s="13" t="str">
        <f>VLOOKUP(Table13[[#This Row],[Eq No]],[1]!Table3[[Eq.No.]:[FY23/34 Acq. Status]],17,FALSE)</f>
        <v>L/Cruiser 4x4 (Converted to UG Spec)</v>
      </c>
      <c r="K119" s="2">
        <v>0</v>
      </c>
      <c r="L119" s="2">
        <v>3643512.1748480005</v>
      </c>
      <c r="M119" s="2">
        <v>0</v>
      </c>
    </row>
    <row r="120" spans="2:13" hidden="1" x14ac:dyDescent="0.25">
      <c r="B120" s="3" t="s">
        <v>51</v>
      </c>
      <c r="C120" s="4" t="s">
        <v>145</v>
      </c>
      <c r="D120" s="1" t="s">
        <v>21</v>
      </c>
      <c r="E120" s="1" t="str">
        <f>RIGHT(Table13[[#This Row],[PROJECT TITLE]],6)</f>
        <v>LD0452</v>
      </c>
      <c r="F120" s="10" t="s">
        <v>29</v>
      </c>
      <c r="G120" s="13">
        <f>VLOOKUP(Table13[[#This Row],[Eq No]],[1]!Table3[[Eq.No.]:[FY23/34 Acq. Status]],2,FALSE)</f>
        <v>0</v>
      </c>
      <c r="H120" s="12">
        <f>VLOOKUP(Table13[[#This Row],[Eq No]],[1]!Table3[[Eq.No.]:[FY23/34 Acq. Status]],3,FALSE)</f>
        <v>2017</v>
      </c>
      <c r="I120" s="13" t="str">
        <f>VLOOKUP(Table13[[#This Row],[Eq No]],[1]!Table3[[Eq.No.]:[FY23/34 Acq. Status]],12,FALSE)</f>
        <v>D/Cab Maverick</v>
      </c>
      <c r="J120" s="13" t="str">
        <f>VLOOKUP(Table13[[#This Row],[Eq No]],[1]!Table3[[Eq.No.]:[FY23/34 Acq. Status]],17,FALSE)</f>
        <v>L/Cruiser 4x4 (Converted to UG Spec)</v>
      </c>
      <c r="K120" s="2">
        <v>0</v>
      </c>
      <c r="L120" s="2">
        <v>0</v>
      </c>
      <c r="M120" s="2">
        <v>3760306.4600920002</v>
      </c>
    </row>
    <row r="121" spans="2:13" hidden="1" x14ac:dyDescent="0.25">
      <c r="B121" s="3" t="s">
        <v>51</v>
      </c>
      <c r="C121" s="4" t="s">
        <v>146</v>
      </c>
      <c r="D121" s="1" t="s">
        <v>21</v>
      </c>
      <c r="E121" s="1" t="str">
        <f>RIGHT(Table13[[#This Row],[PROJECT TITLE]],6)</f>
        <v>LD0512</v>
      </c>
      <c r="F121" s="10" t="s">
        <v>29</v>
      </c>
      <c r="G121" s="13">
        <f>VLOOKUP(Table13[[#This Row],[Eq No]],[1]!Table3[[Eq.No.]:[FY23/34 Acq. Status]],2,FALSE)</f>
        <v>0</v>
      </c>
      <c r="H121" s="12">
        <f>VLOOKUP(Table13[[#This Row],[Eq No]],[1]!Table3[[Eq.No.]:[FY23/34 Acq. Status]],3,FALSE)</f>
        <v>2019</v>
      </c>
      <c r="I121" s="13" t="str">
        <f>VLOOKUP(Table13[[#This Row],[Eq No]],[1]!Table3[[Eq.No.]:[FY23/34 Acq. Status]],12,FALSE)</f>
        <v>D/Cab Maverick</v>
      </c>
      <c r="J121" s="13" t="str">
        <f>VLOOKUP(Table13[[#This Row],[Eq No]],[1]!Table3[[Eq.No.]:[FY23/34 Acq. Status]],17,FALSE)</f>
        <v>L/Cruiser 4x4 (Converted to UG Spec)</v>
      </c>
      <c r="K121" s="2">
        <v>0</v>
      </c>
      <c r="L121" s="2">
        <v>3643512.1748480005</v>
      </c>
      <c r="M121" s="2">
        <v>0</v>
      </c>
    </row>
    <row r="122" spans="2:13" hidden="1" x14ac:dyDescent="0.25">
      <c r="B122" s="3" t="s">
        <v>51</v>
      </c>
      <c r="C122" s="4" t="s">
        <v>147</v>
      </c>
      <c r="D122" s="1" t="s">
        <v>28</v>
      </c>
      <c r="E122" s="1" t="str">
        <f>RIGHT(Table13[[#This Row],[PROJECT TITLE]],6)</f>
        <v>RT0044</v>
      </c>
      <c r="F122" s="10" t="s">
        <v>29</v>
      </c>
      <c r="G122" s="13" t="str">
        <f>VLOOKUP(Table13[[#This Row],[Eq No]],[1]!Table3[[Eq.No.]:[FY23/34 Acq. Status]],2,FALSE)</f>
        <v>N3</v>
      </c>
      <c r="H122" s="12">
        <f>VLOOKUP(Table13[[#This Row],[Eq No]],[1]!Table3[[Eq.No.]:[FY23/34 Acq. Status]],3,FALSE)</f>
        <v>2018</v>
      </c>
      <c r="I122" s="13" t="str">
        <f>VLOOKUP(Table13[[#This Row],[Eq No]],[1]!Table3[[Eq.No.]:[FY23/34 Acq. Status]],12,FALSE)</f>
        <v>Boltec 235H</v>
      </c>
      <c r="J122" s="13" t="str">
        <f>VLOOKUP(Table13[[#This Row],[Eq No]],[1]!Table3[[Eq.No.]:[FY23/34 Acq. Status]],17,FALSE)</f>
        <v>Boltec 235H</v>
      </c>
      <c r="K122" s="2">
        <v>0</v>
      </c>
      <c r="L122" s="2">
        <v>0</v>
      </c>
      <c r="M122" s="2">
        <v>21325025.483599998</v>
      </c>
    </row>
    <row r="123" spans="2:13" hidden="1" x14ac:dyDescent="0.25">
      <c r="B123" s="3" t="s">
        <v>51</v>
      </c>
      <c r="C123" s="4" t="s">
        <v>148</v>
      </c>
      <c r="D123" s="1" t="s">
        <v>95</v>
      </c>
      <c r="E123" s="1" t="str">
        <f>RIGHT(Table13[[#This Row],[PROJECT TITLE]],6)</f>
        <v>UV0056</v>
      </c>
      <c r="F123" s="10" t="s">
        <v>29</v>
      </c>
      <c r="G123" s="13">
        <f>VLOOKUP(Table13[[#This Row],[Eq No]],[1]!Table3[[Eq.No.]:[FY23/34 Acq. Status]],2,FALSE)</f>
        <v>0</v>
      </c>
      <c r="H123" s="12">
        <f>VLOOKUP(Table13[[#This Row],[Eq No]],[1]!Table3[[Eq.No.]:[FY23/34 Acq. Status]],3,FALSE)</f>
        <v>2016</v>
      </c>
      <c r="I123" s="13" t="str">
        <f>VLOOKUP(Table13[[#This Row],[Eq No]],[1]!Table3[[Eq.No.]:[FY23/34 Acq. Status]],12,FALSE)</f>
        <v>UV80 Scissor</v>
      </c>
      <c r="J123" s="13" t="str">
        <f>VLOOKUP(Table13[[#This Row],[Eq No]],[1]!Table3[[Eq.No.]:[FY23/34 Acq. Status]],17,FALSE)</f>
        <v>UV80 Scissor Lift</v>
      </c>
      <c r="K123" s="2">
        <v>0</v>
      </c>
      <c r="L123" s="2">
        <v>8306390.9119999995</v>
      </c>
      <c r="M123" s="2">
        <v>0</v>
      </c>
    </row>
    <row r="124" spans="2:13" hidden="1" x14ac:dyDescent="0.25">
      <c r="B124" s="3" t="s">
        <v>51</v>
      </c>
      <c r="C124" s="4" t="s">
        <v>149</v>
      </c>
      <c r="D124" s="1" t="s">
        <v>95</v>
      </c>
      <c r="E124" s="1" t="str">
        <f>RIGHT(Table13[[#This Row],[PROJECT TITLE]],6)</f>
        <v>UV0074</v>
      </c>
      <c r="F124" s="10" t="s">
        <v>29</v>
      </c>
      <c r="G124" s="13">
        <f>VLOOKUP(Table13[[#This Row],[Eq No]],[1]!Table3[[Eq.No.]:[FY23/34 Acq. Status]],2,FALSE)</f>
        <v>0</v>
      </c>
      <c r="H124" s="12">
        <f>VLOOKUP(Table13[[#This Row],[Eq No]],[1]!Table3[[Eq.No.]:[FY23/34 Acq. Status]],3,FALSE)</f>
        <v>2016</v>
      </c>
      <c r="I124" s="13" t="str">
        <f>VLOOKUP(Table13[[#This Row],[Eq No]],[1]!Table3[[Eq.No.]:[FY23/34 Acq. Status]],12,FALSE)</f>
        <v>S/Cab Manlift</v>
      </c>
      <c r="J124" s="13" t="str">
        <f>VLOOKUP(Table13[[#This Row],[Eq No]],[1]!Table3[[Eq.No.]:[FY23/34 Acq. Status]],17,FALSE)</f>
        <v>L/Cruiser 4x4 (Converted to UG Spec)</v>
      </c>
      <c r="K124" s="2">
        <v>0</v>
      </c>
      <c r="L124" s="2">
        <v>0</v>
      </c>
      <c r="M124" s="2">
        <v>3760306.4600920002</v>
      </c>
    </row>
    <row r="125" spans="2:13" hidden="1" x14ac:dyDescent="0.25">
      <c r="B125" s="3" t="s">
        <v>51</v>
      </c>
      <c r="C125" s="4" t="s">
        <v>150</v>
      </c>
      <c r="D125" s="1" t="s">
        <v>95</v>
      </c>
      <c r="E125" s="1" t="str">
        <f>RIGHT(Table13[[#This Row],[PROJECT TITLE]],6)</f>
        <v>UV0075</v>
      </c>
      <c r="F125" s="10" t="s">
        <v>29</v>
      </c>
      <c r="G125" s="13">
        <f>VLOOKUP(Table13[[#This Row],[Eq No]],[1]!Table3[[Eq.No.]:[FY23/34 Acq. Status]],2,FALSE)</f>
        <v>0</v>
      </c>
      <c r="H125" s="12">
        <f>VLOOKUP(Table13[[#This Row],[Eq No]],[1]!Table3[[Eq.No.]:[FY23/34 Acq. Status]],3,FALSE)</f>
        <v>2016</v>
      </c>
      <c r="I125" s="13" t="str">
        <f>VLOOKUP(Table13[[#This Row],[Eq No]],[1]!Table3[[Eq.No.]:[FY23/34 Acq. Status]],12,FALSE)</f>
        <v>S/Cab Manlift</v>
      </c>
      <c r="J125" s="13" t="str">
        <f>VLOOKUP(Table13[[#This Row],[Eq No]],[1]!Table3[[Eq.No.]:[FY23/34 Acq. Status]],17,FALSE)</f>
        <v>L/Cruiser 4x4 (Converted to UG Spec)</v>
      </c>
      <c r="K125" s="2">
        <v>0</v>
      </c>
      <c r="L125" s="2">
        <v>0</v>
      </c>
      <c r="M125" s="2">
        <v>3760306.4600920002</v>
      </c>
    </row>
    <row r="126" spans="2:13" hidden="1" x14ac:dyDescent="0.25">
      <c r="B126" s="3" t="s">
        <v>51</v>
      </c>
      <c r="C126" s="4" t="s">
        <v>151</v>
      </c>
      <c r="D126" s="1" t="s">
        <v>95</v>
      </c>
      <c r="E126" s="1" t="str">
        <f>RIGHT(Table13[[#This Row],[PROJECT TITLE]],6)</f>
        <v>UV0079</v>
      </c>
      <c r="F126" s="10" t="s">
        <v>29</v>
      </c>
      <c r="G126" s="13">
        <f>VLOOKUP(Table13[[#This Row],[Eq No]],[1]!Table3[[Eq.No.]:[FY23/34 Acq. Status]],2,FALSE)</f>
        <v>0</v>
      </c>
      <c r="H126" s="12">
        <f>VLOOKUP(Table13[[#This Row],[Eq No]],[1]!Table3[[Eq.No.]:[FY23/34 Acq. Status]],3,FALSE)</f>
        <v>2016</v>
      </c>
      <c r="I126" s="13" t="str">
        <f>VLOOKUP(Table13[[#This Row],[Eq No]],[1]!Table3[[Eq.No.]:[FY23/34 Acq. Status]],12,FALSE)</f>
        <v>UV80-Liberator</v>
      </c>
      <c r="J126" s="13" t="str">
        <f>VLOOKUP(Table13[[#This Row],[Eq No]],[1]!Table3[[Eq.No.]:[FY23/34 Acq. Status]],17,FALSE)</f>
        <v>UV80/Carr/MKIII</v>
      </c>
      <c r="K126" s="2">
        <v>0</v>
      </c>
      <c r="L126" s="2">
        <v>0</v>
      </c>
      <c r="M126" s="2">
        <v>6906835.6979999999</v>
      </c>
    </row>
    <row r="127" spans="2:13" hidden="1" x14ac:dyDescent="0.25">
      <c r="B127" s="3" t="s">
        <v>51</v>
      </c>
      <c r="C127" s="4" t="s">
        <v>152</v>
      </c>
      <c r="D127" s="1" t="s">
        <v>95</v>
      </c>
      <c r="E127" s="1" t="str">
        <f>RIGHT(Table13[[#This Row],[PROJECT TITLE]],6)</f>
        <v>UV0081</v>
      </c>
      <c r="F127" s="10" t="s">
        <v>29</v>
      </c>
      <c r="G127" s="13">
        <f>VLOOKUP(Table13[[#This Row],[Eq No]],[1]!Table3[[Eq.No.]:[FY23/34 Acq. Status]],2,FALSE)</f>
        <v>0</v>
      </c>
      <c r="H127" s="12">
        <f>VLOOKUP(Table13[[#This Row],[Eq No]],[1]!Table3[[Eq.No.]:[FY23/34 Acq. Status]],3,FALSE)</f>
        <v>2016</v>
      </c>
      <c r="I127" s="13" t="str">
        <f>VLOOKUP(Table13[[#This Row],[Eq No]],[1]!Table3[[Eq.No.]:[FY23/34 Acq. Status]],12,FALSE)</f>
        <v>UV80-Liberator</v>
      </c>
      <c r="J127" s="13" t="str">
        <f>VLOOKUP(Table13[[#This Row],[Eq No]],[1]!Table3[[Eq.No.]:[FY23/34 Acq. Status]],17,FALSE)</f>
        <v>UV80/Carr/MKIII</v>
      </c>
      <c r="K127" s="2">
        <v>0</v>
      </c>
      <c r="L127" s="2">
        <v>0</v>
      </c>
      <c r="M127" s="2">
        <v>6906835.6979999999</v>
      </c>
    </row>
    <row r="128" spans="2:13" hidden="1" x14ac:dyDescent="0.25">
      <c r="B128" s="3" t="s">
        <v>51</v>
      </c>
      <c r="C128" s="4" t="s">
        <v>153</v>
      </c>
      <c r="D128" s="1" t="s">
        <v>39</v>
      </c>
      <c r="E128" s="1" t="str">
        <f>RIGHT(Table13[[#This Row],[PROJECT TITLE]],6)</f>
        <v>DT0129</v>
      </c>
      <c r="F128" s="10" t="s">
        <v>19</v>
      </c>
      <c r="G128" s="13" t="str">
        <f>VLOOKUP(Table13[[#This Row],[Eq No]],[1]!Table3[[Eq.No.]:[FY23/34 Acq. Status]],2,FALSE)</f>
        <v>SOT NCH2</v>
      </c>
      <c r="H128" s="12">
        <f>VLOOKUP(Table13[[#This Row],[Eq No]],[1]!Table3[[Eq.No.]:[FY23/34 Acq. Status]],3,FALSE)</f>
        <v>2018</v>
      </c>
      <c r="I128" s="13" t="str">
        <f>VLOOKUP(Table13[[#This Row],[Eq No]],[1]!Table3[[Eq.No.]:[FY23/34 Acq. Status]],12,FALSE)</f>
        <v>B50E, 6x6</v>
      </c>
      <c r="J128" s="13" t="str">
        <f>VLOOKUP(Table13[[#This Row],[Eq No]],[1]!Table3[[Eq.No.]:[FY23/34 Acq. Status]],17,FALSE)</f>
        <v>B50E, 6x6</v>
      </c>
      <c r="K128" s="2">
        <v>0</v>
      </c>
      <c r="L128" s="2">
        <v>13814041.6</v>
      </c>
      <c r="M128" s="2">
        <v>0</v>
      </c>
    </row>
    <row r="129" spans="2:13" hidden="1" x14ac:dyDescent="0.25">
      <c r="B129" s="3" t="s">
        <v>51</v>
      </c>
      <c r="C129" s="4" t="s">
        <v>154</v>
      </c>
      <c r="D129" s="1" t="s">
        <v>39</v>
      </c>
      <c r="E129" s="1" t="str">
        <f>RIGHT(Table13[[#This Row],[PROJECT TITLE]],6)</f>
        <v>DT0130</v>
      </c>
      <c r="F129" s="10" t="s">
        <v>19</v>
      </c>
      <c r="G129" s="13" t="str">
        <f>VLOOKUP(Table13[[#This Row],[Eq No]],[1]!Table3[[Eq.No.]:[FY23/34 Acq. Status]],2,FALSE)</f>
        <v>SOT NCH2</v>
      </c>
      <c r="H129" s="12">
        <f>VLOOKUP(Table13[[#This Row],[Eq No]],[1]!Table3[[Eq.No.]:[FY23/34 Acq. Status]],3,FALSE)</f>
        <v>2018</v>
      </c>
      <c r="I129" s="13" t="str">
        <f>VLOOKUP(Table13[[#This Row],[Eq No]],[1]!Table3[[Eq.No.]:[FY23/34 Acq. Status]],12,FALSE)</f>
        <v>B50E, 6x6</v>
      </c>
      <c r="J129" s="13" t="str">
        <f>VLOOKUP(Table13[[#This Row],[Eq No]],[1]!Table3[[Eq.No.]:[FY23/34 Acq. Status]],17,FALSE)</f>
        <v>B50E, 6x6</v>
      </c>
      <c r="K129" s="2">
        <v>0</v>
      </c>
      <c r="L129" s="2">
        <v>13814041.6</v>
      </c>
      <c r="M129" s="2">
        <v>0</v>
      </c>
    </row>
    <row r="130" spans="2:13" hidden="1" x14ac:dyDescent="0.25">
      <c r="B130" s="3" t="s">
        <v>51</v>
      </c>
      <c r="C130" s="4" t="s">
        <v>155</v>
      </c>
      <c r="D130" s="1" t="s">
        <v>39</v>
      </c>
      <c r="E130" s="1" t="str">
        <f>RIGHT(Table13[[#This Row],[PROJECT TITLE]],6)</f>
        <v>DT0133</v>
      </c>
      <c r="F130" s="10" t="s">
        <v>19</v>
      </c>
      <c r="G130" s="13" t="str">
        <f>VLOOKUP(Table13[[#This Row],[Eq No]],[1]!Table3[[Eq.No.]:[FY23/34 Acq. Status]],2,FALSE)</f>
        <v>SOT NCH2</v>
      </c>
      <c r="H130" s="12">
        <f>VLOOKUP(Table13[[#This Row],[Eq No]],[1]!Table3[[Eq.No.]:[FY23/34 Acq. Status]],3,FALSE)</f>
        <v>2019</v>
      </c>
      <c r="I130" s="13" t="str">
        <f>VLOOKUP(Table13[[#This Row],[Eq No]],[1]!Table3[[Eq.No.]:[FY23/34 Acq. Status]],12,FALSE)</f>
        <v>B50E, 6x6</v>
      </c>
      <c r="J130" s="13" t="str">
        <f>VLOOKUP(Table13[[#This Row],[Eq No]],[1]!Table3[[Eq.No.]:[FY23/34 Acq. Status]],17,FALSE)</f>
        <v>B50E, 6x6</v>
      </c>
      <c r="K130" s="2">
        <v>0</v>
      </c>
      <c r="L130" s="2">
        <v>0</v>
      </c>
      <c r="M130" s="2">
        <v>14256856.4</v>
      </c>
    </row>
    <row r="131" spans="2:13" hidden="1" x14ac:dyDescent="0.25">
      <c r="B131" s="3" t="s">
        <v>51</v>
      </c>
      <c r="C131" s="4" t="s">
        <v>156</v>
      </c>
      <c r="D131" s="1" t="s">
        <v>39</v>
      </c>
      <c r="E131" s="1" t="str">
        <f>RIGHT(Table13[[#This Row],[PROJECT TITLE]],6)</f>
        <v>DT0134</v>
      </c>
      <c r="F131" s="10" t="s">
        <v>19</v>
      </c>
      <c r="G131" s="13" t="str">
        <f>VLOOKUP(Table13[[#This Row],[Eq No]],[1]!Table3[[Eq.No.]:[FY23/34 Acq. Status]],2,FALSE)</f>
        <v>SOT NCH2</v>
      </c>
      <c r="H131" s="12">
        <f>VLOOKUP(Table13[[#This Row],[Eq No]],[1]!Table3[[Eq.No.]:[FY23/34 Acq. Status]],3,FALSE)</f>
        <v>2019</v>
      </c>
      <c r="I131" s="13" t="str">
        <f>VLOOKUP(Table13[[#This Row],[Eq No]],[1]!Table3[[Eq.No.]:[FY23/34 Acq. Status]],12,FALSE)</f>
        <v>B50E, 6x6</v>
      </c>
      <c r="J131" s="13" t="str">
        <f>VLOOKUP(Table13[[#This Row],[Eq No]],[1]!Table3[[Eq.No.]:[FY23/34 Acq. Status]],17,FALSE)</f>
        <v>B50E, 6x6</v>
      </c>
      <c r="K131" s="2">
        <v>0</v>
      </c>
      <c r="L131" s="2">
        <v>0</v>
      </c>
      <c r="M131" s="2">
        <v>14256856.4</v>
      </c>
    </row>
    <row r="132" spans="2:13" hidden="1" x14ac:dyDescent="0.25">
      <c r="B132" s="3" t="s">
        <v>51</v>
      </c>
      <c r="C132" s="4" t="s">
        <v>157</v>
      </c>
      <c r="D132" s="1" t="s">
        <v>39</v>
      </c>
      <c r="E132" s="1" t="str">
        <f>RIGHT(Table13[[#This Row],[PROJECT TITLE]],6)</f>
        <v>DT0136</v>
      </c>
      <c r="F132" s="10" t="s">
        <v>19</v>
      </c>
      <c r="G132" s="13" t="str">
        <f>VLOOKUP(Table13[[#This Row],[Eq No]],[1]!Table3[[Eq.No.]:[FY23/34 Acq. Status]],2,FALSE)</f>
        <v>SOT NCH2</v>
      </c>
      <c r="H132" s="12">
        <f>VLOOKUP(Table13[[#This Row],[Eq No]],[1]!Table3[[Eq.No.]:[FY23/34 Acq. Status]],3,FALSE)</f>
        <v>2019</v>
      </c>
      <c r="I132" s="13" t="str">
        <f>VLOOKUP(Table13[[#This Row],[Eq No]],[1]!Table3[[Eq.No.]:[FY23/34 Acq. Status]],12,FALSE)</f>
        <v>B50E, 6x6</v>
      </c>
      <c r="J132" s="13" t="str">
        <f>VLOOKUP(Table13[[#This Row],[Eq No]],[1]!Table3[[Eq.No.]:[FY23/34 Acq. Status]],17,FALSE)</f>
        <v>B50E, 6x6</v>
      </c>
      <c r="K132" s="2">
        <v>0</v>
      </c>
      <c r="L132" s="2">
        <v>0</v>
      </c>
      <c r="M132" s="2">
        <v>14256856.4</v>
      </c>
    </row>
    <row r="133" spans="2:13" hidden="1" x14ac:dyDescent="0.25">
      <c r="B133" s="3" t="s">
        <v>51</v>
      </c>
      <c r="C133" s="4" t="s">
        <v>158</v>
      </c>
      <c r="D133" s="1" t="s">
        <v>39</v>
      </c>
      <c r="E133" s="1" t="str">
        <f>RIGHT(Table13[[#This Row],[PROJECT TITLE]],6)</f>
        <v>DT0137</v>
      </c>
      <c r="F133" s="10" t="s">
        <v>19</v>
      </c>
      <c r="G133" s="13" t="str">
        <f>VLOOKUP(Table13[[#This Row],[Eq No]],[1]!Table3[[Eq.No.]:[FY23/34 Acq. Status]],2,FALSE)</f>
        <v>SOT NCH2</v>
      </c>
      <c r="H133" s="12">
        <f>VLOOKUP(Table13[[#This Row],[Eq No]],[1]!Table3[[Eq.No.]:[FY23/34 Acq. Status]],3,FALSE)</f>
        <v>2019</v>
      </c>
      <c r="I133" s="13" t="str">
        <f>VLOOKUP(Table13[[#This Row],[Eq No]],[1]!Table3[[Eq.No.]:[FY23/34 Acq. Status]],12,FALSE)</f>
        <v>B50E, 6x6</v>
      </c>
      <c r="J133" s="13" t="str">
        <f>VLOOKUP(Table13[[#This Row],[Eq No]],[1]!Table3[[Eq.No.]:[FY23/34 Acq. Status]],17,FALSE)</f>
        <v>B50E, 6x6</v>
      </c>
      <c r="K133" s="2">
        <v>0</v>
      </c>
      <c r="L133" s="2">
        <v>0</v>
      </c>
      <c r="M133" s="2">
        <v>14256856.4</v>
      </c>
    </row>
    <row r="134" spans="2:13" hidden="1" x14ac:dyDescent="0.25">
      <c r="B134" s="3" t="s">
        <v>51</v>
      </c>
      <c r="C134" s="4" t="s">
        <v>159</v>
      </c>
      <c r="D134" s="1" t="s">
        <v>13</v>
      </c>
      <c r="E134" s="1" t="str">
        <f>RIGHT(Table13[[#This Row],[PROJECT TITLE]],6)</f>
        <v>ER0005</v>
      </c>
      <c r="F134" s="10" t="s">
        <v>19</v>
      </c>
      <c r="G134" s="13" t="str">
        <f>VLOOKUP(Table13[[#This Row],[Eq No]],[1]!Table3[[Eq.No.]:[FY23/34 Acq. Status]],2,FALSE)</f>
        <v>SOT NCH2</v>
      </c>
      <c r="H134" s="12">
        <f>VLOOKUP(Table13[[#This Row],[Eq No]],[1]!Table3[[Eq.No.]:[FY23/34 Acq. Status]],3,FALSE)</f>
        <v>2017</v>
      </c>
      <c r="I134" s="13" t="str">
        <f>VLOOKUP(Table13[[#This Row],[Eq No]],[1]!Table3[[Eq.No.]:[FY23/34 Acq. Status]],12,FALSE)</f>
        <v>312D2L (Hyd)</v>
      </c>
      <c r="J134" s="13" t="str">
        <f>VLOOKUP(Table13[[#This Row],[Eq No]],[1]!Table3[[Eq.No.]:[FY23/34 Acq. Status]],17,FALSE)</f>
        <v>312D2L (Hyd)</v>
      </c>
      <c r="K134" s="2">
        <v>0</v>
      </c>
      <c r="L134" s="2">
        <v>0</v>
      </c>
      <c r="M134" s="2">
        <v>5009539.3510682639</v>
      </c>
    </row>
    <row r="135" spans="2:13" hidden="1" x14ac:dyDescent="0.25">
      <c r="B135" s="3" t="s">
        <v>51</v>
      </c>
      <c r="C135" s="4" t="s">
        <v>160</v>
      </c>
      <c r="D135" s="1" t="s">
        <v>7</v>
      </c>
      <c r="E135" s="1" t="str">
        <f>RIGHT(Table13[[#This Row],[PROJECT TITLE]],6)</f>
        <v>FL0094</v>
      </c>
      <c r="F135" s="10" t="s">
        <v>19</v>
      </c>
      <c r="G135" s="13" t="str">
        <f>VLOOKUP(Table13[[#This Row],[Eq No]],[1]!Table3[[Eq.No.]:[FY23/34 Acq. Status]],2,FALSE)</f>
        <v>SOT NCH2</v>
      </c>
      <c r="H135" s="12">
        <f>VLOOKUP(Table13[[#This Row],[Eq No]],[1]!Table3[[Eq.No.]:[FY23/34 Acq. Status]],3,FALSE)</f>
        <v>2020</v>
      </c>
      <c r="I135" s="13" t="str">
        <f>VLOOKUP(Table13[[#This Row],[Eq No]],[1]!Table3[[Eq.No.]:[FY23/34 Acq. Status]],12,FALSE)</f>
        <v>L2706E</v>
      </c>
      <c r="J135" s="13" t="str">
        <f>VLOOKUP(Table13[[#This Row],[Eq No]],[1]!Table3[[Eq.No.]:[FY23/34 Acq. Status]],17,FALSE)</f>
        <v>Caterpillar 966L FEL</v>
      </c>
      <c r="K135" s="2">
        <v>0</v>
      </c>
      <c r="L135" s="2">
        <v>0</v>
      </c>
      <c r="M135" s="2">
        <v>13595654</v>
      </c>
    </row>
    <row r="136" spans="2:13" hidden="1" x14ac:dyDescent="0.25">
      <c r="B136" s="3" t="s">
        <v>51</v>
      </c>
      <c r="C136" s="4" t="s">
        <v>161</v>
      </c>
      <c r="D136" s="1" t="s">
        <v>97</v>
      </c>
      <c r="E136" s="1" t="str">
        <f>RIGHT(Table13[[#This Row],[PROJECT TITLE]],6)</f>
        <v>GD0010</v>
      </c>
      <c r="F136" s="10" t="s">
        <v>19</v>
      </c>
      <c r="G136" s="13" t="str">
        <f>VLOOKUP(Table13[[#This Row],[Eq No]],[1]!Table3[[Eq.No.]:[FY23/34 Acq. Status]],2,FALSE)</f>
        <v>SOT NCH2</v>
      </c>
      <c r="H136" s="12">
        <f>VLOOKUP(Table13[[#This Row],[Eq No]],[1]!Table3[[Eq.No.]:[FY23/34 Acq. Status]],3,FALSE)</f>
        <v>2018</v>
      </c>
      <c r="I136" s="13" t="str">
        <f>VLOOKUP(Table13[[#This Row],[Eq No]],[1]!Table3[[Eq.No.]:[FY23/34 Acq. Status]],12,FALSE)</f>
        <v>670G</v>
      </c>
      <c r="J136" s="13" t="str">
        <f>VLOOKUP(Table13[[#This Row],[Eq No]],[1]!Table3[[Eq.No.]:[FY23/34 Acq. Status]],17,FALSE)</f>
        <v>670G</v>
      </c>
      <c r="K136" s="2">
        <v>0</v>
      </c>
      <c r="L136" s="2">
        <v>0</v>
      </c>
      <c r="M136" s="2">
        <v>7873496.6090290016</v>
      </c>
    </row>
    <row r="137" spans="2:13" hidden="1" x14ac:dyDescent="0.25">
      <c r="B137" s="1">
        <v>805120260603</v>
      </c>
      <c r="C137" s="4" t="s">
        <v>162</v>
      </c>
      <c r="D137" s="1" t="s">
        <v>21</v>
      </c>
      <c r="E137" s="1" t="str">
        <f>RIGHT(Table13[[#This Row],[PROJECT TITLE]],6)</f>
        <v>LD0302</v>
      </c>
      <c r="F137" s="10" t="s">
        <v>19</v>
      </c>
      <c r="G137" s="13" t="str">
        <f>VLOOKUP(Table13[[#This Row],[Eq No]],[1]!Table3[[Eq.No.]:[FY23/34 Acq. Status]],2,FALSE)</f>
        <v>Mark Makappie</v>
      </c>
      <c r="H137" s="12">
        <f>VLOOKUP(Table13[[#This Row],[Eq No]],[1]!Table3[[Eq.No.]:[FY23/34 Acq. Status]],3,FALSE)</f>
        <v>2013</v>
      </c>
      <c r="I137" s="13" t="str">
        <f>VLOOKUP(Table13[[#This Row],[Eq No]],[1]!Table3[[Eq.No.]:[FY23/34 Acq. Status]],12,FALSE)</f>
        <v>4 x 4 (2.5D) D/C</v>
      </c>
      <c r="J137" s="13" t="str">
        <f>VLOOKUP(Table13[[#This Row],[Eq No]],[1]!Table3[[Eq.No.]:[FY23/34 Acq. Status]],17,FALSE)</f>
        <v>4 x 4 (2.5D) D/C</v>
      </c>
      <c r="K137" s="2">
        <v>1157210.132</v>
      </c>
      <c r="L137" s="2">
        <v>0</v>
      </c>
      <c r="M137" s="2">
        <v>0</v>
      </c>
    </row>
    <row r="138" spans="2:13" hidden="1" x14ac:dyDescent="0.25">
      <c r="B138" s="3" t="s">
        <v>51</v>
      </c>
      <c r="C138" s="4" t="s">
        <v>163</v>
      </c>
      <c r="D138" s="1" t="s">
        <v>18</v>
      </c>
      <c r="E138" s="1" t="str">
        <f>RIGHT(Table13[[#This Row],[PROJECT TITLE]],6)</f>
        <v>WK1004</v>
      </c>
      <c r="F138" s="10" t="s">
        <v>19</v>
      </c>
      <c r="G138" s="13" t="str">
        <f>VLOOKUP(Table13[[#This Row],[Eq No]],[1]!Table3[[Eq.No.]:[FY23/34 Acq. Status]],2,FALSE)</f>
        <v>SOT NCH2</v>
      </c>
      <c r="H138" s="12">
        <f>VLOOKUP(Table13[[#This Row],[Eq No]],[1]!Table3[[Eq.No.]:[FY23/34 Acq. Status]],3,FALSE)</f>
        <v>2018</v>
      </c>
      <c r="I138" s="13" t="str">
        <f>VLOOKUP(Table13[[#This Row],[Eq No]],[1]!Table3[[Eq.No.]:[FY23/34 Acq. Status]],12,FALSE)</f>
        <v>B30E (27000L)</v>
      </c>
      <c r="J138" s="13" t="str">
        <f>VLOOKUP(Table13[[#This Row],[Eq No]],[1]!Table3[[Eq.No.]:[FY23/34 Acq. Status]],17,FALSE)</f>
        <v>B30E(27000L)</v>
      </c>
      <c r="K138" s="2">
        <v>0</v>
      </c>
      <c r="L138" s="2">
        <v>0</v>
      </c>
      <c r="M138" s="2">
        <v>10451662.125020597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7CDF-707D-4B53-88BA-74E708F113CB}">
  <dimension ref="B2:M138"/>
  <sheetViews>
    <sheetView workbookViewId="0">
      <selection activeCell="D30" sqref="D30:D31"/>
    </sheetView>
  </sheetViews>
  <sheetFormatPr defaultRowHeight="15" x14ac:dyDescent="0.25"/>
  <cols>
    <col min="1" max="1" width="4.28515625" customWidth="1"/>
    <col min="2" max="2" width="13.42578125" customWidth="1"/>
    <col min="3" max="3" width="24.140625" bestFit="1" customWidth="1"/>
    <col min="4" max="4" width="17.140625" bestFit="1" customWidth="1"/>
    <col min="5" max="5" width="17.140625" customWidth="1"/>
    <col min="6" max="6" width="12.28515625" style="11" customWidth="1"/>
    <col min="7" max="7" width="40.42578125" style="11" bestFit="1" customWidth="1"/>
    <col min="8" max="8" width="12.42578125" style="11" customWidth="1"/>
    <col min="9" max="9" width="18.7109375" style="11" customWidth="1"/>
    <col min="10" max="10" width="33" style="11" customWidth="1"/>
    <col min="11" max="13" width="11.5703125" bestFit="1" customWidth="1"/>
  </cols>
  <sheetData>
    <row r="2" spans="2:13" ht="15.75" x14ac:dyDescent="0.25">
      <c r="B2" s="5" t="s">
        <v>0</v>
      </c>
      <c r="C2" s="6" t="s">
        <v>1</v>
      </c>
      <c r="D2" s="6" t="s">
        <v>2</v>
      </c>
      <c r="E2" s="6" t="s">
        <v>164</v>
      </c>
      <c r="F2" s="9" t="s">
        <v>3</v>
      </c>
      <c r="G2" s="9" t="s">
        <v>165</v>
      </c>
      <c r="H2" s="9" t="s">
        <v>166</v>
      </c>
      <c r="I2" s="9" t="s">
        <v>167</v>
      </c>
      <c r="J2" s="9" t="s">
        <v>168</v>
      </c>
      <c r="K2" s="7" t="s">
        <v>4</v>
      </c>
      <c r="L2" s="7" t="s">
        <v>5</v>
      </c>
      <c r="M2" s="7" t="s">
        <v>6</v>
      </c>
    </row>
    <row r="3" spans="2:13" hidden="1" x14ac:dyDescent="0.25">
      <c r="B3" s="1">
        <v>804020260001</v>
      </c>
      <c r="C3" s="1" t="s">
        <v>9</v>
      </c>
      <c r="D3" s="1" t="s">
        <v>10</v>
      </c>
      <c r="E3" s="1" t="str">
        <f>RIGHT(Table134[[#This Row],[PROJECT TITLE]],6)</f>
        <v>BS0025</v>
      </c>
      <c r="F3" s="10" t="s">
        <v>8</v>
      </c>
      <c r="G3" s="13" t="str">
        <f>VLOOKUP(Table134[[#This Row],[Eq No]],[1]!Table3[[Eq.No.]:[FY23/34 Acq. Status]],2,FALSE)</f>
        <v>Pool Transport</v>
      </c>
      <c r="H3" s="12">
        <f>VLOOKUP(Table134[[#This Row],[Eq No]],[1]!Table3[[Eq.No.]:[FY23/34 Acq. Status]],3,FALSE)</f>
        <v>2012</v>
      </c>
      <c r="I3" s="13" t="str">
        <f>VLOOKUP(Table134[[#This Row],[Eq No]],[1]!Table3[[Eq.No.]:[FY23/34 Acq. Status]],12,FALSE)</f>
        <v>Sprinter 515 CDI, 23 Seat</v>
      </c>
      <c r="J3" s="13" t="str">
        <f>VLOOKUP(Table134[[#This Row],[Eq No]],[1]!Table3[[Eq.No.]:[FY23/34 Acq. Status]],17,FALSE)</f>
        <v>NCV 515 CDI PVZA</v>
      </c>
      <c r="K3" s="2">
        <v>1082830.5669007734</v>
      </c>
      <c r="L3" s="2">
        <v>0</v>
      </c>
      <c r="M3" s="2">
        <v>0</v>
      </c>
    </row>
    <row r="4" spans="2:13" hidden="1" x14ac:dyDescent="0.25">
      <c r="B4" s="1">
        <v>804020260002</v>
      </c>
      <c r="C4" s="1" t="s">
        <v>11</v>
      </c>
      <c r="D4" s="1" t="s">
        <v>12</v>
      </c>
      <c r="E4" s="1" t="str">
        <f>RIGHT(Table134[[#This Row],[PROJECT TITLE]],6)</f>
        <v>CB0024</v>
      </c>
      <c r="F4" s="10" t="s">
        <v>8</v>
      </c>
      <c r="G4" s="13" t="str">
        <f>VLOOKUP(Table134[[#This Row],[Eq No]],[1]!Table3[[Eq.No.]:[FY23/34 Acq. Status]],2,FALSE)</f>
        <v>Pool Transport</v>
      </c>
      <c r="H4" s="12">
        <f>VLOOKUP(Table134[[#This Row],[Eq No]],[1]!Table3[[Eq.No.]:[FY23/34 Acq. Status]],3,FALSE)</f>
        <v>2012</v>
      </c>
      <c r="I4" s="13" t="str">
        <f>VLOOKUP(Table134[[#This Row],[Eq No]],[1]!Table3[[Eq.No.]:[FY23/34 Acq. Status]],12,FALSE)</f>
        <v>Combi T5 Caravelle</v>
      </c>
      <c r="J4" s="13" t="str">
        <f>VLOOKUP(Table134[[#This Row],[Eq No]],[1]!Table3[[Eq.No.]:[FY23/34 Acq. Status]],17,FALSE)</f>
        <v>Combi T5 Caravelle</v>
      </c>
      <c r="K4" s="2">
        <v>1654343.2041145277</v>
      </c>
      <c r="L4" s="2">
        <v>0</v>
      </c>
      <c r="M4" s="2">
        <v>0</v>
      </c>
    </row>
    <row r="5" spans="2:13" hidden="1" x14ac:dyDescent="0.25">
      <c r="B5" s="8">
        <v>805120250013</v>
      </c>
      <c r="C5" s="8" t="s">
        <v>14</v>
      </c>
      <c r="D5" s="1" t="s">
        <v>15</v>
      </c>
      <c r="E5" s="1" t="str">
        <f>RIGHT(Table134[[#This Row],[PROJECT TITLE]],6)</f>
        <v>CR0094</v>
      </c>
      <c r="F5" s="10" t="s">
        <v>16</v>
      </c>
      <c r="G5" s="13">
        <f>VLOOKUP(Table134[[#This Row],[Eq No]],[1]!Table3[[Eq.No.]:[FY23/34 Acq. Status]],2,FALSE)</f>
        <v>0</v>
      </c>
      <c r="H5" s="12">
        <f>VLOOKUP(Table134[[#This Row],[Eq No]],[1]!Table3[[Eq.No.]:[FY23/34 Acq. Status]],3,FALSE)</f>
        <v>2014</v>
      </c>
      <c r="I5" s="13" t="str">
        <f>VLOOKUP(Table134[[#This Row],[Eq No]],[1]!Table3[[Eq.No.]:[FY23/34 Acq. Status]],12,FALSE)</f>
        <v>Crane MHT780 T Evolution</v>
      </c>
      <c r="J5" s="13" t="str">
        <f>VLOOKUP(Table134[[#This Row],[Eq No]],[1]!Table3[[Eq.No.]:[FY23/34 Acq. Status]],17,FALSE)</f>
        <v>Crane MHT780 T Evolution</v>
      </c>
      <c r="K5" s="2">
        <v>0</v>
      </c>
      <c r="L5" s="2">
        <v>0</v>
      </c>
      <c r="M5" s="2">
        <v>12683026</v>
      </c>
    </row>
    <row r="6" spans="2:13" hidden="1" x14ac:dyDescent="0.25">
      <c r="B6" s="8">
        <v>806120250604</v>
      </c>
      <c r="C6" s="8" t="s">
        <v>17</v>
      </c>
      <c r="D6" s="1" t="s">
        <v>18</v>
      </c>
      <c r="E6" s="1" t="str">
        <f>RIGHT(Table134[[#This Row],[PROJECT TITLE]],6)</f>
        <v>WK1005</v>
      </c>
      <c r="F6" s="10" t="s">
        <v>19</v>
      </c>
      <c r="G6" s="13" t="str">
        <f>VLOOKUP(Table134[[#This Row],[Eq No]],[1]!Table3[[Eq.No.]:[FY23/34 Acq. Status]],2,FALSE)</f>
        <v>SOT NCH2</v>
      </c>
      <c r="H6" s="12">
        <f>VLOOKUP(Table134[[#This Row],[Eq No]],[1]!Table3[[Eq.No.]:[FY23/34 Acq. Status]],3,FALSE)</f>
        <v>2018</v>
      </c>
      <c r="I6" s="13" t="str">
        <f>VLOOKUP(Table134[[#This Row],[Eq No]],[1]!Table3[[Eq.No.]:[FY23/34 Acq. Status]],12,FALSE)</f>
        <v>B30E (27000L)</v>
      </c>
      <c r="J6" s="13" t="str">
        <f>VLOOKUP(Table134[[#This Row],[Eq No]],[1]!Table3[[Eq.No.]:[FY23/34 Acq. Status]],17,FALSE)</f>
        <v>B30E(27000L)</v>
      </c>
      <c r="K6" s="2">
        <v>8991504</v>
      </c>
      <c r="L6" s="2">
        <v>0</v>
      </c>
      <c r="M6" s="2">
        <v>0</v>
      </c>
    </row>
    <row r="7" spans="2:13" hidden="1" x14ac:dyDescent="0.25">
      <c r="B7" s="8">
        <v>805120260101</v>
      </c>
      <c r="C7" s="8" t="s">
        <v>20</v>
      </c>
      <c r="D7" s="1" t="s">
        <v>21</v>
      </c>
      <c r="E7" s="1" t="str">
        <f>RIGHT(Table134[[#This Row],[PROJECT TITLE]],6)</f>
        <v>LD0303</v>
      </c>
      <c r="F7" s="10" t="s">
        <v>16</v>
      </c>
      <c r="G7" s="13" t="str">
        <f>VLOOKUP(Table134[[#This Row],[Eq No]],[1]!Table3[[Eq.No.]:[FY23/34 Acq. Status]],2,FALSE)</f>
        <v>Shafts &amp; Winders - CHL 667 NC</v>
      </c>
      <c r="H7" s="12">
        <f>VLOOKUP(Table134[[#This Row],[Eq No]],[1]!Table3[[Eq.No.]:[FY23/34 Acq. Status]],3,FALSE)</f>
        <v>2013</v>
      </c>
      <c r="I7" s="13" t="str">
        <f>VLOOKUP(Table134[[#This Row],[Eq No]],[1]!Table3[[Eq.No.]:[FY23/34 Acq. Status]],12,FALSE)</f>
        <v>4x2, 2.5D</v>
      </c>
      <c r="J7" s="13" t="str">
        <f>VLOOKUP(Table134[[#This Row],[Eq No]],[1]!Table3[[Eq.No.]:[FY23/34 Acq. Status]],17,FALSE)</f>
        <v>4x2, 2.5D, D Nel</v>
      </c>
      <c r="K7" s="2">
        <v>1124439.7320000001</v>
      </c>
      <c r="L7" s="2">
        <v>0</v>
      </c>
      <c r="M7" s="2">
        <v>0</v>
      </c>
    </row>
    <row r="8" spans="2:13" hidden="1" x14ac:dyDescent="0.25">
      <c r="B8" s="8">
        <v>805120260007</v>
      </c>
      <c r="C8" s="8" t="s">
        <v>22</v>
      </c>
      <c r="D8" s="1" t="s">
        <v>21</v>
      </c>
      <c r="E8" s="1" t="str">
        <f>RIGHT(Table134[[#This Row],[PROJECT TITLE]],6)</f>
        <v>LD0341</v>
      </c>
      <c r="F8" s="10" t="s">
        <v>16</v>
      </c>
      <c r="G8" s="13" t="str">
        <f>VLOOKUP(Table134[[#This Row],[Eq No]],[1]!Table3[[Eq.No.]:[FY23/34 Acq. Status]],2,FALSE)</f>
        <v>Stretcher L/C (Capt)</v>
      </c>
      <c r="H8" s="12">
        <f>VLOOKUP(Table134[[#This Row],[Eq No]],[1]!Table3[[Eq.No.]:[FY23/34 Acq. Status]],3,FALSE)</f>
        <v>2014</v>
      </c>
      <c r="I8" s="13" t="str">
        <f>VLOOKUP(Table134[[#This Row],[Eq No]],[1]!Table3[[Eq.No.]:[FY23/34 Acq. Status]],12,FALSE)</f>
        <v>L/C, 4x4, 4.2D Expl</v>
      </c>
      <c r="J8" s="13" t="str">
        <f>VLOOKUP(Table134[[#This Row],[Eq No]],[1]!Table3[[Eq.No.]:[FY23/34 Acq. Status]],17,FALSE)</f>
        <v>L/Cruiser 4x4 (Converted to UG Spec)</v>
      </c>
      <c r="K8" s="2">
        <v>2911697.6168799996</v>
      </c>
      <c r="L8" s="2">
        <v>0</v>
      </c>
      <c r="M8" s="2">
        <v>0</v>
      </c>
    </row>
    <row r="9" spans="2:13" hidden="1" x14ac:dyDescent="0.25">
      <c r="B9" s="8">
        <v>805120260008</v>
      </c>
      <c r="C9" s="8" t="s">
        <v>23</v>
      </c>
      <c r="D9" s="1" t="s">
        <v>21</v>
      </c>
      <c r="E9" s="1" t="str">
        <f>RIGHT(Table134[[#This Row],[PROJECT TITLE]],6)</f>
        <v>LD0411</v>
      </c>
      <c r="F9" s="10" t="s">
        <v>16</v>
      </c>
      <c r="G9" s="13">
        <f>VLOOKUP(Table134[[#This Row],[Eq No]],[1]!Table3[[Eq.No.]:[FY23/34 Acq. Status]],2,FALSE)</f>
        <v>0</v>
      </c>
      <c r="H9" s="12">
        <f>VLOOKUP(Table134[[#This Row],[Eq No]],[1]!Table3[[Eq.No.]:[FY23/34 Acq. Status]],3,FALSE)</f>
        <v>2017</v>
      </c>
      <c r="I9" s="13" t="str">
        <f>VLOOKUP(Table134[[#This Row],[Eq No]],[1]!Table3[[Eq.No.]:[FY23/34 Acq. Status]],12,FALSE)</f>
        <v>D/Cab Maverick</v>
      </c>
      <c r="J9" s="13" t="str">
        <f>VLOOKUP(Table134[[#This Row],[Eq No]],[1]!Table3[[Eq.No.]:[FY23/34 Acq. Status]],17,FALSE)</f>
        <v>L/Cruiser 4x4 (Converted to UG Spec)</v>
      </c>
      <c r="K9" s="2">
        <v>2911697.6168799996</v>
      </c>
      <c r="L9" s="2">
        <v>0</v>
      </c>
      <c r="M9" s="2">
        <v>0</v>
      </c>
    </row>
    <row r="10" spans="2:13" hidden="1" x14ac:dyDescent="0.25">
      <c r="B10" s="8">
        <v>805120260009</v>
      </c>
      <c r="C10" s="8" t="s">
        <v>24</v>
      </c>
      <c r="D10" s="1" t="s">
        <v>21</v>
      </c>
      <c r="E10" s="1" t="str">
        <f>RIGHT(Table134[[#This Row],[PROJECT TITLE]],6)</f>
        <v>LD0414</v>
      </c>
      <c r="F10" s="10" t="s">
        <v>16</v>
      </c>
      <c r="G10" s="13">
        <f>VLOOKUP(Table134[[#This Row],[Eq No]],[1]!Table3[[Eq.No.]:[FY23/34 Acq. Status]],2,FALSE)</f>
        <v>0</v>
      </c>
      <c r="H10" s="12">
        <f>VLOOKUP(Table134[[#This Row],[Eq No]],[1]!Table3[[Eq.No.]:[FY23/34 Acq. Status]],3,FALSE)</f>
        <v>2017</v>
      </c>
      <c r="I10" s="13" t="str">
        <f>VLOOKUP(Table134[[#This Row],[Eq No]],[1]!Table3[[Eq.No.]:[FY23/34 Acq. Status]],12,FALSE)</f>
        <v>D/Cab Maverick</v>
      </c>
      <c r="J10" s="13" t="str">
        <f>VLOOKUP(Table134[[#This Row],[Eq No]],[1]!Table3[[Eq.No.]:[FY23/34 Acq. Status]],17,FALSE)</f>
        <v>L/Cruiser 4x4 (Converted to UG Spec)</v>
      </c>
      <c r="K10" s="2">
        <v>2911697.6168799996</v>
      </c>
      <c r="L10" s="2">
        <v>0</v>
      </c>
      <c r="M10" s="2">
        <v>0</v>
      </c>
    </row>
    <row r="11" spans="2:13" hidden="1" x14ac:dyDescent="0.25">
      <c r="B11" s="8">
        <v>805120260010</v>
      </c>
      <c r="C11" s="8" t="s">
        <v>25</v>
      </c>
      <c r="D11" s="1" t="s">
        <v>21</v>
      </c>
      <c r="E11" s="1" t="str">
        <f>RIGHT(Table134[[#This Row],[PROJECT TITLE]],6)</f>
        <v>LD0415</v>
      </c>
      <c r="F11" s="10" t="s">
        <v>16</v>
      </c>
      <c r="G11" s="13" t="str">
        <f>VLOOKUP(Table134[[#This Row],[Eq No]],[1]!Table3[[Eq.No.]:[FY23/34 Acq. Status]],2,FALSE)</f>
        <v>Itireleng UG</v>
      </c>
      <c r="H11" s="12">
        <f>VLOOKUP(Table134[[#This Row],[Eq No]],[1]!Table3[[Eq.No.]:[FY23/34 Acq. Status]],3,FALSE)</f>
        <v>2017</v>
      </c>
      <c r="I11" s="13" t="str">
        <f>VLOOKUP(Table134[[#This Row],[Eq No]],[1]!Table3[[Eq.No.]:[FY23/34 Acq. Status]],12,FALSE)</f>
        <v>D/Cab Maverick</v>
      </c>
      <c r="J11" s="13" t="str">
        <f>VLOOKUP(Table134[[#This Row],[Eq No]],[1]!Table3[[Eq.No.]:[FY23/34 Acq. Status]],17,FALSE)</f>
        <v>L/Cruiser 4x4 (Converted to UG Spec)</v>
      </c>
      <c r="K11" s="2">
        <v>2911697.6168799996</v>
      </c>
      <c r="L11" s="2">
        <v>0</v>
      </c>
      <c r="M11" s="2">
        <v>0</v>
      </c>
    </row>
    <row r="12" spans="2:13" hidden="1" x14ac:dyDescent="0.25">
      <c r="B12" s="8">
        <v>805120260011</v>
      </c>
      <c r="C12" s="8" t="s">
        <v>26</v>
      </c>
      <c r="D12" s="1" t="s">
        <v>21</v>
      </c>
      <c r="E12" s="1" t="str">
        <f>RIGHT(Table134[[#This Row],[PROJECT TITLE]],6)</f>
        <v>LD0199</v>
      </c>
      <c r="F12" s="10" t="s">
        <v>16</v>
      </c>
      <c r="G12" s="13" t="str">
        <f>VLOOKUP(Table134[[#This Row],[Eq No]],[1]!Table3[[Eq.No.]:[FY23/34 Acq. Status]],2,FALSE)</f>
        <v>N2 SHERQ</v>
      </c>
      <c r="H12" s="12">
        <f>VLOOKUP(Table134[[#This Row],[Eq No]],[1]!Table3[[Eq.No.]:[FY23/34 Acq. Status]],3,FALSE)</f>
        <v>2007</v>
      </c>
      <c r="I12" s="13" t="str">
        <f>VLOOKUP(Table134[[#This Row],[Eq No]],[1]!Table3[[Eq.No.]:[FY23/34 Acq. Status]],12,FALSE)</f>
        <v>4 x 4 (2.5D)</v>
      </c>
      <c r="J12" s="13" t="str">
        <f>VLOOKUP(Table134[[#This Row],[Eq No]],[1]!Table3[[Eq.No.]:[FY23/34 Acq. Status]],17,FALSE)</f>
        <v>L/Cruiser 4x4 (Converted to UG Spec)</v>
      </c>
      <c r="K12" s="2">
        <v>2911697.6168799996</v>
      </c>
      <c r="L12" s="2">
        <v>0</v>
      </c>
      <c r="M12" s="2">
        <v>0</v>
      </c>
    </row>
    <row r="13" spans="2:13" hidden="1" x14ac:dyDescent="0.25">
      <c r="B13" s="8">
        <v>805220250006</v>
      </c>
      <c r="C13" s="8" t="s">
        <v>27</v>
      </c>
      <c r="D13" s="1" t="s">
        <v>28</v>
      </c>
      <c r="E13" s="1" t="str">
        <f>RIGHT(Table134[[#This Row],[PROJECT TITLE]],6)</f>
        <v>RT0039</v>
      </c>
      <c r="F13" s="10" t="s">
        <v>29</v>
      </c>
      <c r="G13" s="13" t="str">
        <f>VLOOKUP(Table134[[#This Row],[Eq No]],[1]!Table3[[Eq.No.]:[FY23/34 Acq. Status]],2,FALSE)</f>
        <v>SEAM 2 Section</v>
      </c>
      <c r="H13" s="12">
        <f>VLOOKUP(Table134[[#This Row],[Eq No]],[1]!Table3[[Eq.No.]:[FY23/34 Acq. Status]],3,FALSE)</f>
        <v>2014</v>
      </c>
      <c r="I13" s="13" t="str">
        <f>VLOOKUP(Table134[[#This Row],[Eq No]],[1]!Table3[[Eq.No.]:[FY23/34 Acq. Status]],12,FALSE)</f>
        <v>Boltec 235H</v>
      </c>
      <c r="J13" s="13" t="str">
        <f>VLOOKUP(Table134[[#This Row],[Eq No]],[1]!Table3[[Eq.No.]:[FY23/34 Acq. Status]],17,FALSE)</f>
        <v>Boltec 235H</v>
      </c>
      <c r="K13" s="2">
        <v>19263083</v>
      </c>
      <c r="L13" s="2">
        <v>0</v>
      </c>
      <c r="M13" s="2">
        <v>0</v>
      </c>
    </row>
    <row r="14" spans="2:13" hidden="1" x14ac:dyDescent="0.25">
      <c r="B14" s="8">
        <v>805220250007</v>
      </c>
      <c r="C14" s="8" t="s">
        <v>30</v>
      </c>
      <c r="D14" s="1" t="s">
        <v>31</v>
      </c>
      <c r="E14" s="1" t="str">
        <f>RIGHT(Table134[[#This Row],[PROJECT TITLE]],6)</f>
        <v>SR0024</v>
      </c>
      <c r="F14" s="10" t="s">
        <v>29</v>
      </c>
      <c r="G14" s="13" t="str">
        <f>VLOOKUP(Table134[[#This Row],[Eq No]],[1]!Table3[[Eq.No.]:[FY23/34 Acq. Status]],2,FALSE)</f>
        <v>N3</v>
      </c>
      <c r="H14" s="12">
        <f>VLOOKUP(Table134[[#This Row],[Eq No]],[1]!Table3[[Eq.No.]:[FY23/34 Acq. Status]],3,FALSE)</f>
        <v>2014</v>
      </c>
      <c r="I14" s="13" t="str">
        <f>VLOOKUP(Table134[[#This Row],[Eq No]],[1]!Table3[[Eq.No.]:[FY23/34 Acq. Status]],12,FALSE)</f>
        <v>Super 220E</v>
      </c>
      <c r="J14" s="13" t="str">
        <f>VLOOKUP(Table134[[#This Row],[Eq No]],[1]!Table3[[Eq.No.]:[FY23/34 Acq. Status]],17,FALSE)</f>
        <v>Scaler 220 E, 4-Wheeler</v>
      </c>
      <c r="K14" s="2">
        <v>6145603</v>
      </c>
      <c r="L14" s="2">
        <v>0</v>
      </c>
      <c r="M14" s="2">
        <v>0</v>
      </c>
    </row>
    <row r="15" spans="2:13" hidden="1" x14ac:dyDescent="0.25">
      <c r="B15" s="8">
        <v>805220250008</v>
      </c>
      <c r="C15" s="8" t="s">
        <v>32</v>
      </c>
      <c r="D15" s="1" t="s">
        <v>31</v>
      </c>
      <c r="E15" s="1" t="str">
        <f>RIGHT(Table134[[#This Row],[PROJECT TITLE]],6)</f>
        <v>SR0028</v>
      </c>
      <c r="F15" s="10" t="s">
        <v>29</v>
      </c>
      <c r="G15" s="13" t="str">
        <f>VLOOKUP(Table134[[#This Row],[Eq No]],[1]!Table3[[Eq.No.]:[FY23/34 Acq. Status]],2,FALSE)</f>
        <v>Central Section</v>
      </c>
      <c r="H15" s="12">
        <f>VLOOKUP(Table134[[#This Row],[Eq No]],[1]!Table3[[Eq.No.]:[FY23/34 Acq. Status]],3,FALSE)</f>
        <v>2014</v>
      </c>
      <c r="I15" s="13" t="str">
        <f>VLOOKUP(Table134[[#This Row],[Eq No]],[1]!Table3[[Eq.No.]:[FY23/34 Acq. Status]],12,FALSE)</f>
        <v>Super 220E</v>
      </c>
      <c r="J15" s="13" t="str">
        <f>VLOOKUP(Table134[[#This Row],[Eq No]],[1]!Table3[[Eq.No.]:[FY23/34 Acq. Status]],17,FALSE)</f>
        <v>Scaler 220 E, 4-Wheeler</v>
      </c>
      <c r="K15" s="2">
        <v>6145603</v>
      </c>
      <c r="L15" s="2">
        <v>0</v>
      </c>
      <c r="M15" s="2">
        <v>0</v>
      </c>
    </row>
    <row r="16" spans="2:13" hidden="1" x14ac:dyDescent="0.25">
      <c r="B16" s="8">
        <v>805220250009</v>
      </c>
      <c r="C16" s="8" t="s">
        <v>33</v>
      </c>
      <c r="D16" s="1" t="s">
        <v>31</v>
      </c>
      <c r="E16" s="1" t="str">
        <f>RIGHT(Table134[[#This Row],[PROJECT TITLE]],6)</f>
        <v>SR0030</v>
      </c>
      <c r="F16" s="10" t="s">
        <v>29</v>
      </c>
      <c r="G16" s="13" t="str">
        <f>VLOOKUP(Table134[[#This Row],[Eq No]],[1]!Table3[[Eq.No.]:[FY23/34 Acq. Status]],2,FALSE)</f>
        <v>North Section</v>
      </c>
      <c r="H16" s="12">
        <f>VLOOKUP(Table134[[#This Row],[Eq No]],[1]!Table3[[Eq.No.]:[FY23/34 Acq. Status]],3,FALSE)</f>
        <v>2014</v>
      </c>
      <c r="I16" s="13" t="str">
        <f>VLOOKUP(Table134[[#This Row],[Eq No]],[1]!Table3[[Eq.No.]:[FY23/34 Acq. Status]],12,FALSE)</f>
        <v>Super 220E</v>
      </c>
      <c r="J16" s="13" t="str">
        <f>VLOOKUP(Table134[[#This Row],[Eq No]],[1]!Table3[[Eq.No.]:[FY23/34 Acq. Status]],17,FALSE)</f>
        <v>Scaler 220 E, 4-Wheeler</v>
      </c>
      <c r="K16" s="2">
        <v>6145603</v>
      </c>
      <c r="L16" s="2">
        <v>0</v>
      </c>
      <c r="M16" s="2">
        <v>0</v>
      </c>
    </row>
    <row r="17" spans="2:13" hidden="1" x14ac:dyDescent="0.25">
      <c r="B17" s="8">
        <v>805220250012</v>
      </c>
      <c r="C17" s="8" t="s">
        <v>34</v>
      </c>
      <c r="D17" s="1" t="s">
        <v>21</v>
      </c>
      <c r="E17" s="1" t="str">
        <f>RIGHT(Table134[[#This Row],[PROJECT TITLE]],6)</f>
        <v>LD0457</v>
      </c>
      <c r="F17" s="10" t="s">
        <v>29</v>
      </c>
      <c r="G17" s="13">
        <f>VLOOKUP(Table134[[#This Row],[Eq No]],[1]!Table3[[Eq.No.]:[FY23/34 Acq. Status]],2,FALSE)</f>
        <v>0</v>
      </c>
      <c r="H17" s="12">
        <f>VLOOKUP(Table134[[#This Row],[Eq No]],[1]!Table3[[Eq.No.]:[FY23/34 Acq. Status]],3,FALSE)</f>
        <v>2017</v>
      </c>
      <c r="I17" s="13" t="str">
        <f>VLOOKUP(Table134[[#This Row],[Eq No]],[1]!Table3[[Eq.No.]:[FY23/34 Acq. Status]],12,FALSE)</f>
        <v>D/Cab Maverick</v>
      </c>
      <c r="J17" s="13" t="str">
        <f>VLOOKUP(Table134[[#This Row],[Eq No]],[1]!Table3[[Eq.No.]:[FY23/34 Acq. Status]],17,FALSE)</f>
        <v>L/Cruiser 4x4 (Converted to UG Spec)</v>
      </c>
      <c r="K17" s="2">
        <v>2761718</v>
      </c>
      <c r="L17" s="2">
        <v>0</v>
      </c>
      <c r="M17" s="2">
        <v>0</v>
      </c>
    </row>
    <row r="18" spans="2:13" hidden="1" x14ac:dyDescent="0.25">
      <c r="B18" s="8">
        <v>805220250013</v>
      </c>
      <c r="C18" s="8" t="s">
        <v>35</v>
      </c>
      <c r="D18" s="1" t="s">
        <v>21</v>
      </c>
      <c r="E18" s="1" t="str">
        <f>RIGHT(Table134[[#This Row],[PROJECT TITLE]],6)</f>
        <v>LD0480</v>
      </c>
      <c r="F18" s="10" t="s">
        <v>29</v>
      </c>
      <c r="G18" s="13">
        <f>VLOOKUP(Table134[[#This Row],[Eq No]],[1]!Table3[[Eq.No.]:[FY23/34 Acq. Status]],2,FALSE)</f>
        <v>0</v>
      </c>
      <c r="H18" s="12">
        <f>VLOOKUP(Table134[[#This Row],[Eq No]],[1]!Table3[[Eq.No.]:[FY23/34 Acq. Status]],3,FALSE)</f>
        <v>2019</v>
      </c>
      <c r="I18" s="13" t="str">
        <f>VLOOKUP(Table134[[#This Row],[Eq No]],[1]!Table3[[Eq.No.]:[FY23/34 Acq. Status]],12,FALSE)</f>
        <v>D/Cab Maverick</v>
      </c>
      <c r="J18" s="13" t="str">
        <f>VLOOKUP(Table134[[#This Row],[Eq No]],[1]!Table3[[Eq.No.]:[FY23/34 Acq. Status]],17,FALSE)</f>
        <v>L/Cruiser 4x4 (Converted to UG Spec)</v>
      </c>
      <c r="K18" s="2">
        <v>2761718</v>
      </c>
      <c r="L18" s="2">
        <v>0</v>
      </c>
      <c r="M18" s="2">
        <v>0</v>
      </c>
    </row>
    <row r="19" spans="2:13" hidden="1" x14ac:dyDescent="0.25">
      <c r="B19" s="8">
        <v>805220250014</v>
      </c>
      <c r="C19" s="8" t="s">
        <v>36</v>
      </c>
      <c r="D19" s="1" t="s">
        <v>21</v>
      </c>
      <c r="E19" s="1" t="str">
        <f>RIGHT(Table134[[#This Row],[PROJECT TITLE]],6)</f>
        <v>LD0481</v>
      </c>
      <c r="F19" s="10" t="s">
        <v>29</v>
      </c>
      <c r="G19" s="13">
        <f>VLOOKUP(Table134[[#This Row],[Eq No]],[1]!Table3[[Eq.No.]:[FY23/34 Acq. Status]],2,FALSE)</f>
        <v>0</v>
      </c>
      <c r="H19" s="12">
        <f>VLOOKUP(Table134[[#This Row],[Eq No]],[1]!Table3[[Eq.No.]:[FY23/34 Acq. Status]],3,FALSE)</f>
        <v>2019</v>
      </c>
      <c r="I19" s="13" t="str">
        <f>VLOOKUP(Table134[[#This Row],[Eq No]],[1]!Table3[[Eq.No.]:[FY23/34 Acq. Status]],12,FALSE)</f>
        <v>D/Cab Maverick</v>
      </c>
      <c r="J19" s="13" t="str">
        <f>VLOOKUP(Table134[[#This Row],[Eq No]],[1]!Table3[[Eq.No.]:[FY23/34 Acq. Status]],17,FALSE)</f>
        <v>L/Cruiser 4x4 (Converted to UG Spec)</v>
      </c>
      <c r="K19" s="2">
        <v>2761718</v>
      </c>
      <c r="L19" s="2">
        <v>0</v>
      </c>
      <c r="M19" s="2">
        <v>0</v>
      </c>
    </row>
    <row r="20" spans="2:13" hidden="1" x14ac:dyDescent="0.25">
      <c r="B20" s="8">
        <v>805220250015</v>
      </c>
      <c r="C20" s="8" t="s">
        <v>37</v>
      </c>
      <c r="D20" s="1" t="s">
        <v>21</v>
      </c>
      <c r="E20" s="1" t="str">
        <f>RIGHT(Table134[[#This Row],[PROJECT TITLE]],6)</f>
        <v>LD0482</v>
      </c>
      <c r="F20" s="10" t="s">
        <v>29</v>
      </c>
      <c r="G20" s="13">
        <f>VLOOKUP(Table134[[#This Row],[Eq No]],[1]!Table3[[Eq.No.]:[FY23/34 Acq. Status]],2,FALSE)</f>
        <v>0</v>
      </c>
      <c r="H20" s="12">
        <f>VLOOKUP(Table134[[#This Row],[Eq No]],[1]!Table3[[Eq.No.]:[FY23/34 Acq. Status]],3,FALSE)</f>
        <v>2019</v>
      </c>
      <c r="I20" s="13" t="str">
        <f>VLOOKUP(Table134[[#This Row],[Eq No]],[1]!Table3[[Eq.No.]:[FY23/34 Acq. Status]],12,FALSE)</f>
        <v>D/Cab Maverick</v>
      </c>
      <c r="J20" s="13" t="str">
        <f>VLOOKUP(Table134[[#This Row],[Eq No]],[1]!Table3[[Eq.No.]:[FY23/34 Acq. Status]],17,FALSE)</f>
        <v>L/Cruiser 4x4 (Converted to UG Spec)</v>
      </c>
      <c r="K20" s="2">
        <v>2761718</v>
      </c>
      <c r="L20" s="2">
        <v>0</v>
      </c>
      <c r="M20" s="2">
        <v>0</v>
      </c>
    </row>
    <row r="21" spans="2:13" hidden="1" x14ac:dyDescent="0.25">
      <c r="B21" s="8">
        <v>805220260006</v>
      </c>
      <c r="C21" s="8" t="s">
        <v>38</v>
      </c>
      <c r="D21" s="1" t="s">
        <v>39</v>
      </c>
      <c r="E21" s="1" t="str">
        <f>RIGHT(Table134[[#This Row],[PROJECT TITLE]],6)</f>
        <v>DT0143</v>
      </c>
      <c r="F21" s="10" t="s">
        <v>29</v>
      </c>
      <c r="G21" s="13" t="str">
        <f>VLOOKUP(Table134[[#This Row],[Eq No]],[1]!Table3[[Eq.No.]:[FY23/34 Acq. Status]],2,FALSE)</f>
        <v>Load &amp; Haul</v>
      </c>
      <c r="H21" s="12">
        <f>VLOOKUP(Table134[[#This Row],[Eq No]],[1]!Table3[[Eq.No.]:[FY23/34 Acq. Status]],3,FALSE)</f>
        <v>2019</v>
      </c>
      <c r="I21" s="13" t="str">
        <f>VLOOKUP(Table134[[#This Row],[Eq No]],[1]!Table3[[Eq.No.]:[FY23/34 Acq. Status]],12,FALSE)</f>
        <v>Elphinstone AD45</v>
      </c>
      <c r="J21" s="13" t="str">
        <f>VLOOKUP(Table134[[#This Row],[Eq No]],[1]!Table3[[Eq.No.]:[FY23/34 Acq. Status]],17,FALSE)</f>
        <v>Elphinstone AD30</v>
      </c>
      <c r="K21" s="2">
        <v>20151247.324000001</v>
      </c>
      <c r="L21" s="2">
        <v>0</v>
      </c>
      <c r="M21" s="2">
        <v>0</v>
      </c>
    </row>
    <row r="22" spans="2:13" hidden="1" x14ac:dyDescent="0.25">
      <c r="B22" s="8">
        <v>805220260007</v>
      </c>
      <c r="C22" s="8" t="s">
        <v>40</v>
      </c>
      <c r="D22" s="1" t="s">
        <v>21</v>
      </c>
      <c r="E22" s="1" t="str">
        <f>RIGHT(Table134[[#This Row],[PROJECT TITLE]],6)</f>
        <v>LD0421</v>
      </c>
      <c r="F22" s="10" t="s">
        <v>29</v>
      </c>
      <c r="G22" s="13">
        <f>VLOOKUP(Table134[[#This Row],[Eq No]],[1]!Table3[[Eq.No.]:[FY23/34 Acq. Status]],2,FALSE)</f>
        <v>0</v>
      </c>
      <c r="H22" s="12">
        <f>VLOOKUP(Table134[[#This Row],[Eq No]],[1]!Table3[[Eq.No.]:[FY23/34 Acq. Status]],3,FALSE)</f>
        <v>2016</v>
      </c>
      <c r="I22" s="13" t="str">
        <f>VLOOKUP(Table134[[#This Row],[Eq No]],[1]!Table3[[Eq.No.]:[FY23/34 Acq. Status]],12,FALSE)</f>
        <v>D/Cab Maverick</v>
      </c>
      <c r="J22" s="13" t="str">
        <f>VLOOKUP(Table134[[#This Row],[Eq No]],[1]!Table3[[Eq.No.]:[FY23/34 Acq. Status]],17,FALSE)</f>
        <v>L/Cruiser 4x4 (Converted to UG Spec)</v>
      </c>
      <c r="K22" s="2">
        <v>2911697.6168799996</v>
      </c>
      <c r="L22" s="2">
        <v>0</v>
      </c>
      <c r="M22" s="2">
        <v>0</v>
      </c>
    </row>
    <row r="23" spans="2:13" hidden="1" x14ac:dyDescent="0.25">
      <c r="B23" s="8">
        <v>805220260008</v>
      </c>
      <c r="C23" s="8" t="s">
        <v>41</v>
      </c>
      <c r="D23" s="1" t="s">
        <v>21</v>
      </c>
      <c r="E23" s="1" t="str">
        <f>RIGHT(Table134[[#This Row],[PROJECT TITLE]],6)</f>
        <v>LD0465</v>
      </c>
      <c r="F23" s="10" t="s">
        <v>29</v>
      </c>
      <c r="G23" s="13" t="str">
        <f>VLOOKUP(Table134[[#This Row],[Eq No]],[1]!Table3[[Eq.No.]:[FY23/34 Acq. Status]],2,FALSE)</f>
        <v>Nch 3 Elect</v>
      </c>
      <c r="H23" s="12">
        <f>VLOOKUP(Table134[[#This Row],[Eq No]],[1]!Table3[[Eq.No.]:[FY23/34 Acq. Status]],3,FALSE)</f>
        <v>2017</v>
      </c>
      <c r="I23" s="13" t="str">
        <f>VLOOKUP(Table134[[#This Row],[Eq No]],[1]!Table3[[Eq.No.]:[FY23/34 Acq. Status]],12,FALSE)</f>
        <v>2.45 D-4D, D/C</v>
      </c>
      <c r="J23" s="13" t="str">
        <f>VLOOKUP(Table134[[#This Row],[Eq No]],[1]!Table3[[Eq.No.]:[FY23/34 Acq. Status]],17,FALSE)</f>
        <v>L/Cruiser 4x4 (Converted to UG Spec)</v>
      </c>
      <c r="K23" s="2">
        <v>2911697.6168799996</v>
      </c>
      <c r="L23" s="2">
        <v>0</v>
      </c>
      <c r="M23" s="2">
        <v>0</v>
      </c>
    </row>
    <row r="24" spans="2:13" x14ac:dyDescent="0.25">
      <c r="B24" s="1">
        <v>807120250009</v>
      </c>
      <c r="C24" s="1" t="s">
        <v>42</v>
      </c>
      <c r="D24" s="1" t="s">
        <v>21</v>
      </c>
      <c r="E24" s="1" t="str">
        <f>RIGHT(Table134[[#This Row],[PROJECT TITLE]],6)</f>
        <v>LD0453</v>
      </c>
      <c r="F24" s="10" t="s">
        <v>43</v>
      </c>
      <c r="G24" s="13" t="str">
        <f>VLOOKUP(Table134[[#This Row],[Eq No]],[1]!Table3[[Eq.No.]:[FY23/34 Acq. Status]],2,FALSE)</f>
        <v>Gloria U/G</v>
      </c>
      <c r="H24" s="12">
        <f>VLOOKUP(Table134[[#This Row],[Eq No]],[1]!Table3[[Eq.No.]:[FY23/34 Acq. Status]],3,FALSE)</f>
        <v>2018</v>
      </c>
      <c r="I24" s="13" t="str">
        <f>VLOOKUP(Table134[[#This Row],[Eq No]],[1]!Table3[[Eq.No.]:[FY23/34 Acq. Status]],12,FALSE)</f>
        <v>Maverick D/C</v>
      </c>
      <c r="J24" s="13" t="str">
        <f>VLOOKUP(Table134[[#This Row],[Eq No]],[1]!Table3[[Eq.No.]:[FY23/34 Acq. Status]],17,FALSE)</f>
        <v>L/Cruiser 4x4 (Converted to UG Spec)</v>
      </c>
      <c r="K24" s="2">
        <v>2761718</v>
      </c>
      <c r="L24" s="2">
        <v>0</v>
      </c>
      <c r="M24" s="2">
        <v>0</v>
      </c>
    </row>
    <row r="25" spans="2:13" x14ac:dyDescent="0.25">
      <c r="B25" s="1">
        <v>807120250010</v>
      </c>
      <c r="C25" s="1" t="s">
        <v>44</v>
      </c>
      <c r="D25" s="1" t="s">
        <v>21</v>
      </c>
      <c r="E25" s="1" t="str">
        <f>RIGHT(Table134[[#This Row],[PROJECT TITLE]],6)</f>
        <v>LD0517</v>
      </c>
      <c r="F25" s="10" t="s">
        <v>43</v>
      </c>
      <c r="G25" s="13" t="str">
        <f>VLOOKUP(Table134[[#This Row],[Eq No]],[1]!Table3[[Eq.No.]:[FY23/34 Acq. Status]],2,FALSE)</f>
        <v>Gloria U/G</v>
      </c>
      <c r="H25" s="12">
        <f>VLOOKUP(Table134[[#This Row],[Eq No]],[1]!Table3[[Eq.No.]:[FY23/34 Acq. Status]],3,FALSE)</f>
        <v>2018</v>
      </c>
      <c r="I25" s="13" t="str">
        <f>VLOOKUP(Table134[[#This Row],[Eq No]],[1]!Table3[[Eq.No.]:[FY23/34 Acq. Status]],12,FALSE)</f>
        <v>Maverick D/C</v>
      </c>
      <c r="J25" s="13" t="str">
        <f>VLOOKUP(Table134[[#This Row],[Eq No]],[1]!Table3[[Eq.No.]:[FY23/34 Acq. Status]],17,FALSE)</f>
        <v>L/Cruiser 4x4 (Converted to UG Spec)</v>
      </c>
      <c r="K25" s="2">
        <v>2761718</v>
      </c>
      <c r="L25" s="2">
        <v>0</v>
      </c>
      <c r="M25" s="2">
        <v>0</v>
      </c>
    </row>
    <row r="26" spans="2:13" x14ac:dyDescent="0.25">
      <c r="B26" s="1">
        <v>807120260006</v>
      </c>
      <c r="C26" s="1" t="s">
        <v>45</v>
      </c>
      <c r="D26" s="1" t="s">
        <v>39</v>
      </c>
      <c r="E26" s="1" t="str">
        <f>RIGHT(Table134[[#This Row],[PROJECT TITLE]],6)</f>
        <v>DT0105</v>
      </c>
      <c r="F26" s="10" t="s">
        <v>43</v>
      </c>
      <c r="G26" s="13" t="str">
        <f>VLOOKUP(Table134[[#This Row],[Eq No]],[1]!Table3[[Eq.No.]:[FY23/34 Acq. Status]],2,FALSE)</f>
        <v>Gloria U/G</v>
      </c>
      <c r="H26" s="12">
        <f>VLOOKUP(Table134[[#This Row],[Eq No]],[1]!Table3[[Eq.No.]:[FY23/34 Acq. Status]],3,FALSE)</f>
        <v>2015</v>
      </c>
      <c r="I26" s="13" t="str">
        <f>VLOOKUP(Table134[[#This Row],[Eq No]],[1]!Table3[[Eq.No.]:[FY23/34 Acq. Status]],12,FALSE)</f>
        <v>MT 436 LP</v>
      </c>
      <c r="J26" s="13" t="str">
        <f>VLOOKUP(Table134[[#This Row],[Eq No]],[1]!Table3[[Eq.No.]:[FY23/34 Acq. Status]],17,FALSE)</f>
        <v>Elphinstone AD30</v>
      </c>
      <c r="K26" s="2">
        <v>20151247.324000001</v>
      </c>
      <c r="L26" s="2">
        <v>0</v>
      </c>
      <c r="M26" s="2">
        <v>0</v>
      </c>
    </row>
    <row r="27" spans="2:13" x14ac:dyDescent="0.25">
      <c r="B27" s="1">
        <v>807120260007</v>
      </c>
      <c r="C27" s="1" t="s">
        <v>46</v>
      </c>
      <c r="D27" s="1" t="s">
        <v>39</v>
      </c>
      <c r="E27" s="1" t="str">
        <f>RIGHT(Table134[[#This Row],[PROJECT TITLE]],6)</f>
        <v>DT0106</v>
      </c>
      <c r="F27" s="10" t="s">
        <v>43</v>
      </c>
      <c r="G27" s="13" t="str">
        <f>VLOOKUP(Table134[[#This Row],[Eq No]],[1]!Table3[[Eq.No.]:[FY23/34 Acq. Status]],2,FALSE)</f>
        <v>Gloria U/G</v>
      </c>
      <c r="H27" s="12">
        <f>VLOOKUP(Table134[[#This Row],[Eq No]],[1]!Table3[[Eq.No.]:[FY23/34 Acq. Status]],3,FALSE)</f>
        <v>2015</v>
      </c>
      <c r="I27" s="13" t="str">
        <f>VLOOKUP(Table134[[#This Row],[Eq No]],[1]!Table3[[Eq.No.]:[FY23/34 Acq. Status]],12,FALSE)</f>
        <v>MT 436 LP</v>
      </c>
      <c r="J27" s="13" t="str">
        <f>VLOOKUP(Table134[[#This Row],[Eq No]],[1]!Table3[[Eq.No.]:[FY23/34 Acq. Status]],17,FALSE)</f>
        <v>Elphinstone AD30</v>
      </c>
      <c r="K27" s="2">
        <v>20151247.324000001</v>
      </c>
      <c r="L27" s="2">
        <v>0</v>
      </c>
      <c r="M27" s="2">
        <v>0</v>
      </c>
    </row>
    <row r="28" spans="2:13" hidden="1" x14ac:dyDescent="0.25">
      <c r="B28" s="1">
        <v>807120260008</v>
      </c>
      <c r="C28" s="1" t="s">
        <v>47</v>
      </c>
      <c r="D28" s="1" t="s">
        <v>21</v>
      </c>
      <c r="E28" s="1" t="str">
        <f>RIGHT(Table134[[#This Row],[PROJECT TITLE]],6)</f>
        <v>LD0330</v>
      </c>
      <c r="F28" s="10" t="s">
        <v>43</v>
      </c>
      <c r="G28" s="13" t="str">
        <f>VLOOKUP(Table134[[#This Row],[Eq No]],[1]!Table3[[Eq.No.]:[FY23/34 Acq. Status]],2,FALSE)</f>
        <v>Hilux Single Cab Hilux SC 2.5</v>
      </c>
      <c r="H28" s="12">
        <f>VLOOKUP(Table134[[#This Row],[Eq No]],[1]!Table3[[Eq.No.]:[FY23/34 Acq. Status]],3,FALSE)</f>
        <v>2014</v>
      </c>
      <c r="I28" s="13" t="str">
        <f>VLOOKUP(Table134[[#This Row],[Eq No]],[1]!Table3[[Eq.No.]:[FY23/34 Acq. Status]],12,FALSE)</f>
        <v>4 x 4 (2.5D)</v>
      </c>
      <c r="J28" s="13" t="str">
        <f>VLOOKUP(Table134[[#This Row],[Eq No]],[1]!Table3[[Eq.No.]:[FY23/34 Acq. Status]],17,FALSE)</f>
        <v>4 x 4 (2.5D)</v>
      </c>
      <c r="K28" s="2">
        <v>1157210.132</v>
      </c>
      <c r="L28" s="2">
        <v>0</v>
      </c>
      <c r="M28" s="2">
        <v>0</v>
      </c>
    </row>
    <row r="29" spans="2:13" hidden="1" x14ac:dyDescent="0.25">
      <c r="B29" s="1">
        <v>807120260009</v>
      </c>
      <c r="C29" s="1" t="s">
        <v>48</v>
      </c>
      <c r="D29" s="1" t="s">
        <v>21</v>
      </c>
      <c r="E29" s="1" t="str">
        <f>RIGHT(Table134[[#This Row],[PROJECT TITLE]],6)</f>
        <v>LD0331</v>
      </c>
      <c r="F29" s="10" t="s">
        <v>43</v>
      </c>
      <c r="G29" s="13" t="str">
        <f>VLOOKUP(Table134[[#This Row],[Eq No]],[1]!Table3[[Eq.No.]:[FY23/34 Acq. Status]],2,FALSE)</f>
        <v>Instumentation Gloria</v>
      </c>
      <c r="H29" s="12">
        <f>VLOOKUP(Table134[[#This Row],[Eq No]],[1]!Table3[[Eq.No.]:[FY23/34 Acq. Status]],3,FALSE)</f>
        <v>2014</v>
      </c>
      <c r="I29" s="13" t="str">
        <f>VLOOKUP(Table134[[#This Row],[Eq No]],[1]!Table3[[Eq.No.]:[FY23/34 Acq. Status]],12,FALSE)</f>
        <v>4 x 4 (2.5D)</v>
      </c>
      <c r="J29" s="13" t="str">
        <f>VLOOKUP(Table134[[#This Row],[Eq No]],[1]!Table3[[Eq.No.]:[FY23/34 Acq. Status]],17,FALSE)</f>
        <v>4 x 4 (2.5D)</v>
      </c>
      <c r="K29" s="2">
        <v>1157210.132</v>
      </c>
      <c r="L29" s="2">
        <v>0</v>
      </c>
      <c r="M29" s="2">
        <v>0</v>
      </c>
    </row>
    <row r="30" spans="2:13" x14ac:dyDescent="0.25">
      <c r="B30" s="1">
        <v>807120260010</v>
      </c>
      <c r="C30" s="1" t="s">
        <v>49</v>
      </c>
      <c r="D30" s="1" t="s">
        <v>21</v>
      </c>
      <c r="E30" s="1" t="str">
        <f>RIGHT(Table134[[#This Row],[PROJECT TITLE]],6)</f>
        <v>LD0344</v>
      </c>
      <c r="F30" s="10" t="s">
        <v>43</v>
      </c>
      <c r="G30" s="13" t="str">
        <f>VLOOKUP(Table134[[#This Row],[Eq No]],[1]!Table3[[Eq.No.]:[FY23/34 Acq. Status]],2,FALSE)</f>
        <v>Replacement L/C Mech</v>
      </c>
      <c r="H30" s="12">
        <f>VLOOKUP(Table134[[#This Row],[Eq No]],[1]!Table3[[Eq.No.]:[FY23/34 Acq. Status]],3,FALSE)</f>
        <v>2014</v>
      </c>
      <c r="I30" s="13" t="str">
        <f>VLOOKUP(Table134[[#This Row],[Eq No]],[1]!Table3[[Eq.No.]:[FY23/34 Acq. Status]],12,FALSE)</f>
        <v>L/C, 4x4, 4.2D</v>
      </c>
      <c r="J30" s="13" t="str">
        <f>VLOOKUP(Table134[[#This Row],[Eq No]],[1]!Table3[[Eq.No.]:[FY23/34 Acq. Status]],17,FALSE)</f>
        <v>L/Cruiser 4x4 (Converted to UG Spec)</v>
      </c>
      <c r="K30" s="2">
        <v>2911697.6168799996</v>
      </c>
      <c r="L30" s="2">
        <v>0</v>
      </c>
      <c r="M30" s="2">
        <v>0</v>
      </c>
    </row>
    <row r="31" spans="2:13" x14ac:dyDescent="0.25">
      <c r="B31" s="1">
        <v>807120260011</v>
      </c>
      <c r="C31" s="1" t="s">
        <v>50</v>
      </c>
      <c r="D31" s="1" t="s">
        <v>21</v>
      </c>
      <c r="E31" s="1" t="str">
        <f>RIGHT(Table134[[#This Row],[PROJECT TITLE]],6)</f>
        <v>LD0425</v>
      </c>
      <c r="F31" s="10" t="s">
        <v>43</v>
      </c>
      <c r="G31" s="13" t="str">
        <f>VLOOKUP(Table134[[#This Row],[Eq No]],[1]!Table3[[Eq.No.]:[FY23/34 Acq. Status]],2,FALSE)</f>
        <v>Gloria U/G</v>
      </c>
      <c r="H31" s="12">
        <f>VLOOKUP(Table134[[#This Row],[Eq No]],[1]!Table3[[Eq.No.]:[FY23/34 Acq. Status]],3,FALSE)</f>
        <v>2017</v>
      </c>
      <c r="I31" s="13" t="str">
        <f>VLOOKUP(Table134[[#This Row],[Eq No]],[1]!Table3[[Eq.No.]:[FY23/34 Acq. Status]],12,FALSE)</f>
        <v>Maverick D/C</v>
      </c>
      <c r="J31" s="13" t="str">
        <f>VLOOKUP(Table134[[#This Row],[Eq No]],[1]!Table3[[Eq.No.]:[FY23/34 Acq. Status]],17,FALSE)</f>
        <v>L/Cruiser 4x4 (Converted to UG Spec)</v>
      </c>
      <c r="K31" s="2">
        <v>2911697.6168799996</v>
      </c>
      <c r="L31" s="2">
        <v>0</v>
      </c>
      <c r="M31" s="2">
        <v>0</v>
      </c>
    </row>
    <row r="32" spans="2:13" hidden="1" x14ac:dyDescent="0.25">
      <c r="B32" s="3" t="s">
        <v>51</v>
      </c>
      <c r="C32" s="1" t="s">
        <v>52</v>
      </c>
      <c r="D32" s="1" t="s">
        <v>10</v>
      </c>
      <c r="E32" s="1" t="str">
        <f>RIGHT(Table134[[#This Row],[PROJECT TITLE]],6)</f>
        <v>BS0028</v>
      </c>
      <c r="F32" s="10" t="s">
        <v>8</v>
      </c>
      <c r="G32" s="13" t="str">
        <f>VLOOKUP(Table134[[#This Row],[Eq No]],[1]!Table3[[Eq.No.]:[FY23/34 Acq. Status]],2,FALSE)</f>
        <v>Pool Transport</v>
      </c>
      <c r="H32" s="12">
        <f>VLOOKUP(Table134[[#This Row],[Eq No]],[1]!Table3[[Eq.No.]:[FY23/34 Acq. Status]],3,FALSE)</f>
        <v>2017</v>
      </c>
      <c r="I32" s="13" t="str">
        <f>VLOOKUP(Table134[[#This Row],[Eq No]],[1]!Table3[[Eq.No.]:[FY23/34 Acq. Status]],12,FALSE)</f>
        <v>Sprinter</v>
      </c>
      <c r="J32" s="13" t="str">
        <f>VLOOKUP(Table134[[#This Row],[Eq No]],[1]!Table3[[Eq.No.]:[FY23/34 Acq. Status]],17,FALSE)</f>
        <v>Sprinter 516 CDI</v>
      </c>
      <c r="K32" s="2">
        <v>0</v>
      </c>
      <c r="L32" s="2">
        <v>0</v>
      </c>
      <c r="M32" s="2">
        <v>1990160.4942191234</v>
      </c>
    </row>
    <row r="33" spans="2:13" hidden="1" x14ac:dyDescent="0.25">
      <c r="B33" s="3" t="s">
        <v>51</v>
      </c>
      <c r="C33" s="4" t="s">
        <v>53</v>
      </c>
      <c r="D33" s="1" t="s">
        <v>12</v>
      </c>
      <c r="E33" s="1" t="str">
        <f>RIGHT(Table134[[#This Row],[PROJECT TITLE]],6)</f>
        <v>CB0025</v>
      </c>
      <c r="F33" s="10" t="s">
        <v>8</v>
      </c>
      <c r="G33" s="13" t="str">
        <f>VLOOKUP(Table134[[#This Row],[Eq No]],[1]!Table3[[Eq.No.]:[FY23/34 Acq. Status]],2,FALSE)</f>
        <v>Proto</v>
      </c>
      <c r="H33" s="12">
        <f>VLOOKUP(Table134[[#This Row],[Eq No]],[1]!Table3[[Eq.No.]:[FY23/34 Acq. Status]],3,FALSE)</f>
        <v>2014</v>
      </c>
      <c r="I33" s="13" t="str">
        <f>VLOOKUP(Table134[[#This Row],[Eq No]],[1]!Table3[[Eq.No.]:[FY23/34 Acq. Status]],12,FALSE)</f>
        <v>Quantum 2.5D-4D</v>
      </c>
      <c r="J33" s="13" t="str">
        <f>VLOOKUP(Table134[[#This Row],[Eq No]],[1]!Table3[[Eq.No.]:[FY23/34 Acq. Status]],17,FALSE)</f>
        <v>Quantum 2.5D-4D</v>
      </c>
      <c r="K33" s="2">
        <v>0</v>
      </c>
      <c r="L33" s="2">
        <v>0</v>
      </c>
      <c r="M33" s="2">
        <v>1672142.5046951747</v>
      </c>
    </row>
    <row r="34" spans="2:13" hidden="1" x14ac:dyDescent="0.25">
      <c r="B34" s="3" t="s">
        <v>51</v>
      </c>
      <c r="C34" s="4" t="s">
        <v>54</v>
      </c>
      <c r="D34" s="1" t="s">
        <v>12</v>
      </c>
      <c r="E34" s="1" t="str">
        <f>RIGHT(Table134[[#This Row],[PROJECT TITLE]],6)</f>
        <v>CB0030</v>
      </c>
      <c r="F34" s="10" t="s">
        <v>8</v>
      </c>
      <c r="G34" s="13" t="str">
        <f>VLOOKUP(Table134[[#This Row],[Eq No]],[1]!Table3[[Eq.No.]:[FY23/34 Acq. Status]],2,FALSE)</f>
        <v>Pool Transport</v>
      </c>
      <c r="H34" s="12">
        <f>VLOOKUP(Table134[[#This Row],[Eq No]],[1]!Table3[[Eq.No.]:[FY23/34 Acq. Status]],3,FALSE)</f>
        <v>2017</v>
      </c>
      <c r="I34" s="13" t="str">
        <f>VLOOKUP(Table134[[#This Row],[Eq No]],[1]!Table3[[Eq.No.]:[FY23/34 Acq. Status]],12,FALSE)</f>
        <v>Quantum Mini Bus 14St</v>
      </c>
      <c r="J34" s="13" t="str">
        <f>VLOOKUP(Table134[[#This Row],[Eq No]],[1]!Table3[[Eq.No.]:[FY23/34 Acq. Status]],17,FALSE)</f>
        <v>Quantum Mini Bus 14St</v>
      </c>
      <c r="K34" s="2">
        <v>0</v>
      </c>
      <c r="L34" s="2">
        <v>1620206.1291006159</v>
      </c>
      <c r="M34" s="2">
        <v>0</v>
      </c>
    </row>
    <row r="35" spans="2:13" hidden="1" x14ac:dyDescent="0.25">
      <c r="B35" s="3" t="s">
        <v>51</v>
      </c>
      <c r="C35" s="4" t="s">
        <v>55</v>
      </c>
      <c r="D35" s="1" t="s">
        <v>12</v>
      </c>
      <c r="E35" s="1" t="str">
        <f>RIGHT(Table134[[#This Row],[PROJECT TITLE]],6)</f>
        <v>CB0033</v>
      </c>
      <c r="F35" s="10" t="s">
        <v>8</v>
      </c>
      <c r="G35" s="13" t="str">
        <f>VLOOKUP(Table134[[#This Row],[Eq No]],[1]!Table3[[Eq.No.]:[FY23/34 Acq. Status]],2,FALSE)</f>
        <v>Pool Transport</v>
      </c>
      <c r="H35" s="12">
        <f>VLOOKUP(Table134[[#This Row],[Eq No]],[1]!Table3[[Eq.No.]:[FY23/34 Acq. Status]],3,FALSE)</f>
        <v>2018</v>
      </c>
      <c r="I35" s="13" t="str">
        <f>VLOOKUP(Table134[[#This Row],[Eq No]],[1]!Table3[[Eq.No.]:[FY23/34 Acq. Status]],12,FALSE)</f>
        <v>Quantum Mini Bus 10St</v>
      </c>
      <c r="J35" s="13" t="str">
        <f>VLOOKUP(Table134[[#This Row],[Eq No]],[1]!Table3[[Eq.No.]:[FY23/34 Acq. Status]],17,FALSE)</f>
        <v>Quantum Mini Bus 10St</v>
      </c>
      <c r="K35" s="2">
        <v>0</v>
      </c>
      <c r="L35" s="2">
        <v>1620206.1291006159</v>
      </c>
      <c r="M35" s="2">
        <v>0</v>
      </c>
    </row>
    <row r="36" spans="2:13" hidden="1" x14ac:dyDescent="0.25">
      <c r="B36" s="3" t="s">
        <v>51</v>
      </c>
      <c r="C36" s="4" t="s">
        <v>56</v>
      </c>
      <c r="D36" s="1" t="s">
        <v>57</v>
      </c>
      <c r="E36" s="1" t="str">
        <f>RIGHT(Table134[[#This Row],[PROJECT TITLE]],6)</f>
        <v>CD0011</v>
      </c>
      <c r="F36" s="10" t="s">
        <v>8</v>
      </c>
      <c r="G36" s="13" t="str">
        <f>VLOOKUP(Table134[[#This Row],[Eq No]],[1]!Table3[[Eq.No.]:[FY23/34 Acq. Status]],2,FALSE)</f>
        <v>Pool Transport</v>
      </c>
      <c r="H36" s="12">
        <f>VLOOKUP(Table134[[#This Row],[Eq No]],[1]!Table3[[Eq.No.]:[FY23/34 Acq. Status]],3,FALSE)</f>
        <v>2018</v>
      </c>
      <c r="I36" s="13" t="str">
        <f>VLOOKUP(Table134[[#This Row],[Eq No]],[1]!Table3[[Eq.No.]:[FY23/34 Acq. Status]],12,FALSE)</f>
        <v>Avanza 1.5 TX</v>
      </c>
      <c r="J36" s="13" t="str">
        <f>VLOOKUP(Table134[[#This Row],[Eq No]],[1]!Table3[[Eq.No.]:[FY23/34 Acq. Status]],17,FALSE)</f>
        <v>Avanza 1.5 SX</v>
      </c>
      <c r="K36" s="2">
        <v>0</v>
      </c>
      <c r="L36" s="2">
        <v>0</v>
      </c>
      <c r="M36" s="2">
        <v>874000.65379999997</v>
      </c>
    </row>
    <row r="37" spans="2:13" hidden="1" x14ac:dyDescent="0.25">
      <c r="B37" s="3" t="s">
        <v>51</v>
      </c>
      <c r="C37" s="4" t="s">
        <v>58</v>
      </c>
      <c r="D37" s="1" t="s">
        <v>57</v>
      </c>
      <c r="E37" s="1" t="str">
        <f>RIGHT(Table134[[#This Row],[PROJECT TITLE]],6)</f>
        <v>CD0012</v>
      </c>
      <c r="F37" s="10" t="s">
        <v>8</v>
      </c>
      <c r="G37" s="13" t="str">
        <f>VLOOKUP(Table134[[#This Row],[Eq No]],[1]!Table3[[Eq.No.]:[FY23/34 Acq. Status]],2,FALSE)</f>
        <v>Pool Transport</v>
      </c>
      <c r="H37" s="12">
        <f>VLOOKUP(Table134[[#This Row],[Eq No]],[1]!Table3[[Eq.No.]:[FY23/34 Acq. Status]],3,FALSE)</f>
        <v>2018</v>
      </c>
      <c r="I37" s="13" t="str">
        <f>VLOOKUP(Table134[[#This Row],[Eq No]],[1]!Table3[[Eq.No.]:[FY23/34 Acq. Status]],12,FALSE)</f>
        <v>Avanza 1.5 TX</v>
      </c>
      <c r="J37" s="13" t="str">
        <f>VLOOKUP(Table134[[#This Row],[Eq No]],[1]!Table3[[Eq.No.]:[FY23/34 Acq. Status]],17,FALSE)</f>
        <v>Avanza 1.5 SX</v>
      </c>
      <c r="K37" s="2">
        <v>0</v>
      </c>
      <c r="L37" s="2">
        <v>0</v>
      </c>
      <c r="M37" s="2">
        <v>874000.65379999997</v>
      </c>
    </row>
    <row r="38" spans="2:13" hidden="1" x14ac:dyDescent="0.25">
      <c r="B38" s="3" t="s">
        <v>51</v>
      </c>
      <c r="C38" s="4" t="s">
        <v>59</v>
      </c>
      <c r="D38" s="1" t="s">
        <v>15</v>
      </c>
      <c r="E38" s="1" t="str">
        <f>RIGHT(Table134[[#This Row],[PROJECT TITLE]],6)</f>
        <v>CR0107</v>
      </c>
      <c r="F38" s="10" t="s">
        <v>8</v>
      </c>
      <c r="G38" s="13" t="str">
        <f>VLOOKUP(Table134[[#This Row],[Eq No]],[1]!Table3[[Eq.No.]:[FY23/34 Acq. Status]],2,FALSE)</f>
        <v>BR Stores</v>
      </c>
      <c r="H38" s="12">
        <f>VLOOKUP(Table134[[#This Row],[Eq No]],[1]!Table3[[Eq.No.]:[FY23/34 Acq. Status]],3,FALSE)</f>
        <v>2014</v>
      </c>
      <c r="I38" s="13" t="str">
        <f>VLOOKUP(Table134[[#This Row],[Eq No]],[1]!Table3[[Eq.No.]:[FY23/34 Acq. Status]],12,FALSE)</f>
        <v>MHT-X 10120 L</v>
      </c>
      <c r="J38" s="13" t="str">
        <f>VLOOKUP(Table134[[#This Row],[Eq No]],[1]!Table3[[Eq.No.]:[FY23/34 Acq. Status]],17,FALSE)</f>
        <v>MHT-X 10120 L</v>
      </c>
      <c r="K38" s="2">
        <v>0</v>
      </c>
      <c r="L38" s="2">
        <v>13969014.279429123</v>
      </c>
      <c r="M38" s="2">
        <v>0</v>
      </c>
    </row>
    <row r="39" spans="2:13" hidden="1" x14ac:dyDescent="0.25">
      <c r="B39" s="3" t="s">
        <v>51</v>
      </c>
      <c r="C39" s="4" t="s">
        <v>60</v>
      </c>
      <c r="D39" s="1" t="s">
        <v>15</v>
      </c>
      <c r="E39" s="1" t="str">
        <f>RIGHT(Table134[[#This Row],[PROJECT TITLE]],6)</f>
        <v>CR0121</v>
      </c>
      <c r="F39" s="10" t="s">
        <v>8</v>
      </c>
      <c r="G39" s="13" t="str">
        <f>VLOOKUP(Table134[[#This Row],[Eq No]],[1]!Table3[[Eq.No.]:[FY23/34 Acq. Status]],2,FALSE)</f>
        <v>BR Stores</v>
      </c>
      <c r="H39" s="12">
        <f>VLOOKUP(Table134[[#This Row],[Eq No]],[1]!Table3[[Eq.No.]:[FY23/34 Acq. Status]],3,FALSE)</f>
        <v>2015</v>
      </c>
      <c r="I39" s="13" t="str">
        <f>VLOOKUP(Table134[[#This Row],[Eq No]],[1]!Table3[[Eq.No.]:[FY23/34 Acq. Status]],12,FALSE)</f>
        <v>MHT-X 780</v>
      </c>
      <c r="J39" s="13" t="str">
        <f>VLOOKUP(Table134[[#This Row],[Eq No]],[1]!Table3[[Eq.No.]:[FY23/34 Acq. Status]],17,FALSE)</f>
        <v>MHT-X 780</v>
      </c>
      <c r="K39" s="2">
        <v>0</v>
      </c>
      <c r="L39" s="2">
        <v>0</v>
      </c>
      <c r="M39" s="2">
        <v>11988921.38066224</v>
      </c>
    </row>
    <row r="40" spans="2:13" hidden="1" x14ac:dyDescent="0.25">
      <c r="B40" s="3" t="s">
        <v>51</v>
      </c>
      <c r="C40" s="4" t="s">
        <v>61</v>
      </c>
      <c r="D40" s="1" t="s">
        <v>15</v>
      </c>
      <c r="E40" s="1" t="str">
        <f>RIGHT(Table134[[#This Row],[PROJECT TITLE]],6)</f>
        <v>CR0145</v>
      </c>
      <c r="F40" s="10" t="s">
        <v>8</v>
      </c>
      <c r="G40" s="13" t="str">
        <f>VLOOKUP(Table134[[#This Row],[Eq No]],[1]!Table3[[Eq.No.]:[FY23/34 Acq. Status]],2,FALSE)</f>
        <v>BR Stores</v>
      </c>
      <c r="H40" s="12">
        <f>VLOOKUP(Table134[[#This Row],[Eq No]],[1]!Table3[[Eq.No.]:[FY23/34 Acq. Status]],3,FALSE)</f>
        <v>2016</v>
      </c>
      <c r="I40" s="13" t="str">
        <f>VLOOKUP(Table134[[#This Row],[Eq No]],[1]!Table3[[Eq.No.]:[FY23/34 Acq. Status]],12,FALSE)</f>
        <v>MT-X 742</v>
      </c>
      <c r="J40" s="13" t="str">
        <f>VLOOKUP(Table134[[#This Row],[Eq No]],[1]!Table3[[Eq.No.]:[FY23/34 Acq. Status]],17,FALSE)</f>
        <v>MT-X 742</v>
      </c>
      <c r="K40" s="2">
        <v>0</v>
      </c>
      <c r="L40" s="2">
        <v>0</v>
      </c>
      <c r="M40" s="2">
        <v>11988921.38066224</v>
      </c>
    </row>
    <row r="41" spans="2:13" hidden="1" x14ac:dyDescent="0.25">
      <c r="B41" s="3" t="s">
        <v>51</v>
      </c>
      <c r="C41" s="4" t="s">
        <v>62</v>
      </c>
      <c r="D41" s="1" t="s">
        <v>21</v>
      </c>
      <c r="E41" s="1" t="str">
        <f>RIGHT(Table134[[#This Row],[PROJECT TITLE]],6)</f>
        <v>LD0239</v>
      </c>
      <c r="F41" s="10" t="s">
        <v>8</v>
      </c>
      <c r="G41" s="13" t="str">
        <f>VLOOKUP(Table134[[#This Row],[Eq No]],[1]!Table3[[Eq.No.]:[FY23/34 Acq. Status]],2,FALSE)</f>
        <v>BRMO</v>
      </c>
      <c r="H41" s="12">
        <f>VLOOKUP(Table134[[#This Row],[Eq No]],[1]!Table3[[Eq.No.]:[FY23/34 Acq. Status]],3,FALSE)</f>
        <v>2010</v>
      </c>
      <c r="I41" s="13" t="str">
        <f>VLOOKUP(Table134[[#This Row],[Eq No]],[1]!Table3[[Eq.No.]:[FY23/34 Acq. Status]],12,FALSE)</f>
        <v>2.5D 4x4</v>
      </c>
      <c r="J41" s="13" t="str">
        <f>VLOOKUP(Table134[[#This Row],[Eq No]],[1]!Table3[[Eq.No.]:[FY23/34 Acq. Status]],17,FALSE)</f>
        <v>L/Cruiser 4x4 (Converted to UG Spec)</v>
      </c>
      <c r="K41" s="2">
        <v>0</v>
      </c>
      <c r="L41" s="2">
        <v>3643512.1748480005</v>
      </c>
      <c r="M41" s="2">
        <v>0</v>
      </c>
    </row>
    <row r="42" spans="2:13" hidden="1" x14ac:dyDescent="0.25">
      <c r="B42" s="3" t="s">
        <v>51</v>
      </c>
      <c r="C42" s="4" t="s">
        <v>63</v>
      </c>
      <c r="D42" s="1" t="s">
        <v>21</v>
      </c>
      <c r="E42" s="1" t="str">
        <f>RIGHT(Table134[[#This Row],[PROJECT TITLE]],6)</f>
        <v>LD0252</v>
      </c>
      <c r="F42" s="10" t="s">
        <v>8</v>
      </c>
      <c r="G42" s="13" t="str">
        <f>VLOOKUP(Table134[[#This Row],[Eq No]],[1]!Table3[[Eq.No.]:[FY23/34 Acq. Status]],2,FALSE)</f>
        <v>Environmental</v>
      </c>
      <c r="H42" s="12">
        <f>VLOOKUP(Table134[[#This Row],[Eq No]],[1]!Table3[[Eq.No.]:[FY23/34 Acq. Status]],3,FALSE)</f>
        <v>2010</v>
      </c>
      <c r="I42" s="13" t="str">
        <f>VLOOKUP(Table134[[#This Row],[Eq No]],[1]!Table3[[Eq.No.]:[FY23/34 Acq. Status]],12,FALSE)</f>
        <v>2.5D 4x4</v>
      </c>
      <c r="J42" s="13" t="str">
        <f>VLOOKUP(Table134[[#This Row],[Eq No]],[1]!Table3[[Eq.No.]:[FY23/34 Acq. Status]],17,FALSE)</f>
        <v>4 x 4 (2.5D)</v>
      </c>
      <c r="K42" s="2">
        <v>0</v>
      </c>
      <c r="L42" s="2">
        <v>0</v>
      </c>
      <c r="M42" s="2">
        <v>1239840.3537999999</v>
      </c>
    </row>
    <row r="43" spans="2:13" hidden="1" x14ac:dyDescent="0.25">
      <c r="B43" s="3" t="s">
        <v>51</v>
      </c>
      <c r="C43" s="4" t="s">
        <v>64</v>
      </c>
      <c r="D43" s="1" t="s">
        <v>21</v>
      </c>
      <c r="E43" s="1" t="str">
        <f>RIGHT(Table134[[#This Row],[PROJECT TITLE]],6)</f>
        <v>LD0253</v>
      </c>
      <c r="F43" s="10" t="s">
        <v>8</v>
      </c>
      <c r="G43" s="13" t="str">
        <f>VLOOKUP(Table134[[#This Row],[Eq No]],[1]!Table3[[Eq.No.]:[FY23/34 Acq. Status]],2,FALSE)</f>
        <v>Geologist,MRM</v>
      </c>
      <c r="H43" s="12">
        <f>VLOOKUP(Table134[[#This Row],[Eq No]],[1]!Table3[[Eq.No.]:[FY23/34 Acq. Status]],3,FALSE)</f>
        <v>2010</v>
      </c>
      <c r="I43" s="13" t="str">
        <f>VLOOKUP(Table134[[#This Row],[Eq No]],[1]!Table3[[Eq.No.]:[FY23/34 Acq. Status]],12,FALSE)</f>
        <v>2.5D 4x4</v>
      </c>
      <c r="J43" s="13" t="str">
        <f>VLOOKUP(Table134[[#This Row],[Eq No]],[1]!Table3[[Eq.No.]:[FY23/34 Acq. Status]],17,FALSE)</f>
        <v>4 x 4 (2.5D)</v>
      </c>
      <c r="K43" s="2">
        <v>0</v>
      </c>
      <c r="L43" s="2">
        <v>0</v>
      </c>
      <c r="M43" s="2">
        <v>1239840.3537999999</v>
      </c>
    </row>
    <row r="44" spans="2:13" hidden="1" x14ac:dyDescent="0.25">
      <c r="B44" s="3" t="s">
        <v>51</v>
      </c>
      <c r="C44" s="4" t="s">
        <v>65</v>
      </c>
      <c r="D44" s="1" t="s">
        <v>21</v>
      </c>
      <c r="E44" s="1" t="str">
        <f>RIGHT(Table134[[#This Row],[PROJECT TITLE]],6)</f>
        <v>LD0256</v>
      </c>
      <c r="F44" s="10" t="s">
        <v>8</v>
      </c>
      <c r="G44" s="13" t="str">
        <f>VLOOKUP(Table134[[#This Row],[Eq No]],[1]!Table3[[Eq.No.]:[FY23/34 Acq. Status]],2,FALSE)</f>
        <v>Training Centre N3</v>
      </c>
      <c r="H44" s="12">
        <f>VLOOKUP(Table134[[#This Row],[Eq No]],[1]!Table3[[Eq.No.]:[FY23/34 Acq. Status]],3,FALSE)</f>
        <v>2011</v>
      </c>
      <c r="I44" s="13" t="str">
        <f>VLOOKUP(Table134[[#This Row],[Eq No]],[1]!Table3[[Eq.No.]:[FY23/34 Acq. Status]],12,FALSE)</f>
        <v>2.5D 4x4</v>
      </c>
      <c r="J44" s="13" t="str">
        <f>VLOOKUP(Table134[[#This Row],[Eq No]],[1]!Table3[[Eq.No.]:[FY23/34 Acq. Status]],17,FALSE)</f>
        <v>L/Cruiser 4x4 (Converted to UG Spec)</v>
      </c>
      <c r="K44" s="2">
        <v>0</v>
      </c>
      <c r="L44" s="2">
        <v>0</v>
      </c>
      <c r="M44" s="2">
        <v>3760306.4600920002</v>
      </c>
    </row>
    <row r="45" spans="2:13" hidden="1" x14ac:dyDescent="0.25">
      <c r="B45" s="3" t="s">
        <v>51</v>
      </c>
      <c r="C45" s="4" t="s">
        <v>66</v>
      </c>
      <c r="D45" s="1" t="s">
        <v>21</v>
      </c>
      <c r="E45" s="1" t="str">
        <f>RIGHT(Table134[[#This Row],[PROJECT TITLE]],6)</f>
        <v>LD0259</v>
      </c>
      <c r="F45" s="10" t="s">
        <v>8</v>
      </c>
      <c r="G45" s="13" t="str">
        <f>VLOOKUP(Table134[[#This Row],[Eq No]],[1]!Table3[[Eq.No.]:[FY23/34 Acq. Status]],2,FALSE)</f>
        <v>BR Services - Salvage yard</v>
      </c>
      <c r="H45" s="12">
        <f>VLOOKUP(Table134[[#This Row],[Eq No]],[1]!Table3[[Eq.No.]:[FY23/34 Acq. Status]],3,FALSE)</f>
        <v>2011</v>
      </c>
      <c r="I45" s="13" t="str">
        <f>VLOOKUP(Table134[[#This Row],[Eq No]],[1]!Table3[[Eq.No.]:[FY23/34 Acq. Status]],12,FALSE)</f>
        <v>2.5D 4x4</v>
      </c>
      <c r="J45" s="13" t="str">
        <f>VLOOKUP(Table134[[#This Row],[Eq No]],[1]!Table3[[Eq.No.]:[FY23/34 Acq. Status]],17,FALSE)</f>
        <v>4 x 2 (2.5D) SRX</v>
      </c>
      <c r="K45" s="2">
        <v>0</v>
      </c>
      <c r="L45" s="2">
        <v>1167311.3472</v>
      </c>
      <c r="M45" s="2">
        <v>0</v>
      </c>
    </row>
    <row r="46" spans="2:13" hidden="1" x14ac:dyDescent="0.25">
      <c r="B46" s="3" t="s">
        <v>51</v>
      </c>
      <c r="C46" s="4" t="s">
        <v>67</v>
      </c>
      <c r="D46" s="1" t="s">
        <v>21</v>
      </c>
      <c r="E46" s="1" t="str">
        <f>RIGHT(Table134[[#This Row],[PROJECT TITLE]],6)</f>
        <v>LD0269</v>
      </c>
      <c r="F46" s="10" t="s">
        <v>8</v>
      </c>
      <c r="G46" s="13" t="str">
        <f>VLOOKUP(Table134[[#This Row],[Eq No]],[1]!Table3[[Eq.No.]:[FY23/34 Acq. Status]],2,FALSE)</f>
        <v>IT</v>
      </c>
      <c r="H46" s="12">
        <f>VLOOKUP(Table134[[#This Row],[Eq No]],[1]!Table3[[Eq.No.]:[FY23/34 Acq. Status]],3,FALSE)</f>
        <v>2011</v>
      </c>
      <c r="I46" s="13" t="str">
        <f>VLOOKUP(Table134[[#This Row],[Eq No]],[1]!Table3[[Eq.No.]:[FY23/34 Acq. Status]],12,FALSE)</f>
        <v>2.5D 4x4</v>
      </c>
      <c r="J46" s="13" t="str">
        <f>VLOOKUP(Table134[[#This Row],[Eq No]],[1]!Table3[[Eq.No.]:[FY23/34 Acq. Status]],17,FALSE)</f>
        <v>4 x 4 (2.5D)</v>
      </c>
      <c r="K46" s="2">
        <v>0</v>
      </c>
      <c r="L46" s="2">
        <v>1201331.1872</v>
      </c>
      <c r="M46" s="2">
        <v>0</v>
      </c>
    </row>
    <row r="47" spans="2:13" hidden="1" x14ac:dyDescent="0.25">
      <c r="B47" s="3" t="s">
        <v>51</v>
      </c>
      <c r="C47" s="4" t="s">
        <v>68</v>
      </c>
      <c r="D47" s="1" t="s">
        <v>21</v>
      </c>
      <c r="E47" s="1" t="str">
        <f>RIGHT(Table134[[#This Row],[PROJECT TITLE]],6)</f>
        <v>LD0270</v>
      </c>
      <c r="F47" s="10" t="s">
        <v>8</v>
      </c>
      <c r="G47" s="13" t="str">
        <f>VLOOKUP(Table134[[#This Row],[Eq No]],[1]!Table3[[Eq.No.]:[FY23/34 Acq. Status]],2,FALSE)</f>
        <v>Serveyors</v>
      </c>
      <c r="H47" s="12">
        <f>VLOOKUP(Table134[[#This Row],[Eq No]],[1]!Table3[[Eq.No.]:[FY23/34 Acq. Status]],3,FALSE)</f>
        <v>2011</v>
      </c>
      <c r="I47" s="13" t="str">
        <f>VLOOKUP(Table134[[#This Row],[Eq No]],[1]!Table3[[Eq.No.]:[FY23/34 Acq. Status]],12,FALSE)</f>
        <v>2.5D 4x4</v>
      </c>
      <c r="J47" s="13" t="str">
        <f>VLOOKUP(Table134[[#This Row],[Eq No]],[1]!Table3[[Eq.No.]:[FY23/34 Acq. Status]],17,FALSE)</f>
        <v>4 x 4 (2.5D)</v>
      </c>
      <c r="K47" s="2">
        <v>0</v>
      </c>
      <c r="L47" s="2">
        <v>1201331.1872</v>
      </c>
      <c r="M47" s="2">
        <v>0</v>
      </c>
    </row>
    <row r="48" spans="2:13" hidden="1" x14ac:dyDescent="0.25">
      <c r="B48" s="3" t="s">
        <v>51</v>
      </c>
      <c r="C48" s="4" t="s">
        <v>69</v>
      </c>
      <c r="D48" s="1" t="s">
        <v>21</v>
      </c>
      <c r="E48" s="1" t="str">
        <f>RIGHT(Table134[[#This Row],[PROJECT TITLE]],6)</f>
        <v>LD0273</v>
      </c>
      <c r="F48" s="10" t="s">
        <v>8</v>
      </c>
      <c r="G48" s="13" t="str">
        <f>VLOOKUP(Table134[[#This Row],[Eq No]],[1]!Table3[[Eq.No.]:[FY23/34 Acq. Status]],2,FALSE)</f>
        <v>Geologist,MRM</v>
      </c>
      <c r="H48" s="12">
        <f>VLOOKUP(Table134[[#This Row],[Eq No]],[1]!Table3[[Eq.No.]:[FY23/34 Acq. Status]],3,FALSE)</f>
        <v>2012</v>
      </c>
      <c r="I48" s="13" t="str">
        <f>VLOOKUP(Table134[[#This Row],[Eq No]],[1]!Table3[[Eq.No.]:[FY23/34 Acq. Status]],12,FALSE)</f>
        <v>2.5D 4x4</v>
      </c>
      <c r="J48" s="13" t="str">
        <f>VLOOKUP(Table134[[#This Row],[Eq No]],[1]!Table3[[Eq.No.]:[FY23/34 Acq. Status]],17,FALSE)</f>
        <v>4 x 4 (2.5D)</v>
      </c>
      <c r="K48" s="2">
        <v>0</v>
      </c>
      <c r="L48" s="2">
        <v>1201331.1872</v>
      </c>
      <c r="M48" s="2">
        <v>0</v>
      </c>
    </row>
    <row r="49" spans="2:13" hidden="1" x14ac:dyDescent="0.25">
      <c r="B49" s="3" t="s">
        <v>51</v>
      </c>
      <c r="C49" s="4" t="s">
        <v>70</v>
      </c>
      <c r="D49" s="1" t="s">
        <v>21</v>
      </c>
      <c r="E49" s="1" t="str">
        <f>RIGHT(Table134[[#This Row],[PROJECT TITLE]],6)</f>
        <v>LD0274</v>
      </c>
      <c r="F49" s="10" t="s">
        <v>8</v>
      </c>
      <c r="G49" s="13" t="str">
        <f>VLOOKUP(Table134[[#This Row],[Eq No]],[1]!Table3[[Eq.No.]:[FY23/34 Acq. Status]],2,FALSE)</f>
        <v>Safety</v>
      </c>
      <c r="H49" s="12">
        <f>VLOOKUP(Table134[[#This Row],[Eq No]],[1]!Table3[[Eq.No.]:[FY23/34 Acq. Status]],3,FALSE)</f>
        <v>2012</v>
      </c>
      <c r="I49" s="13" t="str">
        <f>VLOOKUP(Table134[[#This Row],[Eq No]],[1]!Table3[[Eq.No.]:[FY23/34 Acq. Status]],12,FALSE)</f>
        <v>2.5D 4x4</v>
      </c>
      <c r="J49" s="13" t="str">
        <f>VLOOKUP(Table134[[#This Row],[Eq No]],[1]!Table3[[Eq.No.]:[FY23/34 Acq. Status]],17,FALSE)</f>
        <v>4 x 4 (2.5D)</v>
      </c>
      <c r="K49" s="2">
        <v>0</v>
      </c>
      <c r="L49" s="2">
        <v>1201331.1872</v>
      </c>
      <c r="M49" s="2">
        <v>0</v>
      </c>
    </row>
    <row r="50" spans="2:13" hidden="1" x14ac:dyDescent="0.25">
      <c r="B50" s="3" t="s">
        <v>51</v>
      </c>
      <c r="C50" s="4" t="s">
        <v>71</v>
      </c>
      <c r="D50" s="1" t="s">
        <v>21</v>
      </c>
      <c r="E50" s="1" t="str">
        <f>RIGHT(Table134[[#This Row],[PROJECT TITLE]],6)</f>
        <v>LD0294</v>
      </c>
      <c r="F50" s="10" t="s">
        <v>8</v>
      </c>
      <c r="G50" s="13" t="str">
        <f>VLOOKUP(Table134[[#This Row],[Eq No]],[1]!Table3[[Eq.No.]:[FY23/34 Acq. Status]],2,FALSE)</f>
        <v>Port Elizabeth - Port Logistics</v>
      </c>
      <c r="H50" s="12">
        <f>VLOOKUP(Table134[[#This Row],[Eq No]],[1]!Table3[[Eq.No.]:[FY23/34 Acq. Status]],3,FALSE)</f>
        <v>2012</v>
      </c>
      <c r="I50" s="13" t="str">
        <f>VLOOKUP(Table134[[#This Row],[Eq No]],[1]!Table3[[Eq.No.]:[FY23/34 Acq. Status]],12,FALSE)</f>
        <v>2.5D 4x4</v>
      </c>
      <c r="J50" s="13" t="str">
        <f>VLOOKUP(Table134[[#This Row],[Eq No]],[1]!Table3[[Eq.No.]:[FY23/34 Acq. Status]],17,FALSE)</f>
        <v>4 x 2, 2.5D S/C</v>
      </c>
      <c r="K50" s="2">
        <v>0</v>
      </c>
      <c r="L50" s="2">
        <v>1167311.3472</v>
      </c>
      <c r="M50" s="2">
        <v>0</v>
      </c>
    </row>
    <row r="51" spans="2:13" hidden="1" x14ac:dyDescent="0.25">
      <c r="B51" s="3" t="s">
        <v>51</v>
      </c>
      <c r="C51" s="4" t="s">
        <v>72</v>
      </c>
      <c r="D51" s="1" t="s">
        <v>21</v>
      </c>
      <c r="E51" s="1" t="str">
        <f>RIGHT(Table134[[#This Row],[PROJECT TITLE]],6)</f>
        <v>LD0301</v>
      </c>
      <c r="F51" s="10" t="s">
        <v>8</v>
      </c>
      <c r="G51" s="13" t="str">
        <f>VLOOKUP(Table134[[#This Row],[Eq No]],[1]!Table3[[Eq.No.]:[FY23/34 Acq. Status]],2,FALSE)</f>
        <v>Geologist,MRM</v>
      </c>
      <c r="H51" s="12">
        <f>VLOOKUP(Table134[[#This Row],[Eq No]],[1]!Table3[[Eq.No.]:[FY23/34 Acq. Status]],3,FALSE)</f>
        <v>2013</v>
      </c>
      <c r="I51" s="13" t="str">
        <f>VLOOKUP(Table134[[#This Row],[Eq No]],[1]!Table3[[Eq.No.]:[FY23/34 Acq. Status]],12,FALSE)</f>
        <v>2.5D 4x4</v>
      </c>
      <c r="J51" s="13" t="str">
        <f>VLOOKUP(Table134[[#This Row],[Eq No]],[1]!Table3[[Eq.No.]:[FY23/34 Acq. Status]],17,FALSE)</f>
        <v>4 x 4 (2.5D)</v>
      </c>
      <c r="K51" s="2">
        <v>0</v>
      </c>
      <c r="L51" s="2">
        <v>0</v>
      </c>
      <c r="M51" s="2">
        <v>1239840.3537999999</v>
      </c>
    </row>
    <row r="52" spans="2:13" hidden="1" x14ac:dyDescent="0.25">
      <c r="B52" s="3" t="s">
        <v>51</v>
      </c>
      <c r="C52" s="4" t="s">
        <v>73</v>
      </c>
      <c r="D52" s="1" t="s">
        <v>21</v>
      </c>
      <c r="E52" s="1" t="str">
        <f>RIGHT(Table134[[#This Row],[PROJECT TITLE]],6)</f>
        <v>LD0306</v>
      </c>
      <c r="F52" s="10" t="s">
        <v>8</v>
      </c>
      <c r="G52" s="13" t="str">
        <f>VLOOKUP(Table134[[#This Row],[Eq No]],[1]!Table3[[Eq.No.]:[FY23/34 Acq. Status]],2,FALSE)</f>
        <v>Hygiene</v>
      </c>
      <c r="H52" s="12">
        <f>VLOOKUP(Table134[[#This Row],[Eq No]],[1]!Table3[[Eq.No.]:[FY23/34 Acq. Status]],3,FALSE)</f>
        <v>2013</v>
      </c>
      <c r="I52" s="13" t="str">
        <f>VLOOKUP(Table134[[#This Row],[Eq No]],[1]!Table3[[Eq.No.]:[FY23/34 Acq. Status]],12,FALSE)</f>
        <v>2.5D 4x4</v>
      </c>
      <c r="J52" s="13" t="str">
        <f>VLOOKUP(Table134[[#This Row],[Eq No]],[1]!Table3[[Eq.No.]:[FY23/34 Acq. Status]],17,FALSE)</f>
        <v>4 x 4 (2.5D)</v>
      </c>
      <c r="K52" s="2">
        <v>0</v>
      </c>
      <c r="L52" s="2">
        <v>1201331.1872</v>
      </c>
      <c r="M52" s="2">
        <v>0</v>
      </c>
    </row>
    <row r="53" spans="2:13" hidden="1" x14ac:dyDescent="0.25">
      <c r="B53" s="3" t="s">
        <v>51</v>
      </c>
      <c r="C53" s="4" t="s">
        <v>74</v>
      </c>
      <c r="D53" s="1" t="s">
        <v>21</v>
      </c>
      <c r="E53" s="1" t="str">
        <f>RIGHT(Table134[[#This Row],[PROJECT TITLE]],6)</f>
        <v>LD0333</v>
      </c>
      <c r="F53" s="10" t="s">
        <v>8</v>
      </c>
      <c r="G53" s="13" t="str">
        <f>VLOOKUP(Table134[[#This Row],[Eq No]],[1]!Table3[[Eq.No.]:[FY23/34 Acq. Status]],2,FALSE)</f>
        <v>BR Civils Services</v>
      </c>
      <c r="H53" s="12">
        <f>VLOOKUP(Table134[[#This Row],[Eq No]],[1]!Table3[[Eq.No.]:[FY23/34 Acq. Status]],3,FALSE)</f>
        <v>2014</v>
      </c>
      <c r="I53" s="13" t="str">
        <f>VLOOKUP(Table134[[#This Row],[Eq No]],[1]!Table3[[Eq.No.]:[FY23/34 Acq. Status]],12,FALSE)</f>
        <v>2.5D 4x2</v>
      </c>
      <c r="J53" s="13" t="str">
        <f>VLOOKUP(Table134[[#This Row],[Eq No]],[1]!Table3[[Eq.No.]:[FY23/34 Acq. Status]],17,FALSE)</f>
        <v>4 x 4 (2.5D)</v>
      </c>
      <c r="K53" s="2">
        <v>0</v>
      </c>
      <c r="L53" s="2">
        <v>1201331.1872</v>
      </c>
      <c r="M53" s="2">
        <v>0</v>
      </c>
    </row>
    <row r="54" spans="2:13" hidden="1" x14ac:dyDescent="0.25">
      <c r="B54" s="3" t="s">
        <v>51</v>
      </c>
      <c r="C54" s="4" t="s">
        <v>75</v>
      </c>
      <c r="D54" s="1" t="s">
        <v>21</v>
      </c>
      <c r="E54" s="1" t="str">
        <f>RIGHT(Table134[[#This Row],[PROJECT TITLE]],6)</f>
        <v>LD0335</v>
      </c>
      <c r="F54" s="10" t="s">
        <v>8</v>
      </c>
      <c r="G54" s="13" t="str">
        <f>VLOOKUP(Table134[[#This Row],[Eq No]],[1]!Table3[[Eq.No.]:[FY23/34 Acq. Status]],2,FALSE)</f>
        <v>BR Civils Services</v>
      </c>
      <c r="H54" s="12">
        <f>VLOOKUP(Table134[[#This Row],[Eq No]],[1]!Table3[[Eq.No.]:[FY23/34 Acq. Status]],3,FALSE)</f>
        <v>2014</v>
      </c>
      <c r="I54" s="13" t="str">
        <f>VLOOKUP(Table134[[#This Row],[Eq No]],[1]!Table3[[Eq.No.]:[FY23/34 Acq. Status]],12,FALSE)</f>
        <v>2.5D 4x2</v>
      </c>
      <c r="J54" s="13" t="str">
        <f>VLOOKUP(Table134[[#This Row],[Eq No]],[1]!Table3[[Eq.No.]:[FY23/34 Acq. Status]],17,FALSE)</f>
        <v>4 x 4 (2.5D)</v>
      </c>
      <c r="K54" s="2">
        <v>0</v>
      </c>
      <c r="L54" s="2">
        <v>1201331.1872</v>
      </c>
      <c r="M54" s="2">
        <v>0</v>
      </c>
    </row>
    <row r="55" spans="2:13" hidden="1" x14ac:dyDescent="0.25">
      <c r="B55" s="3" t="s">
        <v>51</v>
      </c>
      <c r="C55" s="4" t="s">
        <v>76</v>
      </c>
      <c r="D55" s="1" t="s">
        <v>21</v>
      </c>
      <c r="E55" s="1" t="str">
        <f>RIGHT(Table134[[#This Row],[PROJECT TITLE]],6)</f>
        <v>LD0336</v>
      </c>
      <c r="F55" s="10" t="s">
        <v>8</v>
      </c>
      <c r="G55" s="13" t="str">
        <f>VLOOKUP(Table134[[#This Row],[Eq No]],[1]!Table3[[Eq.No.]:[FY23/34 Acq. Status]],2,FALSE)</f>
        <v>BR Civils Services</v>
      </c>
      <c r="H55" s="12">
        <f>VLOOKUP(Table134[[#This Row],[Eq No]],[1]!Table3[[Eq.No.]:[FY23/34 Acq. Status]],3,FALSE)</f>
        <v>2014</v>
      </c>
      <c r="I55" s="13" t="str">
        <f>VLOOKUP(Table134[[#This Row],[Eq No]],[1]!Table3[[Eq.No.]:[FY23/34 Acq. Status]],12,FALSE)</f>
        <v>2.5D 4x2</v>
      </c>
      <c r="J55" s="13" t="str">
        <f>VLOOKUP(Table134[[#This Row],[Eq No]],[1]!Table3[[Eq.No.]:[FY23/34 Acq. Status]],17,FALSE)</f>
        <v>4 x 4 (2.5D)</v>
      </c>
      <c r="K55" s="2">
        <v>0</v>
      </c>
      <c r="L55" s="2">
        <v>1201331.1872</v>
      </c>
      <c r="M55" s="2">
        <v>0</v>
      </c>
    </row>
    <row r="56" spans="2:13" hidden="1" x14ac:dyDescent="0.25">
      <c r="B56" s="3" t="s">
        <v>51</v>
      </c>
      <c r="C56" s="4" t="s">
        <v>77</v>
      </c>
      <c r="D56" s="1" t="s">
        <v>21</v>
      </c>
      <c r="E56" s="1" t="str">
        <f>RIGHT(Table134[[#This Row],[PROJECT TITLE]],6)</f>
        <v>LD0337</v>
      </c>
      <c r="F56" s="10" t="s">
        <v>8</v>
      </c>
      <c r="G56" s="13" t="str">
        <f>VLOOKUP(Table134[[#This Row],[Eq No]],[1]!Table3[[Eq.No.]:[FY23/34 Acq. Status]],2,FALSE)</f>
        <v>BR Civils Services</v>
      </c>
      <c r="H56" s="12">
        <f>VLOOKUP(Table134[[#This Row],[Eq No]],[1]!Table3[[Eq.No.]:[FY23/34 Acq. Status]],3,FALSE)</f>
        <v>2014</v>
      </c>
      <c r="I56" s="13" t="str">
        <f>VLOOKUP(Table134[[#This Row],[Eq No]],[1]!Table3[[Eq.No.]:[FY23/34 Acq. Status]],12,FALSE)</f>
        <v>2.5D 4x2</v>
      </c>
      <c r="J56" s="13" t="str">
        <f>VLOOKUP(Table134[[#This Row],[Eq No]],[1]!Table3[[Eq.No.]:[FY23/34 Acq. Status]],17,FALSE)</f>
        <v>4 x 2 (2.5D)</v>
      </c>
      <c r="K56" s="2">
        <v>0</v>
      </c>
      <c r="L56" s="2">
        <v>1167311.3472</v>
      </c>
      <c r="M56" s="2">
        <v>0</v>
      </c>
    </row>
    <row r="57" spans="2:13" hidden="1" x14ac:dyDescent="0.25">
      <c r="B57" s="3" t="s">
        <v>51</v>
      </c>
      <c r="C57" s="4" t="s">
        <v>78</v>
      </c>
      <c r="D57" s="1" t="s">
        <v>21</v>
      </c>
      <c r="E57" s="1" t="str">
        <f>RIGHT(Table134[[#This Row],[PROJECT TITLE]],6)</f>
        <v>LD0338</v>
      </c>
      <c r="F57" s="10" t="s">
        <v>8</v>
      </c>
      <c r="G57" s="13" t="str">
        <f>VLOOKUP(Table134[[#This Row],[Eq No]],[1]!Table3[[Eq.No.]:[FY23/34 Acq. Status]],2,FALSE)</f>
        <v>BR Elect Services</v>
      </c>
      <c r="H57" s="12">
        <f>VLOOKUP(Table134[[#This Row],[Eq No]],[1]!Table3[[Eq.No.]:[FY23/34 Acq. Status]],3,FALSE)</f>
        <v>2014</v>
      </c>
      <c r="I57" s="13" t="str">
        <f>VLOOKUP(Table134[[#This Row],[Eq No]],[1]!Table3[[Eq.No.]:[FY23/34 Acq. Status]],12,FALSE)</f>
        <v>2.5D 4x2</v>
      </c>
      <c r="J57" s="13" t="str">
        <f>VLOOKUP(Table134[[#This Row],[Eq No]],[1]!Table3[[Eq.No.]:[FY23/34 Acq. Status]],17,FALSE)</f>
        <v>4 x 2 (2.5D)</v>
      </c>
      <c r="K57" s="2">
        <v>0</v>
      </c>
      <c r="L57" s="2">
        <v>1167311.3472</v>
      </c>
      <c r="M57" s="2">
        <v>0</v>
      </c>
    </row>
    <row r="58" spans="2:13" hidden="1" x14ac:dyDescent="0.25">
      <c r="B58" s="3" t="s">
        <v>51</v>
      </c>
      <c r="C58" s="4" t="s">
        <v>79</v>
      </c>
      <c r="D58" s="1" t="s">
        <v>21</v>
      </c>
      <c r="E58" s="1" t="str">
        <f>RIGHT(Table134[[#This Row],[PROJECT TITLE]],6)</f>
        <v>LD0339</v>
      </c>
      <c r="F58" s="10" t="s">
        <v>8</v>
      </c>
      <c r="G58" s="13">
        <f>VLOOKUP(Table134[[#This Row],[Eq No]],[1]!Table3[[Eq.No.]:[FY23/34 Acq. Status]],2,FALSE)</f>
        <v>0</v>
      </c>
      <c r="H58" s="12">
        <f>VLOOKUP(Table134[[#This Row],[Eq No]],[1]!Table3[[Eq.No.]:[FY23/34 Acq. Status]],3,FALSE)</f>
        <v>2014</v>
      </c>
      <c r="I58" s="13" t="str">
        <f>VLOOKUP(Table134[[#This Row],[Eq No]],[1]!Table3[[Eq.No.]:[FY23/34 Acq. Status]],12,FALSE)</f>
        <v>2.5D 4x4</v>
      </c>
      <c r="J58" s="13" t="str">
        <f>VLOOKUP(Table134[[#This Row],[Eq No]],[1]!Table3[[Eq.No.]:[FY23/34 Acq. Status]],17,FALSE)</f>
        <v>4 x 4 (2.5D)</v>
      </c>
      <c r="K58" s="2">
        <v>0</v>
      </c>
      <c r="L58" s="2">
        <v>1201331.1872</v>
      </c>
      <c r="M58" s="2">
        <v>0</v>
      </c>
    </row>
    <row r="59" spans="2:13" hidden="1" x14ac:dyDescent="0.25">
      <c r="B59" s="3" t="s">
        <v>51</v>
      </c>
      <c r="C59" s="4" t="s">
        <v>80</v>
      </c>
      <c r="D59" s="1" t="s">
        <v>21</v>
      </c>
      <c r="E59" s="1" t="str">
        <f>RIGHT(Table134[[#This Row],[PROJECT TITLE]],6)</f>
        <v>LD0340</v>
      </c>
      <c r="F59" s="10" t="s">
        <v>8</v>
      </c>
      <c r="G59" s="13">
        <f>VLOOKUP(Table134[[#This Row],[Eq No]],[1]!Table3[[Eq.No.]:[FY23/34 Acq. Status]],2,FALSE)</f>
        <v>0</v>
      </c>
      <c r="H59" s="12">
        <f>VLOOKUP(Table134[[#This Row],[Eq No]],[1]!Table3[[Eq.No.]:[FY23/34 Acq. Status]],3,FALSE)</f>
        <v>2014</v>
      </c>
      <c r="I59" s="13" t="str">
        <f>VLOOKUP(Table134[[#This Row],[Eq No]],[1]!Table3[[Eq.No.]:[FY23/34 Acq. Status]],12,FALSE)</f>
        <v>2.5D 4x4</v>
      </c>
      <c r="J59" s="13" t="str">
        <f>VLOOKUP(Table134[[#This Row],[Eq No]],[1]!Table3[[Eq.No.]:[FY23/34 Acq. Status]],17,FALSE)</f>
        <v>4 x 4 (2.5D)</v>
      </c>
      <c r="K59" s="2">
        <v>0</v>
      </c>
      <c r="L59" s="2">
        <v>1201331.1872</v>
      </c>
      <c r="M59" s="2">
        <v>0</v>
      </c>
    </row>
    <row r="60" spans="2:13" hidden="1" x14ac:dyDescent="0.25">
      <c r="B60" s="3" t="s">
        <v>51</v>
      </c>
      <c r="C60" s="4" t="s">
        <v>81</v>
      </c>
      <c r="D60" s="1" t="s">
        <v>21</v>
      </c>
      <c r="E60" s="1" t="str">
        <f>RIGHT(Table134[[#This Row],[PROJECT TITLE]],6)</f>
        <v>LD0364</v>
      </c>
      <c r="F60" s="10" t="s">
        <v>8</v>
      </c>
      <c r="G60" s="13" t="str">
        <f>VLOOKUP(Table134[[#This Row],[Eq No]],[1]!Table3[[Eq.No.]:[FY23/34 Acq. Status]],2,FALSE)</f>
        <v>BR Projects</v>
      </c>
      <c r="H60" s="12">
        <f>VLOOKUP(Table134[[#This Row],[Eq No]],[1]!Table3[[Eq.No.]:[FY23/34 Acq. Status]],3,FALSE)</f>
        <v>2014</v>
      </c>
      <c r="I60" s="13" t="str">
        <f>VLOOKUP(Table134[[#This Row],[Eq No]],[1]!Table3[[Eq.No.]:[FY23/34 Acq. Status]],12,FALSE)</f>
        <v>2.5D 4x2</v>
      </c>
      <c r="J60" s="13" t="str">
        <f>VLOOKUP(Table134[[#This Row],[Eq No]],[1]!Table3[[Eq.No.]:[FY23/34 Acq. Status]],17,FALSE)</f>
        <v>4 x 4 (2.5D)</v>
      </c>
      <c r="K60" s="2">
        <v>0</v>
      </c>
      <c r="L60" s="2">
        <v>0</v>
      </c>
      <c r="M60" s="2">
        <v>1239840.3537999999</v>
      </c>
    </row>
    <row r="61" spans="2:13" hidden="1" x14ac:dyDescent="0.25">
      <c r="B61" s="3" t="s">
        <v>51</v>
      </c>
      <c r="C61" s="4" t="s">
        <v>82</v>
      </c>
      <c r="D61" s="1" t="s">
        <v>21</v>
      </c>
      <c r="E61" s="1" t="str">
        <f>RIGHT(Table134[[#This Row],[PROJECT TITLE]],6)</f>
        <v>LD0374</v>
      </c>
      <c r="F61" s="10" t="s">
        <v>8</v>
      </c>
      <c r="G61" s="13" t="str">
        <f>VLOOKUP(Table134[[#This Row],[Eq No]],[1]!Table3[[Eq.No.]:[FY23/34 Acq. Status]],2,FALSE)</f>
        <v>Proto</v>
      </c>
      <c r="H61" s="12">
        <f>VLOOKUP(Table134[[#This Row],[Eq No]],[1]!Table3[[Eq.No.]:[FY23/34 Acq. Status]],3,FALSE)</f>
        <v>2015</v>
      </c>
      <c r="I61" s="13" t="str">
        <f>VLOOKUP(Table134[[#This Row],[Eq No]],[1]!Table3[[Eq.No.]:[FY23/34 Acq. Status]],12,FALSE)</f>
        <v>Land Cruiser 70 4.2D V8</v>
      </c>
      <c r="J61" s="13" t="str">
        <f>VLOOKUP(Table134[[#This Row],[Eq No]],[1]!Table3[[Eq.No.]:[FY23/34 Acq. Status]],17,FALSE)</f>
        <v>L/C, 4x4, 4.2D</v>
      </c>
      <c r="K61" s="2">
        <v>0</v>
      </c>
      <c r="L61" s="2">
        <v>0</v>
      </c>
      <c r="M61" s="2">
        <v>1633230.1538</v>
      </c>
    </row>
    <row r="62" spans="2:13" hidden="1" x14ac:dyDescent="0.25">
      <c r="B62" s="3" t="s">
        <v>51</v>
      </c>
      <c r="C62" s="4" t="s">
        <v>83</v>
      </c>
      <c r="D62" s="1" t="s">
        <v>21</v>
      </c>
      <c r="E62" s="1" t="str">
        <f>RIGHT(Table134[[#This Row],[PROJECT TITLE]],6)</f>
        <v>LD0375</v>
      </c>
      <c r="F62" s="10" t="s">
        <v>8</v>
      </c>
      <c r="G62" s="13" t="str">
        <f>VLOOKUP(Table134[[#This Row],[Eq No]],[1]!Table3[[Eq.No.]:[FY23/34 Acq. Status]],2,FALSE)</f>
        <v>Nch 3 Elect</v>
      </c>
      <c r="H62" s="12">
        <f>VLOOKUP(Table134[[#This Row],[Eq No]],[1]!Table3[[Eq.No.]:[FY23/34 Acq. Status]],3,FALSE)</f>
        <v>2015</v>
      </c>
      <c r="I62" s="13" t="str">
        <f>VLOOKUP(Table134[[#This Row],[Eq No]],[1]!Table3[[Eq.No.]:[FY23/34 Acq. Status]],12,FALSE)</f>
        <v>2.5D 4x4</v>
      </c>
      <c r="J62" s="13" t="str">
        <f>VLOOKUP(Table134[[#This Row],[Eq No]],[1]!Table3[[Eq.No.]:[FY23/34 Acq. Status]],17,FALSE)</f>
        <v>4 x 4 (2.5D)</v>
      </c>
      <c r="K62" s="2">
        <v>0</v>
      </c>
      <c r="L62" s="2">
        <v>0</v>
      </c>
      <c r="M62" s="2">
        <v>1239840.3537999999</v>
      </c>
    </row>
    <row r="63" spans="2:13" hidden="1" x14ac:dyDescent="0.25">
      <c r="B63" s="3" t="s">
        <v>51</v>
      </c>
      <c r="C63" s="4" t="s">
        <v>84</v>
      </c>
      <c r="D63" s="1" t="s">
        <v>21</v>
      </c>
      <c r="E63" s="1" t="str">
        <f>RIGHT(Table134[[#This Row],[PROJECT TITLE]],6)</f>
        <v>LD0462</v>
      </c>
      <c r="F63" s="10" t="s">
        <v>8</v>
      </c>
      <c r="G63" s="13" t="str">
        <f>VLOOKUP(Table134[[#This Row],[Eq No]],[1]!Table3[[Eq.No.]:[FY23/34 Acq. Status]],2,FALSE)</f>
        <v>BR HOD</v>
      </c>
      <c r="H63" s="12">
        <f>VLOOKUP(Table134[[#This Row],[Eq No]],[1]!Table3[[Eq.No.]:[FY23/34 Acq. Status]],3,FALSE)</f>
        <v>2016</v>
      </c>
      <c r="I63" s="13" t="str">
        <f>VLOOKUP(Table134[[#This Row],[Eq No]],[1]!Table3[[Eq.No.]:[FY23/34 Acq. Status]],12,FALSE)</f>
        <v>2.8 GD6 D/C RAI 4x2</v>
      </c>
      <c r="J63" s="13" t="str">
        <f>VLOOKUP(Table134[[#This Row],[Eq No]],[1]!Table3[[Eq.No.]:[FY23/34 Acq. Status]],17,FALSE)</f>
        <v>4x4 DC 2.8GD-6</v>
      </c>
      <c r="K63" s="2">
        <v>0</v>
      </c>
      <c r="L63" s="2">
        <v>0</v>
      </c>
      <c r="M63" s="2">
        <v>1239840.3537999999</v>
      </c>
    </row>
    <row r="64" spans="2:13" hidden="1" x14ac:dyDescent="0.25">
      <c r="B64" s="3" t="s">
        <v>51</v>
      </c>
      <c r="C64" s="4" t="s">
        <v>85</v>
      </c>
      <c r="D64" s="1" t="s">
        <v>21</v>
      </c>
      <c r="E64" s="1" t="str">
        <f>RIGHT(Table134[[#This Row],[PROJECT TITLE]],6)</f>
        <v>LD0464</v>
      </c>
      <c r="F64" s="10" t="s">
        <v>8</v>
      </c>
      <c r="G64" s="13" t="str">
        <f>VLOOKUP(Table134[[#This Row],[Eq No]],[1]!Table3[[Eq.No.]:[FY23/34 Acq. Status]],2,FALSE)</f>
        <v>Training Centre</v>
      </c>
      <c r="H64" s="12">
        <f>VLOOKUP(Table134[[#This Row],[Eq No]],[1]!Table3[[Eq.No.]:[FY23/34 Acq. Status]],3,FALSE)</f>
        <v>2017</v>
      </c>
      <c r="I64" s="13" t="str">
        <f>VLOOKUP(Table134[[#This Row],[Eq No]],[1]!Table3[[Eq.No.]:[FY23/34 Acq. Status]],12,FALSE)</f>
        <v xml:space="preserve">2.4 GD6 D/C 4x4 SRX </v>
      </c>
      <c r="J64" s="13" t="str">
        <f>VLOOKUP(Table134[[#This Row],[Eq No]],[1]!Table3[[Eq.No.]:[FY23/34 Acq. Status]],17,FALSE)</f>
        <v>L/Cruiser 4x4 (Converted to UG Spec)</v>
      </c>
      <c r="K64" s="2">
        <v>0</v>
      </c>
      <c r="L64" s="2">
        <v>0</v>
      </c>
      <c r="M64" s="2">
        <v>3760306.4600920002</v>
      </c>
    </row>
    <row r="65" spans="2:13" hidden="1" x14ac:dyDescent="0.25">
      <c r="B65" s="3" t="s">
        <v>51</v>
      </c>
      <c r="C65" s="4" t="s">
        <v>86</v>
      </c>
      <c r="D65" s="1" t="s">
        <v>21</v>
      </c>
      <c r="E65" s="1" t="str">
        <f>RIGHT(Table134[[#This Row],[PROJECT TITLE]],6)</f>
        <v>LD0472</v>
      </c>
      <c r="F65" s="10" t="s">
        <v>8</v>
      </c>
      <c r="G65" s="13" t="str">
        <f>VLOOKUP(Table134[[#This Row],[Eq No]],[1]!Table3[[Eq.No.]:[FY23/34 Acq. Status]],2,FALSE)</f>
        <v>Security</v>
      </c>
      <c r="H65" s="12">
        <f>VLOOKUP(Table134[[#This Row],[Eq No]],[1]!Table3[[Eq.No.]:[FY23/34 Acq. Status]],3,FALSE)</f>
        <v>2017</v>
      </c>
      <c r="I65" s="13" t="str">
        <f>VLOOKUP(Table134[[#This Row],[Eq No]],[1]!Table3[[Eq.No.]:[FY23/34 Acq. Status]],12,FALSE)</f>
        <v>2.4, GD6, D/C</v>
      </c>
      <c r="J65" s="13" t="str">
        <f>VLOOKUP(Table134[[#This Row],[Eq No]],[1]!Table3[[Eq.No.]:[FY23/34 Acq. Status]],17,FALSE)</f>
        <v>Hilux D/C 2.4GD6 4x4 RAI MT</v>
      </c>
      <c r="K65" s="2">
        <v>0</v>
      </c>
      <c r="L65" s="2">
        <v>0</v>
      </c>
      <c r="M65" s="2">
        <v>1130228.1164000002</v>
      </c>
    </row>
    <row r="66" spans="2:13" hidden="1" x14ac:dyDescent="0.25">
      <c r="B66" s="3" t="s">
        <v>51</v>
      </c>
      <c r="C66" s="4" t="s">
        <v>87</v>
      </c>
      <c r="D66" s="1" t="s">
        <v>21</v>
      </c>
      <c r="E66" s="1" t="str">
        <f>RIGHT(Table134[[#This Row],[PROJECT TITLE]],6)</f>
        <v>LD0473</v>
      </c>
      <c r="F66" s="10" t="s">
        <v>8</v>
      </c>
      <c r="G66" s="13" t="str">
        <f>VLOOKUP(Table134[[#This Row],[Eq No]],[1]!Table3[[Eq.No.]:[FY23/34 Acq. Status]],2,FALSE)</f>
        <v>Instrumentation</v>
      </c>
      <c r="H66" s="12">
        <f>VLOOKUP(Table134[[#This Row],[Eq No]],[1]!Table3[[Eq.No.]:[FY23/34 Acq. Status]],3,FALSE)</f>
        <v>2018</v>
      </c>
      <c r="I66" s="13" t="str">
        <f>VLOOKUP(Table134[[#This Row],[Eq No]],[1]!Table3[[Eq.No.]:[FY23/34 Acq. Status]],12,FALSE)</f>
        <v>2.4 GD6 S/C SRX 4x4</v>
      </c>
      <c r="J66" s="13" t="str">
        <f>VLOOKUP(Table134[[#This Row],[Eq No]],[1]!Table3[[Eq.No.]:[FY23/34 Acq. Status]],17,FALSE)</f>
        <v>2.4, GD6, S/C</v>
      </c>
      <c r="K66" s="2">
        <v>0</v>
      </c>
      <c r="L66" s="2">
        <v>0</v>
      </c>
      <c r="M66" s="2">
        <v>1204729.9938000001</v>
      </c>
    </row>
    <row r="67" spans="2:13" hidden="1" x14ac:dyDescent="0.25">
      <c r="B67" s="3" t="s">
        <v>51</v>
      </c>
      <c r="C67" s="4" t="s">
        <v>88</v>
      </c>
      <c r="D67" s="1" t="s">
        <v>21</v>
      </c>
      <c r="E67" s="1" t="str">
        <f>RIGHT(Table134[[#This Row],[PROJECT TITLE]],6)</f>
        <v>LD0474</v>
      </c>
      <c r="F67" s="10" t="s">
        <v>8</v>
      </c>
      <c r="G67" s="13" t="str">
        <f>VLOOKUP(Table134[[#This Row],[Eq No]],[1]!Table3[[Eq.No.]:[FY23/34 Acq. Status]],2,FALSE)</f>
        <v>Instrumentation</v>
      </c>
      <c r="H67" s="12">
        <f>VLOOKUP(Table134[[#This Row],[Eq No]],[1]!Table3[[Eq.No.]:[FY23/34 Acq. Status]],3,FALSE)</f>
        <v>2018</v>
      </c>
      <c r="I67" s="13" t="str">
        <f>VLOOKUP(Table134[[#This Row],[Eq No]],[1]!Table3[[Eq.No.]:[FY23/34 Acq. Status]],12,FALSE)</f>
        <v>2.4 GD6 S/C SRX 4x4</v>
      </c>
      <c r="J67" s="13" t="str">
        <f>VLOOKUP(Table134[[#This Row],[Eq No]],[1]!Table3[[Eq.No.]:[FY23/34 Acq. Status]],17,FALSE)</f>
        <v>2.4, GD6, S/C</v>
      </c>
      <c r="K67" s="2">
        <v>0</v>
      </c>
      <c r="L67" s="2">
        <v>0</v>
      </c>
      <c r="M67" s="2">
        <v>1204729.9938000001</v>
      </c>
    </row>
    <row r="68" spans="2:13" hidden="1" x14ac:dyDescent="0.25">
      <c r="B68" s="3" t="s">
        <v>51</v>
      </c>
      <c r="C68" s="4" t="s">
        <v>89</v>
      </c>
      <c r="D68" s="1" t="s">
        <v>21</v>
      </c>
      <c r="E68" s="1" t="str">
        <f>RIGHT(Table134[[#This Row],[PROJECT TITLE]],6)</f>
        <v>LD0487</v>
      </c>
      <c r="F68" s="10" t="s">
        <v>8</v>
      </c>
      <c r="G68" s="13">
        <f>VLOOKUP(Table134[[#This Row],[Eq No]],[1]!Table3[[Eq.No.]:[FY23/34 Acq. Status]],2,FALSE)</f>
        <v>0</v>
      </c>
      <c r="H68" s="12">
        <f>VLOOKUP(Table134[[#This Row],[Eq No]],[1]!Table3[[Eq.No.]:[FY23/34 Acq. Status]],3,FALSE)</f>
        <v>2018</v>
      </c>
      <c r="I68" s="13" t="str">
        <f>VLOOKUP(Table134[[#This Row],[Eq No]],[1]!Table3[[Eq.No.]:[FY23/34 Acq. Status]],12,FALSE)</f>
        <v>2.4GD6 D/C 4x4 SRX 6AT</v>
      </c>
      <c r="J68" s="13" t="str">
        <f>VLOOKUP(Table134[[#This Row],[Eq No]],[1]!Table3[[Eq.No.]:[FY23/34 Acq. Status]],17,FALSE)</f>
        <v>Hilux D/C 2.4GD6 4x4 RAI MT</v>
      </c>
      <c r="K68" s="2">
        <v>0</v>
      </c>
      <c r="L68" s="2">
        <v>0</v>
      </c>
      <c r="M68" s="2">
        <v>1130228.1164000002</v>
      </c>
    </row>
    <row r="69" spans="2:13" hidden="1" x14ac:dyDescent="0.25">
      <c r="B69" s="3" t="s">
        <v>51</v>
      </c>
      <c r="C69" s="4" t="s">
        <v>90</v>
      </c>
      <c r="D69" s="1" t="s">
        <v>21</v>
      </c>
      <c r="E69" s="1" t="str">
        <f>RIGHT(Table134[[#This Row],[PROJECT TITLE]],6)</f>
        <v>LD0488</v>
      </c>
      <c r="F69" s="10" t="s">
        <v>8</v>
      </c>
      <c r="G69" s="13" t="str">
        <f>VLOOKUP(Table134[[#This Row],[Eq No]],[1]!Table3[[Eq.No.]:[FY23/34 Acq. Status]],2,FALSE)</f>
        <v xml:space="preserve">BR Services </v>
      </c>
      <c r="H69" s="12">
        <f>VLOOKUP(Table134[[#This Row],[Eq No]],[1]!Table3[[Eq.No.]:[FY23/34 Acq. Status]],3,FALSE)</f>
        <v>2018</v>
      </c>
      <c r="I69" s="13" t="str">
        <f>VLOOKUP(Table134[[#This Row],[Eq No]],[1]!Table3[[Eq.No.]:[FY23/34 Acq. Status]],12,FALSE)</f>
        <v>2.4GD6 D/C 4x4 SRX 6MT</v>
      </c>
      <c r="J69" s="13" t="str">
        <f>VLOOKUP(Table134[[#This Row],[Eq No]],[1]!Table3[[Eq.No.]:[FY23/34 Acq. Status]],17,FALSE)</f>
        <v>Hilux D/C 2.4GD6 4x4 RAI MT</v>
      </c>
      <c r="K69" s="2">
        <v>0</v>
      </c>
      <c r="L69" s="2">
        <v>0</v>
      </c>
      <c r="M69" s="2">
        <v>1130228.1164000002</v>
      </c>
    </row>
    <row r="70" spans="2:13" hidden="1" x14ac:dyDescent="0.25">
      <c r="B70" s="3" t="s">
        <v>51</v>
      </c>
      <c r="C70" s="4" t="s">
        <v>91</v>
      </c>
      <c r="D70" s="1" t="s">
        <v>92</v>
      </c>
      <c r="E70" s="1" t="str">
        <f>RIGHT(Table134[[#This Row],[PROJECT TITLE]],6)</f>
        <v>TK0060</v>
      </c>
      <c r="F70" s="10" t="s">
        <v>8</v>
      </c>
      <c r="G70" s="13" t="str">
        <f>VLOOKUP(Table134[[#This Row],[Eq No]],[1]!Table3[[Eq.No.]:[FY23/34 Acq. Status]],2,FALSE)</f>
        <v>Fire House - Fire Truck</v>
      </c>
      <c r="H70" s="12">
        <f>VLOOKUP(Table134[[#This Row],[Eq No]],[1]!Table3[[Eq.No.]:[FY23/34 Acq. Status]],3,FALSE)</f>
        <v>2011</v>
      </c>
      <c r="I70" s="13" t="str">
        <f>VLOOKUP(Table134[[#This Row],[Eq No]],[1]!Table3[[Eq.No.]:[FY23/34 Acq. Status]],12,FALSE)</f>
        <v>Equipment Not found on Asset List</v>
      </c>
      <c r="J70" s="13" t="str">
        <f>VLOOKUP(Table134[[#This Row],[Eq No]],[1]!Table3[[Eq.No.]:[FY23/34 Acq. Status]],17,FALSE)</f>
        <v>Mobile Fire Truck P340</v>
      </c>
      <c r="K70" s="2">
        <v>0</v>
      </c>
      <c r="L70" s="2">
        <v>7440121.0574438404</v>
      </c>
      <c r="M70" s="2">
        <v>0</v>
      </c>
    </row>
    <row r="71" spans="2:13" hidden="1" x14ac:dyDescent="0.25">
      <c r="B71" s="3" t="s">
        <v>51</v>
      </c>
      <c r="C71" s="4" t="s">
        <v>93</v>
      </c>
      <c r="D71" s="1" t="s">
        <v>92</v>
      </c>
      <c r="E71" s="1" t="str">
        <f>RIGHT(Table134[[#This Row],[PROJECT TITLE]],6)</f>
        <v>TK0071</v>
      </c>
      <c r="F71" s="10" t="s">
        <v>8</v>
      </c>
      <c r="G71" s="13" t="str">
        <f>VLOOKUP(Table134[[#This Row],[Eq No]],[1]!Table3[[Eq.No.]:[FY23/34 Acq. Status]],2,FALSE)</f>
        <v>BR Services Fitter/Bolier</v>
      </c>
      <c r="H71" s="12">
        <f>VLOOKUP(Table134[[#This Row],[Eq No]],[1]!Table3[[Eq.No.]:[FY23/34 Acq. Status]],3,FALSE)</f>
        <v>2011</v>
      </c>
      <c r="I71" s="13" t="str">
        <f>VLOOKUP(Table134[[#This Row],[Eq No]],[1]!Table3[[Eq.No.]:[FY23/34 Acq. Status]],12,FALSE)</f>
        <v>Hino Super F</v>
      </c>
      <c r="J71" s="13" t="str">
        <f>VLOOKUP(Table134[[#This Row],[Eq No]],[1]!Table3[[Eq.No.]:[FY23/34 Acq. Status]],17,FALSE)</f>
        <v>Hino500,1324Tipper</v>
      </c>
      <c r="K71" s="2">
        <v>0</v>
      </c>
      <c r="L71" s="2">
        <v>2126185.3695999999</v>
      </c>
      <c r="M71" s="2">
        <v>0</v>
      </c>
    </row>
    <row r="72" spans="2:13" hidden="1" x14ac:dyDescent="0.25">
      <c r="B72" s="3" t="s">
        <v>51</v>
      </c>
      <c r="C72" s="4" t="s">
        <v>94</v>
      </c>
      <c r="D72" s="1" t="s">
        <v>95</v>
      </c>
      <c r="E72" s="1" t="str">
        <f>RIGHT(Table134[[#This Row],[PROJECT TITLE]],6)</f>
        <v>UV0011</v>
      </c>
      <c r="F72" s="10" t="s">
        <v>8</v>
      </c>
      <c r="G72" s="13" t="str">
        <f>VLOOKUP(Table134[[#This Row],[Eq No]],[1]!Table3[[Eq.No.]:[FY23/34 Acq. Status]],2,FALSE)</f>
        <v>Proto</v>
      </c>
      <c r="H72" s="12">
        <f>VLOOKUP(Table134[[#This Row],[Eq No]],[1]!Table3[[Eq.No.]:[FY23/34 Acq. Status]],3,FALSE)</f>
        <v>2001</v>
      </c>
      <c r="I72" s="13" t="str">
        <f>VLOOKUP(Table134[[#This Row],[Eq No]],[1]!Table3[[Eq.No.]:[FY23/34 Acq. Status]],12,FALSE)</f>
        <v>Land Cruiser 70 4.2D</v>
      </c>
      <c r="J72" s="13" t="str">
        <f>VLOOKUP(Table134[[#This Row],[Eq No]],[1]!Table3[[Eq.No.]:[FY23/34 Acq. Status]],17,FALSE)</f>
        <v>L/C, 4x4, 4.2D</v>
      </c>
      <c r="K72" s="2">
        <v>0</v>
      </c>
      <c r="L72" s="2">
        <v>0</v>
      </c>
      <c r="M72" s="2">
        <v>1633230.1538</v>
      </c>
    </row>
    <row r="73" spans="2:13" hidden="1" x14ac:dyDescent="0.25">
      <c r="B73" s="3" t="s">
        <v>51</v>
      </c>
      <c r="C73" s="4" t="s">
        <v>96</v>
      </c>
      <c r="D73" s="1" t="s">
        <v>97</v>
      </c>
      <c r="E73" s="1" t="str">
        <f>RIGHT(Table134[[#This Row],[PROJECT TITLE]],6)</f>
        <v>GD0008</v>
      </c>
      <c r="F73" s="10" t="s">
        <v>43</v>
      </c>
      <c r="G73" s="13" t="str">
        <f>VLOOKUP(Table134[[#This Row],[Eq No]],[1]!Table3[[Eq.No.]:[FY23/34 Acq. Status]],2,FALSE)</f>
        <v>Gloria U/G</v>
      </c>
      <c r="H73" s="12">
        <f>VLOOKUP(Table134[[#This Row],[Eq No]],[1]!Table3[[Eq.No.]:[FY23/34 Acq. Status]],3,FALSE)</f>
        <v>2016</v>
      </c>
      <c r="I73" s="13" t="str">
        <f>VLOOKUP(Table134[[#This Row],[Eq No]],[1]!Table3[[Eq.No.]:[FY23/34 Acq. Status]],12,FALSE)</f>
        <v>120G</v>
      </c>
      <c r="J73" s="13" t="str">
        <f>VLOOKUP(Table134[[#This Row],[Eq No]],[1]!Table3[[Eq.No.]:[FY23/34 Acq. Status]],17,FALSE)</f>
        <v>120G</v>
      </c>
      <c r="K73" s="2">
        <v>0</v>
      </c>
      <c r="L73" s="2">
        <v>6404325.3673113603</v>
      </c>
      <c r="M73" s="2">
        <v>0</v>
      </c>
    </row>
    <row r="74" spans="2:13" hidden="1" x14ac:dyDescent="0.25">
      <c r="B74" s="3" t="s">
        <v>51</v>
      </c>
      <c r="C74" s="4" t="s">
        <v>98</v>
      </c>
      <c r="D74" s="1" t="s">
        <v>21</v>
      </c>
      <c r="E74" s="1" t="str">
        <f>RIGHT(Table134[[#This Row],[PROJECT TITLE]],6)</f>
        <v>LD0226</v>
      </c>
      <c r="F74" s="10" t="s">
        <v>43</v>
      </c>
      <c r="G74" s="13" t="str">
        <f>VLOOKUP(Table134[[#This Row],[Eq No]],[1]!Table3[[Eq.No.]:[FY23/34 Acq. Status]],2,FALSE)</f>
        <v>Stretcher carrier</v>
      </c>
      <c r="H74" s="12">
        <f>VLOOKUP(Table134[[#This Row],[Eq No]],[1]!Table3[[Eq.No.]:[FY23/34 Acq. Status]],3,FALSE)</f>
        <v>2009</v>
      </c>
      <c r="I74" s="13" t="str">
        <f>VLOOKUP(Table134[[#This Row],[Eq No]],[1]!Table3[[Eq.No.]:[FY23/34 Acq. Status]],12,FALSE)</f>
        <v>LDV, TOYOTA Stretcher carrier</v>
      </c>
      <c r="J74" s="13" t="str">
        <f>VLOOKUP(Table134[[#This Row],[Eq No]],[1]!Table3[[Eq.No.]:[FY23/34 Acq. Status]],17,FALSE)</f>
        <v>L/cruiser 4x4 (Converted to UG Spec)</v>
      </c>
      <c r="K74" s="2">
        <v>0</v>
      </c>
      <c r="L74" s="2">
        <v>3643512.1748480005</v>
      </c>
      <c r="M74" s="2">
        <v>0</v>
      </c>
    </row>
    <row r="75" spans="2:13" hidden="1" x14ac:dyDescent="0.25">
      <c r="B75" s="3" t="s">
        <v>51</v>
      </c>
      <c r="C75" s="4" t="s">
        <v>99</v>
      </c>
      <c r="D75" s="1" t="s">
        <v>21</v>
      </c>
      <c r="E75" s="1" t="str">
        <f>RIGHT(Table134[[#This Row],[PROJECT TITLE]],6)</f>
        <v>LD0287</v>
      </c>
      <c r="F75" s="10" t="s">
        <v>43</v>
      </c>
      <c r="G75" s="13" t="str">
        <f>VLOOKUP(Table134[[#This Row],[Eq No]],[1]!Table3[[Eq.No.]:[FY23/34 Acq. Status]],2,FALSE)</f>
        <v>Gloria S/Plant</v>
      </c>
      <c r="H75" s="12">
        <f>VLOOKUP(Table134[[#This Row],[Eq No]],[1]!Table3[[Eq.No.]:[FY23/34 Acq. Status]],3,FALSE)</f>
        <v>2013</v>
      </c>
      <c r="I75" s="13" t="str">
        <f>VLOOKUP(Table134[[#This Row],[Eq No]],[1]!Table3[[Eq.No.]:[FY23/34 Acq. Status]],12,FALSE)</f>
        <v>L/C, 4x4, 4.2D</v>
      </c>
      <c r="J75" s="13" t="str">
        <f>VLOOKUP(Table134[[#This Row],[Eq No]],[1]!Table3[[Eq.No.]:[FY23/34 Acq. Status]],17,FALSE)</f>
        <v>L/C, 4x4, 4.2D</v>
      </c>
      <c r="K75" s="2">
        <v>0</v>
      </c>
      <c r="L75" s="2">
        <v>0</v>
      </c>
      <c r="M75" s="2">
        <v>1633230.1538</v>
      </c>
    </row>
    <row r="76" spans="2:13" hidden="1" x14ac:dyDescent="0.25">
      <c r="B76" s="3" t="s">
        <v>51</v>
      </c>
      <c r="C76" s="4" t="s">
        <v>100</v>
      </c>
      <c r="D76" s="1" t="s">
        <v>21</v>
      </c>
      <c r="E76" s="1" t="str">
        <f>RIGHT(Table134[[#This Row],[PROJECT TITLE]],6)</f>
        <v>LD0412</v>
      </c>
      <c r="F76" s="10" t="s">
        <v>43</v>
      </c>
      <c r="G76" s="13" t="str">
        <f>VLOOKUP(Table134[[#This Row],[Eq No]],[1]!Table3[[Eq.No.]:[FY23/34 Acq. Status]],2,FALSE)</f>
        <v>Gloria U/G</v>
      </c>
      <c r="H76" s="12">
        <f>VLOOKUP(Table134[[#This Row],[Eq No]],[1]!Table3[[Eq.No.]:[FY23/34 Acq. Status]],3,FALSE)</f>
        <v>2020</v>
      </c>
      <c r="I76" s="13" t="str">
        <f>VLOOKUP(Table134[[#This Row],[Eq No]],[1]!Table3[[Eq.No.]:[FY23/34 Acq. Status]],12,FALSE)</f>
        <v>Maverick D/C</v>
      </c>
      <c r="J76" s="13" t="str">
        <f>VLOOKUP(Table134[[#This Row],[Eq No]],[1]!Table3[[Eq.No.]:[FY23/34 Acq. Status]],17,FALSE)</f>
        <v>L/Cruiser 4x4 (Converted to UG Spec)</v>
      </c>
      <c r="K76" s="2">
        <v>0</v>
      </c>
      <c r="L76" s="2">
        <v>3643512.1748480005</v>
      </c>
      <c r="M76" s="2">
        <v>0</v>
      </c>
    </row>
    <row r="77" spans="2:13" hidden="1" x14ac:dyDescent="0.25">
      <c r="B77" s="3" t="s">
        <v>51</v>
      </c>
      <c r="C77" s="4" t="s">
        <v>101</v>
      </c>
      <c r="D77" s="1" t="s">
        <v>21</v>
      </c>
      <c r="E77" s="1" t="str">
        <f>RIGHT(Table134[[#This Row],[PROJECT TITLE]],6)</f>
        <v>LD0451</v>
      </c>
      <c r="F77" s="10" t="s">
        <v>43</v>
      </c>
      <c r="G77" s="13" t="str">
        <f>VLOOKUP(Table134[[#This Row],[Eq No]],[1]!Table3[[Eq.No.]:[FY23/34 Acq. Status]],2,FALSE)</f>
        <v>Gloria U/G</v>
      </c>
      <c r="H77" s="12">
        <f>VLOOKUP(Table134[[#This Row],[Eq No]],[1]!Table3[[Eq.No.]:[FY23/34 Acq. Status]],3,FALSE)</f>
        <v>2018</v>
      </c>
      <c r="I77" s="13" t="str">
        <f>VLOOKUP(Table134[[#This Row],[Eq No]],[1]!Table3[[Eq.No.]:[FY23/34 Acq. Status]],12,FALSE)</f>
        <v>Maverick D/C</v>
      </c>
      <c r="J77" s="13" t="str">
        <f>VLOOKUP(Table134[[#This Row],[Eq No]],[1]!Table3[[Eq.No.]:[FY23/34 Acq. Status]],17,FALSE)</f>
        <v>L/Cruiser 4x4 (Converted to UG Spec)</v>
      </c>
      <c r="K77" s="2">
        <v>0</v>
      </c>
      <c r="L77" s="2">
        <v>0</v>
      </c>
      <c r="M77" s="2">
        <v>3760306.4600920002</v>
      </c>
    </row>
    <row r="78" spans="2:13" hidden="1" x14ac:dyDescent="0.25">
      <c r="B78" s="3" t="s">
        <v>51</v>
      </c>
      <c r="C78" s="4" t="s">
        <v>102</v>
      </c>
      <c r="D78" s="1" t="s">
        <v>95</v>
      </c>
      <c r="E78" s="1" t="str">
        <f>RIGHT(Table134[[#This Row],[PROJECT TITLE]],6)</f>
        <v>UV0076</v>
      </c>
      <c r="F78" s="10" t="s">
        <v>43</v>
      </c>
      <c r="G78" s="13" t="str">
        <f>VLOOKUP(Table134[[#This Row],[Eq No]],[1]!Table3[[Eq.No.]:[FY23/34 Acq. Status]],2,FALSE)</f>
        <v>Gloria U/G</v>
      </c>
      <c r="H78" s="12">
        <f>VLOOKUP(Table134[[#This Row],[Eq No]],[1]!Table3[[Eq.No.]:[FY23/34 Acq. Status]],3,FALSE)</f>
        <v>2015</v>
      </c>
      <c r="I78" s="13" t="str">
        <f>VLOOKUP(Table134[[#This Row],[Eq No]],[1]!Table3[[Eq.No.]:[FY23/34 Acq. Status]],12,FALSE)</f>
        <v>Maverick Man Lift</v>
      </c>
      <c r="J78" s="13" t="str">
        <f>VLOOKUP(Table134[[#This Row],[Eq No]],[1]!Table3[[Eq.No.]:[FY23/34 Acq. Status]],17,FALSE)</f>
        <v>L/Cruiser 4x4 (Converted to UG Spec)</v>
      </c>
      <c r="K78" s="2">
        <v>0</v>
      </c>
      <c r="L78" s="2">
        <v>0</v>
      </c>
      <c r="M78" s="2">
        <v>3760306.4600920002</v>
      </c>
    </row>
    <row r="79" spans="2:13" hidden="1" x14ac:dyDescent="0.25">
      <c r="B79" s="3" t="s">
        <v>51</v>
      </c>
      <c r="C79" s="4" t="s">
        <v>103</v>
      </c>
      <c r="D79" s="1" t="s">
        <v>95</v>
      </c>
      <c r="E79" s="1" t="str">
        <f>RIGHT(Table134[[#This Row],[PROJECT TITLE]],6)</f>
        <v>UV0083</v>
      </c>
      <c r="F79" s="10" t="s">
        <v>43</v>
      </c>
      <c r="G79" s="13" t="str">
        <f>VLOOKUP(Table134[[#This Row],[Eq No]],[1]!Table3[[Eq.No.]:[FY23/34 Acq. Status]],2,FALSE)</f>
        <v>Gloria U/G</v>
      </c>
      <c r="H79" s="12">
        <f>VLOOKUP(Table134[[#This Row],[Eq No]],[1]!Table3[[Eq.No.]:[FY23/34 Acq. Status]],3,FALSE)</f>
        <v>2016</v>
      </c>
      <c r="I79" s="13" t="str">
        <f>VLOOKUP(Table134[[#This Row],[Eq No]],[1]!Table3[[Eq.No.]:[FY23/34 Acq. Status]],12,FALSE)</f>
        <v>Casette Carrier</v>
      </c>
      <c r="J79" s="13" t="str">
        <f>VLOOKUP(Table134[[#This Row],[Eq No]],[1]!Table3[[Eq.No.]:[FY23/34 Acq. Status]],17,FALSE)</f>
        <v>Casette Carrier</v>
      </c>
      <c r="K79" s="2">
        <v>0</v>
      </c>
      <c r="L79" s="2">
        <v>6692310.9120000005</v>
      </c>
      <c r="M79" s="2">
        <v>0</v>
      </c>
    </row>
    <row r="80" spans="2:13" hidden="1" x14ac:dyDescent="0.25">
      <c r="B80" s="3" t="s">
        <v>51</v>
      </c>
      <c r="C80" s="4" t="s">
        <v>104</v>
      </c>
      <c r="D80" s="1" t="s">
        <v>95</v>
      </c>
      <c r="E80" s="1" t="str">
        <f>RIGHT(Table134[[#This Row],[PROJECT TITLE]],6)</f>
        <v>UV0089</v>
      </c>
      <c r="F80" s="10" t="s">
        <v>43</v>
      </c>
      <c r="G80" s="13" t="str">
        <f>VLOOKUP(Table134[[#This Row],[Eq No]],[1]!Table3[[Eq.No.]:[FY23/34 Acq. Status]],2,FALSE)</f>
        <v>Gloria U/G</v>
      </c>
      <c r="H80" s="12">
        <f>VLOOKUP(Table134[[#This Row],[Eq No]],[1]!Table3[[Eq.No.]:[FY23/34 Acq. Status]],3,FALSE)</f>
        <v>2017</v>
      </c>
      <c r="I80" s="13" t="str">
        <f>VLOOKUP(Table134[[#This Row],[Eq No]],[1]!Table3[[Eq.No.]:[FY23/34 Acq. Status]],12,FALSE)</f>
        <v>Maverick S/Cab</v>
      </c>
      <c r="J80" s="13" t="str">
        <f>VLOOKUP(Table134[[#This Row],[Eq No]],[1]!Table3[[Eq.No.]:[FY23/34 Acq. Status]],17,FALSE)</f>
        <v>L/Cruiser 4x4 (Converted to UG Spec)</v>
      </c>
      <c r="K80" s="2">
        <v>0</v>
      </c>
      <c r="L80" s="2">
        <v>0</v>
      </c>
      <c r="M80" s="2">
        <v>3760306.4600920002</v>
      </c>
    </row>
    <row r="81" spans="2:13" hidden="1" x14ac:dyDescent="0.25">
      <c r="B81" s="3" t="s">
        <v>51</v>
      </c>
      <c r="C81" s="4" t="s">
        <v>105</v>
      </c>
      <c r="D81" s="1" t="s">
        <v>95</v>
      </c>
      <c r="E81" s="1" t="str">
        <f>RIGHT(Table134[[#This Row],[PROJECT TITLE]],6)</f>
        <v>UV0095</v>
      </c>
      <c r="F81" s="10" t="s">
        <v>43</v>
      </c>
      <c r="G81" s="13" t="str">
        <f>VLOOKUP(Table134[[#This Row],[Eq No]],[1]!Table3[[Eq.No.]:[FY23/34 Acq. Status]],2,FALSE)</f>
        <v>Gloria U/G</v>
      </c>
      <c r="H81" s="12">
        <f>VLOOKUP(Table134[[#This Row],[Eq No]],[1]!Table3[[Eq.No.]:[FY23/34 Acq. Status]],3,FALSE)</f>
        <v>2017</v>
      </c>
      <c r="I81" s="13" t="str">
        <f>VLOOKUP(Table134[[#This Row],[Eq No]],[1]!Table3[[Eq.No.]:[FY23/34 Acq. Status]],12,FALSE)</f>
        <v>Maverick S/Cab</v>
      </c>
      <c r="J81" s="13" t="str">
        <f>VLOOKUP(Table134[[#This Row],[Eq No]],[1]!Table3[[Eq.No.]:[FY23/34 Acq. Status]],17,FALSE)</f>
        <v>L/Cruiser 4x4 (Converted to UG Spec)</v>
      </c>
      <c r="K81" s="2">
        <v>0</v>
      </c>
      <c r="L81" s="2">
        <v>3643512.1748480005</v>
      </c>
      <c r="M81" s="2">
        <v>0</v>
      </c>
    </row>
    <row r="82" spans="2:13" hidden="1" x14ac:dyDescent="0.25">
      <c r="B82" s="3" t="s">
        <v>51</v>
      </c>
      <c r="C82" s="4" t="s">
        <v>106</v>
      </c>
      <c r="D82" s="1" t="s">
        <v>95</v>
      </c>
      <c r="E82" s="1" t="str">
        <f>RIGHT(Table134[[#This Row],[PROJECT TITLE]],6)</f>
        <v>UV0097</v>
      </c>
      <c r="F82" s="10" t="s">
        <v>43</v>
      </c>
      <c r="G82" s="13" t="str">
        <f>VLOOKUP(Table134[[#This Row],[Eq No]],[1]!Table3[[Eq.No.]:[FY23/34 Acq. Status]],2,FALSE)</f>
        <v>Gloria U/G</v>
      </c>
      <c r="H82" s="12">
        <f>VLOOKUP(Table134[[#This Row],[Eq No]],[1]!Table3[[Eq.No.]:[FY23/34 Acq. Status]],3,FALSE)</f>
        <v>2017</v>
      </c>
      <c r="I82" s="13" t="str">
        <f>VLOOKUP(Table134[[#This Row],[Eq No]],[1]!Table3[[Eq.No.]:[FY23/34 Acq. Status]],12,FALSE)</f>
        <v>Maverick Man Lift</v>
      </c>
      <c r="J82" s="13" t="str">
        <f>VLOOKUP(Table134[[#This Row],[Eq No]],[1]!Table3[[Eq.No.]:[FY23/34 Acq. Status]],17,FALSE)</f>
        <v>L/Cruiser 4x4 (Converted to UG Spec)</v>
      </c>
      <c r="K82" s="2">
        <v>0</v>
      </c>
      <c r="L82" s="2">
        <v>0</v>
      </c>
      <c r="M82" s="2">
        <v>3760306.4600920002</v>
      </c>
    </row>
    <row r="83" spans="2:13" hidden="1" x14ac:dyDescent="0.25">
      <c r="B83" s="3" t="s">
        <v>51</v>
      </c>
      <c r="C83" s="4" t="s">
        <v>107</v>
      </c>
      <c r="D83" s="1" t="s">
        <v>95</v>
      </c>
      <c r="E83" s="1" t="str">
        <f>RIGHT(Table134[[#This Row],[PROJECT TITLE]],6)</f>
        <v>UV0104</v>
      </c>
      <c r="F83" s="10" t="s">
        <v>43</v>
      </c>
      <c r="G83" s="13" t="str">
        <f>VLOOKUP(Table134[[#This Row],[Eq No]],[1]!Table3[[Eq.No.]:[FY23/34 Acq. Status]],2,FALSE)</f>
        <v>Gloria U/G</v>
      </c>
      <c r="H83" s="12">
        <f>VLOOKUP(Table134[[#This Row],[Eq No]],[1]!Table3[[Eq.No.]:[FY23/34 Acq. Status]],3,FALSE)</f>
        <v>2017</v>
      </c>
      <c r="I83" s="13" t="str">
        <f>VLOOKUP(Table134[[#This Row],[Eq No]],[1]!Table3[[Eq.No.]:[FY23/34 Acq. Status]],12,FALSE)</f>
        <v>Maverick Jam pot</v>
      </c>
      <c r="J83" s="13" t="str">
        <f>VLOOKUP(Table134[[#This Row],[Eq No]],[1]!Table3[[Eq.No.]:[FY23/34 Acq. Status]],17,FALSE)</f>
        <v>L/Cruiser 4x4 (Converted to UG Spec)</v>
      </c>
      <c r="K83" s="2">
        <v>0</v>
      </c>
      <c r="L83" s="2">
        <v>0</v>
      </c>
      <c r="M83" s="2">
        <v>3760306.4600920002</v>
      </c>
    </row>
    <row r="84" spans="2:13" hidden="1" x14ac:dyDescent="0.25">
      <c r="B84" s="3" t="s">
        <v>51</v>
      </c>
      <c r="C84" s="4" t="s">
        <v>108</v>
      </c>
      <c r="D84" s="1" t="s">
        <v>15</v>
      </c>
      <c r="E84" s="1" t="str">
        <f>RIGHT(Table134[[#This Row],[PROJECT TITLE]],6)</f>
        <v>CR0102</v>
      </c>
      <c r="F84" s="10" t="s">
        <v>16</v>
      </c>
      <c r="G84" s="13" t="str">
        <f>VLOOKUP(Table134[[#This Row],[Eq No]],[1]!Table3[[Eq.No.]:[FY23/34 Acq. Status]],2,FALSE)</f>
        <v>Shafts &amp; Winders</v>
      </c>
      <c r="H84" s="12">
        <f>VLOOKUP(Table134[[#This Row],[Eq No]],[1]!Table3[[Eq.No.]:[FY23/34 Acq. Status]],3,FALSE)</f>
        <v>2015</v>
      </c>
      <c r="I84" s="13" t="str">
        <f>VLOOKUP(Table134[[#This Row],[Eq No]],[1]!Table3[[Eq.No.]:[FY23/34 Acq. Status]],12,FALSE)</f>
        <v>LTM1060-3.1-60Ton</v>
      </c>
      <c r="J84" s="13" t="str">
        <f>VLOOKUP(Table134[[#This Row],[Eq No]],[1]!Table3[[Eq.No.]:[FY23/34 Acq. Status]],17,FALSE)</f>
        <v>LTM1060-3.1-60Ton</v>
      </c>
      <c r="K84" s="2">
        <v>0</v>
      </c>
      <c r="L84" s="2">
        <v>0</v>
      </c>
      <c r="M84" s="2">
        <v>23448654.336960003</v>
      </c>
    </row>
    <row r="85" spans="2:13" hidden="1" x14ac:dyDescent="0.25">
      <c r="B85" s="3" t="s">
        <v>51</v>
      </c>
      <c r="C85" s="4" t="s">
        <v>109</v>
      </c>
      <c r="D85" s="1" t="s">
        <v>21</v>
      </c>
      <c r="E85" s="1" t="str">
        <f>RIGHT(Table134[[#This Row],[PROJECT TITLE]],6)</f>
        <v>LD0485</v>
      </c>
      <c r="F85" s="10" t="s">
        <v>16</v>
      </c>
      <c r="G85" s="13" t="str">
        <f>VLOOKUP(Table134[[#This Row],[Eq No]],[1]!Table3[[Eq.No.]:[FY23/34 Acq. Status]],2,FALSE)</f>
        <v>Shaft &amp; Winders -  CSH 607 NC - REPCAP 1718</v>
      </c>
      <c r="H85" s="12">
        <f>VLOOKUP(Table134[[#This Row],[Eq No]],[1]!Table3[[Eq.No.]:[FY23/34 Acq. Status]],3,FALSE)</f>
        <v>2018</v>
      </c>
      <c r="I85" s="13" t="str">
        <f>VLOOKUP(Table134[[#This Row],[Eq No]],[1]!Table3[[Eq.No.]:[FY23/34 Acq. Status]],12,FALSE)</f>
        <v>2.4 GD6 D/C SRX</v>
      </c>
      <c r="J85" s="13" t="str">
        <f>VLOOKUP(Table134[[#This Row],[Eq No]],[1]!Table3[[Eq.No.]:[FY23/34 Acq. Status]],17,FALSE)</f>
        <v>2.4 GD6 D/C SRX</v>
      </c>
      <c r="K85" s="2">
        <v>0</v>
      </c>
      <c r="L85" s="2">
        <v>0</v>
      </c>
      <c r="M85" s="2">
        <v>1141467.2757999999</v>
      </c>
    </row>
    <row r="86" spans="2:13" hidden="1" x14ac:dyDescent="0.25">
      <c r="B86" s="3" t="s">
        <v>51</v>
      </c>
      <c r="C86" s="4" t="s">
        <v>110</v>
      </c>
      <c r="D86" s="1" t="s">
        <v>15</v>
      </c>
      <c r="E86" s="1" t="str">
        <f>RIGHT(Table134[[#This Row],[PROJECT TITLE]],6)</f>
        <v>CR0105</v>
      </c>
      <c r="F86" s="10" t="s">
        <v>16</v>
      </c>
      <c r="G86" s="13">
        <f>VLOOKUP(Table134[[#This Row],[Eq No]],[1]!Table3[[Eq.No.]:[FY23/34 Acq. Status]],2,FALSE)</f>
        <v>0</v>
      </c>
      <c r="H86" s="12">
        <f>VLOOKUP(Table134[[#This Row],[Eq No]],[1]!Table3[[Eq.No.]:[FY23/34 Acq. Status]],3,FALSE)</f>
        <v>2015</v>
      </c>
      <c r="I86" s="13" t="str">
        <f>VLOOKUP(Table134[[#This Row],[Eq No]],[1]!Table3[[Eq.No.]:[FY23/34 Acq. Status]],12,FALSE)</f>
        <v>Crane MHT780 T Evolution</v>
      </c>
      <c r="J86" s="13" t="str">
        <f>VLOOKUP(Table134[[#This Row],[Eq No]],[1]!Table3[[Eq.No.]:[FY23/34 Acq. Status]],17,FALSE)</f>
        <v>Crane MHT780 T Evolution</v>
      </c>
      <c r="K86" s="2">
        <v>0</v>
      </c>
      <c r="L86" s="2">
        <v>13604531.5328</v>
      </c>
      <c r="M86" s="2">
        <v>0</v>
      </c>
    </row>
    <row r="87" spans="2:13" hidden="1" x14ac:dyDescent="0.25">
      <c r="B87" s="3" t="s">
        <v>51</v>
      </c>
      <c r="C87" s="4" t="s">
        <v>111</v>
      </c>
      <c r="D87" s="1" t="s">
        <v>39</v>
      </c>
      <c r="E87" s="1" t="str">
        <f>RIGHT(Table134[[#This Row],[PROJECT TITLE]],6)</f>
        <v>DT0107</v>
      </c>
      <c r="F87" s="10" t="s">
        <v>16</v>
      </c>
      <c r="G87" s="13" t="str">
        <f>VLOOKUP(Table134[[#This Row],[Eq No]],[1]!Table3[[Eq.No.]:[FY23/34 Acq. Status]],2,FALSE)</f>
        <v>NCHW II UG</v>
      </c>
      <c r="H87" s="12">
        <f>VLOOKUP(Table134[[#This Row],[Eq No]],[1]!Table3[[Eq.No.]:[FY23/34 Acq. Status]],3,FALSE)</f>
        <v>2015</v>
      </c>
      <c r="I87" s="13" t="str">
        <f>VLOOKUP(Table134[[#This Row],[Eq No]],[1]!Table3[[Eq.No.]:[FY23/34 Acq. Status]],12,FALSE)</f>
        <v>MT 436 LP</v>
      </c>
      <c r="J87" s="13" t="str">
        <f>VLOOKUP(Table134[[#This Row],[Eq No]],[1]!Table3[[Eq.No.]:[FY23/34 Acq. Status]],17,FALSE)</f>
        <v>Elphinstone AD30 LP</v>
      </c>
      <c r="K87" s="2">
        <v>0</v>
      </c>
      <c r="L87" s="2">
        <v>23276539.660799999</v>
      </c>
      <c r="M87" s="2">
        <v>0</v>
      </c>
    </row>
    <row r="88" spans="2:13" hidden="1" x14ac:dyDescent="0.25">
      <c r="B88" s="3" t="s">
        <v>51</v>
      </c>
      <c r="C88" s="4" t="s">
        <v>112</v>
      </c>
      <c r="D88" s="1" t="s">
        <v>39</v>
      </c>
      <c r="E88" s="1" t="str">
        <f>RIGHT(Table134[[#This Row],[PROJECT TITLE]],6)</f>
        <v>DT0120</v>
      </c>
      <c r="F88" s="10" t="s">
        <v>16</v>
      </c>
      <c r="G88" s="13" t="str">
        <f>VLOOKUP(Table134[[#This Row],[Eq No]],[1]!Table3[[Eq.No.]:[FY23/34 Acq. Status]],2,FALSE)</f>
        <v>NCHW II UG</v>
      </c>
      <c r="H88" s="12">
        <f>VLOOKUP(Table134[[#This Row],[Eq No]],[1]!Table3[[Eq.No.]:[FY23/34 Acq. Status]],3,FALSE)</f>
        <v>2017</v>
      </c>
      <c r="I88" s="13" t="str">
        <f>VLOOKUP(Table134[[#This Row],[Eq No]],[1]!Table3[[Eq.No.]:[FY23/34 Acq. Status]],12,FALSE)</f>
        <v>Elphinstone AD30</v>
      </c>
      <c r="J88" s="13" t="str">
        <f>VLOOKUP(Table134[[#This Row],[Eq No]],[1]!Table3[[Eq.No.]:[FY23/34 Acq. Status]],17,FALSE)</f>
        <v>Elphinstone AD30 LP</v>
      </c>
      <c r="K88" s="2">
        <v>0</v>
      </c>
      <c r="L88" s="2">
        <v>0</v>
      </c>
      <c r="M88" s="2">
        <v>24022678.738200001</v>
      </c>
    </row>
    <row r="89" spans="2:13" hidden="1" x14ac:dyDescent="0.25">
      <c r="B89" s="3" t="s">
        <v>51</v>
      </c>
      <c r="C89" s="4" t="s">
        <v>113</v>
      </c>
      <c r="D89" s="1" t="s">
        <v>39</v>
      </c>
      <c r="E89" s="1" t="str">
        <f>RIGHT(Table134[[#This Row],[PROJECT TITLE]],6)</f>
        <v>DT0121</v>
      </c>
      <c r="F89" s="10" t="s">
        <v>16</v>
      </c>
      <c r="G89" s="13" t="str">
        <f>VLOOKUP(Table134[[#This Row],[Eq No]],[1]!Table3[[Eq.No.]:[FY23/34 Acq. Status]],2,FALSE)</f>
        <v>NCHW II UG</v>
      </c>
      <c r="H89" s="12">
        <f>VLOOKUP(Table134[[#This Row],[Eq No]],[1]!Table3[[Eq.No.]:[FY23/34 Acq. Status]],3,FALSE)</f>
        <v>2017</v>
      </c>
      <c r="I89" s="13" t="str">
        <f>VLOOKUP(Table134[[#This Row],[Eq No]],[1]!Table3[[Eq.No.]:[FY23/34 Acq. Status]],12,FALSE)</f>
        <v>Elphinstone AD30 LP</v>
      </c>
      <c r="J89" s="13" t="str">
        <f>VLOOKUP(Table134[[#This Row],[Eq No]],[1]!Table3[[Eq.No.]:[FY23/34 Acq. Status]],17,FALSE)</f>
        <v>Elphinstone AD30 LP</v>
      </c>
      <c r="K89" s="2">
        <v>0</v>
      </c>
      <c r="L89" s="2">
        <v>0</v>
      </c>
      <c r="M89" s="2">
        <v>24022678.738200001</v>
      </c>
    </row>
    <row r="90" spans="2:13" hidden="1" x14ac:dyDescent="0.25">
      <c r="B90" s="3" t="s">
        <v>51</v>
      </c>
      <c r="C90" s="4" t="s">
        <v>114</v>
      </c>
      <c r="D90" s="1" t="s">
        <v>7</v>
      </c>
      <c r="E90" s="1" t="str">
        <f>RIGHT(Table134[[#This Row],[PROJECT TITLE]],6)</f>
        <v>FL0066</v>
      </c>
      <c r="F90" s="10" t="s">
        <v>16</v>
      </c>
      <c r="G90" s="13" t="str">
        <f>VLOOKUP(Table134[[#This Row],[Eq No]],[1]!Table3[[Eq.No.]:[FY23/34 Acq. Status]],2,FALSE)</f>
        <v>NCHW II UG</v>
      </c>
      <c r="H90" s="12">
        <f>VLOOKUP(Table134[[#This Row],[Eq No]],[1]!Table3[[Eq.No.]:[FY23/34 Acq. Status]],3,FALSE)</f>
        <v>2014</v>
      </c>
      <c r="I90" s="13" t="str">
        <f>VLOOKUP(Table134[[#This Row],[Eq No]],[1]!Table3[[Eq.No.]:[FY23/34 Acq. Status]],12,FALSE)</f>
        <v>ST14</v>
      </c>
      <c r="J90" s="13" t="str">
        <f>VLOOKUP(Table134[[#This Row],[Eq No]],[1]!Table3[[Eq.No.]:[FY23/34 Acq. Status]],17,FALSE)</f>
        <v>ST14</v>
      </c>
      <c r="K90" s="2">
        <v>0</v>
      </c>
      <c r="L90" s="2">
        <v>26914293.568</v>
      </c>
      <c r="M90" s="2">
        <v>0</v>
      </c>
    </row>
    <row r="91" spans="2:13" hidden="1" x14ac:dyDescent="0.25">
      <c r="B91" s="3" t="s">
        <v>51</v>
      </c>
      <c r="C91" s="4" t="s">
        <v>115</v>
      </c>
      <c r="D91" s="1" t="s">
        <v>7</v>
      </c>
      <c r="E91" s="1" t="str">
        <f>RIGHT(Table134[[#This Row],[PROJECT TITLE]],6)</f>
        <v>FL0067</v>
      </c>
      <c r="F91" s="10" t="s">
        <v>16</v>
      </c>
      <c r="G91" s="13" t="str">
        <f>VLOOKUP(Table134[[#This Row],[Eq No]],[1]!Table3[[Eq.No.]:[FY23/34 Acq. Status]],2,FALSE)</f>
        <v>NCHW II UG</v>
      </c>
      <c r="H91" s="12">
        <f>VLOOKUP(Table134[[#This Row],[Eq No]],[1]!Table3[[Eq.No.]:[FY23/34 Acq. Status]],3,FALSE)</f>
        <v>2014</v>
      </c>
      <c r="I91" s="13" t="str">
        <f>VLOOKUP(Table134[[#This Row],[Eq No]],[1]!Table3[[Eq.No.]:[FY23/34 Acq. Status]],12,FALSE)</f>
        <v>ST14</v>
      </c>
      <c r="J91" s="13" t="str">
        <f>VLOOKUP(Table134[[#This Row],[Eq No]],[1]!Table3[[Eq.No.]:[FY23/34 Acq. Status]],17,FALSE)</f>
        <v>ST14</v>
      </c>
      <c r="K91" s="2">
        <v>0</v>
      </c>
      <c r="L91" s="2">
        <v>26914293.568</v>
      </c>
      <c r="M91" s="2">
        <v>0</v>
      </c>
    </row>
    <row r="92" spans="2:13" hidden="1" x14ac:dyDescent="0.25">
      <c r="B92" s="3" t="s">
        <v>51</v>
      </c>
      <c r="C92" s="4" t="s">
        <v>116</v>
      </c>
      <c r="D92" s="1" t="s">
        <v>7</v>
      </c>
      <c r="E92" s="1" t="str">
        <f>RIGHT(Table134[[#This Row],[PROJECT TITLE]],6)</f>
        <v>FL0077</v>
      </c>
      <c r="F92" s="10" t="s">
        <v>16</v>
      </c>
      <c r="G92" s="13" t="str">
        <f>VLOOKUP(Table134[[#This Row],[Eq No]],[1]!Table3[[Eq.No.]:[FY23/34 Acq. Status]],2,FALSE)</f>
        <v>NCHW II UG</v>
      </c>
      <c r="H92" s="12">
        <f>VLOOKUP(Table134[[#This Row],[Eq No]],[1]!Table3[[Eq.No.]:[FY23/34 Acq. Status]],3,FALSE)</f>
        <v>2017</v>
      </c>
      <c r="I92" s="13" t="str">
        <f>VLOOKUP(Table134[[#This Row],[Eq No]],[1]!Table3[[Eq.No.]:[FY23/34 Acq. Status]],12,FALSE)</f>
        <v>ST1030</v>
      </c>
      <c r="J92" s="13" t="str">
        <f>VLOOKUP(Table134[[#This Row],[Eq No]],[1]!Table3[[Eq.No.]:[FY23/34 Acq. Status]],17,FALSE)</f>
        <v>ST1030</v>
      </c>
      <c r="K92" s="2">
        <v>0</v>
      </c>
      <c r="L92" s="2">
        <v>0</v>
      </c>
      <c r="M92" s="2">
        <v>18807242.346999999</v>
      </c>
    </row>
    <row r="93" spans="2:13" hidden="1" x14ac:dyDescent="0.25">
      <c r="B93" s="3" t="s">
        <v>51</v>
      </c>
      <c r="C93" s="4" t="s">
        <v>117</v>
      </c>
      <c r="D93" s="1" t="s">
        <v>7</v>
      </c>
      <c r="E93" s="1" t="str">
        <f>RIGHT(Table134[[#This Row],[PROJECT TITLE]],6)</f>
        <v>FL0085</v>
      </c>
      <c r="F93" s="10" t="s">
        <v>16</v>
      </c>
      <c r="G93" s="13" t="str">
        <f>VLOOKUP(Table134[[#This Row],[Eq No]],[1]!Table3[[Eq.No.]:[FY23/34 Acq. Status]],2,FALSE)</f>
        <v>NCHW II UG</v>
      </c>
      <c r="H93" s="12">
        <f>VLOOKUP(Table134[[#This Row],[Eq No]],[1]!Table3[[Eq.No.]:[FY23/34 Acq. Status]],3,FALSE)</f>
        <v>2018</v>
      </c>
      <c r="I93" s="13" t="str">
        <f>VLOOKUP(Table134[[#This Row],[Eq No]],[1]!Table3[[Eq.No.]:[FY23/34 Acq. Status]],12,FALSE)</f>
        <v>ST1030LP</v>
      </c>
      <c r="J93" s="13" t="str">
        <f>VLOOKUP(Table134[[#This Row],[Eq No]],[1]!Table3[[Eq.No.]:[FY23/34 Acq. Status]],17,FALSE)</f>
        <v>ST1030LP</v>
      </c>
      <c r="K93" s="2">
        <v>0</v>
      </c>
      <c r="L93" s="2">
        <v>0</v>
      </c>
      <c r="M93" s="2">
        <v>18807242.346999999</v>
      </c>
    </row>
    <row r="94" spans="2:13" hidden="1" x14ac:dyDescent="0.25">
      <c r="B94" s="3" t="s">
        <v>51</v>
      </c>
      <c r="C94" s="4" t="s">
        <v>118</v>
      </c>
      <c r="D94" s="1" t="s">
        <v>119</v>
      </c>
      <c r="E94" s="1" t="str">
        <f>RIGHT(Table134[[#This Row],[PROJECT TITLE]],6)</f>
        <v>HD0053</v>
      </c>
      <c r="F94" s="10" t="s">
        <v>16</v>
      </c>
      <c r="G94" s="13" t="str">
        <f>VLOOKUP(Table134[[#This Row],[Eq No]],[1]!Table3[[Eq.No.]:[FY23/34 Acq. Status]],2,FALSE)</f>
        <v>NCHW II UG</v>
      </c>
      <c r="H94" s="12">
        <f>VLOOKUP(Table134[[#This Row],[Eq No]],[1]!Table3[[Eq.No.]:[FY23/34 Acq. Status]],3,FALSE)</f>
        <v>2018</v>
      </c>
      <c r="I94" s="13" t="str">
        <f>VLOOKUP(Table134[[#This Row],[Eq No]],[1]!Table3[[Eq.No.]:[FY23/34 Acq. Status]],12,FALSE)</f>
        <v>Double Boom 282</v>
      </c>
      <c r="J94" s="13" t="str">
        <f>VLOOKUP(Table134[[#This Row],[Eq No]],[1]!Table3[[Eq.No.]:[FY23/34 Acq. Status]],17,FALSE)</f>
        <v>Double Boom 282</v>
      </c>
      <c r="K94" s="2">
        <v>0</v>
      </c>
      <c r="L94" s="2">
        <v>20842117.158399999</v>
      </c>
      <c r="M94" s="2">
        <v>0</v>
      </c>
    </row>
    <row r="95" spans="2:13" hidden="1" x14ac:dyDescent="0.25">
      <c r="B95" s="3" t="s">
        <v>51</v>
      </c>
      <c r="C95" s="4" t="s">
        <v>120</v>
      </c>
      <c r="D95" s="1" t="s">
        <v>21</v>
      </c>
      <c r="E95" s="1" t="str">
        <f>RIGHT(Table134[[#This Row],[PROJECT TITLE]],6)</f>
        <v>LD0426</v>
      </c>
      <c r="F95" s="10" t="s">
        <v>16</v>
      </c>
      <c r="G95" s="13">
        <f>VLOOKUP(Table134[[#This Row],[Eq No]],[1]!Table3[[Eq.No.]:[FY23/34 Acq. Status]],2,FALSE)</f>
        <v>0</v>
      </c>
      <c r="H95" s="12">
        <f>VLOOKUP(Table134[[#This Row],[Eq No]],[1]!Table3[[Eq.No.]:[FY23/34 Acq. Status]],3,FALSE)</f>
        <v>2017</v>
      </c>
      <c r="I95" s="13" t="str">
        <f>VLOOKUP(Table134[[#This Row],[Eq No]],[1]!Table3[[Eq.No.]:[FY23/34 Acq. Status]],12,FALSE)</f>
        <v>D/Cab Maverick</v>
      </c>
      <c r="J95" s="13" t="str">
        <f>VLOOKUP(Table134[[#This Row],[Eq No]],[1]!Table3[[Eq.No.]:[FY23/34 Acq. Status]],17,FALSE)</f>
        <v>L/Cruiser 4x4 (Converted to UG Spec)</v>
      </c>
      <c r="K95" s="2">
        <v>0</v>
      </c>
      <c r="L95" s="2">
        <v>3643512.1748480005</v>
      </c>
      <c r="M95" s="2">
        <v>0</v>
      </c>
    </row>
    <row r="96" spans="2:13" hidden="1" x14ac:dyDescent="0.25">
      <c r="B96" s="3" t="s">
        <v>51</v>
      </c>
      <c r="C96" s="4" t="s">
        <v>121</v>
      </c>
      <c r="D96" s="1" t="s">
        <v>21</v>
      </c>
      <c r="E96" s="1" t="str">
        <f>RIGHT(Table134[[#This Row],[PROJECT TITLE]],6)</f>
        <v>LD0450</v>
      </c>
      <c r="F96" s="10" t="s">
        <v>16</v>
      </c>
      <c r="G96" s="13">
        <f>VLOOKUP(Table134[[#This Row],[Eq No]],[1]!Table3[[Eq.No.]:[FY23/34 Acq. Status]],2,FALSE)</f>
        <v>0</v>
      </c>
      <c r="H96" s="12">
        <f>VLOOKUP(Table134[[#This Row],[Eq No]],[1]!Table3[[Eq.No.]:[FY23/34 Acq. Status]],3,FALSE)</f>
        <v>2019</v>
      </c>
      <c r="I96" s="13" t="str">
        <f>VLOOKUP(Table134[[#This Row],[Eq No]],[1]!Table3[[Eq.No.]:[FY23/34 Acq. Status]],12,FALSE)</f>
        <v>D/Cab Maverick</v>
      </c>
      <c r="J96" s="13" t="str">
        <f>VLOOKUP(Table134[[#This Row],[Eq No]],[1]!Table3[[Eq.No.]:[FY23/34 Acq. Status]],17,FALSE)</f>
        <v>L/Cruiser 4x4 (Converted to UG Spec)</v>
      </c>
      <c r="K96" s="2">
        <v>0</v>
      </c>
      <c r="L96" s="2">
        <v>3643512.1748480005</v>
      </c>
      <c r="M96" s="2">
        <v>0</v>
      </c>
    </row>
    <row r="97" spans="2:13" hidden="1" x14ac:dyDescent="0.25">
      <c r="B97" s="3" t="s">
        <v>51</v>
      </c>
      <c r="C97" s="4" t="s">
        <v>122</v>
      </c>
      <c r="D97" s="1" t="s">
        <v>21</v>
      </c>
      <c r="E97" s="1" t="str">
        <f>RIGHT(Table134[[#This Row],[PROJECT TITLE]],6)</f>
        <v>LD0499</v>
      </c>
      <c r="F97" s="10" t="s">
        <v>16</v>
      </c>
      <c r="G97" s="13" t="str">
        <f>VLOOKUP(Table134[[#This Row],[Eq No]],[1]!Table3[[Eq.No.]:[FY23/34 Acq. Status]],2,FALSE)</f>
        <v>Mining NCH2</v>
      </c>
      <c r="H97" s="12">
        <f>VLOOKUP(Table134[[#This Row],[Eq No]],[1]!Table3[[Eq.No.]:[FY23/34 Acq. Status]],3,FALSE)</f>
        <v>2018</v>
      </c>
      <c r="I97" s="13" t="str">
        <f>VLOOKUP(Table134[[#This Row],[Eq No]],[1]!Table3[[Eq.No.]:[FY23/34 Acq. Status]],12,FALSE)</f>
        <v>2.4 GD6 D/C SRX</v>
      </c>
      <c r="J97" s="13" t="str">
        <f>VLOOKUP(Table134[[#This Row],[Eq No]],[1]!Table3[[Eq.No.]:[FY23/34 Acq. Status]],17,FALSE)</f>
        <v>2.4 GD6 D/C SRX</v>
      </c>
      <c r="K97" s="2">
        <v>0</v>
      </c>
      <c r="L97" s="2">
        <v>1106013.5552000001</v>
      </c>
      <c r="M97" s="2">
        <v>0</v>
      </c>
    </row>
    <row r="98" spans="2:13" hidden="1" x14ac:dyDescent="0.25">
      <c r="B98" s="3" t="s">
        <v>51</v>
      </c>
      <c r="C98" s="4" t="s">
        <v>123</v>
      </c>
      <c r="D98" s="1" t="s">
        <v>21</v>
      </c>
      <c r="E98" s="1" t="str">
        <f>RIGHT(Table134[[#This Row],[PROJECT TITLE]],6)</f>
        <v>LD0509</v>
      </c>
      <c r="F98" s="10" t="s">
        <v>16</v>
      </c>
      <c r="G98" s="13" t="str">
        <f>VLOOKUP(Table134[[#This Row],[Eq No]],[1]!Table3[[Eq.No.]:[FY23/34 Acq. Status]],2,FALSE)</f>
        <v>Projects - DRA</v>
      </c>
      <c r="H98" s="12">
        <f>VLOOKUP(Table134[[#This Row],[Eq No]],[1]!Table3[[Eq.No.]:[FY23/34 Acq. Status]],3,FALSE)</f>
        <v>2019</v>
      </c>
      <c r="I98" s="13" t="str">
        <f>VLOOKUP(Table134[[#This Row],[Eq No]],[1]!Table3[[Eq.No.]:[FY23/34 Acq. Status]],12,FALSE)</f>
        <v>D/Cab Maverick</v>
      </c>
      <c r="J98" s="13" t="str">
        <f>VLOOKUP(Table134[[#This Row],[Eq No]],[1]!Table3[[Eq.No.]:[FY23/34 Acq. Status]],17,FALSE)</f>
        <v>L/Cruiser 4x4 (Converted to UG Spec)</v>
      </c>
      <c r="K98" s="2">
        <v>0</v>
      </c>
      <c r="L98" s="2">
        <v>0</v>
      </c>
      <c r="M98" s="2">
        <v>3760306.4600920002</v>
      </c>
    </row>
    <row r="99" spans="2:13" hidden="1" x14ac:dyDescent="0.25">
      <c r="B99" s="3" t="s">
        <v>51</v>
      </c>
      <c r="C99" s="4" t="s">
        <v>124</v>
      </c>
      <c r="D99" s="1" t="s">
        <v>28</v>
      </c>
      <c r="E99" s="1" t="str">
        <f>RIGHT(Table134[[#This Row],[PROJECT TITLE]],6)</f>
        <v>RT0040</v>
      </c>
      <c r="F99" s="10" t="s">
        <v>16</v>
      </c>
      <c r="G99" s="13" t="str">
        <f>VLOOKUP(Table134[[#This Row],[Eq No]],[1]!Table3[[Eq.No.]:[FY23/34 Acq. Status]],2,FALSE)</f>
        <v>NCH II UG</v>
      </c>
      <c r="H99" s="12">
        <f>VLOOKUP(Table134[[#This Row],[Eq No]],[1]!Table3[[Eq.No.]:[FY23/34 Acq. Status]],3,FALSE)</f>
        <v>2014</v>
      </c>
      <c r="I99" s="13" t="str">
        <f>VLOOKUP(Table134[[#This Row],[Eq No]],[1]!Table3[[Eq.No.]:[FY23/34 Acq. Status]],12,FALSE)</f>
        <v>Boltec 235H</v>
      </c>
      <c r="J99" s="13" t="str">
        <f>VLOOKUP(Table134[[#This Row],[Eq No]],[1]!Table3[[Eq.No.]:[FY23/34 Acq. Status]],17,FALSE)</f>
        <v>Boltec 235H</v>
      </c>
      <c r="K99" s="2">
        <v>0</v>
      </c>
      <c r="L99" s="2">
        <v>20662674.918400001</v>
      </c>
      <c r="M99" s="2">
        <v>0</v>
      </c>
    </row>
    <row r="100" spans="2:13" hidden="1" x14ac:dyDescent="0.25">
      <c r="B100" s="3" t="s">
        <v>51</v>
      </c>
      <c r="C100" s="4" t="s">
        <v>125</v>
      </c>
      <c r="D100" s="1" t="s">
        <v>28</v>
      </c>
      <c r="E100" s="1" t="str">
        <f>RIGHT(Table134[[#This Row],[PROJECT TITLE]],6)</f>
        <v>RT0043</v>
      </c>
      <c r="F100" s="10" t="s">
        <v>16</v>
      </c>
      <c r="G100" s="13" t="str">
        <f>VLOOKUP(Table134[[#This Row],[Eq No]],[1]!Table3[[Eq.No.]:[FY23/34 Acq. Status]],2,FALSE)</f>
        <v>NCH II UG</v>
      </c>
      <c r="H100" s="12">
        <f>VLOOKUP(Table134[[#This Row],[Eq No]],[1]!Table3[[Eq.No.]:[FY23/34 Acq. Status]],3,FALSE)</f>
        <v>2018</v>
      </c>
      <c r="I100" s="13" t="str">
        <f>VLOOKUP(Table134[[#This Row],[Eq No]],[1]!Table3[[Eq.No.]:[FY23/34 Acq. Status]],12,FALSE)</f>
        <v>Boltec 235H</v>
      </c>
      <c r="J100" s="13" t="str">
        <f>VLOOKUP(Table134[[#This Row],[Eq No]],[1]!Table3[[Eq.No.]:[FY23/34 Acq. Status]],17,FALSE)</f>
        <v>Boltec 235H</v>
      </c>
      <c r="K100" s="2">
        <v>0</v>
      </c>
      <c r="L100" s="2">
        <v>0</v>
      </c>
      <c r="M100" s="2">
        <v>21325025.483599998</v>
      </c>
    </row>
    <row r="101" spans="2:13" hidden="1" x14ac:dyDescent="0.25">
      <c r="B101" s="3" t="s">
        <v>51</v>
      </c>
      <c r="C101" s="4" t="s">
        <v>126</v>
      </c>
      <c r="D101" s="1" t="s">
        <v>31</v>
      </c>
      <c r="E101" s="1" t="str">
        <f>RIGHT(Table134[[#This Row],[PROJECT TITLE]],6)</f>
        <v>SR0033</v>
      </c>
      <c r="F101" s="10" t="s">
        <v>16</v>
      </c>
      <c r="G101" s="13" t="str">
        <f>VLOOKUP(Table134[[#This Row],[Eq No]],[1]!Table3[[Eq.No.]:[FY23/34 Acq. Status]],2,FALSE)</f>
        <v>NCHW II UG</v>
      </c>
      <c r="H101" s="12">
        <f>VLOOKUP(Table134[[#This Row],[Eq No]],[1]!Table3[[Eq.No.]:[FY23/34 Acq. Status]],3,FALSE)</f>
        <v>2017</v>
      </c>
      <c r="I101" s="13" t="str">
        <f>VLOOKUP(Table134[[#This Row],[Eq No]],[1]!Table3[[Eq.No.]:[FY23/34 Acq. Status]],12,FALSE)</f>
        <v>4 Wheeler</v>
      </c>
      <c r="J101" s="13" t="str">
        <f>VLOOKUP(Table134[[#This Row],[Eq No]],[1]!Table3[[Eq.No.]:[FY23/34 Acq. Status]],17,FALSE)</f>
        <v>Scaler 220 E, 4-Wheeler</v>
      </c>
      <c r="K101" s="2">
        <v>0</v>
      </c>
      <c r="L101" s="2">
        <v>6592121.2415999994</v>
      </c>
      <c r="M101" s="2">
        <v>0</v>
      </c>
    </row>
    <row r="102" spans="2:13" hidden="1" x14ac:dyDescent="0.25">
      <c r="B102" s="3" t="s">
        <v>51</v>
      </c>
      <c r="C102" s="4" t="s">
        <v>127</v>
      </c>
      <c r="D102" s="1" t="s">
        <v>95</v>
      </c>
      <c r="E102" s="1" t="str">
        <f>RIGHT(Table134[[#This Row],[PROJECT TITLE]],6)</f>
        <v>UV0054</v>
      </c>
      <c r="F102" s="10" t="s">
        <v>16</v>
      </c>
      <c r="G102" s="13" t="str">
        <f>VLOOKUP(Table134[[#This Row],[Eq No]],[1]!Table3[[Eq.No.]:[FY23/34 Acq. Status]],2,FALSE)</f>
        <v>Logistics</v>
      </c>
      <c r="H102" s="12">
        <f>VLOOKUP(Table134[[#This Row],[Eq No]],[1]!Table3[[Eq.No.]:[FY23/34 Acq. Status]],3,FALSE)</f>
        <v>2015</v>
      </c>
      <c r="I102" s="13" t="str">
        <f>VLOOKUP(Table134[[#This Row],[Eq No]],[1]!Table3[[Eq.No.]:[FY23/34 Acq. Status]],12,FALSE)</f>
        <v>UV80/Carr/MKIII</v>
      </c>
      <c r="J102" s="13" t="str">
        <f>VLOOKUP(Table134[[#This Row],[Eq No]],[1]!Table3[[Eq.No.]:[FY23/34 Acq. Status]],17,FALSE)</f>
        <v>UV80/Carr/MKIII</v>
      </c>
      <c r="K102" s="2">
        <v>0</v>
      </c>
      <c r="L102" s="2">
        <v>6692310.9120000005</v>
      </c>
      <c r="M102" s="2">
        <v>0</v>
      </c>
    </row>
    <row r="103" spans="2:13" hidden="1" x14ac:dyDescent="0.25">
      <c r="B103" s="3" t="s">
        <v>51</v>
      </c>
      <c r="C103" s="4" t="s">
        <v>128</v>
      </c>
      <c r="D103" s="1" t="s">
        <v>95</v>
      </c>
      <c r="E103" s="1" t="str">
        <f>RIGHT(Table134[[#This Row],[PROJECT TITLE]],6)</f>
        <v>UV0057</v>
      </c>
      <c r="F103" s="10" t="s">
        <v>16</v>
      </c>
      <c r="G103" s="13" t="str">
        <f>VLOOKUP(Table134[[#This Row],[Eq No]],[1]!Table3[[Eq.No.]:[FY23/34 Acq. Status]],2,FALSE)</f>
        <v>Logistics</v>
      </c>
      <c r="H103" s="12" t="e">
        <f>VLOOKUP(Table134[[#This Row],[Eq No]],[1]!Table3[[Eq.No.]:[FY23/34 Acq. Status]],3,FALSE)</f>
        <v>#N/A</v>
      </c>
      <c r="I103" s="13" t="str">
        <f>VLOOKUP(Table134[[#This Row],[Eq No]],[1]!Table3[[Eq.No.]:[FY23/34 Acq. Status]],12,FALSE)</f>
        <v>UV80/Carr/MKIII</v>
      </c>
      <c r="J103" s="13" t="str">
        <f>VLOOKUP(Table134[[#This Row],[Eq No]],[1]!Table3[[Eq.No.]:[FY23/34 Acq. Status]],17,FALSE)</f>
        <v>UV80/Carr/MKIII</v>
      </c>
      <c r="K103" s="2">
        <v>0</v>
      </c>
      <c r="L103" s="2">
        <v>0</v>
      </c>
      <c r="M103" s="2">
        <v>6906835.6979999999</v>
      </c>
    </row>
    <row r="104" spans="2:13" hidden="1" x14ac:dyDescent="0.25">
      <c r="B104" s="3" t="s">
        <v>51</v>
      </c>
      <c r="C104" s="4" t="s">
        <v>129</v>
      </c>
      <c r="D104" s="1" t="s">
        <v>95</v>
      </c>
      <c r="E104" s="1" t="str">
        <f>RIGHT(Table134[[#This Row],[PROJECT TITLE]],6)</f>
        <v>UV0084</v>
      </c>
      <c r="F104" s="10" t="s">
        <v>16</v>
      </c>
      <c r="G104" s="13" t="str">
        <f>VLOOKUP(Table134[[#This Row],[Eq No]],[1]!Table3[[Eq.No.]:[FY23/34 Acq. Status]],2,FALSE)</f>
        <v>Electricians U/G</v>
      </c>
      <c r="H104" s="12">
        <f>VLOOKUP(Table134[[#This Row],[Eq No]],[1]!Table3[[Eq.No.]:[FY23/34 Acq. Status]],3,FALSE)</f>
        <v>2019</v>
      </c>
      <c r="I104" s="13" t="str">
        <f>VLOOKUP(Table134[[#This Row],[Eq No]],[1]!Table3[[Eq.No.]:[FY23/34 Acq. Status]],12,FALSE)</f>
        <v>UV80/Scis/Crane</v>
      </c>
      <c r="J104" s="13" t="str">
        <f>VLOOKUP(Table134[[#This Row],[Eq No]],[1]!Table3[[Eq.No.]:[FY23/34 Acq. Status]],17,FALSE)</f>
        <v>UV80/Scis/Crane</v>
      </c>
      <c r="K104" s="2">
        <v>0</v>
      </c>
      <c r="L104" s="2">
        <v>8306390.9119999995</v>
      </c>
      <c r="M104" s="2">
        <v>0</v>
      </c>
    </row>
    <row r="105" spans="2:13" hidden="1" x14ac:dyDescent="0.25">
      <c r="B105" s="3" t="s">
        <v>51</v>
      </c>
      <c r="C105" s="4" t="s">
        <v>130</v>
      </c>
      <c r="D105" s="1" t="s">
        <v>95</v>
      </c>
      <c r="E105" s="1" t="str">
        <f>RIGHT(Table134[[#This Row],[PROJECT TITLE]],6)</f>
        <v>UV0108</v>
      </c>
      <c r="F105" s="10" t="s">
        <v>16</v>
      </c>
      <c r="G105" s="13" t="str">
        <f>VLOOKUP(Table134[[#This Row],[Eq No]],[1]!Table3[[Eq.No.]:[FY23/34 Acq. Status]],2,FALSE)</f>
        <v>Mining</v>
      </c>
      <c r="H105" s="12">
        <f>VLOOKUP(Table134[[#This Row],[Eq No]],[1]!Table3[[Eq.No.]:[FY23/34 Acq. Status]],3,FALSE)</f>
        <v>2018</v>
      </c>
      <c r="I105" s="13" t="str">
        <f>VLOOKUP(Table134[[#This Row],[Eq No]],[1]!Table3[[Eq.No.]:[FY23/34 Acq. Status]],12,FALSE)</f>
        <v>UV80/EmulCarr/+Crn</v>
      </c>
      <c r="J105" s="13" t="str">
        <f>VLOOKUP(Table134[[#This Row],[Eq No]],[1]!Table3[[Eq.No.]:[FY23/34 Acq. Status]],17,FALSE)</f>
        <v>UV80 Emul Char</v>
      </c>
      <c r="K105" s="2">
        <v>0</v>
      </c>
      <c r="L105" s="2">
        <v>9051350.9120000005</v>
      </c>
      <c r="M105" s="2">
        <v>0</v>
      </c>
    </row>
    <row r="106" spans="2:13" hidden="1" x14ac:dyDescent="0.25">
      <c r="B106" s="3" t="s">
        <v>51</v>
      </c>
      <c r="C106" s="4" t="s">
        <v>131</v>
      </c>
      <c r="D106" s="1" t="s">
        <v>95</v>
      </c>
      <c r="E106" s="1" t="str">
        <f>RIGHT(Table134[[#This Row],[PROJECT TITLE]],6)</f>
        <v>UV0118</v>
      </c>
      <c r="F106" s="10" t="s">
        <v>16</v>
      </c>
      <c r="G106" s="13" t="str">
        <f>VLOOKUP(Table134[[#This Row],[Eq No]],[1]!Table3[[Eq.No.]:[FY23/34 Acq. Status]],2,FALSE)</f>
        <v>Logistics</v>
      </c>
      <c r="H106" s="12">
        <f>VLOOKUP(Table134[[#This Row],[Eq No]],[1]!Table3[[Eq.No.]:[FY23/34 Acq. Status]],3,FALSE)</f>
        <v>2021</v>
      </c>
      <c r="I106" s="13" t="str">
        <f>VLOOKUP(Table134[[#This Row],[Eq No]],[1]!Table3[[Eq.No.]:[FY23/34 Acq. Status]],12,FALSE)</f>
        <v>RORO</v>
      </c>
      <c r="J106" s="13" t="str">
        <f>VLOOKUP(Table134[[#This Row],[Eq No]],[1]!Table3[[Eq.No.]:[FY23/34 Acq. Status]],17,FALSE)</f>
        <v>RORO</v>
      </c>
      <c r="K106" s="2">
        <v>0</v>
      </c>
      <c r="L106" s="2">
        <v>0</v>
      </c>
      <c r="M106" s="2">
        <v>8357729.269452001</v>
      </c>
    </row>
    <row r="107" spans="2:13" hidden="1" x14ac:dyDescent="0.25">
      <c r="B107" s="3" t="s">
        <v>51</v>
      </c>
      <c r="C107" s="4" t="s">
        <v>132</v>
      </c>
      <c r="D107" s="1" t="s">
        <v>95</v>
      </c>
      <c r="E107" s="1" t="str">
        <f>RIGHT(Table134[[#This Row],[PROJECT TITLE]],6)</f>
        <v>UV0119</v>
      </c>
      <c r="F107" s="10" t="s">
        <v>16</v>
      </c>
      <c r="G107" s="13" t="str">
        <f>VLOOKUP(Table134[[#This Row],[Eq No]],[1]!Table3[[Eq.No.]:[FY23/34 Acq. Status]],2,FALSE)</f>
        <v>Logistics</v>
      </c>
      <c r="H107" s="12">
        <f>VLOOKUP(Table134[[#This Row],[Eq No]],[1]!Table3[[Eq.No.]:[FY23/34 Acq. Status]],3,FALSE)</f>
        <v>2020</v>
      </c>
      <c r="I107" s="13" t="str">
        <f>VLOOKUP(Table134[[#This Row],[Eq No]],[1]!Table3[[Eq.No.]:[FY23/34 Acq. Status]],12,FALSE)</f>
        <v>PLACER</v>
      </c>
      <c r="J107" s="13" t="str">
        <f>VLOOKUP(Table134[[#This Row],[Eq No]],[1]!Table3[[Eq.No.]:[FY23/34 Acq. Status]],17,FALSE)</f>
        <v>roro</v>
      </c>
      <c r="K107" s="2">
        <v>0</v>
      </c>
      <c r="L107" s="2">
        <v>0</v>
      </c>
      <c r="M107" s="2">
        <v>8357729.269452001</v>
      </c>
    </row>
    <row r="108" spans="2:13" hidden="1" x14ac:dyDescent="0.25">
      <c r="B108" s="3" t="s">
        <v>51</v>
      </c>
      <c r="C108" s="4" t="s">
        <v>133</v>
      </c>
      <c r="D108" s="1" t="s">
        <v>39</v>
      </c>
      <c r="E108" s="1" t="str">
        <f>RIGHT(Table134[[#This Row],[PROJECT TITLE]],6)</f>
        <v>DT0118</v>
      </c>
      <c r="F108" s="10" t="s">
        <v>29</v>
      </c>
      <c r="G108" s="13" t="str">
        <f>VLOOKUP(Table134[[#This Row],[Eq No]],[1]!Table3[[Eq.No.]:[FY23/34 Acq. Status]],2,FALSE)</f>
        <v>Load &amp; Haul</v>
      </c>
      <c r="H108" s="12">
        <f>VLOOKUP(Table134[[#This Row],[Eq No]],[1]!Table3[[Eq.No.]:[FY23/34 Acq. Status]],3,FALSE)</f>
        <v>2017</v>
      </c>
      <c r="I108" s="13" t="str">
        <f>VLOOKUP(Table134[[#This Row],[Eq No]],[1]!Table3[[Eq.No.]:[FY23/34 Acq. Status]],12,FALSE)</f>
        <v>Elphinstone AD30</v>
      </c>
      <c r="J108" s="13" t="str">
        <f>VLOOKUP(Table134[[#This Row],[Eq No]],[1]!Table3[[Eq.No.]:[FY23/34 Acq. Status]],17,FALSE)</f>
        <v>MT42B</v>
      </c>
      <c r="K108" s="2">
        <v>0</v>
      </c>
      <c r="L108" s="2">
        <v>0</v>
      </c>
      <c r="M108" s="2">
        <v>34808580.048799999</v>
      </c>
    </row>
    <row r="109" spans="2:13" hidden="1" x14ac:dyDescent="0.25">
      <c r="B109" s="3" t="s">
        <v>51</v>
      </c>
      <c r="C109" s="4" t="s">
        <v>134</v>
      </c>
      <c r="D109" s="1" t="s">
        <v>39</v>
      </c>
      <c r="E109" s="1" t="str">
        <f>RIGHT(Table134[[#This Row],[PROJECT TITLE]],6)</f>
        <v>DT0145</v>
      </c>
      <c r="F109" s="10" t="s">
        <v>29</v>
      </c>
      <c r="G109" s="13" t="str">
        <f>VLOOKUP(Table134[[#This Row],[Eq No]],[1]!Table3[[Eq.No.]:[FY23/34 Acq. Status]],2,FALSE)</f>
        <v>Load &amp; Haul</v>
      </c>
      <c r="H109" s="12">
        <f>VLOOKUP(Table134[[#This Row],[Eq No]],[1]!Table3[[Eq.No.]:[FY23/34 Acq. Status]],3,FALSE)</f>
        <v>2020</v>
      </c>
      <c r="I109" s="13" t="str">
        <f>VLOOKUP(Table134[[#This Row],[Eq No]],[1]!Table3[[Eq.No.]:[FY23/34 Acq. Status]],12,FALSE)</f>
        <v>Elphinstone AD45</v>
      </c>
      <c r="J109" s="13" t="str">
        <f>VLOOKUP(Table134[[#This Row],[Eq No]],[1]!Table3[[Eq.No.]:[FY23/34 Acq. Status]],17,FALSE)</f>
        <v>MT42B</v>
      </c>
      <c r="K109" s="2">
        <v>0</v>
      </c>
      <c r="L109" s="2">
        <v>33727433.267200001</v>
      </c>
      <c r="M109" s="2">
        <v>0</v>
      </c>
    </row>
    <row r="110" spans="2:13" hidden="1" x14ac:dyDescent="0.25">
      <c r="B110" s="3" t="s">
        <v>51</v>
      </c>
      <c r="C110" s="4" t="s">
        <v>135</v>
      </c>
      <c r="D110" s="1" t="s">
        <v>39</v>
      </c>
      <c r="E110" s="1" t="str">
        <f>RIGHT(Table134[[#This Row],[PROJECT TITLE]],6)</f>
        <v>DT0148</v>
      </c>
      <c r="F110" s="10" t="s">
        <v>29</v>
      </c>
      <c r="G110" s="13" t="str">
        <f>VLOOKUP(Table134[[#This Row],[Eq No]],[1]!Table3[[Eq.No.]:[FY23/34 Acq. Status]],2,FALSE)</f>
        <v>Load &amp; Haul</v>
      </c>
      <c r="H110" s="12">
        <f>VLOOKUP(Table134[[#This Row],[Eq No]],[1]!Table3[[Eq.No.]:[FY23/34 Acq. Status]],3,FALSE)</f>
        <v>2020</v>
      </c>
      <c r="I110" s="13" t="str">
        <f>VLOOKUP(Table134[[#This Row],[Eq No]],[1]!Table3[[Eq.No.]:[FY23/34 Acq. Status]],12,FALSE)</f>
        <v>Elphinstone AD45</v>
      </c>
      <c r="J110" s="13" t="str">
        <f>VLOOKUP(Table134[[#This Row],[Eq No]],[1]!Table3[[Eq.No.]:[FY23/34 Acq. Status]],17,FALSE)</f>
        <v>MT42B</v>
      </c>
      <c r="K110" s="2">
        <v>0</v>
      </c>
      <c r="L110" s="2">
        <v>0</v>
      </c>
      <c r="M110" s="2">
        <v>34808580.048799999</v>
      </c>
    </row>
    <row r="111" spans="2:13" hidden="1" x14ac:dyDescent="0.25">
      <c r="B111" s="3" t="s">
        <v>51</v>
      </c>
      <c r="C111" s="4" t="s">
        <v>136</v>
      </c>
      <c r="D111" s="1" t="s">
        <v>7</v>
      </c>
      <c r="E111" s="1" t="str">
        <f>RIGHT(Table134[[#This Row],[PROJECT TITLE]],6)</f>
        <v>FL0091</v>
      </c>
      <c r="F111" s="10" t="s">
        <v>29</v>
      </c>
      <c r="G111" s="13" t="str">
        <f>VLOOKUP(Table134[[#This Row],[Eq No]],[1]!Table3[[Eq.No.]:[FY23/34 Acq. Status]],2,FALSE)</f>
        <v>Load &amp; Haul</v>
      </c>
      <c r="H111" s="12">
        <f>VLOOKUP(Table134[[#This Row],[Eq No]],[1]!Table3[[Eq.No.]:[FY23/34 Acq. Status]],3,FALSE)</f>
        <v>2019</v>
      </c>
      <c r="I111" s="13" t="str">
        <f>VLOOKUP(Table134[[#This Row],[Eq No]],[1]!Table3[[Eq.No.]:[FY23/34 Acq. Status]],12,FALSE)</f>
        <v>ST14</v>
      </c>
      <c r="J111" s="13" t="str">
        <f>VLOOKUP(Table134[[#This Row],[Eq No]],[1]!Table3[[Eq.No.]:[FY23/34 Acq. Status]],17,FALSE)</f>
        <v>ST14B</v>
      </c>
      <c r="K111" s="2">
        <v>0</v>
      </c>
      <c r="L111" s="2">
        <v>31066169.203199998</v>
      </c>
      <c r="M111" s="2">
        <v>0</v>
      </c>
    </row>
    <row r="112" spans="2:13" hidden="1" x14ac:dyDescent="0.25">
      <c r="B112" s="3" t="s">
        <v>51</v>
      </c>
      <c r="C112" s="4" t="s">
        <v>137</v>
      </c>
      <c r="D112" s="1" t="s">
        <v>7</v>
      </c>
      <c r="E112" s="1" t="str">
        <f>RIGHT(Table134[[#This Row],[PROJECT TITLE]],6)</f>
        <v>FL0101</v>
      </c>
      <c r="F112" s="10" t="s">
        <v>29</v>
      </c>
      <c r="G112" s="13" t="str">
        <f>VLOOKUP(Table134[[#This Row],[Eq No]],[1]!Table3[[Eq.No.]:[FY23/34 Acq. Status]],2,FALSE)</f>
        <v>Load &amp; Haul</v>
      </c>
      <c r="H112" s="12">
        <f>VLOOKUP(Table134[[#This Row],[Eq No]],[1]!Table3[[Eq.No.]:[FY23/34 Acq. Status]],3,FALSE)</f>
        <v>2021</v>
      </c>
      <c r="I112" s="13" t="str">
        <f>VLOOKUP(Table134[[#This Row],[Eq No]],[1]!Table3[[Eq.No.]:[FY23/34 Acq. Status]],12,FALSE)</f>
        <v>ST14</v>
      </c>
      <c r="J112" s="13" t="str">
        <f>VLOOKUP(Table134[[#This Row],[Eq No]],[1]!Table3[[Eq.No.]:[FY23/34 Acq. Status]],17,FALSE)</f>
        <v>ST14B</v>
      </c>
      <c r="K112" s="2">
        <v>0</v>
      </c>
      <c r="L112" s="2">
        <v>0</v>
      </c>
      <c r="M112" s="2">
        <v>32062008.0678</v>
      </c>
    </row>
    <row r="113" spans="2:13" hidden="1" x14ac:dyDescent="0.25">
      <c r="B113" s="3" t="s">
        <v>51</v>
      </c>
      <c r="C113" s="4" t="s">
        <v>138</v>
      </c>
      <c r="D113" s="1" t="s">
        <v>119</v>
      </c>
      <c r="E113" s="1" t="str">
        <f>RIGHT(Table134[[#This Row],[PROJECT TITLE]],6)</f>
        <v>HD0049</v>
      </c>
      <c r="F113" s="10" t="s">
        <v>29</v>
      </c>
      <c r="G113" s="13" t="str">
        <f>VLOOKUP(Table134[[#This Row],[Eq No]],[1]!Table3[[Eq.No.]:[FY23/34 Acq. Status]],2,FALSE)</f>
        <v>SEAM 2 Section</v>
      </c>
      <c r="H113" s="12">
        <f>VLOOKUP(Table134[[#This Row],[Eq No]],[1]!Table3[[Eq.No.]:[FY23/34 Acq. Status]],3,FALSE)</f>
        <v>2019</v>
      </c>
      <c r="I113" s="13" t="str">
        <f>VLOOKUP(Table134[[#This Row],[Eq No]],[1]!Table3[[Eq.No.]:[FY23/34 Acq. Status]],12,FALSE)</f>
        <v>EPIROC S2</v>
      </c>
      <c r="J113" s="13" t="str">
        <f>VLOOKUP(Table134[[#This Row],[Eq No]],[1]!Table3[[Eq.No.]:[FY23/34 Acq. Status]],17,FALSE)</f>
        <v>EPIROC S2</v>
      </c>
      <c r="K113" s="2">
        <v>0</v>
      </c>
      <c r="L113" s="2">
        <v>28291717.158399999</v>
      </c>
      <c r="M113" s="2">
        <v>0</v>
      </c>
    </row>
    <row r="114" spans="2:13" hidden="1" x14ac:dyDescent="0.25">
      <c r="B114" s="3" t="s">
        <v>51</v>
      </c>
      <c r="C114" s="4" t="s">
        <v>139</v>
      </c>
      <c r="D114" s="1" t="s">
        <v>119</v>
      </c>
      <c r="E114" s="1" t="str">
        <f>RIGHT(Table134[[#This Row],[PROJECT TITLE]],6)</f>
        <v>HD0050</v>
      </c>
      <c r="F114" s="10" t="s">
        <v>29</v>
      </c>
      <c r="G114" s="13" t="str">
        <f>VLOOKUP(Table134[[#This Row],[Eq No]],[1]!Table3[[Eq.No.]:[FY23/34 Acq. Status]],2,FALSE)</f>
        <v>SEAM 2 Section</v>
      </c>
      <c r="H114" s="12">
        <f>VLOOKUP(Table134[[#This Row],[Eq No]],[1]!Table3[[Eq.No.]:[FY23/34 Acq. Status]],3,FALSE)</f>
        <v>2019</v>
      </c>
      <c r="I114" s="13" t="str">
        <f>VLOOKUP(Table134[[#This Row],[Eq No]],[1]!Table3[[Eq.No.]:[FY23/34 Acq. Status]],12,FALSE)</f>
        <v>EPIROC S2</v>
      </c>
      <c r="J114" s="13" t="str">
        <f>VLOOKUP(Table134[[#This Row],[Eq No]],[1]!Table3[[Eq.No.]:[FY23/34 Acq. Status]],17,FALSE)</f>
        <v>EPIROC S2</v>
      </c>
      <c r="K114" s="2">
        <v>0</v>
      </c>
      <c r="L114" s="2">
        <v>28291717.158399999</v>
      </c>
      <c r="M114" s="2">
        <v>0</v>
      </c>
    </row>
    <row r="115" spans="2:13" hidden="1" x14ac:dyDescent="0.25">
      <c r="B115" s="3" t="s">
        <v>51</v>
      </c>
      <c r="C115" s="4" t="s">
        <v>140</v>
      </c>
      <c r="D115" s="1" t="s">
        <v>119</v>
      </c>
      <c r="E115" s="1" t="str">
        <f>RIGHT(Table134[[#This Row],[PROJECT TITLE]],6)</f>
        <v>HD0051</v>
      </c>
      <c r="F115" s="10" t="s">
        <v>29</v>
      </c>
      <c r="G115" s="13" t="str">
        <f>VLOOKUP(Table134[[#This Row],[Eq No]],[1]!Table3[[Eq.No.]:[FY23/34 Acq. Status]],2,FALSE)</f>
        <v>Drill &amp; Blast</v>
      </c>
      <c r="H115" s="12">
        <f>VLOOKUP(Table134[[#This Row],[Eq No]],[1]!Table3[[Eq.No.]:[FY23/34 Acq. Status]],3,FALSE)</f>
        <v>2019</v>
      </c>
      <c r="I115" s="13" t="str">
        <f>VLOOKUP(Table134[[#This Row],[Eq No]],[1]!Table3[[Eq.No.]:[FY23/34 Acq. Status]],12,FALSE)</f>
        <v>EPIROC S2</v>
      </c>
      <c r="J115" s="13" t="str">
        <f>VLOOKUP(Table134[[#This Row],[Eq No]],[1]!Table3[[Eq.No.]:[FY23/34 Acq. Status]],17,FALSE)</f>
        <v>EPIROC S2</v>
      </c>
      <c r="K115" s="2">
        <v>0</v>
      </c>
      <c r="L115" s="2">
        <v>0</v>
      </c>
      <c r="M115" s="2">
        <v>29198619.818599999</v>
      </c>
    </row>
    <row r="116" spans="2:13" hidden="1" x14ac:dyDescent="0.25">
      <c r="B116" s="3" t="s">
        <v>51</v>
      </c>
      <c r="C116" s="4" t="s">
        <v>141</v>
      </c>
      <c r="D116" s="1" t="s">
        <v>119</v>
      </c>
      <c r="E116" s="1" t="str">
        <f>RIGHT(Table134[[#This Row],[PROJECT TITLE]],6)</f>
        <v>HD0052</v>
      </c>
      <c r="F116" s="10" t="s">
        <v>29</v>
      </c>
      <c r="G116" s="13" t="str">
        <f>VLOOKUP(Table134[[#This Row],[Eq No]],[1]!Table3[[Eq.No.]:[FY23/34 Acq. Status]],2,FALSE)</f>
        <v>Central Section</v>
      </c>
      <c r="H116" s="12">
        <f>VLOOKUP(Table134[[#This Row],[Eq No]],[1]!Table3[[Eq.No.]:[FY23/34 Acq. Status]],3,FALSE)</f>
        <v>2019</v>
      </c>
      <c r="I116" s="13" t="str">
        <f>VLOOKUP(Table134[[#This Row],[Eq No]],[1]!Table3[[Eq.No.]:[FY23/34 Acq. Status]],12,FALSE)</f>
        <v>EPIROC S2</v>
      </c>
      <c r="J116" s="13" t="str">
        <f>VLOOKUP(Table134[[#This Row],[Eq No]],[1]!Table3[[Eq.No.]:[FY23/34 Acq. Status]],17,FALSE)</f>
        <v>EPIROC S2</v>
      </c>
      <c r="K116" s="2">
        <v>0</v>
      </c>
      <c r="L116" s="2">
        <v>0</v>
      </c>
      <c r="M116" s="2">
        <v>29198619.818599999</v>
      </c>
    </row>
    <row r="117" spans="2:13" hidden="1" x14ac:dyDescent="0.25">
      <c r="B117" s="3" t="s">
        <v>51</v>
      </c>
      <c r="C117" s="4" t="s">
        <v>142</v>
      </c>
      <c r="D117" s="1" t="s">
        <v>21</v>
      </c>
      <c r="E117" s="1" t="str">
        <f>RIGHT(Table134[[#This Row],[PROJECT TITLE]],6)</f>
        <v>LD0401</v>
      </c>
      <c r="F117" s="10" t="s">
        <v>29</v>
      </c>
      <c r="G117" s="13">
        <f>VLOOKUP(Table134[[#This Row],[Eq No]],[1]!Table3[[Eq.No.]:[FY23/34 Acq. Status]],2,FALSE)</f>
        <v>0</v>
      </c>
      <c r="H117" s="12">
        <f>VLOOKUP(Table134[[#This Row],[Eq No]],[1]!Table3[[Eq.No.]:[FY23/34 Acq. Status]],3,FALSE)</f>
        <v>2017</v>
      </c>
      <c r="I117" s="13" t="str">
        <f>VLOOKUP(Table134[[#This Row],[Eq No]],[1]!Table3[[Eq.No.]:[FY23/34 Acq. Status]],12,FALSE)</f>
        <v>D/Cab Maverick</v>
      </c>
      <c r="J117" s="13" t="str">
        <f>VLOOKUP(Table134[[#This Row],[Eq No]],[1]!Table3[[Eq.No.]:[FY23/34 Acq. Status]],17,FALSE)</f>
        <v>L/Cruiser 4x4 (Converted to UG Spec)</v>
      </c>
      <c r="K117" s="2">
        <v>0</v>
      </c>
      <c r="L117" s="2">
        <v>0</v>
      </c>
      <c r="M117" s="2">
        <v>3760306.4600920002</v>
      </c>
    </row>
    <row r="118" spans="2:13" hidden="1" x14ac:dyDescent="0.25">
      <c r="B118" s="3" t="s">
        <v>51</v>
      </c>
      <c r="C118" s="4" t="s">
        <v>143</v>
      </c>
      <c r="D118" s="1" t="s">
        <v>21</v>
      </c>
      <c r="E118" s="1" t="str">
        <f>RIGHT(Table134[[#This Row],[PROJECT TITLE]],6)</f>
        <v>LD0405</v>
      </c>
      <c r="F118" s="10" t="s">
        <v>29</v>
      </c>
      <c r="G118" s="13">
        <f>VLOOKUP(Table134[[#This Row],[Eq No]],[1]!Table3[[Eq.No.]:[FY23/34 Acq. Status]],2,FALSE)</f>
        <v>0</v>
      </c>
      <c r="H118" s="12">
        <f>VLOOKUP(Table134[[#This Row],[Eq No]],[1]!Table3[[Eq.No.]:[FY23/34 Acq. Status]],3,FALSE)</f>
        <v>2017</v>
      </c>
      <c r="I118" s="13" t="str">
        <f>VLOOKUP(Table134[[#This Row],[Eq No]],[1]!Table3[[Eq.No.]:[FY23/34 Acq. Status]],12,FALSE)</f>
        <v>D/Cab Maverick</v>
      </c>
      <c r="J118" s="13" t="str">
        <f>VLOOKUP(Table134[[#This Row],[Eq No]],[1]!Table3[[Eq.No.]:[FY23/34 Acq. Status]],17,FALSE)</f>
        <v>L/Cruiser 4x4 (Converted to UG Spec)</v>
      </c>
      <c r="K118" s="2">
        <v>0</v>
      </c>
      <c r="L118" s="2">
        <v>0</v>
      </c>
      <c r="M118" s="2">
        <v>3760306.4600920002</v>
      </c>
    </row>
    <row r="119" spans="2:13" hidden="1" x14ac:dyDescent="0.25">
      <c r="B119" s="3" t="s">
        <v>51</v>
      </c>
      <c r="C119" s="4" t="s">
        <v>144</v>
      </c>
      <c r="D119" s="1" t="s">
        <v>21</v>
      </c>
      <c r="E119" s="1" t="str">
        <f>RIGHT(Table134[[#This Row],[PROJECT TITLE]],6)</f>
        <v>LD0445</v>
      </c>
      <c r="F119" s="10" t="s">
        <v>29</v>
      </c>
      <c r="G119" s="13">
        <f>VLOOKUP(Table134[[#This Row],[Eq No]],[1]!Table3[[Eq.No.]:[FY23/34 Acq. Status]],2,FALSE)</f>
        <v>0</v>
      </c>
      <c r="H119" s="12">
        <f>VLOOKUP(Table134[[#This Row],[Eq No]],[1]!Table3[[Eq.No.]:[FY23/34 Acq. Status]],3,FALSE)</f>
        <v>2017</v>
      </c>
      <c r="I119" s="13" t="str">
        <f>VLOOKUP(Table134[[#This Row],[Eq No]],[1]!Table3[[Eq.No.]:[FY23/34 Acq. Status]],12,FALSE)</f>
        <v>D/Cab Maverick</v>
      </c>
      <c r="J119" s="13" t="str">
        <f>VLOOKUP(Table134[[#This Row],[Eq No]],[1]!Table3[[Eq.No.]:[FY23/34 Acq. Status]],17,FALSE)</f>
        <v>L/Cruiser 4x4 (Converted to UG Spec)</v>
      </c>
      <c r="K119" s="2">
        <v>0</v>
      </c>
      <c r="L119" s="2">
        <v>3643512.1748480005</v>
      </c>
      <c r="M119" s="2">
        <v>0</v>
      </c>
    </row>
    <row r="120" spans="2:13" hidden="1" x14ac:dyDescent="0.25">
      <c r="B120" s="3" t="s">
        <v>51</v>
      </c>
      <c r="C120" s="4" t="s">
        <v>145</v>
      </c>
      <c r="D120" s="1" t="s">
        <v>21</v>
      </c>
      <c r="E120" s="1" t="str">
        <f>RIGHT(Table134[[#This Row],[PROJECT TITLE]],6)</f>
        <v>LD0452</v>
      </c>
      <c r="F120" s="10" t="s">
        <v>29</v>
      </c>
      <c r="G120" s="13">
        <f>VLOOKUP(Table134[[#This Row],[Eq No]],[1]!Table3[[Eq.No.]:[FY23/34 Acq. Status]],2,FALSE)</f>
        <v>0</v>
      </c>
      <c r="H120" s="12">
        <f>VLOOKUP(Table134[[#This Row],[Eq No]],[1]!Table3[[Eq.No.]:[FY23/34 Acq. Status]],3,FALSE)</f>
        <v>2017</v>
      </c>
      <c r="I120" s="13" t="str">
        <f>VLOOKUP(Table134[[#This Row],[Eq No]],[1]!Table3[[Eq.No.]:[FY23/34 Acq. Status]],12,FALSE)</f>
        <v>D/Cab Maverick</v>
      </c>
      <c r="J120" s="13" t="str">
        <f>VLOOKUP(Table134[[#This Row],[Eq No]],[1]!Table3[[Eq.No.]:[FY23/34 Acq. Status]],17,FALSE)</f>
        <v>L/Cruiser 4x4 (Converted to UG Spec)</v>
      </c>
      <c r="K120" s="2">
        <v>0</v>
      </c>
      <c r="L120" s="2">
        <v>0</v>
      </c>
      <c r="M120" s="2">
        <v>3760306.4600920002</v>
      </c>
    </row>
    <row r="121" spans="2:13" hidden="1" x14ac:dyDescent="0.25">
      <c r="B121" s="3" t="s">
        <v>51</v>
      </c>
      <c r="C121" s="4" t="s">
        <v>146</v>
      </c>
      <c r="D121" s="1" t="s">
        <v>21</v>
      </c>
      <c r="E121" s="1" t="str">
        <f>RIGHT(Table134[[#This Row],[PROJECT TITLE]],6)</f>
        <v>LD0512</v>
      </c>
      <c r="F121" s="10" t="s">
        <v>29</v>
      </c>
      <c r="G121" s="13">
        <f>VLOOKUP(Table134[[#This Row],[Eq No]],[1]!Table3[[Eq.No.]:[FY23/34 Acq. Status]],2,FALSE)</f>
        <v>0</v>
      </c>
      <c r="H121" s="12">
        <f>VLOOKUP(Table134[[#This Row],[Eq No]],[1]!Table3[[Eq.No.]:[FY23/34 Acq. Status]],3,FALSE)</f>
        <v>2019</v>
      </c>
      <c r="I121" s="13" t="str">
        <f>VLOOKUP(Table134[[#This Row],[Eq No]],[1]!Table3[[Eq.No.]:[FY23/34 Acq. Status]],12,FALSE)</f>
        <v>D/Cab Maverick</v>
      </c>
      <c r="J121" s="13" t="str">
        <f>VLOOKUP(Table134[[#This Row],[Eq No]],[1]!Table3[[Eq.No.]:[FY23/34 Acq. Status]],17,FALSE)</f>
        <v>L/Cruiser 4x4 (Converted to UG Spec)</v>
      </c>
      <c r="K121" s="2">
        <v>0</v>
      </c>
      <c r="L121" s="2">
        <v>3643512.1748480005</v>
      </c>
      <c r="M121" s="2">
        <v>0</v>
      </c>
    </row>
    <row r="122" spans="2:13" hidden="1" x14ac:dyDescent="0.25">
      <c r="B122" s="3" t="s">
        <v>51</v>
      </c>
      <c r="C122" s="4" t="s">
        <v>147</v>
      </c>
      <c r="D122" s="1" t="s">
        <v>28</v>
      </c>
      <c r="E122" s="1" t="str">
        <f>RIGHT(Table134[[#This Row],[PROJECT TITLE]],6)</f>
        <v>RT0044</v>
      </c>
      <c r="F122" s="10" t="s">
        <v>29</v>
      </c>
      <c r="G122" s="13" t="str">
        <f>VLOOKUP(Table134[[#This Row],[Eq No]],[1]!Table3[[Eq.No.]:[FY23/34 Acq. Status]],2,FALSE)</f>
        <v>N3</v>
      </c>
      <c r="H122" s="12">
        <f>VLOOKUP(Table134[[#This Row],[Eq No]],[1]!Table3[[Eq.No.]:[FY23/34 Acq. Status]],3,FALSE)</f>
        <v>2018</v>
      </c>
      <c r="I122" s="13" t="str">
        <f>VLOOKUP(Table134[[#This Row],[Eq No]],[1]!Table3[[Eq.No.]:[FY23/34 Acq. Status]],12,FALSE)</f>
        <v>Boltec 235H</v>
      </c>
      <c r="J122" s="13" t="str">
        <f>VLOOKUP(Table134[[#This Row],[Eq No]],[1]!Table3[[Eq.No.]:[FY23/34 Acq. Status]],17,FALSE)</f>
        <v>Boltec 235H</v>
      </c>
      <c r="K122" s="2">
        <v>0</v>
      </c>
      <c r="L122" s="2">
        <v>0</v>
      </c>
      <c r="M122" s="2">
        <v>21325025.483599998</v>
      </c>
    </row>
    <row r="123" spans="2:13" hidden="1" x14ac:dyDescent="0.25">
      <c r="B123" s="3" t="s">
        <v>51</v>
      </c>
      <c r="C123" s="4" t="s">
        <v>148</v>
      </c>
      <c r="D123" s="1" t="s">
        <v>95</v>
      </c>
      <c r="E123" s="1" t="str">
        <f>RIGHT(Table134[[#This Row],[PROJECT TITLE]],6)</f>
        <v>UV0056</v>
      </c>
      <c r="F123" s="10" t="s">
        <v>29</v>
      </c>
      <c r="G123" s="13">
        <f>VLOOKUP(Table134[[#This Row],[Eq No]],[1]!Table3[[Eq.No.]:[FY23/34 Acq. Status]],2,FALSE)</f>
        <v>0</v>
      </c>
      <c r="H123" s="12">
        <f>VLOOKUP(Table134[[#This Row],[Eq No]],[1]!Table3[[Eq.No.]:[FY23/34 Acq. Status]],3,FALSE)</f>
        <v>2016</v>
      </c>
      <c r="I123" s="13" t="str">
        <f>VLOOKUP(Table134[[#This Row],[Eq No]],[1]!Table3[[Eq.No.]:[FY23/34 Acq. Status]],12,FALSE)</f>
        <v>UV80 Scissor</v>
      </c>
      <c r="J123" s="13" t="str">
        <f>VLOOKUP(Table134[[#This Row],[Eq No]],[1]!Table3[[Eq.No.]:[FY23/34 Acq. Status]],17,FALSE)</f>
        <v>UV80 Scissor Lift</v>
      </c>
      <c r="K123" s="2">
        <v>0</v>
      </c>
      <c r="L123" s="2">
        <v>8306390.9119999995</v>
      </c>
      <c r="M123" s="2">
        <v>0</v>
      </c>
    </row>
    <row r="124" spans="2:13" hidden="1" x14ac:dyDescent="0.25">
      <c r="B124" s="3" t="s">
        <v>51</v>
      </c>
      <c r="C124" s="4" t="s">
        <v>149</v>
      </c>
      <c r="D124" s="1" t="s">
        <v>95</v>
      </c>
      <c r="E124" s="1" t="str">
        <f>RIGHT(Table134[[#This Row],[PROJECT TITLE]],6)</f>
        <v>UV0074</v>
      </c>
      <c r="F124" s="10" t="s">
        <v>29</v>
      </c>
      <c r="G124" s="13">
        <f>VLOOKUP(Table134[[#This Row],[Eq No]],[1]!Table3[[Eq.No.]:[FY23/34 Acq. Status]],2,FALSE)</f>
        <v>0</v>
      </c>
      <c r="H124" s="12">
        <f>VLOOKUP(Table134[[#This Row],[Eq No]],[1]!Table3[[Eq.No.]:[FY23/34 Acq. Status]],3,FALSE)</f>
        <v>2016</v>
      </c>
      <c r="I124" s="13" t="str">
        <f>VLOOKUP(Table134[[#This Row],[Eq No]],[1]!Table3[[Eq.No.]:[FY23/34 Acq. Status]],12,FALSE)</f>
        <v>S/Cab Manlift</v>
      </c>
      <c r="J124" s="13" t="str">
        <f>VLOOKUP(Table134[[#This Row],[Eq No]],[1]!Table3[[Eq.No.]:[FY23/34 Acq. Status]],17,FALSE)</f>
        <v>L/Cruiser 4x4 (Converted to UG Spec)</v>
      </c>
      <c r="K124" s="2">
        <v>0</v>
      </c>
      <c r="L124" s="2">
        <v>0</v>
      </c>
      <c r="M124" s="2">
        <v>3760306.4600920002</v>
      </c>
    </row>
    <row r="125" spans="2:13" hidden="1" x14ac:dyDescent="0.25">
      <c r="B125" s="3" t="s">
        <v>51</v>
      </c>
      <c r="C125" s="4" t="s">
        <v>150</v>
      </c>
      <c r="D125" s="1" t="s">
        <v>95</v>
      </c>
      <c r="E125" s="1" t="str">
        <f>RIGHT(Table134[[#This Row],[PROJECT TITLE]],6)</f>
        <v>UV0075</v>
      </c>
      <c r="F125" s="10" t="s">
        <v>29</v>
      </c>
      <c r="G125" s="13">
        <f>VLOOKUP(Table134[[#This Row],[Eq No]],[1]!Table3[[Eq.No.]:[FY23/34 Acq. Status]],2,FALSE)</f>
        <v>0</v>
      </c>
      <c r="H125" s="12">
        <f>VLOOKUP(Table134[[#This Row],[Eq No]],[1]!Table3[[Eq.No.]:[FY23/34 Acq. Status]],3,FALSE)</f>
        <v>2016</v>
      </c>
      <c r="I125" s="13" t="str">
        <f>VLOOKUP(Table134[[#This Row],[Eq No]],[1]!Table3[[Eq.No.]:[FY23/34 Acq. Status]],12,FALSE)</f>
        <v>S/Cab Manlift</v>
      </c>
      <c r="J125" s="13" t="str">
        <f>VLOOKUP(Table134[[#This Row],[Eq No]],[1]!Table3[[Eq.No.]:[FY23/34 Acq. Status]],17,FALSE)</f>
        <v>L/Cruiser 4x4 (Converted to UG Spec)</v>
      </c>
      <c r="K125" s="2">
        <v>0</v>
      </c>
      <c r="L125" s="2">
        <v>0</v>
      </c>
      <c r="M125" s="2">
        <v>3760306.4600920002</v>
      </c>
    </row>
    <row r="126" spans="2:13" hidden="1" x14ac:dyDescent="0.25">
      <c r="B126" s="3" t="s">
        <v>51</v>
      </c>
      <c r="C126" s="4" t="s">
        <v>151</v>
      </c>
      <c r="D126" s="1" t="s">
        <v>95</v>
      </c>
      <c r="E126" s="1" t="str">
        <f>RIGHT(Table134[[#This Row],[PROJECT TITLE]],6)</f>
        <v>UV0079</v>
      </c>
      <c r="F126" s="10" t="s">
        <v>29</v>
      </c>
      <c r="G126" s="13">
        <f>VLOOKUP(Table134[[#This Row],[Eq No]],[1]!Table3[[Eq.No.]:[FY23/34 Acq. Status]],2,FALSE)</f>
        <v>0</v>
      </c>
      <c r="H126" s="12">
        <f>VLOOKUP(Table134[[#This Row],[Eq No]],[1]!Table3[[Eq.No.]:[FY23/34 Acq. Status]],3,FALSE)</f>
        <v>2016</v>
      </c>
      <c r="I126" s="13" t="str">
        <f>VLOOKUP(Table134[[#This Row],[Eq No]],[1]!Table3[[Eq.No.]:[FY23/34 Acq. Status]],12,FALSE)</f>
        <v>UV80-Liberator</v>
      </c>
      <c r="J126" s="13" t="str">
        <f>VLOOKUP(Table134[[#This Row],[Eq No]],[1]!Table3[[Eq.No.]:[FY23/34 Acq. Status]],17,FALSE)</f>
        <v>UV80/Carr/MKIII</v>
      </c>
      <c r="K126" s="2">
        <v>0</v>
      </c>
      <c r="L126" s="2">
        <v>0</v>
      </c>
      <c r="M126" s="2">
        <v>6906835.6979999999</v>
      </c>
    </row>
    <row r="127" spans="2:13" hidden="1" x14ac:dyDescent="0.25">
      <c r="B127" s="3" t="s">
        <v>51</v>
      </c>
      <c r="C127" s="4" t="s">
        <v>152</v>
      </c>
      <c r="D127" s="1" t="s">
        <v>95</v>
      </c>
      <c r="E127" s="1" t="str">
        <f>RIGHT(Table134[[#This Row],[PROJECT TITLE]],6)</f>
        <v>UV0081</v>
      </c>
      <c r="F127" s="10" t="s">
        <v>29</v>
      </c>
      <c r="G127" s="13">
        <f>VLOOKUP(Table134[[#This Row],[Eq No]],[1]!Table3[[Eq.No.]:[FY23/34 Acq. Status]],2,FALSE)</f>
        <v>0</v>
      </c>
      <c r="H127" s="12">
        <f>VLOOKUP(Table134[[#This Row],[Eq No]],[1]!Table3[[Eq.No.]:[FY23/34 Acq. Status]],3,FALSE)</f>
        <v>2016</v>
      </c>
      <c r="I127" s="13" t="str">
        <f>VLOOKUP(Table134[[#This Row],[Eq No]],[1]!Table3[[Eq.No.]:[FY23/34 Acq. Status]],12,FALSE)</f>
        <v>UV80-Liberator</v>
      </c>
      <c r="J127" s="13" t="str">
        <f>VLOOKUP(Table134[[#This Row],[Eq No]],[1]!Table3[[Eq.No.]:[FY23/34 Acq. Status]],17,FALSE)</f>
        <v>UV80/Carr/MKIII</v>
      </c>
      <c r="K127" s="2">
        <v>0</v>
      </c>
      <c r="L127" s="2">
        <v>0</v>
      </c>
      <c r="M127" s="2">
        <v>6906835.6979999999</v>
      </c>
    </row>
    <row r="128" spans="2:13" hidden="1" x14ac:dyDescent="0.25">
      <c r="B128" s="3" t="s">
        <v>51</v>
      </c>
      <c r="C128" s="4" t="s">
        <v>153</v>
      </c>
      <c r="D128" s="1" t="s">
        <v>39</v>
      </c>
      <c r="E128" s="1" t="str">
        <f>RIGHT(Table134[[#This Row],[PROJECT TITLE]],6)</f>
        <v>DT0129</v>
      </c>
      <c r="F128" s="10" t="s">
        <v>19</v>
      </c>
      <c r="G128" s="13" t="str">
        <f>VLOOKUP(Table134[[#This Row],[Eq No]],[1]!Table3[[Eq.No.]:[FY23/34 Acq. Status]],2,FALSE)</f>
        <v>SOT NCH2</v>
      </c>
      <c r="H128" s="12">
        <f>VLOOKUP(Table134[[#This Row],[Eq No]],[1]!Table3[[Eq.No.]:[FY23/34 Acq. Status]],3,FALSE)</f>
        <v>2018</v>
      </c>
      <c r="I128" s="13" t="str">
        <f>VLOOKUP(Table134[[#This Row],[Eq No]],[1]!Table3[[Eq.No.]:[FY23/34 Acq. Status]],12,FALSE)</f>
        <v>B50E, 6x6</v>
      </c>
      <c r="J128" s="13" t="str">
        <f>VLOOKUP(Table134[[#This Row],[Eq No]],[1]!Table3[[Eq.No.]:[FY23/34 Acq. Status]],17,FALSE)</f>
        <v>B50E, 6x6</v>
      </c>
      <c r="K128" s="2">
        <v>0</v>
      </c>
      <c r="L128" s="2">
        <v>13814041.6</v>
      </c>
      <c r="M128" s="2">
        <v>0</v>
      </c>
    </row>
    <row r="129" spans="2:13" hidden="1" x14ac:dyDescent="0.25">
      <c r="B129" s="3" t="s">
        <v>51</v>
      </c>
      <c r="C129" s="4" t="s">
        <v>154</v>
      </c>
      <c r="D129" s="1" t="s">
        <v>39</v>
      </c>
      <c r="E129" s="1" t="str">
        <f>RIGHT(Table134[[#This Row],[PROJECT TITLE]],6)</f>
        <v>DT0130</v>
      </c>
      <c r="F129" s="10" t="s">
        <v>19</v>
      </c>
      <c r="G129" s="13" t="str">
        <f>VLOOKUP(Table134[[#This Row],[Eq No]],[1]!Table3[[Eq.No.]:[FY23/34 Acq. Status]],2,FALSE)</f>
        <v>SOT NCH2</v>
      </c>
      <c r="H129" s="12">
        <f>VLOOKUP(Table134[[#This Row],[Eq No]],[1]!Table3[[Eq.No.]:[FY23/34 Acq. Status]],3,FALSE)</f>
        <v>2018</v>
      </c>
      <c r="I129" s="13" t="str">
        <f>VLOOKUP(Table134[[#This Row],[Eq No]],[1]!Table3[[Eq.No.]:[FY23/34 Acq. Status]],12,FALSE)</f>
        <v>B50E, 6x6</v>
      </c>
      <c r="J129" s="13" t="str">
        <f>VLOOKUP(Table134[[#This Row],[Eq No]],[1]!Table3[[Eq.No.]:[FY23/34 Acq. Status]],17,FALSE)</f>
        <v>B50E, 6x6</v>
      </c>
      <c r="K129" s="2">
        <v>0</v>
      </c>
      <c r="L129" s="2">
        <v>13814041.6</v>
      </c>
      <c r="M129" s="2">
        <v>0</v>
      </c>
    </row>
    <row r="130" spans="2:13" hidden="1" x14ac:dyDescent="0.25">
      <c r="B130" s="3" t="s">
        <v>51</v>
      </c>
      <c r="C130" s="4" t="s">
        <v>155</v>
      </c>
      <c r="D130" s="1" t="s">
        <v>39</v>
      </c>
      <c r="E130" s="1" t="str">
        <f>RIGHT(Table134[[#This Row],[PROJECT TITLE]],6)</f>
        <v>DT0133</v>
      </c>
      <c r="F130" s="10" t="s">
        <v>19</v>
      </c>
      <c r="G130" s="13" t="str">
        <f>VLOOKUP(Table134[[#This Row],[Eq No]],[1]!Table3[[Eq.No.]:[FY23/34 Acq. Status]],2,FALSE)</f>
        <v>SOT NCH2</v>
      </c>
      <c r="H130" s="12">
        <f>VLOOKUP(Table134[[#This Row],[Eq No]],[1]!Table3[[Eq.No.]:[FY23/34 Acq. Status]],3,FALSE)</f>
        <v>2019</v>
      </c>
      <c r="I130" s="13" t="str">
        <f>VLOOKUP(Table134[[#This Row],[Eq No]],[1]!Table3[[Eq.No.]:[FY23/34 Acq. Status]],12,FALSE)</f>
        <v>B50E, 6x6</v>
      </c>
      <c r="J130" s="13" t="str">
        <f>VLOOKUP(Table134[[#This Row],[Eq No]],[1]!Table3[[Eq.No.]:[FY23/34 Acq. Status]],17,FALSE)</f>
        <v>B50E, 6x6</v>
      </c>
      <c r="K130" s="2">
        <v>0</v>
      </c>
      <c r="L130" s="2">
        <v>0</v>
      </c>
      <c r="M130" s="2">
        <v>14256856.4</v>
      </c>
    </row>
    <row r="131" spans="2:13" hidden="1" x14ac:dyDescent="0.25">
      <c r="B131" s="3" t="s">
        <v>51</v>
      </c>
      <c r="C131" s="4" t="s">
        <v>156</v>
      </c>
      <c r="D131" s="1" t="s">
        <v>39</v>
      </c>
      <c r="E131" s="1" t="str">
        <f>RIGHT(Table134[[#This Row],[PROJECT TITLE]],6)</f>
        <v>DT0134</v>
      </c>
      <c r="F131" s="10" t="s">
        <v>19</v>
      </c>
      <c r="G131" s="13" t="str">
        <f>VLOOKUP(Table134[[#This Row],[Eq No]],[1]!Table3[[Eq.No.]:[FY23/34 Acq. Status]],2,FALSE)</f>
        <v>SOT NCH2</v>
      </c>
      <c r="H131" s="12">
        <f>VLOOKUP(Table134[[#This Row],[Eq No]],[1]!Table3[[Eq.No.]:[FY23/34 Acq. Status]],3,FALSE)</f>
        <v>2019</v>
      </c>
      <c r="I131" s="13" t="str">
        <f>VLOOKUP(Table134[[#This Row],[Eq No]],[1]!Table3[[Eq.No.]:[FY23/34 Acq. Status]],12,FALSE)</f>
        <v>B50E, 6x6</v>
      </c>
      <c r="J131" s="13" t="str">
        <f>VLOOKUP(Table134[[#This Row],[Eq No]],[1]!Table3[[Eq.No.]:[FY23/34 Acq. Status]],17,FALSE)</f>
        <v>B50E, 6x6</v>
      </c>
      <c r="K131" s="2">
        <v>0</v>
      </c>
      <c r="L131" s="2">
        <v>0</v>
      </c>
      <c r="M131" s="2">
        <v>14256856.4</v>
      </c>
    </row>
    <row r="132" spans="2:13" hidden="1" x14ac:dyDescent="0.25">
      <c r="B132" s="3" t="s">
        <v>51</v>
      </c>
      <c r="C132" s="4" t="s">
        <v>157</v>
      </c>
      <c r="D132" s="1" t="s">
        <v>39</v>
      </c>
      <c r="E132" s="1" t="str">
        <f>RIGHT(Table134[[#This Row],[PROJECT TITLE]],6)</f>
        <v>DT0136</v>
      </c>
      <c r="F132" s="10" t="s">
        <v>19</v>
      </c>
      <c r="G132" s="13" t="str">
        <f>VLOOKUP(Table134[[#This Row],[Eq No]],[1]!Table3[[Eq.No.]:[FY23/34 Acq. Status]],2,FALSE)</f>
        <v>SOT NCH2</v>
      </c>
      <c r="H132" s="12">
        <f>VLOOKUP(Table134[[#This Row],[Eq No]],[1]!Table3[[Eq.No.]:[FY23/34 Acq. Status]],3,FALSE)</f>
        <v>2019</v>
      </c>
      <c r="I132" s="13" t="str">
        <f>VLOOKUP(Table134[[#This Row],[Eq No]],[1]!Table3[[Eq.No.]:[FY23/34 Acq. Status]],12,FALSE)</f>
        <v>B50E, 6x6</v>
      </c>
      <c r="J132" s="13" t="str">
        <f>VLOOKUP(Table134[[#This Row],[Eq No]],[1]!Table3[[Eq.No.]:[FY23/34 Acq. Status]],17,FALSE)</f>
        <v>B50E, 6x6</v>
      </c>
      <c r="K132" s="2">
        <v>0</v>
      </c>
      <c r="L132" s="2">
        <v>0</v>
      </c>
      <c r="M132" s="2">
        <v>14256856.4</v>
      </c>
    </row>
    <row r="133" spans="2:13" hidden="1" x14ac:dyDescent="0.25">
      <c r="B133" s="3" t="s">
        <v>51</v>
      </c>
      <c r="C133" s="4" t="s">
        <v>158</v>
      </c>
      <c r="D133" s="1" t="s">
        <v>39</v>
      </c>
      <c r="E133" s="1" t="str">
        <f>RIGHT(Table134[[#This Row],[PROJECT TITLE]],6)</f>
        <v>DT0137</v>
      </c>
      <c r="F133" s="10" t="s">
        <v>19</v>
      </c>
      <c r="G133" s="13" t="str">
        <f>VLOOKUP(Table134[[#This Row],[Eq No]],[1]!Table3[[Eq.No.]:[FY23/34 Acq. Status]],2,FALSE)</f>
        <v>SOT NCH2</v>
      </c>
      <c r="H133" s="12">
        <f>VLOOKUP(Table134[[#This Row],[Eq No]],[1]!Table3[[Eq.No.]:[FY23/34 Acq. Status]],3,FALSE)</f>
        <v>2019</v>
      </c>
      <c r="I133" s="13" t="str">
        <f>VLOOKUP(Table134[[#This Row],[Eq No]],[1]!Table3[[Eq.No.]:[FY23/34 Acq. Status]],12,FALSE)</f>
        <v>B50E, 6x6</v>
      </c>
      <c r="J133" s="13" t="str">
        <f>VLOOKUP(Table134[[#This Row],[Eq No]],[1]!Table3[[Eq.No.]:[FY23/34 Acq. Status]],17,FALSE)</f>
        <v>B50E, 6x6</v>
      </c>
      <c r="K133" s="2">
        <v>0</v>
      </c>
      <c r="L133" s="2">
        <v>0</v>
      </c>
      <c r="M133" s="2">
        <v>14256856.4</v>
      </c>
    </row>
    <row r="134" spans="2:13" hidden="1" x14ac:dyDescent="0.25">
      <c r="B134" s="3" t="s">
        <v>51</v>
      </c>
      <c r="C134" s="4" t="s">
        <v>159</v>
      </c>
      <c r="D134" s="1" t="s">
        <v>13</v>
      </c>
      <c r="E134" s="1" t="str">
        <f>RIGHT(Table134[[#This Row],[PROJECT TITLE]],6)</f>
        <v>ER0005</v>
      </c>
      <c r="F134" s="10" t="s">
        <v>19</v>
      </c>
      <c r="G134" s="13" t="str">
        <f>VLOOKUP(Table134[[#This Row],[Eq No]],[1]!Table3[[Eq.No.]:[FY23/34 Acq. Status]],2,FALSE)</f>
        <v>SOT NCH2</v>
      </c>
      <c r="H134" s="12">
        <f>VLOOKUP(Table134[[#This Row],[Eq No]],[1]!Table3[[Eq.No.]:[FY23/34 Acq. Status]],3,FALSE)</f>
        <v>2017</v>
      </c>
      <c r="I134" s="13" t="str">
        <f>VLOOKUP(Table134[[#This Row],[Eq No]],[1]!Table3[[Eq.No.]:[FY23/34 Acq. Status]],12,FALSE)</f>
        <v>312D2L (Hyd)</v>
      </c>
      <c r="J134" s="13" t="str">
        <f>VLOOKUP(Table134[[#This Row],[Eq No]],[1]!Table3[[Eq.No.]:[FY23/34 Acq. Status]],17,FALSE)</f>
        <v>312D2L (Hyd)</v>
      </c>
      <c r="K134" s="2">
        <v>0</v>
      </c>
      <c r="L134" s="2">
        <v>0</v>
      </c>
      <c r="M134" s="2">
        <v>5009539.3510682639</v>
      </c>
    </row>
    <row r="135" spans="2:13" hidden="1" x14ac:dyDescent="0.25">
      <c r="B135" s="3" t="s">
        <v>51</v>
      </c>
      <c r="C135" s="4" t="s">
        <v>160</v>
      </c>
      <c r="D135" s="1" t="s">
        <v>7</v>
      </c>
      <c r="E135" s="1" t="str">
        <f>RIGHT(Table134[[#This Row],[PROJECT TITLE]],6)</f>
        <v>FL0094</v>
      </c>
      <c r="F135" s="10" t="s">
        <v>19</v>
      </c>
      <c r="G135" s="13" t="str">
        <f>VLOOKUP(Table134[[#This Row],[Eq No]],[1]!Table3[[Eq.No.]:[FY23/34 Acq. Status]],2,FALSE)</f>
        <v>SOT NCH2</v>
      </c>
      <c r="H135" s="12">
        <f>VLOOKUP(Table134[[#This Row],[Eq No]],[1]!Table3[[Eq.No.]:[FY23/34 Acq. Status]],3,FALSE)</f>
        <v>2020</v>
      </c>
      <c r="I135" s="13" t="str">
        <f>VLOOKUP(Table134[[#This Row],[Eq No]],[1]!Table3[[Eq.No.]:[FY23/34 Acq. Status]],12,FALSE)</f>
        <v>L2706E</v>
      </c>
      <c r="J135" s="13" t="str">
        <f>VLOOKUP(Table134[[#This Row],[Eq No]],[1]!Table3[[Eq.No.]:[FY23/34 Acq. Status]],17,FALSE)</f>
        <v>Caterpillar 966L FEL</v>
      </c>
      <c r="K135" s="2">
        <v>0</v>
      </c>
      <c r="L135" s="2">
        <v>0</v>
      </c>
      <c r="M135" s="2">
        <v>13595654</v>
      </c>
    </row>
    <row r="136" spans="2:13" hidden="1" x14ac:dyDescent="0.25">
      <c r="B136" s="3" t="s">
        <v>51</v>
      </c>
      <c r="C136" s="4" t="s">
        <v>161</v>
      </c>
      <c r="D136" s="1" t="s">
        <v>97</v>
      </c>
      <c r="E136" s="1" t="str">
        <f>RIGHT(Table134[[#This Row],[PROJECT TITLE]],6)</f>
        <v>GD0010</v>
      </c>
      <c r="F136" s="10" t="s">
        <v>19</v>
      </c>
      <c r="G136" s="13" t="str">
        <f>VLOOKUP(Table134[[#This Row],[Eq No]],[1]!Table3[[Eq.No.]:[FY23/34 Acq. Status]],2,FALSE)</f>
        <v>SOT NCH2</v>
      </c>
      <c r="H136" s="12">
        <f>VLOOKUP(Table134[[#This Row],[Eq No]],[1]!Table3[[Eq.No.]:[FY23/34 Acq. Status]],3,FALSE)</f>
        <v>2018</v>
      </c>
      <c r="I136" s="13" t="str">
        <f>VLOOKUP(Table134[[#This Row],[Eq No]],[1]!Table3[[Eq.No.]:[FY23/34 Acq. Status]],12,FALSE)</f>
        <v>670G</v>
      </c>
      <c r="J136" s="13" t="str">
        <f>VLOOKUP(Table134[[#This Row],[Eq No]],[1]!Table3[[Eq.No.]:[FY23/34 Acq. Status]],17,FALSE)</f>
        <v>670G</v>
      </c>
      <c r="K136" s="2">
        <v>0</v>
      </c>
      <c r="L136" s="2">
        <v>0</v>
      </c>
      <c r="M136" s="2">
        <v>7873496.6090290016</v>
      </c>
    </row>
    <row r="137" spans="2:13" hidden="1" x14ac:dyDescent="0.25">
      <c r="B137" s="1">
        <v>805120260603</v>
      </c>
      <c r="C137" s="4" t="s">
        <v>162</v>
      </c>
      <c r="D137" s="1" t="s">
        <v>21</v>
      </c>
      <c r="E137" s="1" t="str">
        <f>RIGHT(Table134[[#This Row],[PROJECT TITLE]],6)</f>
        <v>LD0302</v>
      </c>
      <c r="F137" s="10" t="s">
        <v>19</v>
      </c>
      <c r="G137" s="13" t="str">
        <f>VLOOKUP(Table134[[#This Row],[Eq No]],[1]!Table3[[Eq.No.]:[FY23/34 Acq. Status]],2,FALSE)</f>
        <v>Mark Makappie</v>
      </c>
      <c r="H137" s="12">
        <f>VLOOKUP(Table134[[#This Row],[Eq No]],[1]!Table3[[Eq.No.]:[FY23/34 Acq. Status]],3,FALSE)</f>
        <v>2013</v>
      </c>
      <c r="I137" s="13" t="str">
        <f>VLOOKUP(Table134[[#This Row],[Eq No]],[1]!Table3[[Eq.No.]:[FY23/34 Acq. Status]],12,FALSE)</f>
        <v>4 x 4 (2.5D) D/C</v>
      </c>
      <c r="J137" s="13" t="str">
        <f>VLOOKUP(Table134[[#This Row],[Eq No]],[1]!Table3[[Eq.No.]:[FY23/34 Acq. Status]],17,FALSE)</f>
        <v>4 x 4 (2.5D) D/C</v>
      </c>
      <c r="K137" s="2">
        <v>1157210.132</v>
      </c>
      <c r="L137" s="2">
        <v>0</v>
      </c>
      <c r="M137" s="2">
        <v>0</v>
      </c>
    </row>
    <row r="138" spans="2:13" hidden="1" x14ac:dyDescent="0.25">
      <c r="B138" s="3" t="s">
        <v>51</v>
      </c>
      <c r="C138" s="4" t="s">
        <v>163</v>
      </c>
      <c r="D138" s="1" t="s">
        <v>18</v>
      </c>
      <c r="E138" s="1" t="str">
        <f>RIGHT(Table134[[#This Row],[PROJECT TITLE]],6)</f>
        <v>WK1004</v>
      </c>
      <c r="F138" s="10" t="s">
        <v>19</v>
      </c>
      <c r="G138" s="13" t="str">
        <f>VLOOKUP(Table134[[#This Row],[Eq No]],[1]!Table3[[Eq.No.]:[FY23/34 Acq. Status]],2,FALSE)</f>
        <v>SOT NCH2</v>
      </c>
      <c r="H138" s="12">
        <f>VLOOKUP(Table134[[#This Row],[Eq No]],[1]!Table3[[Eq.No.]:[FY23/34 Acq. Status]],3,FALSE)</f>
        <v>2018</v>
      </c>
      <c r="I138" s="13" t="str">
        <f>VLOOKUP(Table134[[#This Row],[Eq No]],[1]!Table3[[Eq.No.]:[FY23/34 Acq. Status]],12,FALSE)</f>
        <v>B30E (27000L)</v>
      </c>
      <c r="J138" s="13" t="str">
        <f>VLOOKUP(Table134[[#This Row],[Eq No]],[1]!Table3[[Eq.No.]:[FY23/34 Acq. Status]],17,FALSE)</f>
        <v>B30E(27000L)</v>
      </c>
      <c r="K138" s="2">
        <v>0</v>
      </c>
      <c r="L138" s="2">
        <v>0</v>
      </c>
      <c r="M138" s="2">
        <v>10451662.125020597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898A-2FD0-4E05-B0F7-78FCD6D50397}">
  <dimension ref="B2:M138"/>
  <sheetViews>
    <sheetView workbookViewId="0">
      <selection activeCell="K14" sqref="K14"/>
    </sheetView>
  </sheetViews>
  <sheetFormatPr defaultRowHeight="15" x14ac:dyDescent="0.25"/>
  <cols>
    <col min="1" max="1" width="4.28515625" customWidth="1"/>
    <col min="2" max="2" width="13.42578125" customWidth="1"/>
    <col min="3" max="3" width="24.140625" bestFit="1" customWidth="1"/>
    <col min="4" max="4" width="17.140625" bestFit="1" customWidth="1"/>
    <col min="5" max="5" width="17.140625" customWidth="1"/>
    <col min="6" max="6" width="12.28515625" style="11" customWidth="1"/>
    <col min="7" max="7" width="40.42578125" style="11" bestFit="1" customWidth="1"/>
    <col min="8" max="8" width="12.42578125" style="11" customWidth="1"/>
    <col min="9" max="9" width="18.7109375" style="11" customWidth="1"/>
    <col min="10" max="10" width="33" style="11" customWidth="1"/>
    <col min="11" max="13" width="11.5703125" bestFit="1" customWidth="1"/>
  </cols>
  <sheetData>
    <row r="2" spans="2:13" ht="15.75" x14ac:dyDescent="0.25">
      <c r="B2" s="5" t="s">
        <v>0</v>
      </c>
      <c r="C2" s="6" t="s">
        <v>1</v>
      </c>
      <c r="D2" s="6" t="s">
        <v>2</v>
      </c>
      <c r="E2" s="6" t="s">
        <v>164</v>
      </c>
      <c r="F2" s="9" t="s">
        <v>3</v>
      </c>
      <c r="G2" s="9" t="s">
        <v>165</v>
      </c>
      <c r="H2" s="9" t="s">
        <v>166</v>
      </c>
      <c r="I2" s="9" t="s">
        <v>167</v>
      </c>
      <c r="J2" s="9" t="s">
        <v>168</v>
      </c>
      <c r="K2" s="7" t="s">
        <v>4</v>
      </c>
      <c r="L2" s="7" t="s">
        <v>5</v>
      </c>
      <c r="M2" s="7" t="s">
        <v>6</v>
      </c>
    </row>
    <row r="3" spans="2:13" hidden="1" x14ac:dyDescent="0.25">
      <c r="B3" s="1">
        <v>804020260001</v>
      </c>
      <c r="C3" s="1" t="s">
        <v>9</v>
      </c>
      <c r="D3" s="1" t="s">
        <v>10</v>
      </c>
      <c r="E3" s="1" t="str">
        <f>RIGHT(Table1345[[#This Row],[PROJECT TITLE]],6)</f>
        <v>BS0025</v>
      </c>
      <c r="F3" s="10" t="s">
        <v>8</v>
      </c>
      <c r="G3" s="13" t="str">
        <f>VLOOKUP(Table1345[[#This Row],[Eq No]],[1]!Table3[[Eq.No.]:[FY23/34 Acq. Status]],2,FALSE)</f>
        <v>Pool Transport</v>
      </c>
      <c r="H3" s="12">
        <f>VLOOKUP(Table1345[[#This Row],[Eq No]],[1]!Table3[[Eq.No.]:[FY23/34 Acq. Status]],3,FALSE)</f>
        <v>2012</v>
      </c>
      <c r="I3" s="13" t="str">
        <f>VLOOKUP(Table1345[[#This Row],[Eq No]],[1]!Table3[[Eq.No.]:[FY23/34 Acq. Status]],12,FALSE)</f>
        <v>Sprinter 515 CDI, 23 Seat</v>
      </c>
      <c r="J3" s="13" t="str">
        <f>VLOOKUP(Table1345[[#This Row],[Eq No]],[1]!Table3[[Eq.No.]:[FY23/34 Acq. Status]],17,FALSE)</f>
        <v>NCV 515 CDI PVZA</v>
      </c>
      <c r="K3" s="2">
        <v>1082830.5669007734</v>
      </c>
      <c r="L3" s="2">
        <v>0</v>
      </c>
      <c r="M3" s="2">
        <v>0</v>
      </c>
    </row>
    <row r="4" spans="2:13" hidden="1" x14ac:dyDescent="0.25">
      <c r="B4" s="1">
        <v>804020260002</v>
      </c>
      <c r="C4" s="1" t="s">
        <v>11</v>
      </c>
      <c r="D4" s="1" t="s">
        <v>12</v>
      </c>
      <c r="E4" s="1" t="str">
        <f>RIGHT(Table1345[[#This Row],[PROJECT TITLE]],6)</f>
        <v>CB0024</v>
      </c>
      <c r="F4" s="10" t="s">
        <v>8</v>
      </c>
      <c r="G4" s="13" t="str">
        <f>VLOOKUP(Table1345[[#This Row],[Eq No]],[1]!Table3[[Eq.No.]:[FY23/34 Acq. Status]],2,FALSE)</f>
        <v>Pool Transport</v>
      </c>
      <c r="H4" s="12">
        <f>VLOOKUP(Table1345[[#This Row],[Eq No]],[1]!Table3[[Eq.No.]:[FY23/34 Acq. Status]],3,FALSE)</f>
        <v>2012</v>
      </c>
      <c r="I4" s="13" t="str">
        <f>VLOOKUP(Table1345[[#This Row],[Eq No]],[1]!Table3[[Eq.No.]:[FY23/34 Acq. Status]],12,FALSE)</f>
        <v>Combi T5 Caravelle</v>
      </c>
      <c r="J4" s="13" t="str">
        <f>VLOOKUP(Table1345[[#This Row],[Eq No]],[1]!Table3[[Eq.No.]:[FY23/34 Acq. Status]],17,FALSE)</f>
        <v>Combi T5 Caravelle</v>
      </c>
      <c r="K4" s="2">
        <v>1654343.2041145277</v>
      </c>
      <c r="L4" s="2">
        <v>0</v>
      </c>
      <c r="M4" s="2">
        <v>0</v>
      </c>
    </row>
    <row r="5" spans="2:13" hidden="1" x14ac:dyDescent="0.25">
      <c r="B5" s="8">
        <v>805120250013</v>
      </c>
      <c r="C5" s="8" t="s">
        <v>14</v>
      </c>
      <c r="D5" s="1" t="s">
        <v>15</v>
      </c>
      <c r="E5" s="1" t="str">
        <f>RIGHT(Table1345[[#This Row],[PROJECT TITLE]],6)</f>
        <v>CR0094</v>
      </c>
      <c r="F5" s="10" t="s">
        <v>16</v>
      </c>
      <c r="G5" s="13">
        <f>VLOOKUP(Table1345[[#This Row],[Eq No]],[1]!Table3[[Eq.No.]:[FY23/34 Acq. Status]],2,FALSE)</f>
        <v>0</v>
      </c>
      <c r="H5" s="12">
        <f>VLOOKUP(Table1345[[#This Row],[Eq No]],[1]!Table3[[Eq.No.]:[FY23/34 Acq. Status]],3,FALSE)</f>
        <v>2014</v>
      </c>
      <c r="I5" s="13" t="str">
        <f>VLOOKUP(Table1345[[#This Row],[Eq No]],[1]!Table3[[Eq.No.]:[FY23/34 Acq. Status]],12,FALSE)</f>
        <v>Crane MHT780 T Evolution</v>
      </c>
      <c r="J5" s="13" t="str">
        <f>VLOOKUP(Table1345[[#This Row],[Eq No]],[1]!Table3[[Eq.No.]:[FY23/34 Acq. Status]],17,FALSE)</f>
        <v>Crane MHT780 T Evolution</v>
      </c>
      <c r="K5" s="2">
        <v>0</v>
      </c>
      <c r="L5" s="2">
        <v>0</v>
      </c>
      <c r="M5" s="2">
        <v>12683026</v>
      </c>
    </row>
    <row r="6" spans="2:13" x14ac:dyDescent="0.25">
      <c r="B6" s="8">
        <v>806120250604</v>
      </c>
      <c r="C6" s="8" t="s">
        <v>17</v>
      </c>
      <c r="D6" s="1" t="s">
        <v>18</v>
      </c>
      <c r="E6" s="1" t="str">
        <f>RIGHT(Table1345[[#This Row],[PROJECT TITLE]],6)</f>
        <v>WK1005</v>
      </c>
      <c r="F6" s="10" t="s">
        <v>19</v>
      </c>
      <c r="G6" s="13" t="str">
        <f>VLOOKUP(Table1345[[#This Row],[Eq No]],[1]!Table3[[Eq.No.]:[FY23/34 Acq. Status]],2,FALSE)</f>
        <v>SOT NCH2</v>
      </c>
      <c r="H6" s="12">
        <f>VLOOKUP(Table1345[[#This Row],[Eq No]],[1]!Table3[[Eq.No.]:[FY23/34 Acq. Status]],3,FALSE)</f>
        <v>2018</v>
      </c>
      <c r="I6" s="13" t="str">
        <f>VLOOKUP(Table1345[[#This Row],[Eq No]],[1]!Table3[[Eq.No.]:[FY23/34 Acq. Status]],12,FALSE)</f>
        <v>B30E (27000L)</v>
      </c>
      <c r="J6" s="13" t="str">
        <f>VLOOKUP(Table1345[[#This Row],[Eq No]],[1]!Table3[[Eq.No.]:[FY23/34 Acq. Status]],17,FALSE)</f>
        <v>B30E(27000L)</v>
      </c>
      <c r="K6" s="2">
        <v>8991504</v>
      </c>
      <c r="L6" s="2">
        <v>0</v>
      </c>
      <c r="M6" s="2">
        <v>0</v>
      </c>
    </row>
    <row r="7" spans="2:13" hidden="1" x14ac:dyDescent="0.25">
      <c r="B7" s="8">
        <v>805120260101</v>
      </c>
      <c r="C7" s="8" t="s">
        <v>20</v>
      </c>
      <c r="D7" s="1" t="s">
        <v>21</v>
      </c>
      <c r="E7" s="1" t="str">
        <f>RIGHT(Table1345[[#This Row],[PROJECT TITLE]],6)</f>
        <v>LD0303</v>
      </c>
      <c r="F7" s="10" t="s">
        <v>16</v>
      </c>
      <c r="G7" s="13" t="str">
        <f>VLOOKUP(Table1345[[#This Row],[Eq No]],[1]!Table3[[Eq.No.]:[FY23/34 Acq. Status]],2,FALSE)</f>
        <v>Shafts &amp; Winders - CHL 667 NC</v>
      </c>
      <c r="H7" s="12">
        <f>VLOOKUP(Table1345[[#This Row],[Eq No]],[1]!Table3[[Eq.No.]:[FY23/34 Acq. Status]],3,FALSE)</f>
        <v>2013</v>
      </c>
      <c r="I7" s="13" t="str">
        <f>VLOOKUP(Table1345[[#This Row],[Eq No]],[1]!Table3[[Eq.No.]:[FY23/34 Acq. Status]],12,FALSE)</f>
        <v>4x2, 2.5D</v>
      </c>
      <c r="J7" s="13" t="str">
        <f>VLOOKUP(Table1345[[#This Row],[Eq No]],[1]!Table3[[Eq.No.]:[FY23/34 Acq. Status]],17,FALSE)</f>
        <v>4x2, 2.5D, D Nel</v>
      </c>
      <c r="K7" s="2">
        <v>1124439.7320000001</v>
      </c>
      <c r="L7" s="2">
        <v>0</v>
      </c>
      <c r="M7" s="2">
        <v>0</v>
      </c>
    </row>
    <row r="8" spans="2:13" hidden="1" x14ac:dyDescent="0.25">
      <c r="B8" s="8">
        <v>805120260007</v>
      </c>
      <c r="C8" s="8" t="s">
        <v>22</v>
      </c>
      <c r="D8" s="1" t="s">
        <v>21</v>
      </c>
      <c r="E8" s="1" t="str">
        <f>RIGHT(Table1345[[#This Row],[PROJECT TITLE]],6)</f>
        <v>LD0341</v>
      </c>
      <c r="F8" s="10" t="s">
        <v>16</v>
      </c>
      <c r="G8" s="13" t="str">
        <f>VLOOKUP(Table1345[[#This Row],[Eq No]],[1]!Table3[[Eq.No.]:[FY23/34 Acq. Status]],2,FALSE)</f>
        <v>Stretcher L/C (Capt)</v>
      </c>
      <c r="H8" s="12">
        <f>VLOOKUP(Table1345[[#This Row],[Eq No]],[1]!Table3[[Eq.No.]:[FY23/34 Acq. Status]],3,FALSE)</f>
        <v>2014</v>
      </c>
      <c r="I8" s="13" t="str">
        <f>VLOOKUP(Table1345[[#This Row],[Eq No]],[1]!Table3[[Eq.No.]:[FY23/34 Acq. Status]],12,FALSE)</f>
        <v>L/C, 4x4, 4.2D Expl</v>
      </c>
      <c r="J8" s="13" t="str">
        <f>VLOOKUP(Table1345[[#This Row],[Eq No]],[1]!Table3[[Eq.No.]:[FY23/34 Acq. Status]],17,FALSE)</f>
        <v>L/Cruiser 4x4 (Converted to UG Spec)</v>
      </c>
      <c r="K8" s="2">
        <v>2911697.6168799996</v>
      </c>
      <c r="L8" s="2">
        <v>0</v>
      </c>
      <c r="M8" s="2">
        <v>0</v>
      </c>
    </row>
    <row r="9" spans="2:13" hidden="1" x14ac:dyDescent="0.25">
      <c r="B9" s="8">
        <v>805120260008</v>
      </c>
      <c r="C9" s="8" t="s">
        <v>23</v>
      </c>
      <c r="D9" s="1" t="s">
        <v>21</v>
      </c>
      <c r="E9" s="1" t="str">
        <f>RIGHT(Table1345[[#This Row],[PROJECT TITLE]],6)</f>
        <v>LD0411</v>
      </c>
      <c r="F9" s="10" t="s">
        <v>16</v>
      </c>
      <c r="G9" s="13">
        <f>VLOOKUP(Table1345[[#This Row],[Eq No]],[1]!Table3[[Eq.No.]:[FY23/34 Acq. Status]],2,FALSE)</f>
        <v>0</v>
      </c>
      <c r="H9" s="12">
        <f>VLOOKUP(Table1345[[#This Row],[Eq No]],[1]!Table3[[Eq.No.]:[FY23/34 Acq. Status]],3,FALSE)</f>
        <v>2017</v>
      </c>
      <c r="I9" s="13" t="str">
        <f>VLOOKUP(Table1345[[#This Row],[Eq No]],[1]!Table3[[Eq.No.]:[FY23/34 Acq. Status]],12,FALSE)</f>
        <v>D/Cab Maverick</v>
      </c>
      <c r="J9" s="13" t="str">
        <f>VLOOKUP(Table1345[[#This Row],[Eq No]],[1]!Table3[[Eq.No.]:[FY23/34 Acq. Status]],17,FALSE)</f>
        <v>L/Cruiser 4x4 (Converted to UG Spec)</v>
      </c>
      <c r="K9" s="2">
        <v>2911697.6168799996</v>
      </c>
      <c r="L9" s="2">
        <v>0</v>
      </c>
      <c r="M9" s="2">
        <v>0</v>
      </c>
    </row>
    <row r="10" spans="2:13" hidden="1" x14ac:dyDescent="0.25">
      <c r="B10" s="8">
        <v>805120260009</v>
      </c>
      <c r="C10" s="8" t="s">
        <v>24</v>
      </c>
      <c r="D10" s="1" t="s">
        <v>21</v>
      </c>
      <c r="E10" s="1" t="str">
        <f>RIGHT(Table1345[[#This Row],[PROJECT TITLE]],6)</f>
        <v>LD0414</v>
      </c>
      <c r="F10" s="10" t="s">
        <v>16</v>
      </c>
      <c r="G10" s="13">
        <f>VLOOKUP(Table1345[[#This Row],[Eq No]],[1]!Table3[[Eq.No.]:[FY23/34 Acq. Status]],2,FALSE)</f>
        <v>0</v>
      </c>
      <c r="H10" s="12">
        <f>VLOOKUP(Table1345[[#This Row],[Eq No]],[1]!Table3[[Eq.No.]:[FY23/34 Acq. Status]],3,FALSE)</f>
        <v>2017</v>
      </c>
      <c r="I10" s="13" t="str">
        <f>VLOOKUP(Table1345[[#This Row],[Eq No]],[1]!Table3[[Eq.No.]:[FY23/34 Acq. Status]],12,FALSE)</f>
        <v>D/Cab Maverick</v>
      </c>
      <c r="J10" s="13" t="str">
        <f>VLOOKUP(Table1345[[#This Row],[Eq No]],[1]!Table3[[Eq.No.]:[FY23/34 Acq. Status]],17,FALSE)</f>
        <v>L/Cruiser 4x4 (Converted to UG Spec)</v>
      </c>
      <c r="K10" s="2">
        <v>2911697.6168799996</v>
      </c>
      <c r="L10" s="2">
        <v>0</v>
      </c>
      <c r="M10" s="2">
        <v>0</v>
      </c>
    </row>
    <row r="11" spans="2:13" hidden="1" x14ac:dyDescent="0.25">
      <c r="B11" s="8">
        <v>805120260010</v>
      </c>
      <c r="C11" s="8" t="s">
        <v>25</v>
      </c>
      <c r="D11" s="1" t="s">
        <v>21</v>
      </c>
      <c r="E11" s="1" t="str">
        <f>RIGHT(Table1345[[#This Row],[PROJECT TITLE]],6)</f>
        <v>LD0415</v>
      </c>
      <c r="F11" s="10" t="s">
        <v>16</v>
      </c>
      <c r="G11" s="13" t="str">
        <f>VLOOKUP(Table1345[[#This Row],[Eq No]],[1]!Table3[[Eq.No.]:[FY23/34 Acq. Status]],2,FALSE)</f>
        <v>Itireleng UG</v>
      </c>
      <c r="H11" s="12">
        <f>VLOOKUP(Table1345[[#This Row],[Eq No]],[1]!Table3[[Eq.No.]:[FY23/34 Acq. Status]],3,FALSE)</f>
        <v>2017</v>
      </c>
      <c r="I11" s="13" t="str">
        <f>VLOOKUP(Table1345[[#This Row],[Eq No]],[1]!Table3[[Eq.No.]:[FY23/34 Acq. Status]],12,FALSE)</f>
        <v>D/Cab Maverick</v>
      </c>
      <c r="J11" s="13" t="str">
        <f>VLOOKUP(Table1345[[#This Row],[Eq No]],[1]!Table3[[Eq.No.]:[FY23/34 Acq. Status]],17,FALSE)</f>
        <v>L/Cruiser 4x4 (Converted to UG Spec)</v>
      </c>
      <c r="K11" s="2">
        <v>2911697.6168799996</v>
      </c>
      <c r="L11" s="2">
        <v>0</v>
      </c>
      <c r="M11" s="2">
        <v>0</v>
      </c>
    </row>
    <row r="12" spans="2:13" hidden="1" x14ac:dyDescent="0.25">
      <c r="B12" s="8">
        <v>805120260011</v>
      </c>
      <c r="C12" s="8" t="s">
        <v>26</v>
      </c>
      <c r="D12" s="1" t="s">
        <v>21</v>
      </c>
      <c r="E12" s="1" t="str">
        <f>RIGHT(Table1345[[#This Row],[PROJECT TITLE]],6)</f>
        <v>LD0199</v>
      </c>
      <c r="F12" s="10" t="s">
        <v>16</v>
      </c>
      <c r="G12" s="13" t="str">
        <f>VLOOKUP(Table1345[[#This Row],[Eq No]],[1]!Table3[[Eq.No.]:[FY23/34 Acq. Status]],2,FALSE)</f>
        <v>N2 SHERQ</v>
      </c>
      <c r="H12" s="12">
        <f>VLOOKUP(Table1345[[#This Row],[Eq No]],[1]!Table3[[Eq.No.]:[FY23/34 Acq. Status]],3,FALSE)</f>
        <v>2007</v>
      </c>
      <c r="I12" s="13" t="str">
        <f>VLOOKUP(Table1345[[#This Row],[Eq No]],[1]!Table3[[Eq.No.]:[FY23/34 Acq. Status]],12,FALSE)</f>
        <v>4 x 4 (2.5D)</v>
      </c>
      <c r="J12" s="13" t="str">
        <f>VLOOKUP(Table1345[[#This Row],[Eq No]],[1]!Table3[[Eq.No.]:[FY23/34 Acq. Status]],17,FALSE)</f>
        <v>L/Cruiser 4x4 (Converted to UG Spec)</v>
      </c>
      <c r="K12" s="2">
        <v>2911697.6168799996</v>
      </c>
      <c r="L12" s="2">
        <v>0</v>
      </c>
      <c r="M12" s="2">
        <v>0</v>
      </c>
    </row>
    <row r="13" spans="2:13" hidden="1" x14ac:dyDescent="0.25">
      <c r="B13" s="8">
        <v>805220250006</v>
      </c>
      <c r="C13" s="8" t="s">
        <v>27</v>
      </c>
      <c r="D13" s="1" t="s">
        <v>28</v>
      </c>
      <c r="E13" s="1" t="str">
        <f>RIGHT(Table1345[[#This Row],[PROJECT TITLE]],6)</f>
        <v>RT0039</v>
      </c>
      <c r="F13" s="10" t="s">
        <v>29</v>
      </c>
      <c r="G13" s="13" t="str">
        <f>VLOOKUP(Table1345[[#This Row],[Eq No]],[1]!Table3[[Eq.No.]:[FY23/34 Acq. Status]],2,FALSE)</f>
        <v>SEAM 2 Section</v>
      </c>
      <c r="H13" s="12">
        <f>VLOOKUP(Table1345[[#This Row],[Eq No]],[1]!Table3[[Eq.No.]:[FY23/34 Acq. Status]],3,FALSE)</f>
        <v>2014</v>
      </c>
      <c r="I13" s="13" t="str">
        <f>VLOOKUP(Table1345[[#This Row],[Eq No]],[1]!Table3[[Eq.No.]:[FY23/34 Acq. Status]],12,FALSE)</f>
        <v>Boltec 235H</v>
      </c>
      <c r="J13" s="13" t="str">
        <f>VLOOKUP(Table1345[[#This Row],[Eq No]],[1]!Table3[[Eq.No.]:[FY23/34 Acq. Status]],17,FALSE)</f>
        <v>Boltec 235H</v>
      </c>
      <c r="K13" s="2">
        <v>19263083</v>
      </c>
      <c r="L13" s="2">
        <v>0</v>
      </c>
      <c r="M13" s="2">
        <v>0</v>
      </c>
    </row>
    <row r="14" spans="2:13" hidden="1" x14ac:dyDescent="0.25">
      <c r="B14" s="8">
        <v>805220250007</v>
      </c>
      <c r="C14" s="8" t="s">
        <v>30</v>
      </c>
      <c r="D14" s="1" t="s">
        <v>31</v>
      </c>
      <c r="E14" s="1" t="str">
        <f>RIGHT(Table1345[[#This Row],[PROJECT TITLE]],6)</f>
        <v>SR0024</v>
      </c>
      <c r="F14" s="10" t="s">
        <v>29</v>
      </c>
      <c r="G14" s="13" t="str">
        <f>VLOOKUP(Table1345[[#This Row],[Eq No]],[1]!Table3[[Eq.No.]:[FY23/34 Acq. Status]],2,FALSE)</f>
        <v>N3</v>
      </c>
      <c r="H14" s="12">
        <f>VLOOKUP(Table1345[[#This Row],[Eq No]],[1]!Table3[[Eq.No.]:[FY23/34 Acq. Status]],3,FALSE)</f>
        <v>2014</v>
      </c>
      <c r="I14" s="13" t="str">
        <f>VLOOKUP(Table1345[[#This Row],[Eq No]],[1]!Table3[[Eq.No.]:[FY23/34 Acq. Status]],12,FALSE)</f>
        <v>Super 220E</v>
      </c>
      <c r="J14" s="13" t="str">
        <f>VLOOKUP(Table1345[[#This Row],[Eq No]],[1]!Table3[[Eq.No.]:[FY23/34 Acq. Status]],17,FALSE)</f>
        <v>Scaler 220 E, 4-Wheeler</v>
      </c>
      <c r="K14" s="2">
        <v>6145603</v>
      </c>
      <c r="L14" s="2">
        <v>0</v>
      </c>
      <c r="M14" s="2">
        <v>0</v>
      </c>
    </row>
    <row r="15" spans="2:13" hidden="1" x14ac:dyDescent="0.25">
      <c r="B15" s="8">
        <v>805220250008</v>
      </c>
      <c r="C15" s="8" t="s">
        <v>32</v>
      </c>
      <c r="D15" s="1" t="s">
        <v>31</v>
      </c>
      <c r="E15" s="1" t="str">
        <f>RIGHT(Table1345[[#This Row],[PROJECT TITLE]],6)</f>
        <v>SR0028</v>
      </c>
      <c r="F15" s="10" t="s">
        <v>29</v>
      </c>
      <c r="G15" s="13" t="str">
        <f>VLOOKUP(Table1345[[#This Row],[Eq No]],[1]!Table3[[Eq.No.]:[FY23/34 Acq. Status]],2,FALSE)</f>
        <v>Central Section</v>
      </c>
      <c r="H15" s="12">
        <f>VLOOKUP(Table1345[[#This Row],[Eq No]],[1]!Table3[[Eq.No.]:[FY23/34 Acq. Status]],3,FALSE)</f>
        <v>2014</v>
      </c>
      <c r="I15" s="13" t="str">
        <f>VLOOKUP(Table1345[[#This Row],[Eq No]],[1]!Table3[[Eq.No.]:[FY23/34 Acq. Status]],12,FALSE)</f>
        <v>Super 220E</v>
      </c>
      <c r="J15" s="13" t="str">
        <f>VLOOKUP(Table1345[[#This Row],[Eq No]],[1]!Table3[[Eq.No.]:[FY23/34 Acq. Status]],17,FALSE)</f>
        <v>Scaler 220 E, 4-Wheeler</v>
      </c>
      <c r="K15" s="2">
        <v>6145603</v>
      </c>
      <c r="L15" s="2">
        <v>0</v>
      </c>
      <c r="M15" s="2">
        <v>0</v>
      </c>
    </row>
    <row r="16" spans="2:13" hidden="1" x14ac:dyDescent="0.25">
      <c r="B16" s="8">
        <v>805220250009</v>
      </c>
      <c r="C16" s="8" t="s">
        <v>33</v>
      </c>
      <c r="D16" s="1" t="s">
        <v>31</v>
      </c>
      <c r="E16" s="1" t="str">
        <f>RIGHT(Table1345[[#This Row],[PROJECT TITLE]],6)</f>
        <v>SR0030</v>
      </c>
      <c r="F16" s="10" t="s">
        <v>29</v>
      </c>
      <c r="G16" s="13" t="str">
        <f>VLOOKUP(Table1345[[#This Row],[Eq No]],[1]!Table3[[Eq.No.]:[FY23/34 Acq. Status]],2,FALSE)</f>
        <v>North Section</v>
      </c>
      <c r="H16" s="12">
        <f>VLOOKUP(Table1345[[#This Row],[Eq No]],[1]!Table3[[Eq.No.]:[FY23/34 Acq. Status]],3,FALSE)</f>
        <v>2014</v>
      </c>
      <c r="I16" s="13" t="str">
        <f>VLOOKUP(Table1345[[#This Row],[Eq No]],[1]!Table3[[Eq.No.]:[FY23/34 Acq. Status]],12,FALSE)</f>
        <v>Super 220E</v>
      </c>
      <c r="J16" s="13" t="str">
        <f>VLOOKUP(Table1345[[#This Row],[Eq No]],[1]!Table3[[Eq.No.]:[FY23/34 Acq. Status]],17,FALSE)</f>
        <v>Scaler 220 E, 4-Wheeler</v>
      </c>
      <c r="K16" s="2">
        <v>6145603</v>
      </c>
      <c r="L16" s="2">
        <v>0</v>
      </c>
      <c r="M16" s="2">
        <v>0</v>
      </c>
    </row>
    <row r="17" spans="2:13" hidden="1" x14ac:dyDescent="0.25">
      <c r="B17" s="8">
        <v>805220250012</v>
      </c>
      <c r="C17" s="8" t="s">
        <v>34</v>
      </c>
      <c r="D17" s="1" t="s">
        <v>21</v>
      </c>
      <c r="E17" s="1" t="str">
        <f>RIGHT(Table1345[[#This Row],[PROJECT TITLE]],6)</f>
        <v>LD0457</v>
      </c>
      <c r="F17" s="10" t="s">
        <v>29</v>
      </c>
      <c r="G17" s="13">
        <f>VLOOKUP(Table1345[[#This Row],[Eq No]],[1]!Table3[[Eq.No.]:[FY23/34 Acq. Status]],2,FALSE)</f>
        <v>0</v>
      </c>
      <c r="H17" s="12">
        <f>VLOOKUP(Table1345[[#This Row],[Eq No]],[1]!Table3[[Eq.No.]:[FY23/34 Acq. Status]],3,FALSE)</f>
        <v>2017</v>
      </c>
      <c r="I17" s="13" t="str">
        <f>VLOOKUP(Table1345[[#This Row],[Eq No]],[1]!Table3[[Eq.No.]:[FY23/34 Acq. Status]],12,FALSE)</f>
        <v>D/Cab Maverick</v>
      </c>
      <c r="J17" s="13" t="str">
        <f>VLOOKUP(Table1345[[#This Row],[Eq No]],[1]!Table3[[Eq.No.]:[FY23/34 Acq. Status]],17,FALSE)</f>
        <v>L/Cruiser 4x4 (Converted to UG Spec)</v>
      </c>
      <c r="K17" s="2">
        <v>2761718</v>
      </c>
      <c r="L17" s="2">
        <v>0</v>
      </c>
      <c r="M17" s="2">
        <v>0</v>
      </c>
    </row>
    <row r="18" spans="2:13" hidden="1" x14ac:dyDescent="0.25">
      <c r="B18" s="8">
        <v>805220250013</v>
      </c>
      <c r="C18" s="8" t="s">
        <v>35</v>
      </c>
      <c r="D18" s="1" t="s">
        <v>21</v>
      </c>
      <c r="E18" s="1" t="str">
        <f>RIGHT(Table1345[[#This Row],[PROJECT TITLE]],6)</f>
        <v>LD0480</v>
      </c>
      <c r="F18" s="10" t="s">
        <v>29</v>
      </c>
      <c r="G18" s="13">
        <f>VLOOKUP(Table1345[[#This Row],[Eq No]],[1]!Table3[[Eq.No.]:[FY23/34 Acq. Status]],2,FALSE)</f>
        <v>0</v>
      </c>
      <c r="H18" s="12">
        <f>VLOOKUP(Table1345[[#This Row],[Eq No]],[1]!Table3[[Eq.No.]:[FY23/34 Acq. Status]],3,FALSE)</f>
        <v>2019</v>
      </c>
      <c r="I18" s="13" t="str">
        <f>VLOOKUP(Table1345[[#This Row],[Eq No]],[1]!Table3[[Eq.No.]:[FY23/34 Acq. Status]],12,FALSE)</f>
        <v>D/Cab Maverick</v>
      </c>
      <c r="J18" s="13" t="str">
        <f>VLOOKUP(Table1345[[#This Row],[Eq No]],[1]!Table3[[Eq.No.]:[FY23/34 Acq. Status]],17,FALSE)</f>
        <v>L/Cruiser 4x4 (Converted to UG Spec)</v>
      </c>
      <c r="K18" s="2">
        <v>2761718</v>
      </c>
      <c r="L18" s="2">
        <v>0</v>
      </c>
      <c r="M18" s="2">
        <v>0</v>
      </c>
    </row>
    <row r="19" spans="2:13" hidden="1" x14ac:dyDescent="0.25">
      <c r="B19" s="8">
        <v>805220250014</v>
      </c>
      <c r="C19" s="8" t="s">
        <v>36</v>
      </c>
      <c r="D19" s="1" t="s">
        <v>21</v>
      </c>
      <c r="E19" s="1" t="str">
        <f>RIGHT(Table1345[[#This Row],[PROJECT TITLE]],6)</f>
        <v>LD0481</v>
      </c>
      <c r="F19" s="10" t="s">
        <v>29</v>
      </c>
      <c r="G19" s="13">
        <f>VLOOKUP(Table1345[[#This Row],[Eq No]],[1]!Table3[[Eq.No.]:[FY23/34 Acq. Status]],2,FALSE)</f>
        <v>0</v>
      </c>
      <c r="H19" s="12">
        <f>VLOOKUP(Table1345[[#This Row],[Eq No]],[1]!Table3[[Eq.No.]:[FY23/34 Acq. Status]],3,FALSE)</f>
        <v>2019</v>
      </c>
      <c r="I19" s="13" t="str">
        <f>VLOOKUP(Table1345[[#This Row],[Eq No]],[1]!Table3[[Eq.No.]:[FY23/34 Acq. Status]],12,FALSE)</f>
        <v>D/Cab Maverick</v>
      </c>
      <c r="J19" s="13" t="str">
        <f>VLOOKUP(Table1345[[#This Row],[Eq No]],[1]!Table3[[Eq.No.]:[FY23/34 Acq. Status]],17,FALSE)</f>
        <v>L/Cruiser 4x4 (Converted to UG Spec)</v>
      </c>
      <c r="K19" s="2">
        <v>2761718</v>
      </c>
      <c r="L19" s="2">
        <v>0</v>
      </c>
      <c r="M19" s="2">
        <v>0</v>
      </c>
    </row>
    <row r="20" spans="2:13" hidden="1" x14ac:dyDescent="0.25">
      <c r="B20" s="8">
        <v>805220250015</v>
      </c>
      <c r="C20" s="8" t="s">
        <v>37</v>
      </c>
      <c r="D20" s="1" t="s">
        <v>21</v>
      </c>
      <c r="E20" s="1" t="str">
        <f>RIGHT(Table1345[[#This Row],[PROJECT TITLE]],6)</f>
        <v>LD0482</v>
      </c>
      <c r="F20" s="10" t="s">
        <v>29</v>
      </c>
      <c r="G20" s="13">
        <f>VLOOKUP(Table1345[[#This Row],[Eq No]],[1]!Table3[[Eq.No.]:[FY23/34 Acq. Status]],2,FALSE)</f>
        <v>0</v>
      </c>
      <c r="H20" s="12">
        <f>VLOOKUP(Table1345[[#This Row],[Eq No]],[1]!Table3[[Eq.No.]:[FY23/34 Acq. Status]],3,FALSE)</f>
        <v>2019</v>
      </c>
      <c r="I20" s="13" t="str">
        <f>VLOOKUP(Table1345[[#This Row],[Eq No]],[1]!Table3[[Eq.No.]:[FY23/34 Acq. Status]],12,FALSE)</f>
        <v>D/Cab Maverick</v>
      </c>
      <c r="J20" s="13" t="str">
        <f>VLOOKUP(Table1345[[#This Row],[Eq No]],[1]!Table3[[Eq.No.]:[FY23/34 Acq. Status]],17,FALSE)</f>
        <v>L/Cruiser 4x4 (Converted to UG Spec)</v>
      </c>
      <c r="K20" s="2">
        <v>2761718</v>
      </c>
      <c r="L20" s="2">
        <v>0</v>
      </c>
      <c r="M20" s="2">
        <v>0</v>
      </c>
    </row>
    <row r="21" spans="2:13" hidden="1" x14ac:dyDescent="0.25">
      <c r="B21" s="8">
        <v>805220260006</v>
      </c>
      <c r="C21" s="8" t="s">
        <v>38</v>
      </c>
      <c r="D21" s="1" t="s">
        <v>39</v>
      </c>
      <c r="E21" s="1" t="str">
        <f>RIGHT(Table1345[[#This Row],[PROJECT TITLE]],6)</f>
        <v>DT0143</v>
      </c>
      <c r="F21" s="10" t="s">
        <v>29</v>
      </c>
      <c r="G21" s="13" t="str">
        <f>VLOOKUP(Table1345[[#This Row],[Eq No]],[1]!Table3[[Eq.No.]:[FY23/34 Acq. Status]],2,FALSE)</f>
        <v>Load &amp; Haul</v>
      </c>
      <c r="H21" s="12">
        <f>VLOOKUP(Table1345[[#This Row],[Eq No]],[1]!Table3[[Eq.No.]:[FY23/34 Acq. Status]],3,FALSE)</f>
        <v>2019</v>
      </c>
      <c r="I21" s="13" t="str">
        <f>VLOOKUP(Table1345[[#This Row],[Eq No]],[1]!Table3[[Eq.No.]:[FY23/34 Acq. Status]],12,FALSE)</f>
        <v>Elphinstone AD45</v>
      </c>
      <c r="J21" s="13" t="str">
        <f>VLOOKUP(Table1345[[#This Row],[Eq No]],[1]!Table3[[Eq.No.]:[FY23/34 Acq. Status]],17,FALSE)</f>
        <v>Elphinstone AD30</v>
      </c>
      <c r="K21" s="2">
        <v>20151247.324000001</v>
      </c>
      <c r="L21" s="2">
        <v>0</v>
      </c>
      <c r="M21" s="2">
        <v>0</v>
      </c>
    </row>
    <row r="22" spans="2:13" hidden="1" x14ac:dyDescent="0.25">
      <c r="B22" s="8">
        <v>805220260007</v>
      </c>
      <c r="C22" s="8" t="s">
        <v>40</v>
      </c>
      <c r="D22" s="1" t="s">
        <v>21</v>
      </c>
      <c r="E22" s="1" t="str">
        <f>RIGHT(Table1345[[#This Row],[PROJECT TITLE]],6)</f>
        <v>LD0421</v>
      </c>
      <c r="F22" s="10" t="s">
        <v>29</v>
      </c>
      <c r="G22" s="13">
        <f>VLOOKUP(Table1345[[#This Row],[Eq No]],[1]!Table3[[Eq.No.]:[FY23/34 Acq. Status]],2,FALSE)</f>
        <v>0</v>
      </c>
      <c r="H22" s="12">
        <f>VLOOKUP(Table1345[[#This Row],[Eq No]],[1]!Table3[[Eq.No.]:[FY23/34 Acq. Status]],3,FALSE)</f>
        <v>2016</v>
      </c>
      <c r="I22" s="13" t="str">
        <f>VLOOKUP(Table1345[[#This Row],[Eq No]],[1]!Table3[[Eq.No.]:[FY23/34 Acq. Status]],12,FALSE)</f>
        <v>D/Cab Maverick</v>
      </c>
      <c r="J22" s="13" t="str">
        <f>VLOOKUP(Table1345[[#This Row],[Eq No]],[1]!Table3[[Eq.No.]:[FY23/34 Acq. Status]],17,FALSE)</f>
        <v>L/Cruiser 4x4 (Converted to UG Spec)</v>
      </c>
      <c r="K22" s="2">
        <v>2911697.6168799996</v>
      </c>
      <c r="L22" s="2">
        <v>0</v>
      </c>
      <c r="M22" s="2">
        <v>0</v>
      </c>
    </row>
    <row r="23" spans="2:13" hidden="1" x14ac:dyDescent="0.25">
      <c r="B23" s="8">
        <v>805220260008</v>
      </c>
      <c r="C23" s="8" t="s">
        <v>41</v>
      </c>
      <c r="D23" s="1" t="s">
        <v>21</v>
      </c>
      <c r="E23" s="1" t="str">
        <f>RIGHT(Table1345[[#This Row],[PROJECT TITLE]],6)</f>
        <v>LD0465</v>
      </c>
      <c r="F23" s="10" t="s">
        <v>29</v>
      </c>
      <c r="G23" s="13" t="str">
        <f>VLOOKUP(Table1345[[#This Row],[Eq No]],[1]!Table3[[Eq.No.]:[FY23/34 Acq. Status]],2,FALSE)</f>
        <v>Nch 3 Elect</v>
      </c>
      <c r="H23" s="12">
        <f>VLOOKUP(Table1345[[#This Row],[Eq No]],[1]!Table3[[Eq.No.]:[FY23/34 Acq. Status]],3,FALSE)</f>
        <v>2017</v>
      </c>
      <c r="I23" s="13" t="str">
        <f>VLOOKUP(Table1345[[#This Row],[Eq No]],[1]!Table3[[Eq.No.]:[FY23/34 Acq. Status]],12,FALSE)</f>
        <v>2.45 D-4D, D/C</v>
      </c>
      <c r="J23" s="13" t="str">
        <f>VLOOKUP(Table1345[[#This Row],[Eq No]],[1]!Table3[[Eq.No.]:[FY23/34 Acq. Status]],17,FALSE)</f>
        <v>L/Cruiser 4x4 (Converted to UG Spec)</v>
      </c>
      <c r="K23" s="2">
        <v>2911697.6168799996</v>
      </c>
      <c r="L23" s="2">
        <v>0</v>
      </c>
      <c r="M23" s="2">
        <v>0</v>
      </c>
    </row>
    <row r="24" spans="2:13" hidden="1" x14ac:dyDescent="0.25">
      <c r="B24" s="1">
        <v>807120250009</v>
      </c>
      <c r="C24" s="1" t="s">
        <v>42</v>
      </c>
      <c r="D24" s="1" t="s">
        <v>21</v>
      </c>
      <c r="E24" s="1" t="str">
        <f>RIGHT(Table1345[[#This Row],[PROJECT TITLE]],6)</f>
        <v>LD0453</v>
      </c>
      <c r="F24" s="10" t="s">
        <v>43</v>
      </c>
      <c r="G24" s="13" t="str">
        <f>VLOOKUP(Table1345[[#This Row],[Eq No]],[1]!Table3[[Eq.No.]:[FY23/34 Acq. Status]],2,FALSE)</f>
        <v>Gloria U/G</v>
      </c>
      <c r="H24" s="12">
        <f>VLOOKUP(Table1345[[#This Row],[Eq No]],[1]!Table3[[Eq.No.]:[FY23/34 Acq. Status]],3,FALSE)</f>
        <v>2018</v>
      </c>
      <c r="I24" s="13" t="str">
        <f>VLOOKUP(Table1345[[#This Row],[Eq No]],[1]!Table3[[Eq.No.]:[FY23/34 Acq. Status]],12,FALSE)</f>
        <v>Maverick D/C</v>
      </c>
      <c r="J24" s="13" t="str">
        <f>VLOOKUP(Table1345[[#This Row],[Eq No]],[1]!Table3[[Eq.No.]:[FY23/34 Acq. Status]],17,FALSE)</f>
        <v>L/Cruiser 4x4 (Converted to UG Spec)</v>
      </c>
      <c r="K24" s="2">
        <v>2761718</v>
      </c>
      <c r="L24" s="2">
        <v>0</v>
      </c>
      <c r="M24" s="2">
        <v>0</v>
      </c>
    </row>
    <row r="25" spans="2:13" hidden="1" x14ac:dyDescent="0.25">
      <c r="B25" s="1">
        <v>807120250010</v>
      </c>
      <c r="C25" s="1" t="s">
        <v>44</v>
      </c>
      <c r="D25" s="1" t="s">
        <v>21</v>
      </c>
      <c r="E25" s="1" t="str">
        <f>RIGHT(Table1345[[#This Row],[PROJECT TITLE]],6)</f>
        <v>LD0517</v>
      </c>
      <c r="F25" s="10" t="s">
        <v>43</v>
      </c>
      <c r="G25" s="13" t="str">
        <f>VLOOKUP(Table1345[[#This Row],[Eq No]],[1]!Table3[[Eq.No.]:[FY23/34 Acq. Status]],2,FALSE)</f>
        <v>Gloria U/G</v>
      </c>
      <c r="H25" s="12">
        <f>VLOOKUP(Table1345[[#This Row],[Eq No]],[1]!Table3[[Eq.No.]:[FY23/34 Acq. Status]],3,FALSE)</f>
        <v>2018</v>
      </c>
      <c r="I25" s="13" t="str">
        <f>VLOOKUP(Table1345[[#This Row],[Eq No]],[1]!Table3[[Eq.No.]:[FY23/34 Acq. Status]],12,FALSE)</f>
        <v>Maverick D/C</v>
      </c>
      <c r="J25" s="13" t="str">
        <f>VLOOKUP(Table1345[[#This Row],[Eq No]],[1]!Table3[[Eq.No.]:[FY23/34 Acq. Status]],17,FALSE)</f>
        <v>L/Cruiser 4x4 (Converted to UG Spec)</v>
      </c>
      <c r="K25" s="2">
        <v>2761718</v>
      </c>
      <c r="L25" s="2">
        <v>0</v>
      </c>
      <c r="M25" s="2">
        <v>0</v>
      </c>
    </row>
    <row r="26" spans="2:13" hidden="1" x14ac:dyDescent="0.25">
      <c r="B26" s="1">
        <v>807120260006</v>
      </c>
      <c r="C26" s="1" t="s">
        <v>45</v>
      </c>
      <c r="D26" s="1" t="s">
        <v>39</v>
      </c>
      <c r="E26" s="1" t="str">
        <f>RIGHT(Table1345[[#This Row],[PROJECT TITLE]],6)</f>
        <v>DT0105</v>
      </c>
      <c r="F26" s="10" t="s">
        <v>43</v>
      </c>
      <c r="G26" s="13" t="str">
        <f>VLOOKUP(Table1345[[#This Row],[Eq No]],[1]!Table3[[Eq.No.]:[FY23/34 Acq. Status]],2,FALSE)</f>
        <v>Gloria U/G</v>
      </c>
      <c r="H26" s="12">
        <f>VLOOKUP(Table1345[[#This Row],[Eq No]],[1]!Table3[[Eq.No.]:[FY23/34 Acq. Status]],3,FALSE)</f>
        <v>2015</v>
      </c>
      <c r="I26" s="13" t="str">
        <f>VLOOKUP(Table1345[[#This Row],[Eq No]],[1]!Table3[[Eq.No.]:[FY23/34 Acq. Status]],12,FALSE)</f>
        <v>MT 436 LP</v>
      </c>
      <c r="J26" s="13" t="str">
        <f>VLOOKUP(Table1345[[#This Row],[Eq No]],[1]!Table3[[Eq.No.]:[FY23/34 Acq. Status]],17,FALSE)</f>
        <v>Elphinstone AD30</v>
      </c>
      <c r="K26" s="2">
        <v>20151247.324000001</v>
      </c>
      <c r="L26" s="2">
        <v>0</v>
      </c>
      <c r="M26" s="2">
        <v>0</v>
      </c>
    </row>
    <row r="27" spans="2:13" hidden="1" x14ac:dyDescent="0.25">
      <c r="B27" s="1">
        <v>807120260007</v>
      </c>
      <c r="C27" s="1" t="s">
        <v>46</v>
      </c>
      <c r="D27" s="1" t="s">
        <v>39</v>
      </c>
      <c r="E27" s="1" t="str">
        <f>RIGHT(Table1345[[#This Row],[PROJECT TITLE]],6)</f>
        <v>DT0106</v>
      </c>
      <c r="F27" s="10" t="s">
        <v>43</v>
      </c>
      <c r="G27" s="13" t="str">
        <f>VLOOKUP(Table1345[[#This Row],[Eq No]],[1]!Table3[[Eq.No.]:[FY23/34 Acq. Status]],2,FALSE)</f>
        <v>Gloria U/G</v>
      </c>
      <c r="H27" s="12">
        <f>VLOOKUP(Table1345[[#This Row],[Eq No]],[1]!Table3[[Eq.No.]:[FY23/34 Acq. Status]],3,FALSE)</f>
        <v>2015</v>
      </c>
      <c r="I27" s="13" t="str">
        <f>VLOOKUP(Table1345[[#This Row],[Eq No]],[1]!Table3[[Eq.No.]:[FY23/34 Acq. Status]],12,FALSE)</f>
        <v>MT 436 LP</v>
      </c>
      <c r="J27" s="13" t="str">
        <f>VLOOKUP(Table1345[[#This Row],[Eq No]],[1]!Table3[[Eq.No.]:[FY23/34 Acq. Status]],17,FALSE)</f>
        <v>Elphinstone AD30</v>
      </c>
      <c r="K27" s="2">
        <v>20151247.324000001</v>
      </c>
      <c r="L27" s="2">
        <v>0</v>
      </c>
      <c r="M27" s="2">
        <v>0</v>
      </c>
    </row>
    <row r="28" spans="2:13" hidden="1" x14ac:dyDescent="0.25">
      <c r="B28" s="1">
        <v>807120260008</v>
      </c>
      <c r="C28" s="1" t="s">
        <v>47</v>
      </c>
      <c r="D28" s="1" t="s">
        <v>21</v>
      </c>
      <c r="E28" s="1" t="str">
        <f>RIGHT(Table1345[[#This Row],[PROJECT TITLE]],6)</f>
        <v>LD0330</v>
      </c>
      <c r="F28" s="10" t="s">
        <v>43</v>
      </c>
      <c r="G28" s="13" t="str">
        <f>VLOOKUP(Table1345[[#This Row],[Eq No]],[1]!Table3[[Eq.No.]:[FY23/34 Acq. Status]],2,FALSE)</f>
        <v>Hilux Single Cab Hilux SC 2.5</v>
      </c>
      <c r="H28" s="12">
        <f>VLOOKUP(Table1345[[#This Row],[Eq No]],[1]!Table3[[Eq.No.]:[FY23/34 Acq. Status]],3,FALSE)</f>
        <v>2014</v>
      </c>
      <c r="I28" s="13" t="str">
        <f>VLOOKUP(Table1345[[#This Row],[Eq No]],[1]!Table3[[Eq.No.]:[FY23/34 Acq. Status]],12,FALSE)</f>
        <v>4 x 4 (2.5D)</v>
      </c>
      <c r="J28" s="13" t="str">
        <f>VLOOKUP(Table1345[[#This Row],[Eq No]],[1]!Table3[[Eq.No.]:[FY23/34 Acq. Status]],17,FALSE)</f>
        <v>4 x 4 (2.5D)</v>
      </c>
      <c r="K28" s="2">
        <v>1157210.132</v>
      </c>
      <c r="L28" s="2">
        <v>0</v>
      </c>
      <c r="M28" s="2">
        <v>0</v>
      </c>
    </row>
    <row r="29" spans="2:13" hidden="1" x14ac:dyDescent="0.25">
      <c r="B29" s="1">
        <v>807120260009</v>
      </c>
      <c r="C29" s="1" t="s">
        <v>48</v>
      </c>
      <c r="D29" s="1" t="s">
        <v>21</v>
      </c>
      <c r="E29" s="1" t="str">
        <f>RIGHT(Table1345[[#This Row],[PROJECT TITLE]],6)</f>
        <v>LD0331</v>
      </c>
      <c r="F29" s="10" t="s">
        <v>43</v>
      </c>
      <c r="G29" s="13" t="str">
        <f>VLOOKUP(Table1345[[#This Row],[Eq No]],[1]!Table3[[Eq.No.]:[FY23/34 Acq. Status]],2,FALSE)</f>
        <v>Instumentation Gloria</v>
      </c>
      <c r="H29" s="12">
        <f>VLOOKUP(Table1345[[#This Row],[Eq No]],[1]!Table3[[Eq.No.]:[FY23/34 Acq. Status]],3,FALSE)</f>
        <v>2014</v>
      </c>
      <c r="I29" s="13" t="str">
        <f>VLOOKUP(Table1345[[#This Row],[Eq No]],[1]!Table3[[Eq.No.]:[FY23/34 Acq. Status]],12,FALSE)</f>
        <v>4 x 4 (2.5D)</v>
      </c>
      <c r="J29" s="13" t="str">
        <f>VLOOKUP(Table1345[[#This Row],[Eq No]],[1]!Table3[[Eq.No.]:[FY23/34 Acq. Status]],17,FALSE)</f>
        <v>4 x 4 (2.5D)</v>
      </c>
      <c r="K29" s="2">
        <v>1157210.132</v>
      </c>
      <c r="L29" s="2">
        <v>0</v>
      </c>
      <c r="M29" s="2">
        <v>0</v>
      </c>
    </row>
    <row r="30" spans="2:13" hidden="1" x14ac:dyDescent="0.25">
      <c r="B30" s="1">
        <v>807120260010</v>
      </c>
      <c r="C30" s="1" t="s">
        <v>49</v>
      </c>
      <c r="D30" s="1" t="s">
        <v>21</v>
      </c>
      <c r="E30" s="1" t="str">
        <f>RIGHT(Table1345[[#This Row],[PROJECT TITLE]],6)</f>
        <v>LD0344</v>
      </c>
      <c r="F30" s="10" t="s">
        <v>43</v>
      </c>
      <c r="G30" s="13" t="str">
        <f>VLOOKUP(Table1345[[#This Row],[Eq No]],[1]!Table3[[Eq.No.]:[FY23/34 Acq. Status]],2,FALSE)</f>
        <v>Replacement L/C Mech</v>
      </c>
      <c r="H30" s="12">
        <f>VLOOKUP(Table1345[[#This Row],[Eq No]],[1]!Table3[[Eq.No.]:[FY23/34 Acq. Status]],3,FALSE)</f>
        <v>2014</v>
      </c>
      <c r="I30" s="13" t="str">
        <f>VLOOKUP(Table1345[[#This Row],[Eq No]],[1]!Table3[[Eq.No.]:[FY23/34 Acq. Status]],12,FALSE)</f>
        <v>L/C, 4x4, 4.2D</v>
      </c>
      <c r="J30" s="13" t="str">
        <f>VLOOKUP(Table1345[[#This Row],[Eq No]],[1]!Table3[[Eq.No.]:[FY23/34 Acq. Status]],17,FALSE)</f>
        <v>L/Cruiser 4x4 (Converted to UG Spec)</v>
      </c>
      <c r="K30" s="2">
        <v>2911697.6168799996</v>
      </c>
      <c r="L30" s="2">
        <v>0</v>
      </c>
      <c r="M30" s="2">
        <v>0</v>
      </c>
    </row>
    <row r="31" spans="2:13" hidden="1" x14ac:dyDescent="0.25">
      <c r="B31" s="1">
        <v>807120260011</v>
      </c>
      <c r="C31" s="1" t="s">
        <v>50</v>
      </c>
      <c r="D31" s="1" t="s">
        <v>21</v>
      </c>
      <c r="E31" s="1" t="str">
        <f>RIGHT(Table1345[[#This Row],[PROJECT TITLE]],6)</f>
        <v>LD0425</v>
      </c>
      <c r="F31" s="10" t="s">
        <v>43</v>
      </c>
      <c r="G31" s="13" t="str">
        <f>VLOOKUP(Table1345[[#This Row],[Eq No]],[1]!Table3[[Eq.No.]:[FY23/34 Acq. Status]],2,FALSE)</f>
        <v>Gloria U/G</v>
      </c>
      <c r="H31" s="12">
        <f>VLOOKUP(Table1345[[#This Row],[Eq No]],[1]!Table3[[Eq.No.]:[FY23/34 Acq. Status]],3,FALSE)</f>
        <v>2017</v>
      </c>
      <c r="I31" s="13" t="str">
        <f>VLOOKUP(Table1345[[#This Row],[Eq No]],[1]!Table3[[Eq.No.]:[FY23/34 Acq. Status]],12,FALSE)</f>
        <v>Maverick D/C</v>
      </c>
      <c r="J31" s="13" t="str">
        <f>VLOOKUP(Table1345[[#This Row],[Eq No]],[1]!Table3[[Eq.No.]:[FY23/34 Acq. Status]],17,FALSE)</f>
        <v>L/Cruiser 4x4 (Converted to UG Spec)</v>
      </c>
      <c r="K31" s="2">
        <v>2911697.6168799996</v>
      </c>
      <c r="L31" s="2">
        <v>0</v>
      </c>
      <c r="M31" s="2">
        <v>0</v>
      </c>
    </row>
    <row r="32" spans="2:13" hidden="1" x14ac:dyDescent="0.25">
      <c r="B32" s="3" t="s">
        <v>51</v>
      </c>
      <c r="C32" s="1" t="s">
        <v>52</v>
      </c>
      <c r="D32" s="1" t="s">
        <v>10</v>
      </c>
      <c r="E32" s="1" t="str">
        <f>RIGHT(Table1345[[#This Row],[PROJECT TITLE]],6)</f>
        <v>BS0028</v>
      </c>
      <c r="F32" s="10" t="s">
        <v>8</v>
      </c>
      <c r="G32" s="13" t="str">
        <f>VLOOKUP(Table1345[[#This Row],[Eq No]],[1]!Table3[[Eq.No.]:[FY23/34 Acq. Status]],2,FALSE)</f>
        <v>Pool Transport</v>
      </c>
      <c r="H32" s="12">
        <f>VLOOKUP(Table1345[[#This Row],[Eq No]],[1]!Table3[[Eq.No.]:[FY23/34 Acq. Status]],3,FALSE)</f>
        <v>2017</v>
      </c>
      <c r="I32" s="13" t="str">
        <f>VLOOKUP(Table1345[[#This Row],[Eq No]],[1]!Table3[[Eq.No.]:[FY23/34 Acq. Status]],12,FALSE)</f>
        <v>Sprinter</v>
      </c>
      <c r="J32" s="13" t="str">
        <f>VLOOKUP(Table1345[[#This Row],[Eq No]],[1]!Table3[[Eq.No.]:[FY23/34 Acq. Status]],17,FALSE)</f>
        <v>Sprinter 516 CDI</v>
      </c>
      <c r="K32" s="2">
        <v>0</v>
      </c>
      <c r="L32" s="2">
        <v>0</v>
      </c>
      <c r="M32" s="2">
        <v>1990160.4942191234</v>
      </c>
    </row>
    <row r="33" spans="2:13" hidden="1" x14ac:dyDescent="0.25">
      <c r="B33" s="3" t="s">
        <v>51</v>
      </c>
      <c r="C33" s="4" t="s">
        <v>53</v>
      </c>
      <c r="D33" s="1" t="s">
        <v>12</v>
      </c>
      <c r="E33" s="1" t="str">
        <f>RIGHT(Table1345[[#This Row],[PROJECT TITLE]],6)</f>
        <v>CB0025</v>
      </c>
      <c r="F33" s="10" t="s">
        <v>8</v>
      </c>
      <c r="G33" s="13" t="str">
        <f>VLOOKUP(Table1345[[#This Row],[Eq No]],[1]!Table3[[Eq.No.]:[FY23/34 Acq. Status]],2,FALSE)</f>
        <v>Proto</v>
      </c>
      <c r="H33" s="12">
        <f>VLOOKUP(Table1345[[#This Row],[Eq No]],[1]!Table3[[Eq.No.]:[FY23/34 Acq. Status]],3,FALSE)</f>
        <v>2014</v>
      </c>
      <c r="I33" s="13" t="str">
        <f>VLOOKUP(Table1345[[#This Row],[Eq No]],[1]!Table3[[Eq.No.]:[FY23/34 Acq. Status]],12,FALSE)</f>
        <v>Quantum 2.5D-4D</v>
      </c>
      <c r="J33" s="13" t="str">
        <f>VLOOKUP(Table1345[[#This Row],[Eq No]],[1]!Table3[[Eq.No.]:[FY23/34 Acq. Status]],17,FALSE)</f>
        <v>Quantum 2.5D-4D</v>
      </c>
      <c r="K33" s="2">
        <v>0</v>
      </c>
      <c r="L33" s="2">
        <v>0</v>
      </c>
      <c r="M33" s="2">
        <v>1672142.5046951747</v>
      </c>
    </row>
    <row r="34" spans="2:13" hidden="1" x14ac:dyDescent="0.25">
      <c r="B34" s="3" t="s">
        <v>51</v>
      </c>
      <c r="C34" s="4" t="s">
        <v>54</v>
      </c>
      <c r="D34" s="1" t="s">
        <v>12</v>
      </c>
      <c r="E34" s="1" t="str">
        <f>RIGHT(Table1345[[#This Row],[PROJECT TITLE]],6)</f>
        <v>CB0030</v>
      </c>
      <c r="F34" s="10" t="s">
        <v>8</v>
      </c>
      <c r="G34" s="13" t="str">
        <f>VLOOKUP(Table1345[[#This Row],[Eq No]],[1]!Table3[[Eq.No.]:[FY23/34 Acq. Status]],2,FALSE)</f>
        <v>Pool Transport</v>
      </c>
      <c r="H34" s="12">
        <f>VLOOKUP(Table1345[[#This Row],[Eq No]],[1]!Table3[[Eq.No.]:[FY23/34 Acq. Status]],3,FALSE)</f>
        <v>2017</v>
      </c>
      <c r="I34" s="13" t="str">
        <f>VLOOKUP(Table1345[[#This Row],[Eq No]],[1]!Table3[[Eq.No.]:[FY23/34 Acq. Status]],12,FALSE)</f>
        <v>Quantum Mini Bus 14St</v>
      </c>
      <c r="J34" s="13" t="str">
        <f>VLOOKUP(Table1345[[#This Row],[Eq No]],[1]!Table3[[Eq.No.]:[FY23/34 Acq. Status]],17,FALSE)</f>
        <v>Quantum Mini Bus 14St</v>
      </c>
      <c r="K34" s="2">
        <v>0</v>
      </c>
      <c r="L34" s="2">
        <v>1620206.1291006159</v>
      </c>
      <c r="M34" s="2">
        <v>0</v>
      </c>
    </row>
    <row r="35" spans="2:13" hidden="1" x14ac:dyDescent="0.25">
      <c r="B35" s="3" t="s">
        <v>51</v>
      </c>
      <c r="C35" s="4" t="s">
        <v>55</v>
      </c>
      <c r="D35" s="1" t="s">
        <v>12</v>
      </c>
      <c r="E35" s="1" t="str">
        <f>RIGHT(Table1345[[#This Row],[PROJECT TITLE]],6)</f>
        <v>CB0033</v>
      </c>
      <c r="F35" s="10" t="s">
        <v>8</v>
      </c>
      <c r="G35" s="13" t="str">
        <f>VLOOKUP(Table1345[[#This Row],[Eq No]],[1]!Table3[[Eq.No.]:[FY23/34 Acq. Status]],2,FALSE)</f>
        <v>Pool Transport</v>
      </c>
      <c r="H35" s="12">
        <f>VLOOKUP(Table1345[[#This Row],[Eq No]],[1]!Table3[[Eq.No.]:[FY23/34 Acq. Status]],3,FALSE)</f>
        <v>2018</v>
      </c>
      <c r="I35" s="13" t="str">
        <f>VLOOKUP(Table1345[[#This Row],[Eq No]],[1]!Table3[[Eq.No.]:[FY23/34 Acq. Status]],12,FALSE)</f>
        <v>Quantum Mini Bus 10St</v>
      </c>
      <c r="J35" s="13" t="str">
        <f>VLOOKUP(Table1345[[#This Row],[Eq No]],[1]!Table3[[Eq.No.]:[FY23/34 Acq. Status]],17,FALSE)</f>
        <v>Quantum Mini Bus 10St</v>
      </c>
      <c r="K35" s="2">
        <v>0</v>
      </c>
      <c r="L35" s="2">
        <v>1620206.1291006159</v>
      </c>
      <c r="M35" s="2">
        <v>0</v>
      </c>
    </row>
    <row r="36" spans="2:13" hidden="1" x14ac:dyDescent="0.25">
      <c r="B36" s="3" t="s">
        <v>51</v>
      </c>
      <c r="C36" s="4" t="s">
        <v>56</v>
      </c>
      <c r="D36" s="1" t="s">
        <v>57</v>
      </c>
      <c r="E36" s="1" t="str">
        <f>RIGHT(Table1345[[#This Row],[PROJECT TITLE]],6)</f>
        <v>CD0011</v>
      </c>
      <c r="F36" s="10" t="s">
        <v>8</v>
      </c>
      <c r="G36" s="13" t="str">
        <f>VLOOKUP(Table1345[[#This Row],[Eq No]],[1]!Table3[[Eq.No.]:[FY23/34 Acq. Status]],2,FALSE)</f>
        <v>Pool Transport</v>
      </c>
      <c r="H36" s="12">
        <f>VLOOKUP(Table1345[[#This Row],[Eq No]],[1]!Table3[[Eq.No.]:[FY23/34 Acq. Status]],3,FALSE)</f>
        <v>2018</v>
      </c>
      <c r="I36" s="13" t="str">
        <f>VLOOKUP(Table1345[[#This Row],[Eq No]],[1]!Table3[[Eq.No.]:[FY23/34 Acq. Status]],12,FALSE)</f>
        <v>Avanza 1.5 TX</v>
      </c>
      <c r="J36" s="13" t="str">
        <f>VLOOKUP(Table1345[[#This Row],[Eq No]],[1]!Table3[[Eq.No.]:[FY23/34 Acq. Status]],17,FALSE)</f>
        <v>Avanza 1.5 SX</v>
      </c>
      <c r="K36" s="2">
        <v>0</v>
      </c>
      <c r="L36" s="2">
        <v>0</v>
      </c>
      <c r="M36" s="2">
        <v>874000.65379999997</v>
      </c>
    </row>
    <row r="37" spans="2:13" hidden="1" x14ac:dyDescent="0.25">
      <c r="B37" s="3" t="s">
        <v>51</v>
      </c>
      <c r="C37" s="4" t="s">
        <v>58</v>
      </c>
      <c r="D37" s="1" t="s">
        <v>57</v>
      </c>
      <c r="E37" s="1" t="str">
        <f>RIGHT(Table1345[[#This Row],[PROJECT TITLE]],6)</f>
        <v>CD0012</v>
      </c>
      <c r="F37" s="10" t="s">
        <v>8</v>
      </c>
      <c r="G37" s="13" t="str">
        <f>VLOOKUP(Table1345[[#This Row],[Eq No]],[1]!Table3[[Eq.No.]:[FY23/34 Acq. Status]],2,FALSE)</f>
        <v>Pool Transport</v>
      </c>
      <c r="H37" s="12">
        <f>VLOOKUP(Table1345[[#This Row],[Eq No]],[1]!Table3[[Eq.No.]:[FY23/34 Acq. Status]],3,FALSE)</f>
        <v>2018</v>
      </c>
      <c r="I37" s="13" t="str">
        <f>VLOOKUP(Table1345[[#This Row],[Eq No]],[1]!Table3[[Eq.No.]:[FY23/34 Acq. Status]],12,FALSE)</f>
        <v>Avanza 1.5 TX</v>
      </c>
      <c r="J37" s="13" t="str">
        <f>VLOOKUP(Table1345[[#This Row],[Eq No]],[1]!Table3[[Eq.No.]:[FY23/34 Acq. Status]],17,FALSE)</f>
        <v>Avanza 1.5 SX</v>
      </c>
      <c r="K37" s="2">
        <v>0</v>
      </c>
      <c r="L37" s="2">
        <v>0</v>
      </c>
      <c r="M37" s="2">
        <v>874000.65379999997</v>
      </c>
    </row>
    <row r="38" spans="2:13" hidden="1" x14ac:dyDescent="0.25">
      <c r="B38" s="3" t="s">
        <v>51</v>
      </c>
      <c r="C38" s="4" t="s">
        <v>59</v>
      </c>
      <c r="D38" s="1" t="s">
        <v>15</v>
      </c>
      <c r="E38" s="1" t="str">
        <f>RIGHT(Table1345[[#This Row],[PROJECT TITLE]],6)</f>
        <v>CR0107</v>
      </c>
      <c r="F38" s="10" t="s">
        <v>8</v>
      </c>
      <c r="G38" s="13" t="str">
        <f>VLOOKUP(Table1345[[#This Row],[Eq No]],[1]!Table3[[Eq.No.]:[FY23/34 Acq. Status]],2,FALSE)</f>
        <v>BR Stores</v>
      </c>
      <c r="H38" s="12">
        <f>VLOOKUP(Table1345[[#This Row],[Eq No]],[1]!Table3[[Eq.No.]:[FY23/34 Acq. Status]],3,FALSE)</f>
        <v>2014</v>
      </c>
      <c r="I38" s="13" t="str">
        <f>VLOOKUP(Table1345[[#This Row],[Eq No]],[1]!Table3[[Eq.No.]:[FY23/34 Acq. Status]],12,FALSE)</f>
        <v>MHT-X 10120 L</v>
      </c>
      <c r="J38" s="13" t="str">
        <f>VLOOKUP(Table1345[[#This Row],[Eq No]],[1]!Table3[[Eq.No.]:[FY23/34 Acq. Status]],17,FALSE)</f>
        <v>MHT-X 10120 L</v>
      </c>
      <c r="K38" s="2">
        <v>0</v>
      </c>
      <c r="L38" s="2">
        <v>13969014.279429123</v>
      </c>
      <c r="M38" s="2">
        <v>0</v>
      </c>
    </row>
    <row r="39" spans="2:13" hidden="1" x14ac:dyDescent="0.25">
      <c r="B39" s="3" t="s">
        <v>51</v>
      </c>
      <c r="C39" s="4" t="s">
        <v>60</v>
      </c>
      <c r="D39" s="1" t="s">
        <v>15</v>
      </c>
      <c r="E39" s="1" t="str">
        <f>RIGHT(Table1345[[#This Row],[PROJECT TITLE]],6)</f>
        <v>CR0121</v>
      </c>
      <c r="F39" s="10" t="s">
        <v>8</v>
      </c>
      <c r="G39" s="13" t="str">
        <f>VLOOKUP(Table1345[[#This Row],[Eq No]],[1]!Table3[[Eq.No.]:[FY23/34 Acq. Status]],2,FALSE)</f>
        <v>BR Stores</v>
      </c>
      <c r="H39" s="12">
        <f>VLOOKUP(Table1345[[#This Row],[Eq No]],[1]!Table3[[Eq.No.]:[FY23/34 Acq. Status]],3,FALSE)</f>
        <v>2015</v>
      </c>
      <c r="I39" s="13" t="str">
        <f>VLOOKUP(Table1345[[#This Row],[Eq No]],[1]!Table3[[Eq.No.]:[FY23/34 Acq. Status]],12,FALSE)</f>
        <v>MHT-X 780</v>
      </c>
      <c r="J39" s="13" t="str">
        <f>VLOOKUP(Table1345[[#This Row],[Eq No]],[1]!Table3[[Eq.No.]:[FY23/34 Acq. Status]],17,FALSE)</f>
        <v>MHT-X 780</v>
      </c>
      <c r="K39" s="2">
        <v>0</v>
      </c>
      <c r="L39" s="2">
        <v>0</v>
      </c>
      <c r="M39" s="2">
        <v>11988921.38066224</v>
      </c>
    </row>
    <row r="40" spans="2:13" hidden="1" x14ac:dyDescent="0.25">
      <c r="B40" s="3" t="s">
        <v>51</v>
      </c>
      <c r="C40" s="4" t="s">
        <v>61</v>
      </c>
      <c r="D40" s="1" t="s">
        <v>15</v>
      </c>
      <c r="E40" s="1" t="str">
        <f>RIGHT(Table1345[[#This Row],[PROJECT TITLE]],6)</f>
        <v>CR0145</v>
      </c>
      <c r="F40" s="10" t="s">
        <v>8</v>
      </c>
      <c r="G40" s="13" t="str">
        <f>VLOOKUP(Table1345[[#This Row],[Eq No]],[1]!Table3[[Eq.No.]:[FY23/34 Acq. Status]],2,FALSE)</f>
        <v>BR Stores</v>
      </c>
      <c r="H40" s="12">
        <f>VLOOKUP(Table1345[[#This Row],[Eq No]],[1]!Table3[[Eq.No.]:[FY23/34 Acq. Status]],3,FALSE)</f>
        <v>2016</v>
      </c>
      <c r="I40" s="13" t="str">
        <f>VLOOKUP(Table1345[[#This Row],[Eq No]],[1]!Table3[[Eq.No.]:[FY23/34 Acq. Status]],12,FALSE)</f>
        <v>MT-X 742</v>
      </c>
      <c r="J40" s="13" t="str">
        <f>VLOOKUP(Table1345[[#This Row],[Eq No]],[1]!Table3[[Eq.No.]:[FY23/34 Acq. Status]],17,FALSE)</f>
        <v>MT-X 742</v>
      </c>
      <c r="K40" s="2">
        <v>0</v>
      </c>
      <c r="L40" s="2">
        <v>0</v>
      </c>
      <c r="M40" s="2">
        <v>11988921.38066224</v>
      </c>
    </row>
    <row r="41" spans="2:13" hidden="1" x14ac:dyDescent="0.25">
      <c r="B41" s="3" t="s">
        <v>51</v>
      </c>
      <c r="C41" s="4" t="s">
        <v>62</v>
      </c>
      <c r="D41" s="1" t="s">
        <v>21</v>
      </c>
      <c r="E41" s="1" t="str">
        <f>RIGHT(Table1345[[#This Row],[PROJECT TITLE]],6)</f>
        <v>LD0239</v>
      </c>
      <c r="F41" s="10" t="s">
        <v>8</v>
      </c>
      <c r="G41" s="13" t="str">
        <f>VLOOKUP(Table1345[[#This Row],[Eq No]],[1]!Table3[[Eq.No.]:[FY23/34 Acq. Status]],2,FALSE)</f>
        <v>BRMO</v>
      </c>
      <c r="H41" s="12">
        <f>VLOOKUP(Table1345[[#This Row],[Eq No]],[1]!Table3[[Eq.No.]:[FY23/34 Acq. Status]],3,FALSE)</f>
        <v>2010</v>
      </c>
      <c r="I41" s="13" t="str">
        <f>VLOOKUP(Table1345[[#This Row],[Eq No]],[1]!Table3[[Eq.No.]:[FY23/34 Acq. Status]],12,FALSE)</f>
        <v>2.5D 4x4</v>
      </c>
      <c r="J41" s="13" t="str">
        <f>VLOOKUP(Table1345[[#This Row],[Eq No]],[1]!Table3[[Eq.No.]:[FY23/34 Acq. Status]],17,FALSE)</f>
        <v>L/Cruiser 4x4 (Converted to UG Spec)</v>
      </c>
      <c r="K41" s="2">
        <v>0</v>
      </c>
      <c r="L41" s="2">
        <v>3643512.1748480005</v>
      </c>
      <c r="M41" s="2">
        <v>0</v>
      </c>
    </row>
    <row r="42" spans="2:13" hidden="1" x14ac:dyDescent="0.25">
      <c r="B42" s="3" t="s">
        <v>51</v>
      </c>
      <c r="C42" s="4" t="s">
        <v>63</v>
      </c>
      <c r="D42" s="1" t="s">
        <v>21</v>
      </c>
      <c r="E42" s="1" t="str">
        <f>RIGHT(Table1345[[#This Row],[PROJECT TITLE]],6)</f>
        <v>LD0252</v>
      </c>
      <c r="F42" s="10" t="s">
        <v>8</v>
      </c>
      <c r="G42" s="13" t="str">
        <f>VLOOKUP(Table1345[[#This Row],[Eq No]],[1]!Table3[[Eq.No.]:[FY23/34 Acq. Status]],2,FALSE)</f>
        <v>Environmental</v>
      </c>
      <c r="H42" s="12">
        <f>VLOOKUP(Table1345[[#This Row],[Eq No]],[1]!Table3[[Eq.No.]:[FY23/34 Acq. Status]],3,FALSE)</f>
        <v>2010</v>
      </c>
      <c r="I42" s="13" t="str">
        <f>VLOOKUP(Table1345[[#This Row],[Eq No]],[1]!Table3[[Eq.No.]:[FY23/34 Acq. Status]],12,FALSE)</f>
        <v>2.5D 4x4</v>
      </c>
      <c r="J42" s="13" t="str">
        <f>VLOOKUP(Table1345[[#This Row],[Eq No]],[1]!Table3[[Eq.No.]:[FY23/34 Acq. Status]],17,FALSE)</f>
        <v>4 x 4 (2.5D)</v>
      </c>
      <c r="K42" s="2">
        <v>0</v>
      </c>
      <c r="L42" s="2">
        <v>0</v>
      </c>
      <c r="M42" s="2">
        <v>1239840.3537999999</v>
      </c>
    </row>
    <row r="43" spans="2:13" hidden="1" x14ac:dyDescent="0.25">
      <c r="B43" s="3" t="s">
        <v>51</v>
      </c>
      <c r="C43" s="4" t="s">
        <v>64</v>
      </c>
      <c r="D43" s="1" t="s">
        <v>21</v>
      </c>
      <c r="E43" s="1" t="str">
        <f>RIGHT(Table1345[[#This Row],[PROJECT TITLE]],6)</f>
        <v>LD0253</v>
      </c>
      <c r="F43" s="10" t="s">
        <v>8</v>
      </c>
      <c r="G43" s="13" t="str">
        <f>VLOOKUP(Table1345[[#This Row],[Eq No]],[1]!Table3[[Eq.No.]:[FY23/34 Acq. Status]],2,FALSE)</f>
        <v>Geologist,MRM</v>
      </c>
      <c r="H43" s="12">
        <f>VLOOKUP(Table1345[[#This Row],[Eq No]],[1]!Table3[[Eq.No.]:[FY23/34 Acq. Status]],3,FALSE)</f>
        <v>2010</v>
      </c>
      <c r="I43" s="13" t="str">
        <f>VLOOKUP(Table1345[[#This Row],[Eq No]],[1]!Table3[[Eq.No.]:[FY23/34 Acq. Status]],12,FALSE)</f>
        <v>2.5D 4x4</v>
      </c>
      <c r="J43" s="13" t="str">
        <f>VLOOKUP(Table1345[[#This Row],[Eq No]],[1]!Table3[[Eq.No.]:[FY23/34 Acq. Status]],17,FALSE)</f>
        <v>4 x 4 (2.5D)</v>
      </c>
      <c r="K43" s="2">
        <v>0</v>
      </c>
      <c r="L43" s="2">
        <v>0</v>
      </c>
      <c r="M43" s="2">
        <v>1239840.3537999999</v>
      </c>
    </row>
    <row r="44" spans="2:13" hidden="1" x14ac:dyDescent="0.25">
      <c r="B44" s="3" t="s">
        <v>51</v>
      </c>
      <c r="C44" s="4" t="s">
        <v>65</v>
      </c>
      <c r="D44" s="1" t="s">
        <v>21</v>
      </c>
      <c r="E44" s="1" t="str">
        <f>RIGHT(Table1345[[#This Row],[PROJECT TITLE]],6)</f>
        <v>LD0256</v>
      </c>
      <c r="F44" s="10" t="s">
        <v>8</v>
      </c>
      <c r="G44" s="13" t="str">
        <f>VLOOKUP(Table1345[[#This Row],[Eq No]],[1]!Table3[[Eq.No.]:[FY23/34 Acq. Status]],2,FALSE)</f>
        <v>Training Centre N3</v>
      </c>
      <c r="H44" s="12">
        <f>VLOOKUP(Table1345[[#This Row],[Eq No]],[1]!Table3[[Eq.No.]:[FY23/34 Acq. Status]],3,FALSE)</f>
        <v>2011</v>
      </c>
      <c r="I44" s="13" t="str">
        <f>VLOOKUP(Table1345[[#This Row],[Eq No]],[1]!Table3[[Eq.No.]:[FY23/34 Acq. Status]],12,FALSE)</f>
        <v>2.5D 4x4</v>
      </c>
      <c r="J44" s="13" t="str">
        <f>VLOOKUP(Table1345[[#This Row],[Eq No]],[1]!Table3[[Eq.No.]:[FY23/34 Acq. Status]],17,FALSE)</f>
        <v>L/Cruiser 4x4 (Converted to UG Spec)</v>
      </c>
      <c r="K44" s="2">
        <v>0</v>
      </c>
      <c r="L44" s="2">
        <v>0</v>
      </c>
      <c r="M44" s="2">
        <v>3760306.4600920002</v>
      </c>
    </row>
    <row r="45" spans="2:13" hidden="1" x14ac:dyDescent="0.25">
      <c r="B45" s="3" t="s">
        <v>51</v>
      </c>
      <c r="C45" s="4" t="s">
        <v>66</v>
      </c>
      <c r="D45" s="1" t="s">
        <v>21</v>
      </c>
      <c r="E45" s="1" t="str">
        <f>RIGHT(Table1345[[#This Row],[PROJECT TITLE]],6)</f>
        <v>LD0259</v>
      </c>
      <c r="F45" s="10" t="s">
        <v>8</v>
      </c>
      <c r="G45" s="13" t="str">
        <f>VLOOKUP(Table1345[[#This Row],[Eq No]],[1]!Table3[[Eq.No.]:[FY23/34 Acq. Status]],2,FALSE)</f>
        <v>BR Services - Salvage yard</v>
      </c>
      <c r="H45" s="12">
        <f>VLOOKUP(Table1345[[#This Row],[Eq No]],[1]!Table3[[Eq.No.]:[FY23/34 Acq. Status]],3,FALSE)</f>
        <v>2011</v>
      </c>
      <c r="I45" s="13" t="str">
        <f>VLOOKUP(Table1345[[#This Row],[Eq No]],[1]!Table3[[Eq.No.]:[FY23/34 Acq. Status]],12,FALSE)</f>
        <v>2.5D 4x4</v>
      </c>
      <c r="J45" s="13" t="str">
        <f>VLOOKUP(Table1345[[#This Row],[Eq No]],[1]!Table3[[Eq.No.]:[FY23/34 Acq. Status]],17,FALSE)</f>
        <v>4 x 2 (2.5D) SRX</v>
      </c>
      <c r="K45" s="2">
        <v>0</v>
      </c>
      <c r="L45" s="2">
        <v>1167311.3472</v>
      </c>
      <c r="M45" s="2">
        <v>0</v>
      </c>
    </row>
    <row r="46" spans="2:13" hidden="1" x14ac:dyDescent="0.25">
      <c r="B46" s="3" t="s">
        <v>51</v>
      </c>
      <c r="C46" s="4" t="s">
        <v>67</v>
      </c>
      <c r="D46" s="1" t="s">
        <v>21</v>
      </c>
      <c r="E46" s="1" t="str">
        <f>RIGHT(Table1345[[#This Row],[PROJECT TITLE]],6)</f>
        <v>LD0269</v>
      </c>
      <c r="F46" s="10" t="s">
        <v>8</v>
      </c>
      <c r="G46" s="13" t="str">
        <f>VLOOKUP(Table1345[[#This Row],[Eq No]],[1]!Table3[[Eq.No.]:[FY23/34 Acq. Status]],2,FALSE)</f>
        <v>IT</v>
      </c>
      <c r="H46" s="12">
        <f>VLOOKUP(Table1345[[#This Row],[Eq No]],[1]!Table3[[Eq.No.]:[FY23/34 Acq. Status]],3,FALSE)</f>
        <v>2011</v>
      </c>
      <c r="I46" s="13" t="str">
        <f>VLOOKUP(Table1345[[#This Row],[Eq No]],[1]!Table3[[Eq.No.]:[FY23/34 Acq. Status]],12,FALSE)</f>
        <v>2.5D 4x4</v>
      </c>
      <c r="J46" s="13" t="str">
        <f>VLOOKUP(Table1345[[#This Row],[Eq No]],[1]!Table3[[Eq.No.]:[FY23/34 Acq. Status]],17,FALSE)</f>
        <v>4 x 4 (2.5D)</v>
      </c>
      <c r="K46" s="2">
        <v>0</v>
      </c>
      <c r="L46" s="2">
        <v>1201331.1872</v>
      </c>
      <c r="M46" s="2">
        <v>0</v>
      </c>
    </row>
    <row r="47" spans="2:13" hidden="1" x14ac:dyDescent="0.25">
      <c r="B47" s="3" t="s">
        <v>51</v>
      </c>
      <c r="C47" s="4" t="s">
        <v>68</v>
      </c>
      <c r="D47" s="1" t="s">
        <v>21</v>
      </c>
      <c r="E47" s="1" t="str">
        <f>RIGHT(Table1345[[#This Row],[PROJECT TITLE]],6)</f>
        <v>LD0270</v>
      </c>
      <c r="F47" s="10" t="s">
        <v>8</v>
      </c>
      <c r="G47" s="13" t="str">
        <f>VLOOKUP(Table1345[[#This Row],[Eq No]],[1]!Table3[[Eq.No.]:[FY23/34 Acq. Status]],2,FALSE)</f>
        <v>Serveyors</v>
      </c>
      <c r="H47" s="12">
        <f>VLOOKUP(Table1345[[#This Row],[Eq No]],[1]!Table3[[Eq.No.]:[FY23/34 Acq. Status]],3,FALSE)</f>
        <v>2011</v>
      </c>
      <c r="I47" s="13" t="str">
        <f>VLOOKUP(Table1345[[#This Row],[Eq No]],[1]!Table3[[Eq.No.]:[FY23/34 Acq. Status]],12,FALSE)</f>
        <v>2.5D 4x4</v>
      </c>
      <c r="J47" s="13" t="str">
        <f>VLOOKUP(Table1345[[#This Row],[Eq No]],[1]!Table3[[Eq.No.]:[FY23/34 Acq. Status]],17,FALSE)</f>
        <v>4 x 4 (2.5D)</v>
      </c>
      <c r="K47" s="2">
        <v>0</v>
      </c>
      <c r="L47" s="2">
        <v>1201331.1872</v>
      </c>
      <c r="M47" s="2">
        <v>0</v>
      </c>
    </row>
    <row r="48" spans="2:13" hidden="1" x14ac:dyDescent="0.25">
      <c r="B48" s="3" t="s">
        <v>51</v>
      </c>
      <c r="C48" s="4" t="s">
        <v>69</v>
      </c>
      <c r="D48" s="1" t="s">
        <v>21</v>
      </c>
      <c r="E48" s="1" t="str">
        <f>RIGHT(Table1345[[#This Row],[PROJECT TITLE]],6)</f>
        <v>LD0273</v>
      </c>
      <c r="F48" s="10" t="s">
        <v>8</v>
      </c>
      <c r="G48" s="13" t="str">
        <f>VLOOKUP(Table1345[[#This Row],[Eq No]],[1]!Table3[[Eq.No.]:[FY23/34 Acq. Status]],2,FALSE)</f>
        <v>Geologist,MRM</v>
      </c>
      <c r="H48" s="12">
        <f>VLOOKUP(Table1345[[#This Row],[Eq No]],[1]!Table3[[Eq.No.]:[FY23/34 Acq. Status]],3,FALSE)</f>
        <v>2012</v>
      </c>
      <c r="I48" s="13" t="str">
        <f>VLOOKUP(Table1345[[#This Row],[Eq No]],[1]!Table3[[Eq.No.]:[FY23/34 Acq. Status]],12,FALSE)</f>
        <v>2.5D 4x4</v>
      </c>
      <c r="J48" s="13" t="str">
        <f>VLOOKUP(Table1345[[#This Row],[Eq No]],[1]!Table3[[Eq.No.]:[FY23/34 Acq. Status]],17,FALSE)</f>
        <v>4 x 4 (2.5D)</v>
      </c>
      <c r="K48" s="2">
        <v>0</v>
      </c>
      <c r="L48" s="2">
        <v>1201331.1872</v>
      </c>
      <c r="M48" s="2">
        <v>0</v>
      </c>
    </row>
    <row r="49" spans="2:13" hidden="1" x14ac:dyDescent="0.25">
      <c r="B49" s="3" t="s">
        <v>51</v>
      </c>
      <c r="C49" s="4" t="s">
        <v>70</v>
      </c>
      <c r="D49" s="1" t="s">
        <v>21</v>
      </c>
      <c r="E49" s="1" t="str">
        <f>RIGHT(Table1345[[#This Row],[PROJECT TITLE]],6)</f>
        <v>LD0274</v>
      </c>
      <c r="F49" s="10" t="s">
        <v>8</v>
      </c>
      <c r="G49" s="13" t="str">
        <f>VLOOKUP(Table1345[[#This Row],[Eq No]],[1]!Table3[[Eq.No.]:[FY23/34 Acq. Status]],2,FALSE)</f>
        <v>Safety</v>
      </c>
      <c r="H49" s="12">
        <f>VLOOKUP(Table1345[[#This Row],[Eq No]],[1]!Table3[[Eq.No.]:[FY23/34 Acq. Status]],3,FALSE)</f>
        <v>2012</v>
      </c>
      <c r="I49" s="13" t="str">
        <f>VLOOKUP(Table1345[[#This Row],[Eq No]],[1]!Table3[[Eq.No.]:[FY23/34 Acq. Status]],12,FALSE)</f>
        <v>2.5D 4x4</v>
      </c>
      <c r="J49" s="13" t="str">
        <f>VLOOKUP(Table1345[[#This Row],[Eq No]],[1]!Table3[[Eq.No.]:[FY23/34 Acq. Status]],17,FALSE)</f>
        <v>4 x 4 (2.5D)</v>
      </c>
      <c r="K49" s="2">
        <v>0</v>
      </c>
      <c r="L49" s="2">
        <v>1201331.1872</v>
      </c>
      <c r="M49" s="2">
        <v>0</v>
      </c>
    </row>
    <row r="50" spans="2:13" hidden="1" x14ac:dyDescent="0.25">
      <c r="B50" s="3" t="s">
        <v>51</v>
      </c>
      <c r="C50" s="4" t="s">
        <v>71</v>
      </c>
      <c r="D50" s="1" t="s">
        <v>21</v>
      </c>
      <c r="E50" s="1" t="str">
        <f>RIGHT(Table1345[[#This Row],[PROJECT TITLE]],6)</f>
        <v>LD0294</v>
      </c>
      <c r="F50" s="10" t="s">
        <v>8</v>
      </c>
      <c r="G50" s="13" t="str">
        <f>VLOOKUP(Table1345[[#This Row],[Eq No]],[1]!Table3[[Eq.No.]:[FY23/34 Acq. Status]],2,FALSE)</f>
        <v>Port Elizabeth - Port Logistics</v>
      </c>
      <c r="H50" s="12">
        <f>VLOOKUP(Table1345[[#This Row],[Eq No]],[1]!Table3[[Eq.No.]:[FY23/34 Acq. Status]],3,FALSE)</f>
        <v>2012</v>
      </c>
      <c r="I50" s="13" t="str">
        <f>VLOOKUP(Table1345[[#This Row],[Eq No]],[1]!Table3[[Eq.No.]:[FY23/34 Acq. Status]],12,FALSE)</f>
        <v>2.5D 4x4</v>
      </c>
      <c r="J50" s="13" t="str">
        <f>VLOOKUP(Table1345[[#This Row],[Eq No]],[1]!Table3[[Eq.No.]:[FY23/34 Acq. Status]],17,FALSE)</f>
        <v>4 x 2, 2.5D S/C</v>
      </c>
      <c r="K50" s="2">
        <v>0</v>
      </c>
      <c r="L50" s="2">
        <v>1167311.3472</v>
      </c>
      <c r="M50" s="2">
        <v>0</v>
      </c>
    </row>
    <row r="51" spans="2:13" hidden="1" x14ac:dyDescent="0.25">
      <c r="B51" s="3" t="s">
        <v>51</v>
      </c>
      <c r="C51" s="4" t="s">
        <v>72</v>
      </c>
      <c r="D51" s="1" t="s">
        <v>21</v>
      </c>
      <c r="E51" s="1" t="str">
        <f>RIGHT(Table1345[[#This Row],[PROJECT TITLE]],6)</f>
        <v>LD0301</v>
      </c>
      <c r="F51" s="10" t="s">
        <v>8</v>
      </c>
      <c r="G51" s="13" t="str">
        <f>VLOOKUP(Table1345[[#This Row],[Eq No]],[1]!Table3[[Eq.No.]:[FY23/34 Acq. Status]],2,FALSE)</f>
        <v>Geologist,MRM</v>
      </c>
      <c r="H51" s="12">
        <f>VLOOKUP(Table1345[[#This Row],[Eq No]],[1]!Table3[[Eq.No.]:[FY23/34 Acq. Status]],3,FALSE)</f>
        <v>2013</v>
      </c>
      <c r="I51" s="13" t="str">
        <f>VLOOKUP(Table1345[[#This Row],[Eq No]],[1]!Table3[[Eq.No.]:[FY23/34 Acq. Status]],12,FALSE)</f>
        <v>2.5D 4x4</v>
      </c>
      <c r="J51" s="13" t="str">
        <f>VLOOKUP(Table1345[[#This Row],[Eq No]],[1]!Table3[[Eq.No.]:[FY23/34 Acq. Status]],17,FALSE)</f>
        <v>4 x 4 (2.5D)</v>
      </c>
      <c r="K51" s="2">
        <v>0</v>
      </c>
      <c r="L51" s="2">
        <v>0</v>
      </c>
      <c r="M51" s="2">
        <v>1239840.3537999999</v>
      </c>
    </row>
    <row r="52" spans="2:13" hidden="1" x14ac:dyDescent="0.25">
      <c r="B52" s="3" t="s">
        <v>51</v>
      </c>
      <c r="C52" s="4" t="s">
        <v>73</v>
      </c>
      <c r="D52" s="1" t="s">
        <v>21</v>
      </c>
      <c r="E52" s="1" t="str">
        <f>RIGHT(Table1345[[#This Row],[PROJECT TITLE]],6)</f>
        <v>LD0306</v>
      </c>
      <c r="F52" s="10" t="s">
        <v>8</v>
      </c>
      <c r="G52" s="13" t="str">
        <f>VLOOKUP(Table1345[[#This Row],[Eq No]],[1]!Table3[[Eq.No.]:[FY23/34 Acq. Status]],2,FALSE)</f>
        <v>Hygiene</v>
      </c>
      <c r="H52" s="12">
        <f>VLOOKUP(Table1345[[#This Row],[Eq No]],[1]!Table3[[Eq.No.]:[FY23/34 Acq. Status]],3,FALSE)</f>
        <v>2013</v>
      </c>
      <c r="I52" s="13" t="str">
        <f>VLOOKUP(Table1345[[#This Row],[Eq No]],[1]!Table3[[Eq.No.]:[FY23/34 Acq. Status]],12,FALSE)</f>
        <v>2.5D 4x4</v>
      </c>
      <c r="J52" s="13" t="str">
        <f>VLOOKUP(Table1345[[#This Row],[Eq No]],[1]!Table3[[Eq.No.]:[FY23/34 Acq. Status]],17,FALSE)</f>
        <v>4 x 4 (2.5D)</v>
      </c>
      <c r="K52" s="2">
        <v>0</v>
      </c>
      <c r="L52" s="2">
        <v>1201331.1872</v>
      </c>
      <c r="M52" s="2">
        <v>0</v>
      </c>
    </row>
    <row r="53" spans="2:13" hidden="1" x14ac:dyDescent="0.25">
      <c r="B53" s="3" t="s">
        <v>51</v>
      </c>
      <c r="C53" s="4" t="s">
        <v>74</v>
      </c>
      <c r="D53" s="1" t="s">
        <v>21</v>
      </c>
      <c r="E53" s="1" t="str">
        <f>RIGHT(Table1345[[#This Row],[PROJECT TITLE]],6)</f>
        <v>LD0333</v>
      </c>
      <c r="F53" s="10" t="s">
        <v>8</v>
      </c>
      <c r="G53" s="13" t="str">
        <f>VLOOKUP(Table1345[[#This Row],[Eq No]],[1]!Table3[[Eq.No.]:[FY23/34 Acq. Status]],2,FALSE)</f>
        <v>BR Civils Services</v>
      </c>
      <c r="H53" s="12">
        <f>VLOOKUP(Table1345[[#This Row],[Eq No]],[1]!Table3[[Eq.No.]:[FY23/34 Acq. Status]],3,FALSE)</f>
        <v>2014</v>
      </c>
      <c r="I53" s="13" t="str">
        <f>VLOOKUP(Table1345[[#This Row],[Eq No]],[1]!Table3[[Eq.No.]:[FY23/34 Acq. Status]],12,FALSE)</f>
        <v>2.5D 4x2</v>
      </c>
      <c r="J53" s="13" t="str">
        <f>VLOOKUP(Table1345[[#This Row],[Eq No]],[1]!Table3[[Eq.No.]:[FY23/34 Acq. Status]],17,FALSE)</f>
        <v>4 x 4 (2.5D)</v>
      </c>
      <c r="K53" s="2">
        <v>0</v>
      </c>
      <c r="L53" s="2">
        <v>1201331.1872</v>
      </c>
      <c r="M53" s="2">
        <v>0</v>
      </c>
    </row>
    <row r="54" spans="2:13" hidden="1" x14ac:dyDescent="0.25">
      <c r="B54" s="3" t="s">
        <v>51</v>
      </c>
      <c r="C54" s="4" t="s">
        <v>75</v>
      </c>
      <c r="D54" s="1" t="s">
        <v>21</v>
      </c>
      <c r="E54" s="1" t="str">
        <f>RIGHT(Table1345[[#This Row],[PROJECT TITLE]],6)</f>
        <v>LD0335</v>
      </c>
      <c r="F54" s="10" t="s">
        <v>8</v>
      </c>
      <c r="G54" s="13" t="str">
        <f>VLOOKUP(Table1345[[#This Row],[Eq No]],[1]!Table3[[Eq.No.]:[FY23/34 Acq. Status]],2,FALSE)</f>
        <v>BR Civils Services</v>
      </c>
      <c r="H54" s="12">
        <f>VLOOKUP(Table1345[[#This Row],[Eq No]],[1]!Table3[[Eq.No.]:[FY23/34 Acq. Status]],3,FALSE)</f>
        <v>2014</v>
      </c>
      <c r="I54" s="13" t="str">
        <f>VLOOKUP(Table1345[[#This Row],[Eq No]],[1]!Table3[[Eq.No.]:[FY23/34 Acq. Status]],12,FALSE)</f>
        <v>2.5D 4x2</v>
      </c>
      <c r="J54" s="13" t="str">
        <f>VLOOKUP(Table1345[[#This Row],[Eq No]],[1]!Table3[[Eq.No.]:[FY23/34 Acq. Status]],17,FALSE)</f>
        <v>4 x 4 (2.5D)</v>
      </c>
      <c r="K54" s="2">
        <v>0</v>
      </c>
      <c r="L54" s="2">
        <v>1201331.1872</v>
      </c>
      <c r="M54" s="2">
        <v>0</v>
      </c>
    </row>
    <row r="55" spans="2:13" hidden="1" x14ac:dyDescent="0.25">
      <c r="B55" s="3" t="s">
        <v>51</v>
      </c>
      <c r="C55" s="4" t="s">
        <v>76</v>
      </c>
      <c r="D55" s="1" t="s">
        <v>21</v>
      </c>
      <c r="E55" s="1" t="str">
        <f>RIGHT(Table1345[[#This Row],[PROJECT TITLE]],6)</f>
        <v>LD0336</v>
      </c>
      <c r="F55" s="10" t="s">
        <v>8</v>
      </c>
      <c r="G55" s="13" t="str">
        <f>VLOOKUP(Table1345[[#This Row],[Eq No]],[1]!Table3[[Eq.No.]:[FY23/34 Acq. Status]],2,FALSE)</f>
        <v>BR Civils Services</v>
      </c>
      <c r="H55" s="12">
        <f>VLOOKUP(Table1345[[#This Row],[Eq No]],[1]!Table3[[Eq.No.]:[FY23/34 Acq. Status]],3,FALSE)</f>
        <v>2014</v>
      </c>
      <c r="I55" s="13" t="str">
        <f>VLOOKUP(Table1345[[#This Row],[Eq No]],[1]!Table3[[Eq.No.]:[FY23/34 Acq. Status]],12,FALSE)</f>
        <v>2.5D 4x2</v>
      </c>
      <c r="J55" s="13" t="str">
        <f>VLOOKUP(Table1345[[#This Row],[Eq No]],[1]!Table3[[Eq.No.]:[FY23/34 Acq. Status]],17,FALSE)</f>
        <v>4 x 4 (2.5D)</v>
      </c>
      <c r="K55" s="2">
        <v>0</v>
      </c>
      <c r="L55" s="2">
        <v>1201331.1872</v>
      </c>
      <c r="M55" s="2">
        <v>0</v>
      </c>
    </row>
    <row r="56" spans="2:13" hidden="1" x14ac:dyDescent="0.25">
      <c r="B56" s="3" t="s">
        <v>51</v>
      </c>
      <c r="C56" s="4" t="s">
        <v>77</v>
      </c>
      <c r="D56" s="1" t="s">
        <v>21</v>
      </c>
      <c r="E56" s="1" t="str">
        <f>RIGHT(Table1345[[#This Row],[PROJECT TITLE]],6)</f>
        <v>LD0337</v>
      </c>
      <c r="F56" s="10" t="s">
        <v>8</v>
      </c>
      <c r="G56" s="13" t="str">
        <f>VLOOKUP(Table1345[[#This Row],[Eq No]],[1]!Table3[[Eq.No.]:[FY23/34 Acq. Status]],2,FALSE)</f>
        <v>BR Civils Services</v>
      </c>
      <c r="H56" s="12">
        <f>VLOOKUP(Table1345[[#This Row],[Eq No]],[1]!Table3[[Eq.No.]:[FY23/34 Acq. Status]],3,FALSE)</f>
        <v>2014</v>
      </c>
      <c r="I56" s="13" t="str">
        <f>VLOOKUP(Table1345[[#This Row],[Eq No]],[1]!Table3[[Eq.No.]:[FY23/34 Acq. Status]],12,FALSE)</f>
        <v>2.5D 4x2</v>
      </c>
      <c r="J56" s="13" t="str">
        <f>VLOOKUP(Table1345[[#This Row],[Eq No]],[1]!Table3[[Eq.No.]:[FY23/34 Acq. Status]],17,FALSE)</f>
        <v>4 x 2 (2.5D)</v>
      </c>
      <c r="K56" s="2">
        <v>0</v>
      </c>
      <c r="L56" s="2">
        <v>1167311.3472</v>
      </c>
      <c r="M56" s="2">
        <v>0</v>
      </c>
    </row>
    <row r="57" spans="2:13" hidden="1" x14ac:dyDescent="0.25">
      <c r="B57" s="3" t="s">
        <v>51</v>
      </c>
      <c r="C57" s="4" t="s">
        <v>78</v>
      </c>
      <c r="D57" s="1" t="s">
        <v>21</v>
      </c>
      <c r="E57" s="1" t="str">
        <f>RIGHT(Table1345[[#This Row],[PROJECT TITLE]],6)</f>
        <v>LD0338</v>
      </c>
      <c r="F57" s="10" t="s">
        <v>8</v>
      </c>
      <c r="G57" s="13" t="str">
        <f>VLOOKUP(Table1345[[#This Row],[Eq No]],[1]!Table3[[Eq.No.]:[FY23/34 Acq. Status]],2,FALSE)</f>
        <v>BR Elect Services</v>
      </c>
      <c r="H57" s="12">
        <f>VLOOKUP(Table1345[[#This Row],[Eq No]],[1]!Table3[[Eq.No.]:[FY23/34 Acq. Status]],3,FALSE)</f>
        <v>2014</v>
      </c>
      <c r="I57" s="13" t="str">
        <f>VLOOKUP(Table1345[[#This Row],[Eq No]],[1]!Table3[[Eq.No.]:[FY23/34 Acq. Status]],12,FALSE)</f>
        <v>2.5D 4x2</v>
      </c>
      <c r="J57" s="13" t="str">
        <f>VLOOKUP(Table1345[[#This Row],[Eq No]],[1]!Table3[[Eq.No.]:[FY23/34 Acq. Status]],17,FALSE)</f>
        <v>4 x 2 (2.5D)</v>
      </c>
      <c r="K57" s="2">
        <v>0</v>
      </c>
      <c r="L57" s="2">
        <v>1167311.3472</v>
      </c>
      <c r="M57" s="2">
        <v>0</v>
      </c>
    </row>
    <row r="58" spans="2:13" hidden="1" x14ac:dyDescent="0.25">
      <c r="B58" s="3" t="s">
        <v>51</v>
      </c>
      <c r="C58" s="4" t="s">
        <v>79</v>
      </c>
      <c r="D58" s="1" t="s">
        <v>21</v>
      </c>
      <c r="E58" s="1" t="str">
        <f>RIGHT(Table1345[[#This Row],[PROJECT TITLE]],6)</f>
        <v>LD0339</v>
      </c>
      <c r="F58" s="10" t="s">
        <v>8</v>
      </c>
      <c r="G58" s="13">
        <f>VLOOKUP(Table1345[[#This Row],[Eq No]],[1]!Table3[[Eq.No.]:[FY23/34 Acq. Status]],2,FALSE)</f>
        <v>0</v>
      </c>
      <c r="H58" s="12">
        <f>VLOOKUP(Table1345[[#This Row],[Eq No]],[1]!Table3[[Eq.No.]:[FY23/34 Acq. Status]],3,FALSE)</f>
        <v>2014</v>
      </c>
      <c r="I58" s="13" t="str">
        <f>VLOOKUP(Table1345[[#This Row],[Eq No]],[1]!Table3[[Eq.No.]:[FY23/34 Acq. Status]],12,FALSE)</f>
        <v>2.5D 4x4</v>
      </c>
      <c r="J58" s="13" t="str">
        <f>VLOOKUP(Table1345[[#This Row],[Eq No]],[1]!Table3[[Eq.No.]:[FY23/34 Acq. Status]],17,FALSE)</f>
        <v>4 x 4 (2.5D)</v>
      </c>
      <c r="K58" s="2">
        <v>0</v>
      </c>
      <c r="L58" s="2">
        <v>1201331.1872</v>
      </c>
      <c r="M58" s="2">
        <v>0</v>
      </c>
    </row>
    <row r="59" spans="2:13" hidden="1" x14ac:dyDescent="0.25">
      <c r="B59" s="3" t="s">
        <v>51</v>
      </c>
      <c r="C59" s="4" t="s">
        <v>80</v>
      </c>
      <c r="D59" s="1" t="s">
        <v>21</v>
      </c>
      <c r="E59" s="1" t="str">
        <f>RIGHT(Table1345[[#This Row],[PROJECT TITLE]],6)</f>
        <v>LD0340</v>
      </c>
      <c r="F59" s="10" t="s">
        <v>8</v>
      </c>
      <c r="G59" s="13">
        <f>VLOOKUP(Table1345[[#This Row],[Eq No]],[1]!Table3[[Eq.No.]:[FY23/34 Acq. Status]],2,FALSE)</f>
        <v>0</v>
      </c>
      <c r="H59" s="12">
        <f>VLOOKUP(Table1345[[#This Row],[Eq No]],[1]!Table3[[Eq.No.]:[FY23/34 Acq. Status]],3,FALSE)</f>
        <v>2014</v>
      </c>
      <c r="I59" s="13" t="str">
        <f>VLOOKUP(Table1345[[#This Row],[Eq No]],[1]!Table3[[Eq.No.]:[FY23/34 Acq. Status]],12,FALSE)</f>
        <v>2.5D 4x4</v>
      </c>
      <c r="J59" s="13" t="str">
        <f>VLOOKUP(Table1345[[#This Row],[Eq No]],[1]!Table3[[Eq.No.]:[FY23/34 Acq. Status]],17,FALSE)</f>
        <v>4 x 4 (2.5D)</v>
      </c>
      <c r="K59" s="2">
        <v>0</v>
      </c>
      <c r="L59" s="2">
        <v>1201331.1872</v>
      </c>
      <c r="M59" s="2">
        <v>0</v>
      </c>
    </row>
    <row r="60" spans="2:13" hidden="1" x14ac:dyDescent="0.25">
      <c r="B60" s="3" t="s">
        <v>51</v>
      </c>
      <c r="C60" s="4" t="s">
        <v>81</v>
      </c>
      <c r="D60" s="1" t="s">
        <v>21</v>
      </c>
      <c r="E60" s="1" t="str">
        <f>RIGHT(Table1345[[#This Row],[PROJECT TITLE]],6)</f>
        <v>LD0364</v>
      </c>
      <c r="F60" s="10" t="s">
        <v>8</v>
      </c>
      <c r="G60" s="13" t="str">
        <f>VLOOKUP(Table1345[[#This Row],[Eq No]],[1]!Table3[[Eq.No.]:[FY23/34 Acq. Status]],2,FALSE)</f>
        <v>BR Projects</v>
      </c>
      <c r="H60" s="12">
        <f>VLOOKUP(Table1345[[#This Row],[Eq No]],[1]!Table3[[Eq.No.]:[FY23/34 Acq. Status]],3,FALSE)</f>
        <v>2014</v>
      </c>
      <c r="I60" s="13" t="str">
        <f>VLOOKUP(Table1345[[#This Row],[Eq No]],[1]!Table3[[Eq.No.]:[FY23/34 Acq. Status]],12,FALSE)</f>
        <v>2.5D 4x2</v>
      </c>
      <c r="J60" s="13" t="str">
        <f>VLOOKUP(Table1345[[#This Row],[Eq No]],[1]!Table3[[Eq.No.]:[FY23/34 Acq. Status]],17,FALSE)</f>
        <v>4 x 4 (2.5D)</v>
      </c>
      <c r="K60" s="2">
        <v>0</v>
      </c>
      <c r="L60" s="2">
        <v>0</v>
      </c>
      <c r="M60" s="2">
        <v>1239840.3537999999</v>
      </c>
    </row>
    <row r="61" spans="2:13" hidden="1" x14ac:dyDescent="0.25">
      <c r="B61" s="3" t="s">
        <v>51</v>
      </c>
      <c r="C61" s="4" t="s">
        <v>82</v>
      </c>
      <c r="D61" s="1" t="s">
        <v>21</v>
      </c>
      <c r="E61" s="1" t="str">
        <f>RIGHT(Table1345[[#This Row],[PROJECT TITLE]],6)</f>
        <v>LD0374</v>
      </c>
      <c r="F61" s="10" t="s">
        <v>8</v>
      </c>
      <c r="G61" s="13" t="str">
        <f>VLOOKUP(Table1345[[#This Row],[Eq No]],[1]!Table3[[Eq.No.]:[FY23/34 Acq. Status]],2,FALSE)</f>
        <v>Proto</v>
      </c>
      <c r="H61" s="12">
        <f>VLOOKUP(Table1345[[#This Row],[Eq No]],[1]!Table3[[Eq.No.]:[FY23/34 Acq. Status]],3,FALSE)</f>
        <v>2015</v>
      </c>
      <c r="I61" s="13" t="str">
        <f>VLOOKUP(Table1345[[#This Row],[Eq No]],[1]!Table3[[Eq.No.]:[FY23/34 Acq. Status]],12,FALSE)</f>
        <v>Land Cruiser 70 4.2D V8</v>
      </c>
      <c r="J61" s="13" t="str">
        <f>VLOOKUP(Table1345[[#This Row],[Eq No]],[1]!Table3[[Eq.No.]:[FY23/34 Acq. Status]],17,FALSE)</f>
        <v>L/C, 4x4, 4.2D</v>
      </c>
      <c r="K61" s="2">
        <v>0</v>
      </c>
      <c r="L61" s="2">
        <v>0</v>
      </c>
      <c r="M61" s="2">
        <v>1633230.1538</v>
      </c>
    </row>
    <row r="62" spans="2:13" hidden="1" x14ac:dyDescent="0.25">
      <c r="B62" s="3" t="s">
        <v>51</v>
      </c>
      <c r="C62" s="4" t="s">
        <v>83</v>
      </c>
      <c r="D62" s="1" t="s">
        <v>21</v>
      </c>
      <c r="E62" s="1" t="str">
        <f>RIGHT(Table1345[[#This Row],[PROJECT TITLE]],6)</f>
        <v>LD0375</v>
      </c>
      <c r="F62" s="10" t="s">
        <v>8</v>
      </c>
      <c r="G62" s="13" t="str">
        <f>VLOOKUP(Table1345[[#This Row],[Eq No]],[1]!Table3[[Eq.No.]:[FY23/34 Acq. Status]],2,FALSE)</f>
        <v>Nch 3 Elect</v>
      </c>
      <c r="H62" s="12">
        <f>VLOOKUP(Table1345[[#This Row],[Eq No]],[1]!Table3[[Eq.No.]:[FY23/34 Acq. Status]],3,FALSE)</f>
        <v>2015</v>
      </c>
      <c r="I62" s="13" t="str">
        <f>VLOOKUP(Table1345[[#This Row],[Eq No]],[1]!Table3[[Eq.No.]:[FY23/34 Acq. Status]],12,FALSE)</f>
        <v>2.5D 4x4</v>
      </c>
      <c r="J62" s="13" t="str">
        <f>VLOOKUP(Table1345[[#This Row],[Eq No]],[1]!Table3[[Eq.No.]:[FY23/34 Acq. Status]],17,FALSE)</f>
        <v>4 x 4 (2.5D)</v>
      </c>
      <c r="K62" s="2">
        <v>0</v>
      </c>
      <c r="L62" s="2">
        <v>0</v>
      </c>
      <c r="M62" s="2">
        <v>1239840.3537999999</v>
      </c>
    </row>
    <row r="63" spans="2:13" hidden="1" x14ac:dyDescent="0.25">
      <c r="B63" s="3" t="s">
        <v>51</v>
      </c>
      <c r="C63" s="4" t="s">
        <v>84</v>
      </c>
      <c r="D63" s="1" t="s">
        <v>21</v>
      </c>
      <c r="E63" s="1" t="str">
        <f>RIGHT(Table1345[[#This Row],[PROJECT TITLE]],6)</f>
        <v>LD0462</v>
      </c>
      <c r="F63" s="10" t="s">
        <v>8</v>
      </c>
      <c r="G63" s="13" t="str">
        <f>VLOOKUP(Table1345[[#This Row],[Eq No]],[1]!Table3[[Eq.No.]:[FY23/34 Acq. Status]],2,FALSE)</f>
        <v>BR HOD</v>
      </c>
      <c r="H63" s="12">
        <f>VLOOKUP(Table1345[[#This Row],[Eq No]],[1]!Table3[[Eq.No.]:[FY23/34 Acq. Status]],3,FALSE)</f>
        <v>2016</v>
      </c>
      <c r="I63" s="13" t="str">
        <f>VLOOKUP(Table1345[[#This Row],[Eq No]],[1]!Table3[[Eq.No.]:[FY23/34 Acq. Status]],12,FALSE)</f>
        <v>2.8 GD6 D/C RAI 4x2</v>
      </c>
      <c r="J63" s="13" t="str">
        <f>VLOOKUP(Table1345[[#This Row],[Eq No]],[1]!Table3[[Eq.No.]:[FY23/34 Acq. Status]],17,FALSE)</f>
        <v>4x4 DC 2.8GD-6</v>
      </c>
      <c r="K63" s="2">
        <v>0</v>
      </c>
      <c r="L63" s="2">
        <v>0</v>
      </c>
      <c r="M63" s="2">
        <v>1239840.3537999999</v>
      </c>
    </row>
    <row r="64" spans="2:13" hidden="1" x14ac:dyDescent="0.25">
      <c r="B64" s="3" t="s">
        <v>51</v>
      </c>
      <c r="C64" s="4" t="s">
        <v>85</v>
      </c>
      <c r="D64" s="1" t="s">
        <v>21</v>
      </c>
      <c r="E64" s="1" t="str">
        <f>RIGHT(Table1345[[#This Row],[PROJECT TITLE]],6)</f>
        <v>LD0464</v>
      </c>
      <c r="F64" s="10" t="s">
        <v>8</v>
      </c>
      <c r="G64" s="13" t="str">
        <f>VLOOKUP(Table1345[[#This Row],[Eq No]],[1]!Table3[[Eq.No.]:[FY23/34 Acq. Status]],2,FALSE)</f>
        <v>Training Centre</v>
      </c>
      <c r="H64" s="12">
        <f>VLOOKUP(Table1345[[#This Row],[Eq No]],[1]!Table3[[Eq.No.]:[FY23/34 Acq. Status]],3,FALSE)</f>
        <v>2017</v>
      </c>
      <c r="I64" s="13" t="str">
        <f>VLOOKUP(Table1345[[#This Row],[Eq No]],[1]!Table3[[Eq.No.]:[FY23/34 Acq. Status]],12,FALSE)</f>
        <v xml:space="preserve">2.4 GD6 D/C 4x4 SRX </v>
      </c>
      <c r="J64" s="13" t="str">
        <f>VLOOKUP(Table1345[[#This Row],[Eq No]],[1]!Table3[[Eq.No.]:[FY23/34 Acq. Status]],17,FALSE)</f>
        <v>L/Cruiser 4x4 (Converted to UG Spec)</v>
      </c>
      <c r="K64" s="2">
        <v>0</v>
      </c>
      <c r="L64" s="2">
        <v>0</v>
      </c>
      <c r="M64" s="2">
        <v>3760306.4600920002</v>
      </c>
    </row>
    <row r="65" spans="2:13" hidden="1" x14ac:dyDescent="0.25">
      <c r="B65" s="3" t="s">
        <v>51</v>
      </c>
      <c r="C65" s="4" t="s">
        <v>86</v>
      </c>
      <c r="D65" s="1" t="s">
        <v>21</v>
      </c>
      <c r="E65" s="1" t="str">
        <f>RIGHT(Table1345[[#This Row],[PROJECT TITLE]],6)</f>
        <v>LD0472</v>
      </c>
      <c r="F65" s="10" t="s">
        <v>8</v>
      </c>
      <c r="G65" s="13" t="str">
        <f>VLOOKUP(Table1345[[#This Row],[Eq No]],[1]!Table3[[Eq.No.]:[FY23/34 Acq. Status]],2,FALSE)</f>
        <v>Security</v>
      </c>
      <c r="H65" s="12">
        <f>VLOOKUP(Table1345[[#This Row],[Eq No]],[1]!Table3[[Eq.No.]:[FY23/34 Acq. Status]],3,FALSE)</f>
        <v>2017</v>
      </c>
      <c r="I65" s="13" t="str">
        <f>VLOOKUP(Table1345[[#This Row],[Eq No]],[1]!Table3[[Eq.No.]:[FY23/34 Acq. Status]],12,FALSE)</f>
        <v>2.4, GD6, D/C</v>
      </c>
      <c r="J65" s="13" t="str">
        <f>VLOOKUP(Table1345[[#This Row],[Eq No]],[1]!Table3[[Eq.No.]:[FY23/34 Acq. Status]],17,FALSE)</f>
        <v>Hilux D/C 2.4GD6 4x4 RAI MT</v>
      </c>
      <c r="K65" s="2">
        <v>0</v>
      </c>
      <c r="L65" s="2">
        <v>0</v>
      </c>
      <c r="M65" s="2">
        <v>1130228.1164000002</v>
      </c>
    </row>
    <row r="66" spans="2:13" hidden="1" x14ac:dyDescent="0.25">
      <c r="B66" s="3" t="s">
        <v>51</v>
      </c>
      <c r="C66" s="4" t="s">
        <v>87</v>
      </c>
      <c r="D66" s="1" t="s">
        <v>21</v>
      </c>
      <c r="E66" s="1" t="str">
        <f>RIGHT(Table1345[[#This Row],[PROJECT TITLE]],6)</f>
        <v>LD0473</v>
      </c>
      <c r="F66" s="10" t="s">
        <v>8</v>
      </c>
      <c r="G66" s="13" t="str">
        <f>VLOOKUP(Table1345[[#This Row],[Eq No]],[1]!Table3[[Eq.No.]:[FY23/34 Acq. Status]],2,FALSE)</f>
        <v>Instrumentation</v>
      </c>
      <c r="H66" s="12">
        <f>VLOOKUP(Table1345[[#This Row],[Eq No]],[1]!Table3[[Eq.No.]:[FY23/34 Acq. Status]],3,FALSE)</f>
        <v>2018</v>
      </c>
      <c r="I66" s="13" t="str">
        <f>VLOOKUP(Table1345[[#This Row],[Eq No]],[1]!Table3[[Eq.No.]:[FY23/34 Acq. Status]],12,FALSE)</f>
        <v>2.4 GD6 S/C SRX 4x4</v>
      </c>
      <c r="J66" s="13" t="str">
        <f>VLOOKUP(Table1345[[#This Row],[Eq No]],[1]!Table3[[Eq.No.]:[FY23/34 Acq. Status]],17,FALSE)</f>
        <v>2.4, GD6, S/C</v>
      </c>
      <c r="K66" s="2">
        <v>0</v>
      </c>
      <c r="L66" s="2">
        <v>0</v>
      </c>
      <c r="M66" s="2">
        <v>1204729.9938000001</v>
      </c>
    </row>
    <row r="67" spans="2:13" hidden="1" x14ac:dyDescent="0.25">
      <c r="B67" s="3" t="s">
        <v>51</v>
      </c>
      <c r="C67" s="4" t="s">
        <v>88</v>
      </c>
      <c r="D67" s="1" t="s">
        <v>21</v>
      </c>
      <c r="E67" s="1" t="str">
        <f>RIGHT(Table1345[[#This Row],[PROJECT TITLE]],6)</f>
        <v>LD0474</v>
      </c>
      <c r="F67" s="10" t="s">
        <v>8</v>
      </c>
      <c r="G67" s="13" t="str">
        <f>VLOOKUP(Table1345[[#This Row],[Eq No]],[1]!Table3[[Eq.No.]:[FY23/34 Acq. Status]],2,FALSE)</f>
        <v>Instrumentation</v>
      </c>
      <c r="H67" s="12">
        <f>VLOOKUP(Table1345[[#This Row],[Eq No]],[1]!Table3[[Eq.No.]:[FY23/34 Acq. Status]],3,FALSE)</f>
        <v>2018</v>
      </c>
      <c r="I67" s="13" t="str">
        <f>VLOOKUP(Table1345[[#This Row],[Eq No]],[1]!Table3[[Eq.No.]:[FY23/34 Acq. Status]],12,FALSE)</f>
        <v>2.4 GD6 S/C SRX 4x4</v>
      </c>
      <c r="J67" s="13" t="str">
        <f>VLOOKUP(Table1345[[#This Row],[Eq No]],[1]!Table3[[Eq.No.]:[FY23/34 Acq. Status]],17,FALSE)</f>
        <v>2.4, GD6, S/C</v>
      </c>
      <c r="K67" s="2">
        <v>0</v>
      </c>
      <c r="L67" s="2">
        <v>0</v>
      </c>
      <c r="M67" s="2">
        <v>1204729.9938000001</v>
      </c>
    </row>
    <row r="68" spans="2:13" hidden="1" x14ac:dyDescent="0.25">
      <c r="B68" s="3" t="s">
        <v>51</v>
      </c>
      <c r="C68" s="4" t="s">
        <v>89</v>
      </c>
      <c r="D68" s="1" t="s">
        <v>21</v>
      </c>
      <c r="E68" s="1" t="str">
        <f>RIGHT(Table1345[[#This Row],[PROJECT TITLE]],6)</f>
        <v>LD0487</v>
      </c>
      <c r="F68" s="10" t="s">
        <v>8</v>
      </c>
      <c r="G68" s="13">
        <f>VLOOKUP(Table1345[[#This Row],[Eq No]],[1]!Table3[[Eq.No.]:[FY23/34 Acq. Status]],2,FALSE)</f>
        <v>0</v>
      </c>
      <c r="H68" s="12">
        <f>VLOOKUP(Table1345[[#This Row],[Eq No]],[1]!Table3[[Eq.No.]:[FY23/34 Acq. Status]],3,FALSE)</f>
        <v>2018</v>
      </c>
      <c r="I68" s="13" t="str">
        <f>VLOOKUP(Table1345[[#This Row],[Eq No]],[1]!Table3[[Eq.No.]:[FY23/34 Acq. Status]],12,FALSE)</f>
        <v>2.4GD6 D/C 4x4 SRX 6AT</v>
      </c>
      <c r="J68" s="13" t="str">
        <f>VLOOKUP(Table1345[[#This Row],[Eq No]],[1]!Table3[[Eq.No.]:[FY23/34 Acq. Status]],17,FALSE)</f>
        <v>Hilux D/C 2.4GD6 4x4 RAI MT</v>
      </c>
      <c r="K68" s="2">
        <v>0</v>
      </c>
      <c r="L68" s="2">
        <v>0</v>
      </c>
      <c r="M68" s="2">
        <v>1130228.1164000002</v>
      </c>
    </row>
    <row r="69" spans="2:13" hidden="1" x14ac:dyDescent="0.25">
      <c r="B69" s="3" t="s">
        <v>51</v>
      </c>
      <c r="C69" s="4" t="s">
        <v>90</v>
      </c>
      <c r="D69" s="1" t="s">
        <v>21</v>
      </c>
      <c r="E69" s="1" t="str">
        <f>RIGHT(Table1345[[#This Row],[PROJECT TITLE]],6)</f>
        <v>LD0488</v>
      </c>
      <c r="F69" s="10" t="s">
        <v>8</v>
      </c>
      <c r="G69" s="13" t="str">
        <f>VLOOKUP(Table1345[[#This Row],[Eq No]],[1]!Table3[[Eq.No.]:[FY23/34 Acq. Status]],2,FALSE)</f>
        <v xml:space="preserve">BR Services </v>
      </c>
      <c r="H69" s="12">
        <f>VLOOKUP(Table1345[[#This Row],[Eq No]],[1]!Table3[[Eq.No.]:[FY23/34 Acq. Status]],3,FALSE)</f>
        <v>2018</v>
      </c>
      <c r="I69" s="13" t="str">
        <f>VLOOKUP(Table1345[[#This Row],[Eq No]],[1]!Table3[[Eq.No.]:[FY23/34 Acq. Status]],12,FALSE)</f>
        <v>2.4GD6 D/C 4x4 SRX 6MT</v>
      </c>
      <c r="J69" s="13" t="str">
        <f>VLOOKUP(Table1345[[#This Row],[Eq No]],[1]!Table3[[Eq.No.]:[FY23/34 Acq. Status]],17,FALSE)</f>
        <v>Hilux D/C 2.4GD6 4x4 RAI MT</v>
      </c>
      <c r="K69" s="2">
        <v>0</v>
      </c>
      <c r="L69" s="2">
        <v>0</v>
      </c>
      <c r="M69" s="2">
        <v>1130228.1164000002</v>
      </c>
    </row>
    <row r="70" spans="2:13" hidden="1" x14ac:dyDescent="0.25">
      <c r="B70" s="3" t="s">
        <v>51</v>
      </c>
      <c r="C70" s="4" t="s">
        <v>91</v>
      </c>
      <c r="D70" s="1" t="s">
        <v>92</v>
      </c>
      <c r="E70" s="1" t="str">
        <f>RIGHT(Table1345[[#This Row],[PROJECT TITLE]],6)</f>
        <v>TK0060</v>
      </c>
      <c r="F70" s="10" t="s">
        <v>8</v>
      </c>
      <c r="G70" s="13" t="str">
        <f>VLOOKUP(Table1345[[#This Row],[Eq No]],[1]!Table3[[Eq.No.]:[FY23/34 Acq. Status]],2,FALSE)</f>
        <v>Fire House - Fire Truck</v>
      </c>
      <c r="H70" s="12">
        <f>VLOOKUP(Table1345[[#This Row],[Eq No]],[1]!Table3[[Eq.No.]:[FY23/34 Acq. Status]],3,FALSE)</f>
        <v>2011</v>
      </c>
      <c r="I70" s="13" t="str">
        <f>VLOOKUP(Table1345[[#This Row],[Eq No]],[1]!Table3[[Eq.No.]:[FY23/34 Acq. Status]],12,FALSE)</f>
        <v>Equipment Not found on Asset List</v>
      </c>
      <c r="J70" s="13" t="str">
        <f>VLOOKUP(Table1345[[#This Row],[Eq No]],[1]!Table3[[Eq.No.]:[FY23/34 Acq. Status]],17,FALSE)</f>
        <v>Mobile Fire Truck P340</v>
      </c>
      <c r="K70" s="2">
        <v>0</v>
      </c>
      <c r="L70" s="2">
        <v>7440121.0574438404</v>
      </c>
      <c r="M70" s="2">
        <v>0</v>
      </c>
    </row>
    <row r="71" spans="2:13" hidden="1" x14ac:dyDescent="0.25">
      <c r="B71" s="3" t="s">
        <v>51</v>
      </c>
      <c r="C71" s="4" t="s">
        <v>93</v>
      </c>
      <c r="D71" s="1" t="s">
        <v>92</v>
      </c>
      <c r="E71" s="1" t="str">
        <f>RIGHT(Table1345[[#This Row],[PROJECT TITLE]],6)</f>
        <v>TK0071</v>
      </c>
      <c r="F71" s="10" t="s">
        <v>8</v>
      </c>
      <c r="G71" s="13" t="str">
        <f>VLOOKUP(Table1345[[#This Row],[Eq No]],[1]!Table3[[Eq.No.]:[FY23/34 Acq. Status]],2,FALSE)</f>
        <v>BR Services Fitter/Bolier</v>
      </c>
      <c r="H71" s="12">
        <f>VLOOKUP(Table1345[[#This Row],[Eq No]],[1]!Table3[[Eq.No.]:[FY23/34 Acq. Status]],3,FALSE)</f>
        <v>2011</v>
      </c>
      <c r="I71" s="13" t="str">
        <f>VLOOKUP(Table1345[[#This Row],[Eq No]],[1]!Table3[[Eq.No.]:[FY23/34 Acq. Status]],12,FALSE)</f>
        <v>Hino Super F</v>
      </c>
      <c r="J71" s="13" t="str">
        <f>VLOOKUP(Table1345[[#This Row],[Eq No]],[1]!Table3[[Eq.No.]:[FY23/34 Acq. Status]],17,FALSE)</f>
        <v>Hino500,1324Tipper</v>
      </c>
      <c r="K71" s="2">
        <v>0</v>
      </c>
      <c r="L71" s="2">
        <v>2126185.3695999999</v>
      </c>
      <c r="M71" s="2">
        <v>0</v>
      </c>
    </row>
    <row r="72" spans="2:13" hidden="1" x14ac:dyDescent="0.25">
      <c r="B72" s="3" t="s">
        <v>51</v>
      </c>
      <c r="C72" s="4" t="s">
        <v>94</v>
      </c>
      <c r="D72" s="1" t="s">
        <v>95</v>
      </c>
      <c r="E72" s="1" t="str">
        <f>RIGHT(Table1345[[#This Row],[PROJECT TITLE]],6)</f>
        <v>UV0011</v>
      </c>
      <c r="F72" s="10" t="s">
        <v>8</v>
      </c>
      <c r="G72" s="13" t="str">
        <f>VLOOKUP(Table1345[[#This Row],[Eq No]],[1]!Table3[[Eq.No.]:[FY23/34 Acq. Status]],2,FALSE)</f>
        <v>Proto</v>
      </c>
      <c r="H72" s="12">
        <f>VLOOKUP(Table1345[[#This Row],[Eq No]],[1]!Table3[[Eq.No.]:[FY23/34 Acq. Status]],3,FALSE)</f>
        <v>2001</v>
      </c>
      <c r="I72" s="13" t="str">
        <f>VLOOKUP(Table1345[[#This Row],[Eq No]],[1]!Table3[[Eq.No.]:[FY23/34 Acq. Status]],12,FALSE)</f>
        <v>Land Cruiser 70 4.2D</v>
      </c>
      <c r="J72" s="13" t="str">
        <f>VLOOKUP(Table1345[[#This Row],[Eq No]],[1]!Table3[[Eq.No.]:[FY23/34 Acq. Status]],17,FALSE)</f>
        <v>L/C, 4x4, 4.2D</v>
      </c>
      <c r="K72" s="2">
        <v>0</v>
      </c>
      <c r="L72" s="2">
        <v>0</v>
      </c>
      <c r="M72" s="2">
        <v>1633230.1538</v>
      </c>
    </row>
    <row r="73" spans="2:13" hidden="1" x14ac:dyDescent="0.25">
      <c r="B73" s="3" t="s">
        <v>51</v>
      </c>
      <c r="C73" s="4" t="s">
        <v>96</v>
      </c>
      <c r="D73" s="1" t="s">
        <v>97</v>
      </c>
      <c r="E73" s="1" t="str">
        <f>RIGHT(Table1345[[#This Row],[PROJECT TITLE]],6)</f>
        <v>GD0008</v>
      </c>
      <c r="F73" s="10" t="s">
        <v>43</v>
      </c>
      <c r="G73" s="13" t="str">
        <f>VLOOKUP(Table1345[[#This Row],[Eq No]],[1]!Table3[[Eq.No.]:[FY23/34 Acq. Status]],2,FALSE)</f>
        <v>Gloria U/G</v>
      </c>
      <c r="H73" s="12">
        <f>VLOOKUP(Table1345[[#This Row],[Eq No]],[1]!Table3[[Eq.No.]:[FY23/34 Acq. Status]],3,FALSE)</f>
        <v>2016</v>
      </c>
      <c r="I73" s="13" t="str">
        <f>VLOOKUP(Table1345[[#This Row],[Eq No]],[1]!Table3[[Eq.No.]:[FY23/34 Acq. Status]],12,FALSE)</f>
        <v>120G</v>
      </c>
      <c r="J73" s="13" t="str">
        <f>VLOOKUP(Table1345[[#This Row],[Eq No]],[1]!Table3[[Eq.No.]:[FY23/34 Acq. Status]],17,FALSE)</f>
        <v>120G</v>
      </c>
      <c r="K73" s="2">
        <v>0</v>
      </c>
      <c r="L73" s="2">
        <v>6404325.3673113603</v>
      </c>
      <c r="M73" s="2">
        <v>0</v>
      </c>
    </row>
    <row r="74" spans="2:13" hidden="1" x14ac:dyDescent="0.25">
      <c r="B74" s="3" t="s">
        <v>51</v>
      </c>
      <c r="C74" s="4" t="s">
        <v>98</v>
      </c>
      <c r="D74" s="1" t="s">
        <v>21</v>
      </c>
      <c r="E74" s="1" t="str">
        <f>RIGHT(Table1345[[#This Row],[PROJECT TITLE]],6)</f>
        <v>LD0226</v>
      </c>
      <c r="F74" s="10" t="s">
        <v>43</v>
      </c>
      <c r="G74" s="13" t="str">
        <f>VLOOKUP(Table1345[[#This Row],[Eq No]],[1]!Table3[[Eq.No.]:[FY23/34 Acq. Status]],2,FALSE)</f>
        <v>Stretcher carrier</v>
      </c>
      <c r="H74" s="12">
        <f>VLOOKUP(Table1345[[#This Row],[Eq No]],[1]!Table3[[Eq.No.]:[FY23/34 Acq. Status]],3,FALSE)</f>
        <v>2009</v>
      </c>
      <c r="I74" s="13" t="str">
        <f>VLOOKUP(Table1345[[#This Row],[Eq No]],[1]!Table3[[Eq.No.]:[FY23/34 Acq. Status]],12,FALSE)</f>
        <v>LDV, TOYOTA Stretcher carrier</v>
      </c>
      <c r="J74" s="13" t="str">
        <f>VLOOKUP(Table1345[[#This Row],[Eq No]],[1]!Table3[[Eq.No.]:[FY23/34 Acq. Status]],17,FALSE)</f>
        <v>L/cruiser 4x4 (Converted to UG Spec)</v>
      </c>
      <c r="K74" s="2">
        <v>0</v>
      </c>
      <c r="L74" s="2">
        <v>3643512.1748480005</v>
      </c>
      <c r="M74" s="2">
        <v>0</v>
      </c>
    </row>
    <row r="75" spans="2:13" hidden="1" x14ac:dyDescent="0.25">
      <c r="B75" s="3" t="s">
        <v>51</v>
      </c>
      <c r="C75" s="4" t="s">
        <v>99</v>
      </c>
      <c r="D75" s="1" t="s">
        <v>21</v>
      </c>
      <c r="E75" s="1" t="str">
        <f>RIGHT(Table1345[[#This Row],[PROJECT TITLE]],6)</f>
        <v>LD0287</v>
      </c>
      <c r="F75" s="10" t="s">
        <v>43</v>
      </c>
      <c r="G75" s="13" t="str">
        <f>VLOOKUP(Table1345[[#This Row],[Eq No]],[1]!Table3[[Eq.No.]:[FY23/34 Acq. Status]],2,FALSE)</f>
        <v>Gloria S/Plant</v>
      </c>
      <c r="H75" s="12">
        <f>VLOOKUP(Table1345[[#This Row],[Eq No]],[1]!Table3[[Eq.No.]:[FY23/34 Acq. Status]],3,FALSE)</f>
        <v>2013</v>
      </c>
      <c r="I75" s="13" t="str">
        <f>VLOOKUP(Table1345[[#This Row],[Eq No]],[1]!Table3[[Eq.No.]:[FY23/34 Acq. Status]],12,FALSE)</f>
        <v>L/C, 4x4, 4.2D</v>
      </c>
      <c r="J75" s="13" t="str">
        <f>VLOOKUP(Table1345[[#This Row],[Eq No]],[1]!Table3[[Eq.No.]:[FY23/34 Acq. Status]],17,FALSE)</f>
        <v>L/C, 4x4, 4.2D</v>
      </c>
      <c r="K75" s="2">
        <v>0</v>
      </c>
      <c r="L75" s="2">
        <v>0</v>
      </c>
      <c r="M75" s="2">
        <v>1633230.1538</v>
      </c>
    </row>
    <row r="76" spans="2:13" hidden="1" x14ac:dyDescent="0.25">
      <c r="B76" s="3" t="s">
        <v>51</v>
      </c>
      <c r="C76" s="4" t="s">
        <v>100</v>
      </c>
      <c r="D76" s="1" t="s">
        <v>21</v>
      </c>
      <c r="E76" s="1" t="str">
        <f>RIGHT(Table1345[[#This Row],[PROJECT TITLE]],6)</f>
        <v>LD0412</v>
      </c>
      <c r="F76" s="10" t="s">
        <v>43</v>
      </c>
      <c r="G76" s="13" t="str">
        <f>VLOOKUP(Table1345[[#This Row],[Eq No]],[1]!Table3[[Eq.No.]:[FY23/34 Acq. Status]],2,FALSE)</f>
        <v>Gloria U/G</v>
      </c>
      <c r="H76" s="12">
        <f>VLOOKUP(Table1345[[#This Row],[Eq No]],[1]!Table3[[Eq.No.]:[FY23/34 Acq. Status]],3,FALSE)</f>
        <v>2020</v>
      </c>
      <c r="I76" s="13" t="str">
        <f>VLOOKUP(Table1345[[#This Row],[Eq No]],[1]!Table3[[Eq.No.]:[FY23/34 Acq. Status]],12,FALSE)</f>
        <v>Maverick D/C</v>
      </c>
      <c r="J76" s="13" t="str">
        <f>VLOOKUP(Table1345[[#This Row],[Eq No]],[1]!Table3[[Eq.No.]:[FY23/34 Acq. Status]],17,FALSE)</f>
        <v>L/Cruiser 4x4 (Converted to UG Spec)</v>
      </c>
      <c r="K76" s="2">
        <v>0</v>
      </c>
      <c r="L76" s="2">
        <v>3643512.1748480005</v>
      </c>
      <c r="M76" s="2">
        <v>0</v>
      </c>
    </row>
    <row r="77" spans="2:13" hidden="1" x14ac:dyDescent="0.25">
      <c r="B77" s="3" t="s">
        <v>51</v>
      </c>
      <c r="C77" s="4" t="s">
        <v>101</v>
      </c>
      <c r="D77" s="1" t="s">
        <v>21</v>
      </c>
      <c r="E77" s="1" t="str">
        <f>RIGHT(Table1345[[#This Row],[PROJECT TITLE]],6)</f>
        <v>LD0451</v>
      </c>
      <c r="F77" s="10" t="s">
        <v>43</v>
      </c>
      <c r="G77" s="13" t="str">
        <f>VLOOKUP(Table1345[[#This Row],[Eq No]],[1]!Table3[[Eq.No.]:[FY23/34 Acq. Status]],2,FALSE)</f>
        <v>Gloria U/G</v>
      </c>
      <c r="H77" s="12">
        <f>VLOOKUP(Table1345[[#This Row],[Eq No]],[1]!Table3[[Eq.No.]:[FY23/34 Acq. Status]],3,FALSE)</f>
        <v>2018</v>
      </c>
      <c r="I77" s="13" t="str">
        <f>VLOOKUP(Table1345[[#This Row],[Eq No]],[1]!Table3[[Eq.No.]:[FY23/34 Acq. Status]],12,FALSE)</f>
        <v>Maverick D/C</v>
      </c>
      <c r="J77" s="13" t="str">
        <f>VLOOKUP(Table1345[[#This Row],[Eq No]],[1]!Table3[[Eq.No.]:[FY23/34 Acq. Status]],17,FALSE)</f>
        <v>L/Cruiser 4x4 (Converted to UG Spec)</v>
      </c>
      <c r="K77" s="2">
        <v>0</v>
      </c>
      <c r="L77" s="2">
        <v>0</v>
      </c>
      <c r="M77" s="2">
        <v>3760306.4600920002</v>
      </c>
    </row>
    <row r="78" spans="2:13" hidden="1" x14ac:dyDescent="0.25">
      <c r="B78" s="3" t="s">
        <v>51</v>
      </c>
      <c r="C78" s="4" t="s">
        <v>102</v>
      </c>
      <c r="D78" s="1" t="s">
        <v>95</v>
      </c>
      <c r="E78" s="1" t="str">
        <f>RIGHT(Table1345[[#This Row],[PROJECT TITLE]],6)</f>
        <v>UV0076</v>
      </c>
      <c r="F78" s="10" t="s">
        <v>43</v>
      </c>
      <c r="G78" s="13" t="str">
        <f>VLOOKUP(Table1345[[#This Row],[Eq No]],[1]!Table3[[Eq.No.]:[FY23/34 Acq. Status]],2,FALSE)</f>
        <v>Gloria U/G</v>
      </c>
      <c r="H78" s="12">
        <f>VLOOKUP(Table1345[[#This Row],[Eq No]],[1]!Table3[[Eq.No.]:[FY23/34 Acq. Status]],3,FALSE)</f>
        <v>2015</v>
      </c>
      <c r="I78" s="13" t="str">
        <f>VLOOKUP(Table1345[[#This Row],[Eq No]],[1]!Table3[[Eq.No.]:[FY23/34 Acq. Status]],12,FALSE)</f>
        <v>Maverick Man Lift</v>
      </c>
      <c r="J78" s="13" t="str">
        <f>VLOOKUP(Table1345[[#This Row],[Eq No]],[1]!Table3[[Eq.No.]:[FY23/34 Acq. Status]],17,FALSE)</f>
        <v>L/Cruiser 4x4 (Converted to UG Spec)</v>
      </c>
      <c r="K78" s="2">
        <v>0</v>
      </c>
      <c r="L78" s="2">
        <v>0</v>
      </c>
      <c r="M78" s="2">
        <v>3760306.4600920002</v>
      </c>
    </row>
    <row r="79" spans="2:13" hidden="1" x14ac:dyDescent="0.25">
      <c r="B79" s="3" t="s">
        <v>51</v>
      </c>
      <c r="C79" s="4" t="s">
        <v>103</v>
      </c>
      <c r="D79" s="1" t="s">
        <v>95</v>
      </c>
      <c r="E79" s="1" t="str">
        <f>RIGHT(Table1345[[#This Row],[PROJECT TITLE]],6)</f>
        <v>UV0083</v>
      </c>
      <c r="F79" s="10" t="s">
        <v>43</v>
      </c>
      <c r="G79" s="13" t="str">
        <f>VLOOKUP(Table1345[[#This Row],[Eq No]],[1]!Table3[[Eq.No.]:[FY23/34 Acq. Status]],2,FALSE)</f>
        <v>Gloria U/G</v>
      </c>
      <c r="H79" s="12">
        <f>VLOOKUP(Table1345[[#This Row],[Eq No]],[1]!Table3[[Eq.No.]:[FY23/34 Acq. Status]],3,FALSE)</f>
        <v>2016</v>
      </c>
      <c r="I79" s="13" t="str">
        <f>VLOOKUP(Table1345[[#This Row],[Eq No]],[1]!Table3[[Eq.No.]:[FY23/34 Acq. Status]],12,FALSE)</f>
        <v>Casette Carrier</v>
      </c>
      <c r="J79" s="13" t="str">
        <f>VLOOKUP(Table1345[[#This Row],[Eq No]],[1]!Table3[[Eq.No.]:[FY23/34 Acq. Status]],17,FALSE)</f>
        <v>Casette Carrier</v>
      </c>
      <c r="K79" s="2">
        <v>0</v>
      </c>
      <c r="L79" s="2">
        <v>6692310.9120000005</v>
      </c>
      <c r="M79" s="2">
        <v>0</v>
      </c>
    </row>
    <row r="80" spans="2:13" hidden="1" x14ac:dyDescent="0.25">
      <c r="B80" s="3" t="s">
        <v>51</v>
      </c>
      <c r="C80" s="4" t="s">
        <v>104</v>
      </c>
      <c r="D80" s="1" t="s">
        <v>95</v>
      </c>
      <c r="E80" s="1" t="str">
        <f>RIGHT(Table1345[[#This Row],[PROJECT TITLE]],6)</f>
        <v>UV0089</v>
      </c>
      <c r="F80" s="10" t="s">
        <v>43</v>
      </c>
      <c r="G80" s="13" t="str">
        <f>VLOOKUP(Table1345[[#This Row],[Eq No]],[1]!Table3[[Eq.No.]:[FY23/34 Acq. Status]],2,FALSE)</f>
        <v>Gloria U/G</v>
      </c>
      <c r="H80" s="12">
        <f>VLOOKUP(Table1345[[#This Row],[Eq No]],[1]!Table3[[Eq.No.]:[FY23/34 Acq. Status]],3,FALSE)</f>
        <v>2017</v>
      </c>
      <c r="I80" s="13" t="str">
        <f>VLOOKUP(Table1345[[#This Row],[Eq No]],[1]!Table3[[Eq.No.]:[FY23/34 Acq. Status]],12,FALSE)</f>
        <v>Maverick S/Cab</v>
      </c>
      <c r="J80" s="13" t="str">
        <f>VLOOKUP(Table1345[[#This Row],[Eq No]],[1]!Table3[[Eq.No.]:[FY23/34 Acq. Status]],17,FALSE)</f>
        <v>L/Cruiser 4x4 (Converted to UG Spec)</v>
      </c>
      <c r="K80" s="2">
        <v>0</v>
      </c>
      <c r="L80" s="2">
        <v>0</v>
      </c>
      <c r="M80" s="2">
        <v>3760306.4600920002</v>
      </c>
    </row>
    <row r="81" spans="2:13" hidden="1" x14ac:dyDescent="0.25">
      <c r="B81" s="3" t="s">
        <v>51</v>
      </c>
      <c r="C81" s="4" t="s">
        <v>105</v>
      </c>
      <c r="D81" s="1" t="s">
        <v>95</v>
      </c>
      <c r="E81" s="1" t="str">
        <f>RIGHT(Table1345[[#This Row],[PROJECT TITLE]],6)</f>
        <v>UV0095</v>
      </c>
      <c r="F81" s="10" t="s">
        <v>43</v>
      </c>
      <c r="G81" s="13" t="str">
        <f>VLOOKUP(Table1345[[#This Row],[Eq No]],[1]!Table3[[Eq.No.]:[FY23/34 Acq. Status]],2,FALSE)</f>
        <v>Gloria U/G</v>
      </c>
      <c r="H81" s="12">
        <f>VLOOKUP(Table1345[[#This Row],[Eq No]],[1]!Table3[[Eq.No.]:[FY23/34 Acq. Status]],3,FALSE)</f>
        <v>2017</v>
      </c>
      <c r="I81" s="13" t="str">
        <f>VLOOKUP(Table1345[[#This Row],[Eq No]],[1]!Table3[[Eq.No.]:[FY23/34 Acq. Status]],12,FALSE)</f>
        <v>Maverick S/Cab</v>
      </c>
      <c r="J81" s="13" t="str">
        <f>VLOOKUP(Table1345[[#This Row],[Eq No]],[1]!Table3[[Eq.No.]:[FY23/34 Acq. Status]],17,FALSE)</f>
        <v>L/Cruiser 4x4 (Converted to UG Spec)</v>
      </c>
      <c r="K81" s="2">
        <v>0</v>
      </c>
      <c r="L81" s="2">
        <v>3643512.1748480005</v>
      </c>
      <c r="M81" s="2">
        <v>0</v>
      </c>
    </row>
    <row r="82" spans="2:13" hidden="1" x14ac:dyDescent="0.25">
      <c r="B82" s="3" t="s">
        <v>51</v>
      </c>
      <c r="C82" s="4" t="s">
        <v>106</v>
      </c>
      <c r="D82" s="1" t="s">
        <v>95</v>
      </c>
      <c r="E82" s="1" t="str">
        <f>RIGHT(Table1345[[#This Row],[PROJECT TITLE]],6)</f>
        <v>UV0097</v>
      </c>
      <c r="F82" s="10" t="s">
        <v>43</v>
      </c>
      <c r="G82" s="13" t="str">
        <f>VLOOKUP(Table1345[[#This Row],[Eq No]],[1]!Table3[[Eq.No.]:[FY23/34 Acq. Status]],2,FALSE)</f>
        <v>Gloria U/G</v>
      </c>
      <c r="H82" s="12">
        <f>VLOOKUP(Table1345[[#This Row],[Eq No]],[1]!Table3[[Eq.No.]:[FY23/34 Acq. Status]],3,FALSE)</f>
        <v>2017</v>
      </c>
      <c r="I82" s="13" t="str">
        <f>VLOOKUP(Table1345[[#This Row],[Eq No]],[1]!Table3[[Eq.No.]:[FY23/34 Acq. Status]],12,FALSE)</f>
        <v>Maverick Man Lift</v>
      </c>
      <c r="J82" s="13" t="str">
        <f>VLOOKUP(Table1345[[#This Row],[Eq No]],[1]!Table3[[Eq.No.]:[FY23/34 Acq. Status]],17,FALSE)</f>
        <v>L/Cruiser 4x4 (Converted to UG Spec)</v>
      </c>
      <c r="K82" s="2">
        <v>0</v>
      </c>
      <c r="L82" s="2">
        <v>0</v>
      </c>
      <c r="M82" s="2">
        <v>3760306.4600920002</v>
      </c>
    </row>
    <row r="83" spans="2:13" hidden="1" x14ac:dyDescent="0.25">
      <c r="B83" s="3" t="s">
        <v>51</v>
      </c>
      <c r="C83" s="4" t="s">
        <v>107</v>
      </c>
      <c r="D83" s="1" t="s">
        <v>95</v>
      </c>
      <c r="E83" s="1" t="str">
        <f>RIGHT(Table1345[[#This Row],[PROJECT TITLE]],6)</f>
        <v>UV0104</v>
      </c>
      <c r="F83" s="10" t="s">
        <v>43</v>
      </c>
      <c r="G83" s="13" t="str">
        <f>VLOOKUP(Table1345[[#This Row],[Eq No]],[1]!Table3[[Eq.No.]:[FY23/34 Acq. Status]],2,FALSE)</f>
        <v>Gloria U/G</v>
      </c>
      <c r="H83" s="12">
        <f>VLOOKUP(Table1345[[#This Row],[Eq No]],[1]!Table3[[Eq.No.]:[FY23/34 Acq. Status]],3,FALSE)</f>
        <v>2017</v>
      </c>
      <c r="I83" s="13" t="str">
        <f>VLOOKUP(Table1345[[#This Row],[Eq No]],[1]!Table3[[Eq.No.]:[FY23/34 Acq. Status]],12,FALSE)</f>
        <v>Maverick Jam pot</v>
      </c>
      <c r="J83" s="13" t="str">
        <f>VLOOKUP(Table1345[[#This Row],[Eq No]],[1]!Table3[[Eq.No.]:[FY23/34 Acq. Status]],17,FALSE)</f>
        <v>L/Cruiser 4x4 (Converted to UG Spec)</v>
      </c>
      <c r="K83" s="2">
        <v>0</v>
      </c>
      <c r="L83" s="2">
        <v>0</v>
      </c>
      <c r="M83" s="2">
        <v>3760306.4600920002</v>
      </c>
    </row>
    <row r="84" spans="2:13" hidden="1" x14ac:dyDescent="0.25">
      <c r="B84" s="3" t="s">
        <v>51</v>
      </c>
      <c r="C84" s="4" t="s">
        <v>108</v>
      </c>
      <c r="D84" s="1" t="s">
        <v>15</v>
      </c>
      <c r="E84" s="1" t="str">
        <f>RIGHT(Table1345[[#This Row],[PROJECT TITLE]],6)</f>
        <v>CR0102</v>
      </c>
      <c r="F84" s="10" t="s">
        <v>16</v>
      </c>
      <c r="G84" s="13" t="str">
        <f>VLOOKUP(Table1345[[#This Row],[Eq No]],[1]!Table3[[Eq.No.]:[FY23/34 Acq. Status]],2,FALSE)</f>
        <v>Shafts &amp; Winders</v>
      </c>
      <c r="H84" s="12">
        <f>VLOOKUP(Table1345[[#This Row],[Eq No]],[1]!Table3[[Eq.No.]:[FY23/34 Acq. Status]],3,FALSE)</f>
        <v>2015</v>
      </c>
      <c r="I84" s="13" t="str">
        <f>VLOOKUP(Table1345[[#This Row],[Eq No]],[1]!Table3[[Eq.No.]:[FY23/34 Acq. Status]],12,FALSE)</f>
        <v>LTM1060-3.1-60Ton</v>
      </c>
      <c r="J84" s="13" t="str">
        <f>VLOOKUP(Table1345[[#This Row],[Eq No]],[1]!Table3[[Eq.No.]:[FY23/34 Acq. Status]],17,FALSE)</f>
        <v>LTM1060-3.1-60Ton</v>
      </c>
      <c r="K84" s="2">
        <v>0</v>
      </c>
      <c r="L84" s="2">
        <v>0</v>
      </c>
      <c r="M84" s="2">
        <v>23448654.336960003</v>
      </c>
    </row>
    <row r="85" spans="2:13" hidden="1" x14ac:dyDescent="0.25">
      <c r="B85" s="3" t="s">
        <v>51</v>
      </c>
      <c r="C85" s="4" t="s">
        <v>109</v>
      </c>
      <c r="D85" s="1" t="s">
        <v>21</v>
      </c>
      <c r="E85" s="1" t="str">
        <f>RIGHT(Table1345[[#This Row],[PROJECT TITLE]],6)</f>
        <v>LD0485</v>
      </c>
      <c r="F85" s="10" t="s">
        <v>16</v>
      </c>
      <c r="G85" s="13" t="str">
        <f>VLOOKUP(Table1345[[#This Row],[Eq No]],[1]!Table3[[Eq.No.]:[FY23/34 Acq. Status]],2,FALSE)</f>
        <v>Shaft &amp; Winders -  CSH 607 NC - REPCAP 1718</v>
      </c>
      <c r="H85" s="12">
        <f>VLOOKUP(Table1345[[#This Row],[Eq No]],[1]!Table3[[Eq.No.]:[FY23/34 Acq. Status]],3,FALSE)</f>
        <v>2018</v>
      </c>
      <c r="I85" s="13" t="str">
        <f>VLOOKUP(Table1345[[#This Row],[Eq No]],[1]!Table3[[Eq.No.]:[FY23/34 Acq. Status]],12,FALSE)</f>
        <v>2.4 GD6 D/C SRX</v>
      </c>
      <c r="J85" s="13" t="str">
        <f>VLOOKUP(Table1345[[#This Row],[Eq No]],[1]!Table3[[Eq.No.]:[FY23/34 Acq. Status]],17,FALSE)</f>
        <v>2.4 GD6 D/C SRX</v>
      </c>
      <c r="K85" s="2">
        <v>0</v>
      </c>
      <c r="L85" s="2">
        <v>0</v>
      </c>
      <c r="M85" s="2">
        <v>1141467.2757999999</v>
      </c>
    </row>
    <row r="86" spans="2:13" hidden="1" x14ac:dyDescent="0.25">
      <c r="B86" s="3" t="s">
        <v>51</v>
      </c>
      <c r="C86" s="4" t="s">
        <v>110</v>
      </c>
      <c r="D86" s="1" t="s">
        <v>15</v>
      </c>
      <c r="E86" s="1" t="str">
        <f>RIGHT(Table1345[[#This Row],[PROJECT TITLE]],6)</f>
        <v>CR0105</v>
      </c>
      <c r="F86" s="10" t="s">
        <v>16</v>
      </c>
      <c r="G86" s="13">
        <f>VLOOKUP(Table1345[[#This Row],[Eq No]],[1]!Table3[[Eq.No.]:[FY23/34 Acq. Status]],2,FALSE)</f>
        <v>0</v>
      </c>
      <c r="H86" s="12">
        <f>VLOOKUP(Table1345[[#This Row],[Eq No]],[1]!Table3[[Eq.No.]:[FY23/34 Acq. Status]],3,FALSE)</f>
        <v>2015</v>
      </c>
      <c r="I86" s="13" t="str">
        <f>VLOOKUP(Table1345[[#This Row],[Eq No]],[1]!Table3[[Eq.No.]:[FY23/34 Acq. Status]],12,FALSE)</f>
        <v>Crane MHT780 T Evolution</v>
      </c>
      <c r="J86" s="13" t="str">
        <f>VLOOKUP(Table1345[[#This Row],[Eq No]],[1]!Table3[[Eq.No.]:[FY23/34 Acq. Status]],17,FALSE)</f>
        <v>Crane MHT780 T Evolution</v>
      </c>
      <c r="K86" s="2">
        <v>0</v>
      </c>
      <c r="L86" s="2">
        <v>13604531.5328</v>
      </c>
      <c r="M86" s="2">
        <v>0</v>
      </c>
    </row>
    <row r="87" spans="2:13" hidden="1" x14ac:dyDescent="0.25">
      <c r="B87" s="3" t="s">
        <v>51</v>
      </c>
      <c r="C87" s="4" t="s">
        <v>111</v>
      </c>
      <c r="D87" s="1" t="s">
        <v>39</v>
      </c>
      <c r="E87" s="1" t="str">
        <f>RIGHT(Table1345[[#This Row],[PROJECT TITLE]],6)</f>
        <v>DT0107</v>
      </c>
      <c r="F87" s="10" t="s">
        <v>16</v>
      </c>
      <c r="G87" s="13" t="str">
        <f>VLOOKUP(Table1345[[#This Row],[Eq No]],[1]!Table3[[Eq.No.]:[FY23/34 Acq. Status]],2,FALSE)</f>
        <v>NCHW II UG</v>
      </c>
      <c r="H87" s="12">
        <f>VLOOKUP(Table1345[[#This Row],[Eq No]],[1]!Table3[[Eq.No.]:[FY23/34 Acq. Status]],3,FALSE)</f>
        <v>2015</v>
      </c>
      <c r="I87" s="13" t="str">
        <f>VLOOKUP(Table1345[[#This Row],[Eq No]],[1]!Table3[[Eq.No.]:[FY23/34 Acq. Status]],12,FALSE)</f>
        <v>MT 436 LP</v>
      </c>
      <c r="J87" s="13" t="str">
        <f>VLOOKUP(Table1345[[#This Row],[Eq No]],[1]!Table3[[Eq.No.]:[FY23/34 Acq. Status]],17,FALSE)</f>
        <v>Elphinstone AD30 LP</v>
      </c>
      <c r="K87" s="2">
        <v>0</v>
      </c>
      <c r="L87" s="2">
        <v>23276539.660799999</v>
      </c>
      <c r="M87" s="2">
        <v>0</v>
      </c>
    </row>
    <row r="88" spans="2:13" hidden="1" x14ac:dyDescent="0.25">
      <c r="B88" s="3" t="s">
        <v>51</v>
      </c>
      <c r="C88" s="4" t="s">
        <v>112</v>
      </c>
      <c r="D88" s="1" t="s">
        <v>39</v>
      </c>
      <c r="E88" s="1" t="str">
        <f>RIGHT(Table1345[[#This Row],[PROJECT TITLE]],6)</f>
        <v>DT0120</v>
      </c>
      <c r="F88" s="10" t="s">
        <v>16</v>
      </c>
      <c r="G88" s="13" t="str">
        <f>VLOOKUP(Table1345[[#This Row],[Eq No]],[1]!Table3[[Eq.No.]:[FY23/34 Acq. Status]],2,FALSE)</f>
        <v>NCHW II UG</v>
      </c>
      <c r="H88" s="12">
        <f>VLOOKUP(Table1345[[#This Row],[Eq No]],[1]!Table3[[Eq.No.]:[FY23/34 Acq. Status]],3,FALSE)</f>
        <v>2017</v>
      </c>
      <c r="I88" s="13" t="str">
        <f>VLOOKUP(Table1345[[#This Row],[Eq No]],[1]!Table3[[Eq.No.]:[FY23/34 Acq. Status]],12,FALSE)</f>
        <v>Elphinstone AD30</v>
      </c>
      <c r="J88" s="13" t="str">
        <f>VLOOKUP(Table1345[[#This Row],[Eq No]],[1]!Table3[[Eq.No.]:[FY23/34 Acq. Status]],17,FALSE)</f>
        <v>Elphinstone AD30 LP</v>
      </c>
      <c r="K88" s="2">
        <v>0</v>
      </c>
      <c r="L88" s="2">
        <v>0</v>
      </c>
      <c r="M88" s="2">
        <v>24022678.738200001</v>
      </c>
    </row>
    <row r="89" spans="2:13" hidden="1" x14ac:dyDescent="0.25">
      <c r="B89" s="3" t="s">
        <v>51</v>
      </c>
      <c r="C89" s="4" t="s">
        <v>113</v>
      </c>
      <c r="D89" s="1" t="s">
        <v>39</v>
      </c>
      <c r="E89" s="1" t="str">
        <f>RIGHT(Table1345[[#This Row],[PROJECT TITLE]],6)</f>
        <v>DT0121</v>
      </c>
      <c r="F89" s="10" t="s">
        <v>16</v>
      </c>
      <c r="G89" s="13" t="str">
        <f>VLOOKUP(Table1345[[#This Row],[Eq No]],[1]!Table3[[Eq.No.]:[FY23/34 Acq. Status]],2,FALSE)</f>
        <v>NCHW II UG</v>
      </c>
      <c r="H89" s="12">
        <f>VLOOKUP(Table1345[[#This Row],[Eq No]],[1]!Table3[[Eq.No.]:[FY23/34 Acq. Status]],3,FALSE)</f>
        <v>2017</v>
      </c>
      <c r="I89" s="13" t="str">
        <f>VLOOKUP(Table1345[[#This Row],[Eq No]],[1]!Table3[[Eq.No.]:[FY23/34 Acq. Status]],12,FALSE)</f>
        <v>Elphinstone AD30 LP</v>
      </c>
      <c r="J89" s="13" t="str">
        <f>VLOOKUP(Table1345[[#This Row],[Eq No]],[1]!Table3[[Eq.No.]:[FY23/34 Acq. Status]],17,FALSE)</f>
        <v>Elphinstone AD30 LP</v>
      </c>
      <c r="K89" s="2">
        <v>0</v>
      </c>
      <c r="L89" s="2">
        <v>0</v>
      </c>
      <c r="M89" s="2">
        <v>24022678.738200001</v>
      </c>
    </row>
    <row r="90" spans="2:13" hidden="1" x14ac:dyDescent="0.25">
      <c r="B90" s="3" t="s">
        <v>51</v>
      </c>
      <c r="C90" s="4" t="s">
        <v>114</v>
      </c>
      <c r="D90" s="1" t="s">
        <v>7</v>
      </c>
      <c r="E90" s="1" t="str">
        <f>RIGHT(Table1345[[#This Row],[PROJECT TITLE]],6)</f>
        <v>FL0066</v>
      </c>
      <c r="F90" s="10" t="s">
        <v>16</v>
      </c>
      <c r="G90" s="13" t="str">
        <f>VLOOKUP(Table1345[[#This Row],[Eq No]],[1]!Table3[[Eq.No.]:[FY23/34 Acq. Status]],2,FALSE)</f>
        <v>NCHW II UG</v>
      </c>
      <c r="H90" s="12">
        <f>VLOOKUP(Table1345[[#This Row],[Eq No]],[1]!Table3[[Eq.No.]:[FY23/34 Acq. Status]],3,FALSE)</f>
        <v>2014</v>
      </c>
      <c r="I90" s="13" t="str">
        <f>VLOOKUP(Table1345[[#This Row],[Eq No]],[1]!Table3[[Eq.No.]:[FY23/34 Acq. Status]],12,FALSE)</f>
        <v>ST14</v>
      </c>
      <c r="J90" s="13" t="str">
        <f>VLOOKUP(Table1345[[#This Row],[Eq No]],[1]!Table3[[Eq.No.]:[FY23/34 Acq. Status]],17,FALSE)</f>
        <v>ST14</v>
      </c>
      <c r="K90" s="2">
        <v>0</v>
      </c>
      <c r="L90" s="2">
        <v>26914293.568</v>
      </c>
      <c r="M90" s="2">
        <v>0</v>
      </c>
    </row>
    <row r="91" spans="2:13" hidden="1" x14ac:dyDescent="0.25">
      <c r="B91" s="3" t="s">
        <v>51</v>
      </c>
      <c r="C91" s="4" t="s">
        <v>115</v>
      </c>
      <c r="D91" s="1" t="s">
        <v>7</v>
      </c>
      <c r="E91" s="1" t="str">
        <f>RIGHT(Table1345[[#This Row],[PROJECT TITLE]],6)</f>
        <v>FL0067</v>
      </c>
      <c r="F91" s="10" t="s">
        <v>16</v>
      </c>
      <c r="G91" s="13" t="str">
        <f>VLOOKUP(Table1345[[#This Row],[Eq No]],[1]!Table3[[Eq.No.]:[FY23/34 Acq. Status]],2,FALSE)</f>
        <v>NCHW II UG</v>
      </c>
      <c r="H91" s="12">
        <f>VLOOKUP(Table1345[[#This Row],[Eq No]],[1]!Table3[[Eq.No.]:[FY23/34 Acq. Status]],3,FALSE)</f>
        <v>2014</v>
      </c>
      <c r="I91" s="13" t="str">
        <f>VLOOKUP(Table1345[[#This Row],[Eq No]],[1]!Table3[[Eq.No.]:[FY23/34 Acq. Status]],12,FALSE)</f>
        <v>ST14</v>
      </c>
      <c r="J91" s="13" t="str">
        <f>VLOOKUP(Table1345[[#This Row],[Eq No]],[1]!Table3[[Eq.No.]:[FY23/34 Acq. Status]],17,FALSE)</f>
        <v>ST14</v>
      </c>
      <c r="K91" s="2">
        <v>0</v>
      </c>
      <c r="L91" s="2">
        <v>26914293.568</v>
      </c>
      <c r="M91" s="2">
        <v>0</v>
      </c>
    </row>
    <row r="92" spans="2:13" hidden="1" x14ac:dyDescent="0.25">
      <c r="B92" s="3" t="s">
        <v>51</v>
      </c>
      <c r="C92" s="4" t="s">
        <v>116</v>
      </c>
      <c r="D92" s="1" t="s">
        <v>7</v>
      </c>
      <c r="E92" s="1" t="str">
        <f>RIGHT(Table1345[[#This Row],[PROJECT TITLE]],6)</f>
        <v>FL0077</v>
      </c>
      <c r="F92" s="10" t="s">
        <v>16</v>
      </c>
      <c r="G92" s="13" t="str">
        <f>VLOOKUP(Table1345[[#This Row],[Eq No]],[1]!Table3[[Eq.No.]:[FY23/34 Acq. Status]],2,FALSE)</f>
        <v>NCHW II UG</v>
      </c>
      <c r="H92" s="12">
        <f>VLOOKUP(Table1345[[#This Row],[Eq No]],[1]!Table3[[Eq.No.]:[FY23/34 Acq. Status]],3,FALSE)</f>
        <v>2017</v>
      </c>
      <c r="I92" s="13" t="str">
        <f>VLOOKUP(Table1345[[#This Row],[Eq No]],[1]!Table3[[Eq.No.]:[FY23/34 Acq. Status]],12,FALSE)</f>
        <v>ST1030</v>
      </c>
      <c r="J92" s="13" t="str">
        <f>VLOOKUP(Table1345[[#This Row],[Eq No]],[1]!Table3[[Eq.No.]:[FY23/34 Acq. Status]],17,FALSE)</f>
        <v>ST1030</v>
      </c>
      <c r="K92" s="2">
        <v>0</v>
      </c>
      <c r="L92" s="2">
        <v>0</v>
      </c>
      <c r="M92" s="2">
        <v>18807242.346999999</v>
      </c>
    </row>
    <row r="93" spans="2:13" hidden="1" x14ac:dyDescent="0.25">
      <c r="B93" s="3" t="s">
        <v>51</v>
      </c>
      <c r="C93" s="4" t="s">
        <v>117</v>
      </c>
      <c r="D93" s="1" t="s">
        <v>7</v>
      </c>
      <c r="E93" s="1" t="str">
        <f>RIGHT(Table1345[[#This Row],[PROJECT TITLE]],6)</f>
        <v>FL0085</v>
      </c>
      <c r="F93" s="10" t="s">
        <v>16</v>
      </c>
      <c r="G93" s="13" t="str">
        <f>VLOOKUP(Table1345[[#This Row],[Eq No]],[1]!Table3[[Eq.No.]:[FY23/34 Acq. Status]],2,FALSE)</f>
        <v>NCHW II UG</v>
      </c>
      <c r="H93" s="12">
        <f>VLOOKUP(Table1345[[#This Row],[Eq No]],[1]!Table3[[Eq.No.]:[FY23/34 Acq. Status]],3,FALSE)</f>
        <v>2018</v>
      </c>
      <c r="I93" s="13" t="str">
        <f>VLOOKUP(Table1345[[#This Row],[Eq No]],[1]!Table3[[Eq.No.]:[FY23/34 Acq. Status]],12,FALSE)</f>
        <v>ST1030LP</v>
      </c>
      <c r="J93" s="13" t="str">
        <f>VLOOKUP(Table1345[[#This Row],[Eq No]],[1]!Table3[[Eq.No.]:[FY23/34 Acq. Status]],17,FALSE)</f>
        <v>ST1030LP</v>
      </c>
      <c r="K93" s="2">
        <v>0</v>
      </c>
      <c r="L93" s="2">
        <v>0</v>
      </c>
      <c r="M93" s="2">
        <v>18807242.346999999</v>
      </c>
    </row>
    <row r="94" spans="2:13" hidden="1" x14ac:dyDescent="0.25">
      <c r="B94" s="3" t="s">
        <v>51</v>
      </c>
      <c r="C94" s="4" t="s">
        <v>118</v>
      </c>
      <c r="D94" s="1" t="s">
        <v>119</v>
      </c>
      <c r="E94" s="1" t="str">
        <f>RIGHT(Table1345[[#This Row],[PROJECT TITLE]],6)</f>
        <v>HD0053</v>
      </c>
      <c r="F94" s="10" t="s">
        <v>16</v>
      </c>
      <c r="G94" s="13" t="str">
        <f>VLOOKUP(Table1345[[#This Row],[Eq No]],[1]!Table3[[Eq.No.]:[FY23/34 Acq. Status]],2,FALSE)</f>
        <v>NCHW II UG</v>
      </c>
      <c r="H94" s="12">
        <f>VLOOKUP(Table1345[[#This Row],[Eq No]],[1]!Table3[[Eq.No.]:[FY23/34 Acq. Status]],3,FALSE)</f>
        <v>2018</v>
      </c>
      <c r="I94" s="13" t="str">
        <f>VLOOKUP(Table1345[[#This Row],[Eq No]],[1]!Table3[[Eq.No.]:[FY23/34 Acq. Status]],12,FALSE)</f>
        <v>Double Boom 282</v>
      </c>
      <c r="J94" s="13" t="str">
        <f>VLOOKUP(Table1345[[#This Row],[Eq No]],[1]!Table3[[Eq.No.]:[FY23/34 Acq. Status]],17,FALSE)</f>
        <v>Double Boom 282</v>
      </c>
      <c r="K94" s="2">
        <v>0</v>
      </c>
      <c r="L94" s="2">
        <v>20842117.158399999</v>
      </c>
      <c r="M94" s="2">
        <v>0</v>
      </c>
    </row>
    <row r="95" spans="2:13" hidden="1" x14ac:dyDescent="0.25">
      <c r="B95" s="3" t="s">
        <v>51</v>
      </c>
      <c r="C95" s="4" t="s">
        <v>120</v>
      </c>
      <c r="D95" s="1" t="s">
        <v>21</v>
      </c>
      <c r="E95" s="1" t="str">
        <f>RIGHT(Table1345[[#This Row],[PROJECT TITLE]],6)</f>
        <v>LD0426</v>
      </c>
      <c r="F95" s="10" t="s">
        <v>16</v>
      </c>
      <c r="G95" s="13">
        <f>VLOOKUP(Table1345[[#This Row],[Eq No]],[1]!Table3[[Eq.No.]:[FY23/34 Acq. Status]],2,FALSE)</f>
        <v>0</v>
      </c>
      <c r="H95" s="12">
        <f>VLOOKUP(Table1345[[#This Row],[Eq No]],[1]!Table3[[Eq.No.]:[FY23/34 Acq. Status]],3,FALSE)</f>
        <v>2017</v>
      </c>
      <c r="I95" s="13" t="str">
        <f>VLOOKUP(Table1345[[#This Row],[Eq No]],[1]!Table3[[Eq.No.]:[FY23/34 Acq. Status]],12,FALSE)</f>
        <v>D/Cab Maverick</v>
      </c>
      <c r="J95" s="13" t="str">
        <f>VLOOKUP(Table1345[[#This Row],[Eq No]],[1]!Table3[[Eq.No.]:[FY23/34 Acq. Status]],17,FALSE)</f>
        <v>L/Cruiser 4x4 (Converted to UG Spec)</v>
      </c>
      <c r="K95" s="2">
        <v>0</v>
      </c>
      <c r="L95" s="2">
        <v>3643512.1748480005</v>
      </c>
      <c r="M95" s="2">
        <v>0</v>
      </c>
    </row>
    <row r="96" spans="2:13" hidden="1" x14ac:dyDescent="0.25">
      <c r="B96" s="3" t="s">
        <v>51</v>
      </c>
      <c r="C96" s="4" t="s">
        <v>121</v>
      </c>
      <c r="D96" s="1" t="s">
        <v>21</v>
      </c>
      <c r="E96" s="1" t="str">
        <f>RIGHT(Table1345[[#This Row],[PROJECT TITLE]],6)</f>
        <v>LD0450</v>
      </c>
      <c r="F96" s="10" t="s">
        <v>16</v>
      </c>
      <c r="G96" s="13">
        <f>VLOOKUP(Table1345[[#This Row],[Eq No]],[1]!Table3[[Eq.No.]:[FY23/34 Acq. Status]],2,FALSE)</f>
        <v>0</v>
      </c>
      <c r="H96" s="12">
        <f>VLOOKUP(Table1345[[#This Row],[Eq No]],[1]!Table3[[Eq.No.]:[FY23/34 Acq. Status]],3,FALSE)</f>
        <v>2019</v>
      </c>
      <c r="I96" s="13" t="str">
        <f>VLOOKUP(Table1345[[#This Row],[Eq No]],[1]!Table3[[Eq.No.]:[FY23/34 Acq. Status]],12,FALSE)</f>
        <v>D/Cab Maverick</v>
      </c>
      <c r="J96" s="13" t="str">
        <f>VLOOKUP(Table1345[[#This Row],[Eq No]],[1]!Table3[[Eq.No.]:[FY23/34 Acq. Status]],17,FALSE)</f>
        <v>L/Cruiser 4x4 (Converted to UG Spec)</v>
      </c>
      <c r="K96" s="2">
        <v>0</v>
      </c>
      <c r="L96" s="2">
        <v>3643512.1748480005</v>
      </c>
      <c r="M96" s="2">
        <v>0</v>
      </c>
    </row>
    <row r="97" spans="2:13" hidden="1" x14ac:dyDescent="0.25">
      <c r="B97" s="3" t="s">
        <v>51</v>
      </c>
      <c r="C97" s="4" t="s">
        <v>122</v>
      </c>
      <c r="D97" s="1" t="s">
        <v>21</v>
      </c>
      <c r="E97" s="1" t="str">
        <f>RIGHT(Table1345[[#This Row],[PROJECT TITLE]],6)</f>
        <v>LD0499</v>
      </c>
      <c r="F97" s="10" t="s">
        <v>16</v>
      </c>
      <c r="G97" s="13" t="str">
        <f>VLOOKUP(Table1345[[#This Row],[Eq No]],[1]!Table3[[Eq.No.]:[FY23/34 Acq. Status]],2,FALSE)</f>
        <v>Mining NCH2</v>
      </c>
      <c r="H97" s="12">
        <f>VLOOKUP(Table1345[[#This Row],[Eq No]],[1]!Table3[[Eq.No.]:[FY23/34 Acq. Status]],3,FALSE)</f>
        <v>2018</v>
      </c>
      <c r="I97" s="13" t="str">
        <f>VLOOKUP(Table1345[[#This Row],[Eq No]],[1]!Table3[[Eq.No.]:[FY23/34 Acq. Status]],12,FALSE)</f>
        <v>2.4 GD6 D/C SRX</v>
      </c>
      <c r="J97" s="13" t="str">
        <f>VLOOKUP(Table1345[[#This Row],[Eq No]],[1]!Table3[[Eq.No.]:[FY23/34 Acq. Status]],17,FALSE)</f>
        <v>2.4 GD6 D/C SRX</v>
      </c>
      <c r="K97" s="2">
        <v>0</v>
      </c>
      <c r="L97" s="2">
        <v>1106013.5552000001</v>
      </c>
      <c r="M97" s="2">
        <v>0</v>
      </c>
    </row>
    <row r="98" spans="2:13" hidden="1" x14ac:dyDescent="0.25">
      <c r="B98" s="3" t="s">
        <v>51</v>
      </c>
      <c r="C98" s="4" t="s">
        <v>123</v>
      </c>
      <c r="D98" s="1" t="s">
        <v>21</v>
      </c>
      <c r="E98" s="1" t="str">
        <f>RIGHT(Table1345[[#This Row],[PROJECT TITLE]],6)</f>
        <v>LD0509</v>
      </c>
      <c r="F98" s="10" t="s">
        <v>16</v>
      </c>
      <c r="G98" s="13" t="str">
        <f>VLOOKUP(Table1345[[#This Row],[Eq No]],[1]!Table3[[Eq.No.]:[FY23/34 Acq. Status]],2,FALSE)</f>
        <v>Projects - DRA</v>
      </c>
      <c r="H98" s="12">
        <f>VLOOKUP(Table1345[[#This Row],[Eq No]],[1]!Table3[[Eq.No.]:[FY23/34 Acq. Status]],3,FALSE)</f>
        <v>2019</v>
      </c>
      <c r="I98" s="13" t="str">
        <f>VLOOKUP(Table1345[[#This Row],[Eq No]],[1]!Table3[[Eq.No.]:[FY23/34 Acq. Status]],12,FALSE)</f>
        <v>D/Cab Maverick</v>
      </c>
      <c r="J98" s="13" t="str">
        <f>VLOOKUP(Table1345[[#This Row],[Eq No]],[1]!Table3[[Eq.No.]:[FY23/34 Acq. Status]],17,FALSE)</f>
        <v>L/Cruiser 4x4 (Converted to UG Spec)</v>
      </c>
      <c r="K98" s="2">
        <v>0</v>
      </c>
      <c r="L98" s="2">
        <v>0</v>
      </c>
      <c r="M98" s="2">
        <v>3760306.4600920002</v>
      </c>
    </row>
    <row r="99" spans="2:13" hidden="1" x14ac:dyDescent="0.25">
      <c r="B99" s="3" t="s">
        <v>51</v>
      </c>
      <c r="C99" s="4" t="s">
        <v>124</v>
      </c>
      <c r="D99" s="1" t="s">
        <v>28</v>
      </c>
      <c r="E99" s="1" t="str">
        <f>RIGHT(Table1345[[#This Row],[PROJECT TITLE]],6)</f>
        <v>RT0040</v>
      </c>
      <c r="F99" s="10" t="s">
        <v>16</v>
      </c>
      <c r="G99" s="13" t="str">
        <f>VLOOKUP(Table1345[[#This Row],[Eq No]],[1]!Table3[[Eq.No.]:[FY23/34 Acq. Status]],2,FALSE)</f>
        <v>NCH II UG</v>
      </c>
      <c r="H99" s="12">
        <f>VLOOKUP(Table1345[[#This Row],[Eq No]],[1]!Table3[[Eq.No.]:[FY23/34 Acq. Status]],3,FALSE)</f>
        <v>2014</v>
      </c>
      <c r="I99" s="13" t="str">
        <f>VLOOKUP(Table1345[[#This Row],[Eq No]],[1]!Table3[[Eq.No.]:[FY23/34 Acq. Status]],12,FALSE)</f>
        <v>Boltec 235H</v>
      </c>
      <c r="J99" s="13" t="str">
        <f>VLOOKUP(Table1345[[#This Row],[Eq No]],[1]!Table3[[Eq.No.]:[FY23/34 Acq. Status]],17,FALSE)</f>
        <v>Boltec 235H</v>
      </c>
      <c r="K99" s="2">
        <v>0</v>
      </c>
      <c r="L99" s="2">
        <v>20662674.918400001</v>
      </c>
      <c r="M99" s="2">
        <v>0</v>
      </c>
    </row>
    <row r="100" spans="2:13" hidden="1" x14ac:dyDescent="0.25">
      <c r="B100" s="3" t="s">
        <v>51</v>
      </c>
      <c r="C100" s="4" t="s">
        <v>125</v>
      </c>
      <c r="D100" s="1" t="s">
        <v>28</v>
      </c>
      <c r="E100" s="1" t="str">
        <f>RIGHT(Table1345[[#This Row],[PROJECT TITLE]],6)</f>
        <v>RT0043</v>
      </c>
      <c r="F100" s="10" t="s">
        <v>16</v>
      </c>
      <c r="G100" s="13" t="str">
        <f>VLOOKUP(Table1345[[#This Row],[Eq No]],[1]!Table3[[Eq.No.]:[FY23/34 Acq. Status]],2,FALSE)</f>
        <v>NCH II UG</v>
      </c>
      <c r="H100" s="12">
        <f>VLOOKUP(Table1345[[#This Row],[Eq No]],[1]!Table3[[Eq.No.]:[FY23/34 Acq. Status]],3,FALSE)</f>
        <v>2018</v>
      </c>
      <c r="I100" s="13" t="str">
        <f>VLOOKUP(Table1345[[#This Row],[Eq No]],[1]!Table3[[Eq.No.]:[FY23/34 Acq. Status]],12,FALSE)</f>
        <v>Boltec 235H</v>
      </c>
      <c r="J100" s="13" t="str">
        <f>VLOOKUP(Table1345[[#This Row],[Eq No]],[1]!Table3[[Eq.No.]:[FY23/34 Acq. Status]],17,FALSE)</f>
        <v>Boltec 235H</v>
      </c>
      <c r="K100" s="2">
        <v>0</v>
      </c>
      <c r="L100" s="2">
        <v>0</v>
      </c>
      <c r="M100" s="2">
        <v>21325025.483599998</v>
      </c>
    </row>
    <row r="101" spans="2:13" hidden="1" x14ac:dyDescent="0.25">
      <c r="B101" s="3" t="s">
        <v>51</v>
      </c>
      <c r="C101" s="4" t="s">
        <v>126</v>
      </c>
      <c r="D101" s="1" t="s">
        <v>31</v>
      </c>
      <c r="E101" s="1" t="str">
        <f>RIGHT(Table1345[[#This Row],[PROJECT TITLE]],6)</f>
        <v>SR0033</v>
      </c>
      <c r="F101" s="10" t="s">
        <v>16</v>
      </c>
      <c r="G101" s="13" t="str">
        <f>VLOOKUP(Table1345[[#This Row],[Eq No]],[1]!Table3[[Eq.No.]:[FY23/34 Acq. Status]],2,FALSE)</f>
        <v>NCHW II UG</v>
      </c>
      <c r="H101" s="12">
        <f>VLOOKUP(Table1345[[#This Row],[Eq No]],[1]!Table3[[Eq.No.]:[FY23/34 Acq. Status]],3,FALSE)</f>
        <v>2017</v>
      </c>
      <c r="I101" s="13" t="str">
        <f>VLOOKUP(Table1345[[#This Row],[Eq No]],[1]!Table3[[Eq.No.]:[FY23/34 Acq. Status]],12,FALSE)</f>
        <v>4 Wheeler</v>
      </c>
      <c r="J101" s="13" t="str">
        <f>VLOOKUP(Table1345[[#This Row],[Eq No]],[1]!Table3[[Eq.No.]:[FY23/34 Acq. Status]],17,FALSE)</f>
        <v>Scaler 220 E, 4-Wheeler</v>
      </c>
      <c r="K101" s="2">
        <v>0</v>
      </c>
      <c r="L101" s="2">
        <v>6592121.2415999994</v>
      </c>
      <c r="M101" s="2">
        <v>0</v>
      </c>
    </row>
    <row r="102" spans="2:13" hidden="1" x14ac:dyDescent="0.25">
      <c r="B102" s="3" t="s">
        <v>51</v>
      </c>
      <c r="C102" s="4" t="s">
        <v>127</v>
      </c>
      <c r="D102" s="1" t="s">
        <v>95</v>
      </c>
      <c r="E102" s="1" t="str">
        <f>RIGHT(Table1345[[#This Row],[PROJECT TITLE]],6)</f>
        <v>UV0054</v>
      </c>
      <c r="F102" s="10" t="s">
        <v>16</v>
      </c>
      <c r="G102" s="13" t="str">
        <f>VLOOKUP(Table1345[[#This Row],[Eq No]],[1]!Table3[[Eq.No.]:[FY23/34 Acq. Status]],2,FALSE)</f>
        <v>Logistics</v>
      </c>
      <c r="H102" s="12">
        <f>VLOOKUP(Table1345[[#This Row],[Eq No]],[1]!Table3[[Eq.No.]:[FY23/34 Acq. Status]],3,FALSE)</f>
        <v>2015</v>
      </c>
      <c r="I102" s="13" t="str">
        <f>VLOOKUP(Table1345[[#This Row],[Eq No]],[1]!Table3[[Eq.No.]:[FY23/34 Acq. Status]],12,FALSE)</f>
        <v>UV80/Carr/MKIII</v>
      </c>
      <c r="J102" s="13" t="str">
        <f>VLOOKUP(Table1345[[#This Row],[Eq No]],[1]!Table3[[Eq.No.]:[FY23/34 Acq. Status]],17,FALSE)</f>
        <v>UV80/Carr/MKIII</v>
      </c>
      <c r="K102" s="2">
        <v>0</v>
      </c>
      <c r="L102" s="2">
        <v>6692310.9120000005</v>
      </c>
      <c r="M102" s="2">
        <v>0</v>
      </c>
    </row>
    <row r="103" spans="2:13" hidden="1" x14ac:dyDescent="0.25">
      <c r="B103" s="3" t="s">
        <v>51</v>
      </c>
      <c r="C103" s="4" t="s">
        <v>128</v>
      </c>
      <c r="D103" s="1" t="s">
        <v>95</v>
      </c>
      <c r="E103" s="1" t="str">
        <f>RIGHT(Table1345[[#This Row],[PROJECT TITLE]],6)</f>
        <v>UV0057</v>
      </c>
      <c r="F103" s="10" t="s">
        <v>16</v>
      </c>
      <c r="G103" s="13" t="str">
        <f>VLOOKUP(Table1345[[#This Row],[Eq No]],[1]!Table3[[Eq.No.]:[FY23/34 Acq. Status]],2,FALSE)</f>
        <v>Logistics</v>
      </c>
      <c r="H103" s="12" t="e">
        <f>VLOOKUP(Table1345[[#This Row],[Eq No]],[1]!Table3[[Eq.No.]:[FY23/34 Acq. Status]],3,FALSE)</f>
        <v>#N/A</v>
      </c>
      <c r="I103" s="13" t="str">
        <f>VLOOKUP(Table1345[[#This Row],[Eq No]],[1]!Table3[[Eq.No.]:[FY23/34 Acq. Status]],12,FALSE)</f>
        <v>UV80/Carr/MKIII</v>
      </c>
      <c r="J103" s="13" t="str">
        <f>VLOOKUP(Table1345[[#This Row],[Eq No]],[1]!Table3[[Eq.No.]:[FY23/34 Acq. Status]],17,FALSE)</f>
        <v>UV80/Carr/MKIII</v>
      </c>
      <c r="K103" s="2">
        <v>0</v>
      </c>
      <c r="L103" s="2">
        <v>0</v>
      </c>
      <c r="M103" s="2">
        <v>6906835.6979999999</v>
      </c>
    </row>
    <row r="104" spans="2:13" hidden="1" x14ac:dyDescent="0.25">
      <c r="B104" s="3" t="s">
        <v>51</v>
      </c>
      <c r="C104" s="4" t="s">
        <v>129</v>
      </c>
      <c r="D104" s="1" t="s">
        <v>95</v>
      </c>
      <c r="E104" s="1" t="str">
        <f>RIGHT(Table1345[[#This Row],[PROJECT TITLE]],6)</f>
        <v>UV0084</v>
      </c>
      <c r="F104" s="10" t="s">
        <v>16</v>
      </c>
      <c r="G104" s="13" t="str">
        <f>VLOOKUP(Table1345[[#This Row],[Eq No]],[1]!Table3[[Eq.No.]:[FY23/34 Acq. Status]],2,FALSE)</f>
        <v>Electricians U/G</v>
      </c>
      <c r="H104" s="12">
        <f>VLOOKUP(Table1345[[#This Row],[Eq No]],[1]!Table3[[Eq.No.]:[FY23/34 Acq. Status]],3,FALSE)</f>
        <v>2019</v>
      </c>
      <c r="I104" s="13" t="str">
        <f>VLOOKUP(Table1345[[#This Row],[Eq No]],[1]!Table3[[Eq.No.]:[FY23/34 Acq. Status]],12,FALSE)</f>
        <v>UV80/Scis/Crane</v>
      </c>
      <c r="J104" s="13" t="str">
        <f>VLOOKUP(Table1345[[#This Row],[Eq No]],[1]!Table3[[Eq.No.]:[FY23/34 Acq. Status]],17,FALSE)</f>
        <v>UV80/Scis/Crane</v>
      </c>
      <c r="K104" s="2">
        <v>0</v>
      </c>
      <c r="L104" s="2">
        <v>8306390.9119999995</v>
      </c>
      <c r="M104" s="2">
        <v>0</v>
      </c>
    </row>
    <row r="105" spans="2:13" hidden="1" x14ac:dyDescent="0.25">
      <c r="B105" s="3" t="s">
        <v>51</v>
      </c>
      <c r="C105" s="4" t="s">
        <v>130</v>
      </c>
      <c r="D105" s="1" t="s">
        <v>95</v>
      </c>
      <c r="E105" s="1" t="str">
        <f>RIGHT(Table1345[[#This Row],[PROJECT TITLE]],6)</f>
        <v>UV0108</v>
      </c>
      <c r="F105" s="10" t="s">
        <v>16</v>
      </c>
      <c r="G105" s="13" t="str">
        <f>VLOOKUP(Table1345[[#This Row],[Eq No]],[1]!Table3[[Eq.No.]:[FY23/34 Acq. Status]],2,FALSE)</f>
        <v>Mining</v>
      </c>
      <c r="H105" s="12">
        <f>VLOOKUP(Table1345[[#This Row],[Eq No]],[1]!Table3[[Eq.No.]:[FY23/34 Acq. Status]],3,FALSE)</f>
        <v>2018</v>
      </c>
      <c r="I105" s="13" t="str">
        <f>VLOOKUP(Table1345[[#This Row],[Eq No]],[1]!Table3[[Eq.No.]:[FY23/34 Acq. Status]],12,FALSE)</f>
        <v>UV80/EmulCarr/+Crn</v>
      </c>
      <c r="J105" s="13" t="str">
        <f>VLOOKUP(Table1345[[#This Row],[Eq No]],[1]!Table3[[Eq.No.]:[FY23/34 Acq. Status]],17,FALSE)</f>
        <v>UV80 Emul Char</v>
      </c>
      <c r="K105" s="2">
        <v>0</v>
      </c>
      <c r="L105" s="2">
        <v>9051350.9120000005</v>
      </c>
      <c r="M105" s="2">
        <v>0</v>
      </c>
    </row>
    <row r="106" spans="2:13" hidden="1" x14ac:dyDescent="0.25">
      <c r="B106" s="3" t="s">
        <v>51</v>
      </c>
      <c r="C106" s="4" t="s">
        <v>131</v>
      </c>
      <c r="D106" s="1" t="s">
        <v>95</v>
      </c>
      <c r="E106" s="1" t="str">
        <f>RIGHT(Table1345[[#This Row],[PROJECT TITLE]],6)</f>
        <v>UV0118</v>
      </c>
      <c r="F106" s="10" t="s">
        <v>16</v>
      </c>
      <c r="G106" s="13" t="str">
        <f>VLOOKUP(Table1345[[#This Row],[Eq No]],[1]!Table3[[Eq.No.]:[FY23/34 Acq. Status]],2,FALSE)</f>
        <v>Logistics</v>
      </c>
      <c r="H106" s="12">
        <f>VLOOKUP(Table1345[[#This Row],[Eq No]],[1]!Table3[[Eq.No.]:[FY23/34 Acq. Status]],3,FALSE)</f>
        <v>2021</v>
      </c>
      <c r="I106" s="13" t="str">
        <f>VLOOKUP(Table1345[[#This Row],[Eq No]],[1]!Table3[[Eq.No.]:[FY23/34 Acq. Status]],12,FALSE)</f>
        <v>RORO</v>
      </c>
      <c r="J106" s="13" t="str">
        <f>VLOOKUP(Table1345[[#This Row],[Eq No]],[1]!Table3[[Eq.No.]:[FY23/34 Acq. Status]],17,FALSE)</f>
        <v>RORO</v>
      </c>
      <c r="K106" s="2">
        <v>0</v>
      </c>
      <c r="L106" s="2">
        <v>0</v>
      </c>
      <c r="M106" s="2">
        <v>8357729.269452001</v>
      </c>
    </row>
    <row r="107" spans="2:13" hidden="1" x14ac:dyDescent="0.25">
      <c r="B107" s="3" t="s">
        <v>51</v>
      </c>
      <c r="C107" s="4" t="s">
        <v>132</v>
      </c>
      <c r="D107" s="1" t="s">
        <v>95</v>
      </c>
      <c r="E107" s="1" t="str">
        <f>RIGHT(Table1345[[#This Row],[PROJECT TITLE]],6)</f>
        <v>UV0119</v>
      </c>
      <c r="F107" s="10" t="s">
        <v>16</v>
      </c>
      <c r="G107" s="13" t="str">
        <f>VLOOKUP(Table1345[[#This Row],[Eq No]],[1]!Table3[[Eq.No.]:[FY23/34 Acq. Status]],2,FALSE)</f>
        <v>Logistics</v>
      </c>
      <c r="H107" s="12">
        <f>VLOOKUP(Table1345[[#This Row],[Eq No]],[1]!Table3[[Eq.No.]:[FY23/34 Acq. Status]],3,FALSE)</f>
        <v>2020</v>
      </c>
      <c r="I107" s="13" t="str">
        <f>VLOOKUP(Table1345[[#This Row],[Eq No]],[1]!Table3[[Eq.No.]:[FY23/34 Acq. Status]],12,FALSE)</f>
        <v>PLACER</v>
      </c>
      <c r="J107" s="13" t="str">
        <f>VLOOKUP(Table1345[[#This Row],[Eq No]],[1]!Table3[[Eq.No.]:[FY23/34 Acq. Status]],17,FALSE)</f>
        <v>roro</v>
      </c>
      <c r="K107" s="2">
        <v>0</v>
      </c>
      <c r="L107" s="2">
        <v>0</v>
      </c>
      <c r="M107" s="2">
        <v>8357729.269452001</v>
      </c>
    </row>
    <row r="108" spans="2:13" hidden="1" x14ac:dyDescent="0.25">
      <c r="B108" s="3" t="s">
        <v>51</v>
      </c>
      <c r="C108" s="4" t="s">
        <v>133</v>
      </c>
      <c r="D108" s="1" t="s">
        <v>39</v>
      </c>
      <c r="E108" s="1" t="str">
        <f>RIGHT(Table1345[[#This Row],[PROJECT TITLE]],6)</f>
        <v>DT0118</v>
      </c>
      <c r="F108" s="10" t="s">
        <v>29</v>
      </c>
      <c r="G108" s="13" t="str">
        <f>VLOOKUP(Table1345[[#This Row],[Eq No]],[1]!Table3[[Eq.No.]:[FY23/34 Acq. Status]],2,FALSE)</f>
        <v>Load &amp; Haul</v>
      </c>
      <c r="H108" s="12">
        <f>VLOOKUP(Table1345[[#This Row],[Eq No]],[1]!Table3[[Eq.No.]:[FY23/34 Acq. Status]],3,FALSE)</f>
        <v>2017</v>
      </c>
      <c r="I108" s="13" t="str">
        <f>VLOOKUP(Table1345[[#This Row],[Eq No]],[1]!Table3[[Eq.No.]:[FY23/34 Acq. Status]],12,FALSE)</f>
        <v>Elphinstone AD30</v>
      </c>
      <c r="J108" s="13" t="str">
        <f>VLOOKUP(Table1345[[#This Row],[Eq No]],[1]!Table3[[Eq.No.]:[FY23/34 Acq. Status]],17,FALSE)</f>
        <v>MT42B</v>
      </c>
      <c r="K108" s="2">
        <v>0</v>
      </c>
      <c r="L108" s="2">
        <v>0</v>
      </c>
      <c r="M108" s="2">
        <v>34808580.048799999</v>
      </c>
    </row>
    <row r="109" spans="2:13" hidden="1" x14ac:dyDescent="0.25">
      <c r="B109" s="3" t="s">
        <v>51</v>
      </c>
      <c r="C109" s="4" t="s">
        <v>134</v>
      </c>
      <c r="D109" s="1" t="s">
        <v>39</v>
      </c>
      <c r="E109" s="1" t="str">
        <f>RIGHT(Table1345[[#This Row],[PROJECT TITLE]],6)</f>
        <v>DT0145</v>
      </c>
      <c r="F109" s="10" t="s">
        <v>29</v>
      </c>
      <c r="G109" s="13" t="str">
        <f>VLOOKUP(Table1345[[#This Row],[Eq No]],[1]!Table3[[Eq.No.]:[FY23/34 Acq. Status]],2,FALSE)</f>
        <v>Load &amp; Haul</v>
      </c>
      <c r="H109" s="12">
        <f>VLOOKUP(Table1345[[#This Row],[Eq No]],[1]!Table3[[Eq.No.]:[FY23/34 Acq. Status]],3,FALSE)</f>
        <v>2020</v>
      </c>
      <c r="I109" s="13" t="str">
        <f>VLOOKUP(Table1345[[#This Row],[Eq No]],[1]!Table3[[Eq.No.]:[FY23/34 Acq. Status]],12,FALSE)</f>
        <v>Elphinstone AD45</v>
      </c>
      <c r="J109" s="13" t="str">
        <f>VLOOKUP(Table1345[[#This Row],[Eq No]],[1]!Table3[[Eq.No.]:[FY23/34 Acq. Status]],17,FALSE)</f>
        <v>MT42B</v>
      </c>
      <c r="K109" s="2">
        <v>0</v>
      </c>
      <c r="L109" s="2">
        <v>33727433.267200001</v>
      </c>
      <c r="M109" s="2">
        <v>0</v>
      </c>
    </row>
    <row r="110" spans="2:13" hidden="1" x14ac:dyDescent="0.25">
      <c r="B110" s="3" t="s">
        <v>51</v>
      </c>
      <c r="C110" s="4" t="s">
        <v>135</v>
      </c>
      <c r="D110" s="1" t="s">
        <v>39</v>
      </c>
      <c r="E110" s="1" t="str">
        <f>RIGHT(Table1345[[#This Row],[PROJECT TITLE]],6)</f>
        <v>DT0148</v>
      </c>
      <c r="F110" s="10" t="s">
        <v>29</v>
      </c>
      <c r="G110" s="13" t="str">
        <f>VLOOKUP(Table1345[[#This Row],[Eq No]],[1]!Table3[[Eq.No.]:[FY23/34 Acq. Status]],2,FALSE)</f>
        <v>Load &amp; Haul</v>
      </c>
      <c r="H110" s="12">
        <f>VLOOKUP(Table1345[[#This Row],[Eq No]],[1]!Table3[[Eq.No.]:[FY23/34 Acq. Status]],3,FALSE)</f>
        <v>2020</v>
      </c>
      <c r="I110" s="13" t="str">
        <f>VLOOKUP(Table1345[[#This Row],[Eq No]],[1]!Table3[[Eq.No.]:[FY23/34 Acq. Status]],12,FALSE)</f>
        <v>Elphinstone AD45</v>
      </c>
      <c r="J110" s="13" t="str">
        <f>VLOOKUP(Table1345[[#This Row],[Eq No]],[1]!Table3[[Eq.No.]:[FY23/34 Acq. Status]],17,FALSE)</f>
        <v>MT42B</v>
      </c>
      <c r="K110" s="2">
        <v>0</v>
      </c>
      <c r="L110" s="2">
        <v>0</v>
      </c>
      <c r="M110" s="2">
        <v>34808580.048799999</v>
      </c>
    </row>
    <row r="111" spans="2:13" hidden="1" x14ac:dyDescent="0.25">
      <c r="B111" s="3" t="s">
        <v>51</v>
      </c>
      <c r="C111" s="4" t="s">
        <v>136</v>
      </c>
      <c r="D111" s="1" t="s">
        <v>7</v>
      </c>
      <c r="E111" s="1" t="str">
        <f>RIGHT(Table1345[[#This Row],[PROJECT TITLE]],6)</f>
        <v>FL0091</v>
      </c>
      <c r="F111" s="10" t="s">
        <v>29</v>
      </c>
      <c r="G111" s="13" t="str">
        <f>VLOOKUP(Table1345[[#This Row],[Eq No]],[1]!Table3[[Eq.No.]:[FY23/34 Acq. Status]],2,FALSE)</f>
        <v>Load &amp; Haul</v>
      </c>
      <c r="H111" s="12">
        <f>VLOOKUP(Table1345[[#This Row],[Eq No]],[1]!Table3[[Eq.No.]:[FY23/34 Acq. Status]],3,FALSE)</f>
        <v>2019</v>
      </c>
      <c r="I111" s="13" t="str">
        <f>VLOOKUP(Table1345[[#This Row],[Eq No]],[1]!Table3[[Eq.No.]:[FY23/34 Acq. Status]],12,FALSE)</f>
        <v>ST14</v>
      </c>
      <c r="J111" s="13" t="str">
        <f>VLOOKUP(Table1345[[#This Row],[Eq No]],[1]!Table3[[Eq.No.]:[FY23/34 Acq. Status]],17,FALSE)</f>
        <v>ST14B</v>
      </c>
      <c r="K111" s="2">
        <v>0</v>
      </c>
      <c r="L111" s="2">
        <v>31066169.203199998</v>
      </c>
      <c r="M111" s="2">
        <v>0</v>
      </c>
    </row>
    <row r="112" spans="2:13" hidden="1" x14ac:dyDescent="0.25">
      <c r="B112" s="3" t="s">
        <v>51</v>
      </c>
      <c r="C112" s="4" t="s">
        <v>137</v>
      </c>
      <c r="D112" s="1" t="s">
        <v>7</v>
      </c>
      <c r="E112" s="1" t="str">
        <f>RIGHT(Table1345[[#This Row],[PROJECT TITLE]],6)</f>
        <v>FL0101</v>
      </c>
      <c r="F112" s="10" t="s">
        <v>29</v>
      </c>
      <c r="G112" s="13" t="str">
        <f>VLOOKUP(Table1345[[#This Row],[Eq No]],[1]!Table3[[Eq.No.]:[FY23/34 Acq. Status]],2,FALSE)</f>
        <v>Load &amp; Haul</v>
      </c>
      <c r="H112" s="12">
        <f>VLOOKUP(Table1345[[#This Row],[Eq No]],[1]!Table3[[Eq.No.]:[FY23/34 Acq. Status]],3,FALSE)</f>
        <v>2021</v>
      </c>
      <c r="I112" s="13" t="str">
        <f>VLOOKUP(Table1345[[#This Row],[Eq No]],[1]!Table3[[Eq.No.]:[FY23/34 Acq. Status]],12,FALSE)</f>
        <v>ST14</v>
      </c>
      <c r="J112" s="13" t="str">
        <f>VLOOKUP(Table1345[[#This Row],[Eq No]],[1]!Table3[[Eq.No.]:[FY23/34 Acq. Status]],17,FALSE)</f>
        <v>ST14B</v>
      </c>
      <c r="K112" s="2">
        <v>0</v>
      </c>
      <c r="L112" s="2">
        <v>0</v>
      </c>
      <c r="M112" s="2">
        <v>32062008.0678</v>
      </c>
    </row>
    <row r="113" spans="2:13" hidden="1" x14ac:dyDescent="0.25">
      <c r="B113" s="3" t="s">
        <v>51</v>
      </c>
      <c r="C113" s="4" t="s">
        <v>138</v>
      </c>
      <c r="D113" s="1" t="s">
        <v>119</v>
      </c>
      <c r="E113" s="1" t="str">
        <f>RIGHT(Table1345[[#This Row],[PROJECT TITLE]],6)</f>
        <v>HD0049</v>
      </c>
      <c r="F113" s="10" t="s">
        <v>29</v>
      </c>
      <c r="G113" s="13" t="str">
        <f>VLOOKUP(Table1345[[#This Row],[Eq No]],[1]!Table3[[Eq.No.]:[FY23/34 Acq. Status]],2,FALSE)</f>
        <v>SEAM 2 Section</v>
      </c>
      <c r="H113" s="12">
        <f>VLOOKUP(Table1345[[#This Row],[Eq No]],[1]!Table3[[Eq.No.]:[FY23/34 Acq. Status]],3,FALSE)</f>
        <v>2019</v>
      </c>
      <c r="I113" s="13" t="str">
        <f>VLOOKUP(Table1345[[#This Row],[Eq No]],[1]!Table3[[Eq.No.]:[FY23/34 Acq. Status]],12,FALSE)</f>
        <v>EPIROC S2</v>
      </c>
      <c r="J113" s="13" t="str">
        <f>VLOOKUP(Table1345[[#This Row],[Eq No]],[1]!Table3[[Eq.No.]:[FY23/34 Acq. Status]],17,FALSE)</f>
        <v>EPIROC S2</v>
      </c>
      <c r="K113" s="2">
        <v>0</v>
      </c>
      <c r="L113" s="2">
        <v>28291717.158399999</v>
      </c>
      <c r="M113" s="2">
        <v>0</v>
      </c>
    </row>
    <row r="114" spans="2:13" hidden="1" x14ac:dyDescent="0.25">
      <c r="B114" s="3" t="s">
        <v>51</v>
      </c>
      <c r="C114" s="4" t="s">
        <v>139</v>
      </c>
      <c r="D114" s="1" t="s">
        <v>119</v>
      </c>
      <c r="E114" s="1" t="str">
        <f>RIGHT(Table1345[[#This Row],[PROJECT TITLE]],6)</f>
        <v>HD0050</v>
      </c>
      <c r="F114" s="10" t="s">
        <v>29</v>
      </c>
      <c r="G114" s="13" t="str">
        <f>VLOOKUP(Table1345[[#This Row],[Eq No]],[1]!Table3[[Eq.No.]:[FY23/34 Acq. Status]],2,FALSE)</f>
        <v>SEAM 2 Section</v>
      </c>
      <c r="H114" s="12">
        <f>VLOOKUP(Table1345[[#This Row],[Eq No]],[1]!Table3[[Eq.No.]:[FY23/34 Acq. Status]],3,FALSE)</f>
        <v>2019</v>
      </c>
      <c r="I114" s="13" t="str">
        <f>VLOOKUP(Table1345[[#This Row],[Eq No]],[1]!Table3[[Eq.No.]:[FY23/34 Acq. Status]],12,FALSE)</f>
        <v>EPIROC S2</v>
      </c>
      <c r="J114" s="13" t="str">
        <f>VLOOKUP(Table1345[[#This Row],[Eq No]],[1]!Table3[[Eq.No.]:[FY23/34 Acq. Status]],17,FALSE)</f>
        <v>EPIROC S2</v>
      </c>
      <c r="K114" s="2">
        <v>0</v>
      </c>
      <c r="L114" s="2">
        <v>28291717.158399999</v>
      </c>
      <c r="M114" s="2">
        <v>0</v>
      </c>
    </row>
    <row r="115" spans="2:13" hidden="1" x14ac:dyDescent="0.25">
      <c r="B115" s="3" t="s">
        <v>51</v>
      </c>
      <c r="C115" s="4" t="s">
        <v>140</v>
      </c>
      <c r="D115" s="1" t="s">
        <v>119</v>
      </c>
      <c r="E115" s="1" t="str">
        <f>RIGHT(Table1345[[#This Row],[PROJECT TITLE]],6)</f>
        <v>HD0051</v>
      </c>
      <c r="F115" s="10" t="s">
        <v>29</v>
      </c>
      <c r="G115" s="13" t="str">
        <f>VLOOKUP(Table1345[[#This Row],[Eq No]],[1]!Table3[[Eq.No.]:[FY23/34 Acq. Status]],2,FALSE)</f>
        <v>Drill &amp; Blast</v>
      </c>
      <c r="H115" s="12">
        <f>VLOOKUP(Table1345[[#This Row],[Eq No]],[1]!Table3[[Eq.No.]:[FY23/34 Acq. Status]],3,FALSE)</f>
        <v>2019</v>
      </c>
      <c r="I115" s="13" t="str">
        <f>VLOOKUP(Table1345[[#This Row],[Eq No]],[1]!Table3[[Eq.No.]:[FY23/34 Acq. Status]],12,FALSE)</f>
        <v>EPIROC S2</v>
      </c>
      <c r="J115" s="13" t="str">
        <f>VLOOKUP(Table1345[[#This Row],[Eq No]],[1]!Table3[[Eq.No.]:[FY23/34 Acq. Status]],17,FALSE)</f>
        <v>EPIROC S2</v>
      </c>
      <c r="K115" s="2">
        <v>0</v>
      </c>
      <c r="L115" s="2">
        <v>0</v>
      </c>
      <c r="M115" s="2">
        <v>29198619.818599999</v>
      </c>
    </row>
    <row r="116" spans="2:13" hidden="1" x14ac:dyDescent="0.25">
      <c r="B116" s="3" t="s">
        <v>51</v>
      </c>
      <c r="C116" s="4" t="s">
        <v>141</v>
      </c>
      <c r="D116" s="1" t="s">
        <v>119</v>
      </c>
      <c r="E116" s="1" t="str">
        <f>RIGHT(Table1345[[#This Row],[PROJECT TITLE]],6)</f>
        <v>HD0052</v>
      </c>
      <c r="F116" s="10" t="s">
        <v>29</v>
      </c>
      <c r="G116" s="13" t="str">
        <f>VLOOKUP(Table1345[[#This Row],[Eq No]],[1]!Table3[[Eq.No.]:[FY23/34 Acq. Status]],2,FALSE)</f>
        <v>Central Section</v>
      </c>
      <c r="H116" s="12">
        <f>VLOOKUP(Table1345[[#This Row],[Eq No]],[1]!Table3[[Eq.No.]:[FY23/34 Acq. Status]],3,FALSE)</f>
        <v>2019</v>
      </c>
      <c r="I116" s="13" t="str">
        <f>VLOOKUP(Table1345[[#This Row],[Eq No]],[1]!Table3[[Eq.No.]:[FY23/34 Acq. Status]],12,FALSE)</f>
        <v>EPIROC S2</v>
      </c>
      <c r="J116" s="13" t="str">
        <f>VLOOKUP(Table1345[[#This Row],[Eq No]],[1]!Table3[[Eq.No.]:[FY23/34 Acq. Status]],17,FALSE)</f>
        <v>EPIROC S2</v>
      </c>
      <c r="K116" s="2">
        <v>0</v>
      </c>
      <c r="L116" s="2">
        <v>0</v>
      </c>
      <c r="M116" s="2">
        <v>29198619.818599999</v>
      </c>
    </row>
    <row r="117" spans="2:13" hidden="1" x14ac:dyDescent="0.25">
      <c r="B117" s="3" t="s">
        <v>51</v>
      </c>
      <c r="C117" s="4" t="s">
        <v>142</v>
      </c>
      <c r="D117" s="1" t="s">
        <v>21</v>
      </c>
      <c r="E117" s="1" t="str">
        <f>RIGHT(Table1345[[#This Row],[PROJECT TITLE]],6)</f>
        <v>LD0401</v>
      </c>
      <c r="F117" s="10" t="s">
        <v>29</v>
      </c>
      <c r="G117" s="13">
        <f>VLOOKUP(Table1345[[#This Row],[Eq No]],[1]!Table3[[Eq.No.]:[FY23/34 Acq. Status]],2,FALSE)</f>
        <v>0</v>
      </c>
      <c r="H117" s="12">
        <f>VLOOKUP(Table1345[[#This Row],[Eq No]],[1]!Table3[[Eq.No.]:[FY23/34 Acq. Status]],3,FALSE)</f>
        <v>2017</v>
      </c>
      <c r="I117" s="13" t="str">
        <f>VLOOKUP(Table1345[[#This Row],[Eq No]],[1]!Table3[[Eq.No.]:[FY23/34 Acq. Status]],12,FALSE)</f>
        <v>D/Cab Maverick</v>
      </c>
      <c r="J117" s="13" t="str">
        <f>VLOOKUP(Table1345[[#This Row],[Eq No]],[1]!Table3[[Eq.No.]:[FY23/34 Acq. Status]],17,FALSE)</f>
        <v>L/Cruiser 4x4 (Converted to UG Spec)</v>
      </c>
      <c r="K117" s="2">
        <v>0</v>
      </c>
      <c r="L117" s="2">
        <v>0</v>
      </c>
      <c r="M117" s="2">
        <v>3760306.4600920002</v>
      </c>
    </row>
    <row r="118" spans="2:13" hidden="1" x14ac:dyDescent="0.25">
      <c r="B118" s="3" t="s">
        <v>51</v>
      </c>
      <c r="C118" s="4" t="s">
        <v>143</v>
      </c>
      <c r="D118" s="1" t="s">
        <v>21</v>
      </c>
      <c r="E118" s="1" t="str">
        <f>RIGHT(Table1345[[#This Row],[PROJECT TITLE]],6)</f>
        <v>LD0405</v>
      </c>
      <c r="F118" s="10" t="s">
        <v>29</v>
      </c>
      <c r="G118" s="13">
        <f>VLOOKUP(Table1345[[#This Row],[Eq No]],[1]!Table3[[Eq.No.]:[FY23/34 Acq. Status]],2,FALSE)</f>
        <v>0</v>
      </c>
      <c r="H118" s="12">
        <f>VLOOKUP(Table1345[[#This Row],[Eq No]],[1]!Table3[[Eq.No.]:[FY23/34 Acq. Status]],3,FALSE)</f>
        <v>2017</v>
      </c>
      <c r="I118" s="13" t="str">
        <f>VLOOKUP(Table1345[[#This Row],[Eq No]],[1]!Table3[[Eq.No.]:[FY23/34 Acq. Status]],12,FALSE)</f>
        <v>D/Cab Maverick</v>
      </c>
      <c r="J118" s="13" t="str">
        <f>VLOOKUP(Table1345[[#This Row],[Eq No]],[1]!Table3[[Eq.No.]:[FY23/34 Acq. Status]],17,FALSE)</f>
        <v>L/Cruiser 4x4 (Converted to UG Spec)</v>
      </c>
      <c r="K118" s="2">
        <v>0</v>
      </c>
      <c r="L118" s="2">
        <v>0</v>
      </c>
      <c r="M118" s="2">
        <v>3760306.4600920002</v>
      </c>
    </row>
    <row r="119" spans="2:13" hidden="1" x14ac:dyDescent="0.25">
      <c r="B119" s="3" t="s">
        <v>51</v>
      </c>
      <c r="C119" s="4" t="s">
        <v>144</v>
      </c>
      <c r="D119" s="1" t="s">
        <v>21</v>
      </c>
      <c r="E119" s="1" t="str">
        <f>RIGHT(Table1345[[#This Row],[PROJECT TITLE]],6)</f>
        <v>LD0445</v>
      </c>
      <c r="F119" s="10" t="s">
        <v>29</v>
      </c>
      <c r="G119" s="13">
        <f>VLOOKUP(Table1345[[#This Row],[Eq No]],[1]!Table3[[Eq.No.]:[FY23/34 Acq. Status]],2,FALSE)</f>
        <v>0</v>
      </c>
      <c r="H119" s="12">
        <f>VLOOKUP(Table1345[[#This Row],[Eq No]],[1]!Table3[[Eq.No.]:[FY23/34 Acq. Status]],3,FALSE)</f>
        <v>2017</v>
      </c>
      <c r="I119" s="13" t="str">
        <f>VLOOKUP(Table1345[[#This Row],[Eq No]],[1]!Table3[[Eq.No.]:[FY23/34 Acq. Status]],12,FALSE)</f>
        <v>D/Cab Maverick</v>
      </c>
      <c r="J119" s="13" t="str">
        <f>VLOOKUP(Table1345[[#This Row],[Eq No]],[1]!Table3[[Eq.No.]:[FY23/34 Acq. Status]],17,FALSE)</f>
        <v>L/Cruiser 4x4 (Converted to UG Spec)</v>
      </c>
      <c r="K119" s="2">
        <v>0</v>
      </c>
      <c r="L119" s="2">
        <v>3643512.1748480005</v>
      </c>
      <c r="M119" s="2">
        <v>0</v>
      </c>
    </row>
    <row r="120" spans="2:13" hidden="1" x14ac:dyDescent="0.25">
      <c r="B120" s="3" t="s">
        <v>51</v>
      </c>
      <c r="C120" s="4" t="s">
        <v>145</v>
      </c>
      <c r="D120" s="1" t="s">
        <v>21</v>
      </c>
      <c r="E120" s="1" t="str">
        <f>RIGHT(Table1345[[#This Row],[PROJECT TITLE]],6)</f>
        <v>LD0452</v>
      </c>
      <c r="F120" s="10" t="s">
        <v>29</v>
      </c>
      <c r="G120" s="13">
        <f>VLOOKUP(Table1345[[#This Row],[Eq No]],[1]!Table3[[Eq.No.]:[FY23/34 Acq. Status]],2,FALSE)</f>
        <v>0</v>
      </c>
      <c r="H120" s="12">
        <f>VLOOKUP(Table1345[[#This Row],[Eq No]],[1]!Table3[[Eq.No.]:[FY23/34 Acq. Status]],3,FALSE)</f>
        <v>2017</v>
      </c>
      <c r="I120" s="13" t="str">
        <f>VLOOKUP(Table1345[[#This Row],[Eq No]],[1]!Table3[[Eq.No.]:[FY23/34 Acq. Status]],12,FALSE)</f>
        <v>D/Cab Maverick</v>
      </c>
      <c r="J120" s="13" t="str">
        <f>VLOOKUP(Table1345[[#This Row],[Eq No]],[1]!Table3[[Eq.No.]:[FY23/34 Acq. Status]],17,FALSE)</f>
        <v>L/Cruiser 4x4 (Converted to UG Spec)</v>
      </c>
      <c r="K120" s="2">
        <v>0</v>
      </c>
      <c r="L120" s="2">
        <v>0</v>
      </c>
      <c r="M120" s="2">
        <v>3760306.4600920002</v>
      </c>
    </row>
    <row r="121" spans="2:13" hidden="1" x14ac:dyDescent="0.25">
      <c r="B121" s="3" t="s">
        <v>51</v>
      </c>
      <c r="C121" s="4" t="s">
        <v>146</v>
      </c>
      <c r="D121" s="1" t="s">
        <v>21</v>
      </c>
      <c r="E121" s="1" t="str">
        <f>RIGHT(Table1345[[#This Row],[PROJECT TITLE]],6)</f>
        <v>LD0512</v>
      </c>
      <c r="F121" s="10" t="s">
        <v>29</v>
      </c>
      <c r="G121" s="13">
        <f>VLOOKUP(Table1345[[#This Row],[Eq No]],[1]!Table3[[Eq.No.]:[FY23/34 Acq. Status]],2,FALSE)</f>
        <v>0</v>
      </c>
      <c r="H121" s="12">
        <f>VLOOKUP(Table1345[[#This Row],[Eq No]],[1]!Table3[[Eq.No.]:[FY23/34 Acq. Status]],3,FALSE)</f>
        <v>2019</v>
      </c>
      <c r="I121" s="13" t="str">
        <f>VLOOKUP(Table1345[[#This Row],[Eq No]],[1]!Table3[[Eq.No.]:[FY23/34 Acq. Status]],12,FALSE)</f>
        <v>D/Cab Maverick</v>
      </c>
      <c r="J121" s="13" t="str">
        <f>VLOOKUP(Table1345[[#This Row],[Eq No]],[1]!Table3[[Eq.No.]:[FY23/34 Acq. Status]],17,FALSE)</f>
        <v>L/Cruiser 4x4 (Converted to UG Spec)</v>
      </c>
      <c r="K121" s="2">
        <v>0</v>
      </c>
      <c r="L121" s="2">
        <v>3643512.1748480005</v>
      </c>
      <c r="M121" s="2">
        <v>0</v>
      </c>
    </row>
    <row r="122" spans="2:13" hidden="1" x14ac:dyDescent="0.25">
      <c r="B122" s="3" t="s">
        <v>51</v>
      </c>
      <c r="C122" s="4" t="s">
        <v>147</v>
      </c>
      <c r="D122" s="1" t="s">
        <v>28</v>
      </c>
      <c r="E122" s="1" t="str">
        <f>RIGHT(Table1345[[#This Row],[PROJECT TITLE]],6)</f>
        <v>RT0044</v>
      </c>
      <c r="F122" s="10" t="s">
        <v>29</v>
      </c>
      <c r="G122" s="13" t="str">
        <f>VLOOKUP(Table1345[[#This Row],[Eq No]],[1]!Table3[[Eq.No.]:[FY23/34 Acq. Status]],2,FALSE)</f>
        <v>N3</v>
      </c>
      <c r="H122" s="12">
        <f>VLOOKUP(Table1345[[#This Row],[Eq No]],[1]!Table3[[Eq.No.]:[FY23/34 Acq. Status]],3,FALSE)</f>
        <v>2018</v>
      </c>
      <c r="I122" s="13" t="str">
        <f>VLOOKUP(Table1345[[#This Row],[Eq No]],[1]!Table3[[Eq.No.]:[FY23/34 Acq. Status]],12,FALSE)</f>
        <v>Boltec 235H</v>
      </c>
      <c r="J122" s="13" t="str">
        <f>VLOOKUP(Table1345[[#This Row],[Eq No]],[1]!Table3[[Eq.No.]:[FY23/34 Acq. Status]],17,FALSE)</f>
        <v>Boltec 235H</v>
      </c>
      <c r="K122" s="2">
        <v>0</v>
      </c>
      <c r="L122" s="2">
        <v>0</v>
      </c>
      <c r="M122" s="2">
        <v>21325025.483599998</v>
      </c>
    </row>
    <row r="123" spans="2:13" hidden="1" x14ac:dyDescent="0.25">
      <c r="B123" s="3" t="s">
        <v>51</v>
      </c>
      <c r="C123" s="4" t="s">
        <v>148</v>
      </c>
      <c r="D123" s="1" t="s">
        <v>95</v>
      </c>
      <c r="E123" s="1" t="str">
        <f>RIGHT(Table1345[[#This Row],[PROJECT TITLE]],6)</f>
        <v>UV0056</v>
      </c>
      <c r="F123" s="10" t="s">
        <v>29</v>
      </c>
      <c r="G123" s="13">
        <f>VLOOKUP(Table1345[[#This Row],[Eq No]],[1]!Table3[[Eq.No.]:[FY23/34 Acq. Status]],2,FALSE)</f>
        <v>0</v>
      </c>
      <c r="H123" s="12">
        <f>VLOOKUP(Table1345[[#This Row],[Eq No]],[1]!Table3[[Eq.No.]:[FY23/34 Acq. Status]],3,FALSE)</f>
        <v>2016</v>
      </c>
      <c r="I123" s="13" t="str">
        <f>VLOOKUP(Table1345[[#This Row],[Eq No]],[1]!Table3[[Eq.No.]:[FY23/34 Acq. Status]],12,FALSE)</f>
        <v>UV80 Scissor</v>
      </c>
      <c r="J123" s="13" t="str">
        <f>VLOOKUP(Table1345[[#This Row],[Eq No]],[1]!Table3[[Eq.No.]:[FY23/34 Acq. Status]],17,FALSE)</f>
        <v>UV80 Scissor Lift</v>
      </c>
      <c r="K123" s="2">
        <v>0</v>
      </c>
      <c r="L123" s="2">
        <v>8306390.9119999995</v>
      </c>
      <c r="M123" s="2">
        <v>0</v>
      </c>
    </row>
    <row r="124" spans="2:13" hidden="1" x14ac:dyDescent="0.25">
      <c r="B124" s="3" t="s">
        <v>51</v>
      </c>
      <c r="C124" s="4" t="s">
        <v>149</v>
      </c>
      <c r="D124" s="1" t="s">
        <v>95</v>
      </c>
      <c r="E124" s="1" t="str">
        <f>RIGHT(Table1345[[#This Row],[PROJECT TITLE]],6)</f>
        <v>UV0074</v>
      </c>
      <c r="F124" s="10" t="s">
        <v>29</v>
      </c>
      <c r="G124" s="13">
        <f>VLOOKUP(Table1345[[#This Row],[Eq No]],[1]!Table3[[Eq.No.]:[FY23/34 Acq. Status]],2,FALSE)</f>
        <v>0</v>
      </c>
      <c r="H124" s="12">
        <f>VLOOKUP(Table1345[[#This Row],[Eq No]],[1]!Table3[[Eq.No.]:[FY23/34 Acq. Status]],3,FALSE)</f>
        <v>2016</v>
      </c>
      <c r="I124" s="13" t="str">
        <f>VLOOKUP(Table1345[[#This Row],[Eq No]],[1]!Table3[[Eq.No.]:[FY23/34 Acq. Status]],12,FALSE)</f>
        <v>S/Cab Manlift</v>
      </c>
      <c r="J124" s="13" t="str">
        <f>VLOOKUP(Table1345[[#This Row],[Eq No]],[1]!Table3[[Eq.No.]:[FY23/34 Acq. Status]],17,FALSE)</f>
        <v>L/Cruiser 4x4 (Converted to UG Spec)</v>
      </c>
      <c r="K124" s="2">
        <v>0</v>
      </c>
      <c r="L124" s="2">
        <v>0</v>
      </c>
      <c r="M124" s="2">
        <v>3760306.4600920002</v>
      </c>
    </row>
    <row r="125" spans="2:13" hidden="1" x14ac:dyDescent="0.25">
      <c r="B125" s="3" t="s">
        <v>51</v>
      </c>
      <c r="C125" s="4" t="s">
        <v>150</v>
      </c>
      <c r="D125" s="1" t="s">
        <v>95</v>
      </c>
      <c r="E125" s="1" t="str">
        <f>RIGHT(Table1345[[#This Row],[PROJECT TITLE]],6)</f>
        <v>UV0075</v>
      </c>
      <c r="F125" s="10" t="s">
        <v>29</v>
      </c>
      <c r="G125" s="13">
        <f>VLOOKUP(Table1345[[#This Row],[Eq No]],[1]!Table3[[Eq.No.]:[FY23/34 Acq. Status]],2,FALSE)</f>
        <v>0</v>
      </c>
      <c r="H125" s="12">
        <f>VLOOKUP(Table1345[[#This Row],[Eq No]],[1]!Table3[[Eq.No.]:[FY23/34 Acq. Status]],3,FALSE)</f>
        <v>2016</v>
      </c>
      <c r="I125" s="13" t="str">
        <f>VLOOKUP(Table1345[[#This Row],[Eq No]],[1]!Table3[[Eq.No.]:[FY23/34 Acq. Status]],12,FALSE)</f>
        <v>S/Cab Manlift</v>
      </c>
      <c r="J125" s="13" t="str">
        <f>VLOOKUP(Table1345[[#This Row],[Eq No]],[1]!Table3[[Eq.No.]:[FY23/34 Acq. Status]],17,FALSE)</f>
        <v>L/Cruiser 4x4 (Converted to UG Spec)</v>
      </c>
      <c r="K125" s="2">
        <v>0</v>
      </c>
      <c r="L125" s="2">
        <v>0</v>
      </c>
      <c r="M125" s="2">
        <v>3760306.4600920002</v>
      </c>
    </row>
    <row r="126" spans="2:13" hidden="1" x14ac:dyDescent="0.25">
      <c r="B126" s="3" t="s">
        <v>51</v>
      </c>
      <c r="C126" s="4" t="s">
        <v>151</v>
      </c>
      <c r="D126" s="1" t="s">
        <v>95</v>
      </c>
      <c r="E126" s="1" t="str">
        <f>RIGHT(Table1345[[#This Row],[PROJECT TITLE]],6)</f>
        <v>UV0079</v>
      </c>
      <c r="F126" s="10" t="s">
        <v>29</v>
      </c>
      <c r="G126" s="13">
        <f>VLOOKUP(Table1345[[#This Row],[Eq No]],[1]!Table3[[Eq.No.]:[FY23/34 Acq. Status]],2,FALSE)</f>
        <v>0</v>
      </c>
      <c r="H126" s="12">
        <f>VLOOKUP(Table1345[[#This Row],[Eq No]],[1]!Table3[[Eq.No.]:[FY23/34 Acq. Status]],3,FALSE)</f>
        <v>2016</v>
      </c>
      <c r="I126" s="13" t="str">
        <f>VLOOKUP(Table1345[[#This Row],[Eq No]],[1]!Table3[[Eq.No.]:[FY23/34 Acq. Status]],12,FALSE)</f>
        <v>UV80-Liberator</v>
      </c>
      <c r="J126" s="13" t="str">
        <f>VLOOKUP(Table1345[[#This Row],[Eq No]],[1]!Table3[[Eq.No.]:[FY23/34 Acq. Status]],17,FALSE)</f>
        <v>UV80/Carr/MKIII</v>
      </c>
      <c r="K126" s="2">
        <v>0</v>
      </c>
      <c r="L126" s="2">
        <v>0</v>
      </c>
      <c r="M126" s="2">
        <v>6906835.6979999999</v>
      </c>
    </row>
    <row r="127" spans="2:13" hidden="1" x14ac:dyDescent="0.25">
      <c r="B127" s="3" t="s">
        <v>51</v>
      </c>
      <c r="C127" s="4" t="s">
        <v>152</v>
      </c>
      <c r="D127" s="1" t="s">
        <v>95</v>
      </c>
      <c r="E127" s="1" t="str">
        <f>RIGHT(Table1345[[#This Row],[PROJECT TITLE]],6)</f>
        <v>UV0081</v>
      </c>
      <c r="F127" s="10" t="s">
        <v>29</v>
      </c>
      <c r="G127" s="13">
        <f>VLOOKUP(Table1345[[#This Row],[Eq No]],[1]!Table3[[Eq.No.]:[FY23/34 Acq. Status]],2,FALSE)</f>
        <v>0</v>
      </c>
      <c r="H127" s="12">
        <f>VLOOKUP(Table1345[[#This Row],[Eq No]],[1]!Table3[[Eq.No.]:[FY23/34 Acq. Status]],3,FALSE)</f>
        <v>2016</v>
      </c>
      <c r="I127" s="13" t="str">
        <f>VLOOKUP(Table1345[[#This Row],[Eq No]],[1]!Table3[[Eq.No.]:[FY23/34 Acq. Status]],12,FALSE)</f>
        <v>UV80-Liberator</v>
      </c>
      <c r="J127" s="13" t="str">
        <f>VLOOKUP(Table1345[[#This Row],[Eq No]],[1]!Table3[[Eq.No.]:[FY23/34 Acq. Status]],17,FALSE)</f>
        <v>UV80/Carr/MKIII</v>
      </c>
      <c r="K127" s="2">
        <v>0</v>
      </c>
      <c r="L127" s="2">
        <v>0</v>
      </c>
      <c r="M127" s="2">
        <v>6906835.6979999999</v>
      </c>
    </row>
    <row r="128" spans="2:13" hidden="1" x14ac:dyDescent="0.25">
      <c r="B128" s="3" t="s">
        <v>51</v>
      </c>
      <c r="C128" s="4" t="s">
        <v>153</v>
      </c>
      <c r="D128" s="1" t="s">
        <v>39</v>
      </c>
      <c r="E128" s="1" t="str">
        <f>RIGHT(Table1345[[#This Row],[PROJECT TITLE]],6)</f>
        <v>DT0129</v>
      </c>
      <c r="F128" s="10" t="s">
        <v>19</v>
      </c>
      <c r="G128" s="13" t="str">
        <f>VLOOKUP(Table1345[[#This Row],[Eq No]],[1]!Table3[[Eq.No.]:[FY23/34 Acq. Status]],2,FALSE)</f>
        <v>SOT NCH2</v>
      </c>
      <c r="H128" s="12">
        <f>VLOOKUP(Table1345[[#This Row],[Eq No]],[1]!Table3[[Eq.No.]:[FY23/34 Acq. Status]],3,FALSE)</f>
        <v>2018</v>
      </c>
      <c r="I128" s="13" t="str">
        <f>VLOOKUP(Table1345[[#This Row],[Eq No]],[1]!Table3[[Eq.No.]:[FY23/34 Acq. Status]],12,FALSE)</f>
        <v>B50E, 6x6</v>
      </c>
      <c r="J128" s="13" t="str">
        <f>VLOOKUP(Table1345[[#This Row],[Eq No]],[1]!Table3[[Eq.No.]:[FY23/34 Acq. Status]],17,FALSE)</f>
        <v>B50E, 6x6</v>
      </c>
      <c r="K128" s="2">
        <v>0</v>
      </c>
      <c r="L128" s="2">
        <v>13814041.6</v>
      </c>
      <c r="M128" s="2">
        <v>0</v>
      </c>
    </row>
    <row r="129" spans="2:13" hidden="1" x14ac:dyDescent="0.25">
      <c r="B129" s="3" t="s">
        <v>51</v>
      </c>
      <c r="C129" s="4" t="s">
        <v>154</v>
      </c>
      <c r="D129" s="1" t="s">
        <v>39</v>
      </c>
      <c r="E129" s="1" t="str">
        <f>RIGHT(Table1345[[#This Row],[PROJECT TITLE]],6)</f>
        <v>DT0130</v>
      </c>
      <c r="F129" s="10" t="s">
        <v>19</v>
      </c>
      <c r="G129" s="13" t="str">
        <f>VLOOKUP(Table1345[[#This Row],[Eq No]],[1]!Table3[[Eq.No.]:[FY23/34 Acq. Status]],2,FALSE)</f>
        <v>SOT NCH2</v>
      </c>
      <c r="H129" s="12">
        <f>VLOOKUP(Table1345[[#This Row],[Eq No]],[1]!Table3[[Eq.No.]:[FY23/34 Acq. Status]],3,FALSE)</f>
        <v>2018</v>
      </c>
      <c r="I129" s="13" t="str">
        <f>VLOOKUP(Table1345[[#This Row],[Eq No]],[1]!Table3[[Eq.No.]:[FY23/34 Acq. Status]],12,FALSE)</f>
        <v>B50E, 6x6</v>
      </c>
      <c r="J129" s="13" t="str">
        <f>VLOOKUP(Table1345[[#This Row],[Eq No]],[1]!Table3[[Eq.No.]:[FY23/34 Acq. Status]],17,FALSE)</f>
        <v>B50E, 6x6</v>
      </c>
      <c r="K129" s="2">
        <v>0</v>
      </c>
      <c r="L129" s="2">
        <v>13814041.6</v>
      </c>
      <c r="M129" s="2">
        <v>0</v>
      </c>
    </row>
    <row r="130" spans="2:13" hidden="1" x14ac:dyDescent="0.25">
      <c r="B130" s="3" t="s">
        <v>51</v>
      </c>
      <c r="C130" s="4" t="s">
        <v>155</v>
      </c>
      <c r="D130" s="1" t="s">
        <v>39</v>
      </c>
      <c r="E130" s="1" t="str">
        <f>RIGHT(Table1345[[#This Row],[PROJECT TITLE]],6)</f>
        <v>DT0133</v>
      </c>
      <c r="F130" s="10" t="s">
        <v>19</v>
      </c>
      <c r="G130" s="13" t="str">
        <f>VLOOKUP(Table1345[[#This Row],[Eq No]],[1]!Table3[[Eq.No.]:[FY23/34 Acq. Status]],2,FALSE)</f>
        <v>SOT NCH2</v>
      </c>
      <c r="H130" s="12">
        <f>VLOOKUP(Table1345[[#This Row],[Eq No]],[1]!Table3[[Eq.No.]:[FY23/34 Acq. Status]],3,FALSE)</f>
        <v>2019</v>
      </c>
      <c r="I130" s="13" t="str">
        <f>VLOOKUP(Table1345[[#This Row],[Eq No]],[1]!Table3[[Eq.No.]:[FY23/34 Acq. Status]],12,FALSE)</f>
        <v>B50E, 6x6</v>
      </c>
      <c r="J130" s="13" t="str">
        <f>VLOOKUP(Table1345[[#This Row],[Eq No]],[1]!Table3[[Eq.No.]:[FY23/34 Acq. Status]],17,FALSE)</f>
        <v>B50E, 6x6</v>
      </c>
      <c r="K130" s="2">
        <v>0</v>
      </c>
      <c r="L130" s="2">
        <v>0</v>
      </c>
      <c r="M130" s="2">
        <v>14256856.4</v>
      </c>
    </row>
    <row r="131" spans="2:13" hidden="1" x14ac:dyDescent="0.25">
      <c r="B131" s="3" t="s">
        <v>51</v>
      </c>
      <c r="C131" s="4" t="s">
        <v>156</v>
      </c>
      <c r="D131" s="1" t="s">
        <v>39</v>
      </c>
      <c r="E131" s="1" t="str">
        <f>RIGHT(Table1345[[#This Row],[PROJECT TITLE]],6)</f>
        <v>DT0134</v>
      </c>
      <c r="F131" s="10" t="s">
        <v>19</v>
      </c>
      <c r="G131" s="13" t="str">
        <f>VLOOKUP(Table1345[[#This Row],[Eq No]],[1]!Table3[[Eq.No.]:[FY23/34 Acq. Status]],2,FALSE)</f>
        <v>SOT NCH2</v>
      </c>
      <c r="H131" s="12">
        <f>VLOOKUP(Table1345[[#This Row],[Eq No]],[1]!Table3[[Eq.No.]:[FY23/34 Acq. Status]],3,FALSE)</f>
        <v>2019</v>
      </c>
      <c r="I131" s="13" t="str">
        <f>VLOOKUP(Table1345[[#This Row],[Eq No]],[1]!Table3[[Eq.No.]:[FY23/34 Acq. Status]],12,FALSE)</f>
        <v>B50E, 6x6</v>
      </c>
      <c r="J131" s="13" t="str">
        <f>VLOOKUP(Table1345[[#This Row],[Eq No]],[1]!Table3[[Eq.No.]:[FY23/34 Acq. Status]],17,FALSE)</f>
        <v>B50E, 6x6</v>
      </c>
      <c r="K131" s="2">
        <v>0</v>
      </c>
      <c r="L131" s="2">
        <v>0</v>
      </c>
      <c r="M131" s="2">
        <v>14256856.4</v>
      </c>
    </row>
    <row r="132" spans="2:13" hidden="1" x14ac:dyDescent="0.25">
      <c r="B132" s="3" t="s">
        <v>51</v>
      </c>
      <c r="C132" s="4" t="s">
        <v>157</v>
      </c>
      <c r="D132" s="1" t="s">
        <v>39</v>
      </c>
      <c r="E132" s="1" t="str">
        <f>RIGHT(Table1345[[#This Row],[PROJECT TITLE]],6)</f>
        <v>DT0136</v>
      </c>
      <c r="F132" s="10" t="s">
        <v>19</v>
      </c>
      <c r="G132" s="13" t="str">
        <f>VLOOKUP(Table1345[[#This Row],[Eq No]],[1]!Table3[[Eq.No.]:[FY23/34 Acq. Status]],2,FALSE)</f>
        <v>SOT NCH2</v>
      </c>
      <c r="H132" s="12">
        <f>VLOOKUP(Table1345[[#This Row],[Eq No]],[1]!Table3[[Eq.No.]:[FY23/34 Acq. Status]],3,FALSE)</f>
        <v>2019</v>
      </c>
      <c r="I132" s="13" t="str">
        <f>VLOOKUP(Table1345[[#This Row],[Eq No]],[1]!Table3[[Eq.No.]:[FY23/34 Acq. Status]],12,FALSE)</f>
        <v>B50E, 6x6</v>
      </c>
      <c r="J132" s="13" t="str">
        <f>VLOOKUP(Table1345[[#This Row],[Eq No]],[1]!Table3[[Eq.No.]:[FY23/34 Acq. Status]],17,FALSE)</f>
        <v>B50E, 6x6</v>
      </c>
      <c r="K132" s="2">
        <v>0</v>
      </c>
      <c r="L132" s="2">
        <v>0</v>
      </c>
      <c r="M132" s="2">
        <v>14256856.4</v>
      </c>
    </row>
    <row r="133" spans="2:13" hidden="1" x14ac:dyDescent="0.25">
      <c r="B133" s="3" t="s">
        <v>51</v>
      </c>
      <c r="C133" s="4" t="s">
        <v>158</v>
      </c>
      <c r="D133" s="1" t="s">
        <v>39</v>
      </c>
      <c r="E133" s="1" t="str">
        <f>RIGHT(Table1345[[#This Row],[PROJECT TITLE]],6)</f>
        <v>DT0137</v>
      </c>
      <c r="F133" s="10" t="s">
        <v>19</v>
      </c>
      <c r="G133" s="13" t="str">
        <f>VLOOKUP(Table1345[[#This Row],[Eq No]],[1]!Table3[[Eq.No.]:[FY23/34 Acq. Status]],2,FALSE)</f>
        <v>SOT NCH2</v>
      </c>
      <c r="H133" s="12">
        <f>VLOOKUP(Table1345[[#This Row],[Eq No]],[1]!Table3[[Eq.No.]:[FY23/34 Acq. Status]],3,FALSE)</f>
        <v>2019</v>
      </c>
      <c r="I133" s="13" t="str">
        <f>VLOOKUP(Table1345[[#This Row],[Eq No]],[1]!Table3[[Eq.No.]:[FY23/34 Acq. Status]],12,FALSE)</f>
        <v>B50E, 6x6</v>
      </c>
      <c r="J133" s="13" t="str">
        <f>VLOOKUP(Table1345[[#This Row],[Eq No]],[1]!Table3[[Eq.No.]:[FY23/34 Acq. Status]],17,FALSE)</f>
        <v>B50E, 6x6</v>
      </c>
      <c r="K133" s="2">
        <v>0</v>
      </c>
      <c r="L133" s="2">
        <v>0</v>
      </c>
      <c r="M133" s="2">
        <v>14256856.4</v>
      </c>
    </row>
    <row r="134" spans="2:13" hidden="1" x14ac:dyDescent="0.25">
      <c r="B134" s="3" t="s">
        <v>51</v>
      </c>
      <c r="C134" s="4" t="s">
        <v>159</v>
      </c>
      <c r="D134" s="1" t="s">
        <v>13</v>
      </c>
      <c r="E134" s="1" t="str">
        <f>RIGHT(Table1345[[#This Row],[PROJECT TITLE]],6)</f>
        <v>ER0005</v>
      </c>
      <c r="F134" s="10" t="s">
        <v>19</v>
      </c>
      <c r="G134" s="13" t="str">
        <f>VLOOKUP(Table1345[[#This Row],[Eq No]],[1]!Table3[[Eq.No.]:[FY23/34 Acq. Status]],2,FALSE)</f>
        <v>SOT NCH2</v>
      </c>
      <c r="H134" s="12">
        <f>VLOOKUP(Table1345[[#This Row],[Eq No]],[1]!Table3[[Eq.No.]:[FY23/34 Acq. Status]],3,FALSE)</f>
        <v>2017</v>
      </c>
      <c r="I134" s="13" t="str">
        <f>VLOOKUP(Table1345[[#This Row],[Eq No]],[1]!Table3[[Eq.No.]:[FY23/34 Acq. Status]],12,FALSE)</f>
        <v>312D2L (Hyd)</v>
      </c>
      <c r="J134" s="13" t="str">
        <f>VLOOKUP(Table1345[[#This Row],[Eq No]],[1]!Table3[[Eq.No.]:[FY23/34 Acq. Status]],17,FALSE)</f>
        <v>312D2L (Hyd)</v>
      </c>
      <c r="K134" s="2">
        <v>0</v>
      </c>
      <c r="L134" s="2">
        <v>0</v>
      </c>
      <c r="M134" s="2">
        <v>5009539.3510682639</v>
      </c>
    </row>
    <row r="135" spans="2:13" hidden="1" x14ac:dyDescent="0.25">
      <c r="B135" s="3" t="s">
        <v>51</v>
      </c>
      <c r="C135" s="4" t="s">
        <v>160</v>
      </c>
      <c r="D135" s="1" t="s">
        <v>7</v>
      </c>
      <c r="E135" s="1" t="str">
        <f>RIGHT(Table1345[[#This Row],[PROJECT TITLE]],6)</f>
        <v>FL0094</v>
      </c>
      <c r="F135" s="10" t="s">
        <v>19</v>
      </c>
      <c r="G135" s="13" t="str">
        <f>VLOOKUP(Table1345[[#This Row],[Eq No]],[1]!Table3[[Eq.No.]:[FY23/34 Acq. Status]],2,FALSE)</f>
        <v>SOT NCH2</v>
      </c>
      <c r="H135" s="12">
        <f>VLOOKUP(Table1345[[#This Row],[Eq No]],[1]!Table3[[Eq.No.]:[FY23/34 Acq. Status]],3,FALSE)</f>
        <v>2020</v>
      </c>
      <c r="I135" s="13" t="str">
        <f>VLOOKUP(Table1345[[#This Row],[Eq No]],[1]!Table3[[Eq.No.]:[FY23/34 Acq. Status]],12,FALSE)</f>
        <v>L2706E</v>
      </c>
      <c r="J135" s="13" t="str">
        <f>VLOOKUP(Table1345[[#This Row],[Eq No]],[1]!Table3[[Eq.No.]:[FY23/34 Acq. Status]],17,FALSE)</f>
        <v>Caterpillar 966L FEL</v>
      </c>
      <c r="K135" s="2">
        <v>0</v>
      </c>
      <c r="L135" s="2">
        <v>0</v>
      </c>
      <c r="M135" s="2">
        <v>13595654</v>
      </c>
    </row>
    <row r="136" spans="2:13" hidden="1" x14ac:dyDescent="0.25">
      <c r="B136" s="3" t="s">
        <v>51</v>
      </c>
      <c r="C136" s="4" t="s">
        <v>161</v>
      </c>
      <c r="D136" s="1" t="s">
        <v>97</v>
      </c>
      <c r="E136" s="1" t="str">
        <f>RIGHT(Table1345[[#This Row],[PROJECT TITLE]],6)</f>
        <v>GD0010</v>
      </c>
      <c r="F136" s="10" t="s">
        <v>19</v>
      </c>
      <c r="G136" s="13" t="str">
        <f>VLOOKUP(Table1345[[#This Row],[Eq No]],[1]!Table3[[Eq.No.]:[FY23/34 Acq. Status]],2,FALSE)</f>
        <v>SOT NCH2</v>
      </c>
      <c r="H136" s="12">
        <f>VLOOKUP(Table1345[[#This Row],[Eq No]],[1]!Table3[[Eq.No.]:[FY23/34 Acq. Status]],3,FALSE)</f>
        <v>2018</v>
      </c>
      <c r="I136" s="13" t="str">
        <f>VLOOKUP(Table1345[[#This Row],[Eq No]],[1]!Table3[[Eq.No.]:[FY23/34 Acq. Status]],12,FALSE)</f>
        <v>670G</v>
      </c>
      <c r="J136" s="13" t="str">
        <f>VLOOKUP(Table1345[[#This Row],[Eq No]],[1]!Table3[[Eq.No.]:[FY23/34 Acq. Status]],17,FALSE)</f>
        <v>670G</v>
      </c>
      <c r="K136" s="2">
        <v>0</v>
      </c>
      <c r="L136" s="2">
        <v>0</v>
      </c>
      <c r="M136" s="2">
        <v>7873496.6090290016</v>
      </c>
    </row>
    <row r="137" spans="2:13" x14ac:dyDescent="0.25">
      <c r="B137" s="1">
        <v>805120260603</v>
      </c>
      <c r="C137" s="4" t="s">
        <v>162</v>
      </c>
      <c r="D137" s="1" t="s">
        <v>21</v>
      </c>
      <c r="E137" s="1" t="str">
        <f>RIGHT(Table1345[[#This Row],[PROJECT TITLE]],6)</f>
        <v>LD0302</v>
      </c>
      <c r="F137" s="10" t="s">
        <v>19</v>
      </c>
      <c r="G137" s="13" t="str">
        <f>VLOOKUP(Table1345[[#This Row],[Eq No]],[1]!Table3[[Eq.No.]:[FY23/34 Acq. Status]],2,FALSE)</f>
        <v>Mark Makappie</v>
      </c>
      <c r="H137" s="12">
        <f>VLOOKUP(Table1345[[#This Row],[Eq No]],[1]!Table3[[Eq.No.]:[FY23/34 Acq. Status]],3,FALSE)</f>
        <v>2013</v>
      </c>
      <c r="I137" s="13" t="str">
        <f>VLOOKUP(Table1345[[#This Row],[Eq No]],[1]!Table3[[Eq.No.]:[FY23/34 Acq. Status]],12,FALSE)</f>
        <v>4 x 4 (2.5D) D/C</v>
      </c>
      <c r="J137" s="13" t="str">
        <f>VLOOKUP(Table1345[[#This Row],[Eq No]],[1]!Table3[[Eq.No.]:[FY23/34 Acq. Status]],17,FALSE)</f>
        <v>4 x 4 (2.5D) D/C</v>
      </c>
      <c r="K137" s="2">
        <v>1157210.132</v>
      </c>
      <c r="L137" s="2">
        <v>0</v>
      </c>
      <c r="M137" s="2">
        <v>0</v>
      </c>
    </row>
    <row r="138" spans="2:13" hidden="1" x14ac:dyDescent="0.25">
      <c r="B138" s="3" t="s">
        <v>51</v>
      </c>
      <c r="C138" s="4" t="s">
        <v>163</v>
      </c>
      <c r="D138" s="1" t="s">
        <v>18</v>
      </c>
      <c r="E138" s="1" t="str">
        <f>RIGHT(Table1345[[#This Row],[PROJECT TITLE]],6)</f>
        <v>WK1004</v>
      </c>
      <c r="F138" s="10" t="s">
        <v>19</v>
      </c>
      <c r="G138" s="13" t="str">
        <f>VLOOKUP(Table1345[[#This Row],[Eq No]],[1]!Table3[[Eq.No.]:[FY23/34 Acq. Status]],2,FALSE)</f>
        <v>SOT NCH2</v>
      </c>
      <c r="H138" s="12">
        <f>VLOOKUP(Table1345[[#This Row],[Eq No]],[1]!Table3[[Eq.No.]:[FY23/34 Acq. Status]],3,FALSE)</f>
        <v>2018</v>
      </c>
      <c r="I138" s="13" t="str">
        <f>VLOOKUP(Table1345[[#This Row],[Eq No]],[1]!Table3[[Eq.No.]:[FY23/34 Acq. Status]],12,FALSE)</f>
        <v>B30E (27000L)</v>
      </c>
      <c r="J138" s="13" t="str">
        <f>VLOOKUP(Table1345[[#This Row],[Eq No]],[1]!Table3[[Eq.No.]:[FY23/34 Acq. Status]],17,FALSE)</f>
        <v>B30E(27000L)</v>
      </c>
      <c r="K138" s="2">
        <v>0</v>
      </c>
      <c r="L138" s="2">
        <v>0</v>
      </c>
      <c r="M138" s="2">
        <v>10451662.125020597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A2A6-ACCD-4402-A0FB-4C37AA5A753E}">
  <dimension ref="B2:M138"/>
  <sheetViews>
    <sheetView tabSelected="1" workbookViewId="0">
      <selection activeCell="H145" sqref="H145"/>
    </sheetView>
  </sheetViews>
  <sheetFormatPr defaultRowHeight="15" x14ac:dyDescent="0.25"/>
  <cols>
    <col min="1" max="1" width="4.28515625" customWidth="1"/>
    <col min="2" max="2" width="13.42578125" customWidth="1"/>
    <col min="3" max="3" width="24.140625" bestFit="1" customWidth="1"/>
    <col min="4" max="4" width="17.140625" bestFit="1" customWidth="1"/>
    <col min="5" max="5" width="17.140625" customWidth="1"/>
    <col min="6" max="6" width="12.28515625" style="11" customWidth="1"/>
    <col min="7" max="7" width="40.42578125" style="11" bestFit="1" customWidth="1"/>
    <col min="8" max="8" width="12.42578125" style="11" customWidth="1"/>
    <col min="9" max="9" width="24.140625" style="11" customWidth="1"/>
    <col min="10" max="10" width="33" style="11" customWidth="1"/>
    <col min="11" max="13" width="11.5703125" bestFit="1" customWidth="1"/>
  </cols>
  <sheetData>
    <row r="2" spans="2:13" ht="15.75" x14ac:dyDescent="0.25">
      <c r="B2" s="5" t="s">
        <v>0</v>
      </c>
      <c r="C2" s="6" t="s">
        <v>1</v>
      </c>
      <c r="D2" s="6" t="s">
        <v>2</v>
      </c>
      <c r="E2" s="6" t="s">
        <v>164</v>
      </c>
      <c r="F2" s="9" t="s">
        <v>3</v>
      </c>
      <c r="G2" s="9" t="s">
        <v>165</v>
      </c>
      <c r="H2" s="9" t="s">
        <v>166</v>
      </c>
      <c r="I2" s="9" t="s">
        <v>167</v>
      </c>
      <c r="J2" s="9" t="s">
        <v>168</v>
      </c>
      <c r="K2" s="7" t="s">
        <v>4</v>
      </c>
      <c r="L2" s="7" t="s">
        <v>5</v>
      </c>
      <c r="M2" s="7" t="s">
        <v>6</v>
      </c>
    </row>
    <row r="3" spans="2:13" x14ac:dyDescent="0.25">
      <c r="B3" s="1">
        <v>804020260001</v>
      </c>
      <c r="C3" s="1" t="s">
        <v>9</v>
      </c>
      <c r="D3" s="1" t="s">
        <v>10</v>
      </c>
      <c r="E3" s="1" t="str">
        <f>RIGHT(Table13456[[#This Row],[PROJECT TITLE]],6)</f>
        <v>BS0025</v>
      </c>
      <c r="F3" s="10" t="s">
        <v>8</v>
      </c>
      <c r="G3" s="13" t="str">
        <f>VLOOKUP(Table13456[[#This Row],[Eq No]],[1]!Table3[[Eq.No.]:[FY23/34 Acq. Status]],2,FALSE)</f>
        <v>Pool Transport</v>
      </c>
      <c r="H3" s="12">
        <f>VLOOKUP(Table13456[[#This Row],[Eq No]],[1]!Table3[[Eq.No.]:[FY23/34 Acq. Status]],3,FALSE)</f>
        <v>2012</v>
      </c>
      <c r="I3" s="13" t="str">
        <f>VLOOKUP(Table13456[[#This Row],[Eq No]],[1]!Table3[[Eq.No.]:[FY23/34 Acq. Status]],12,FALSE)</f>
        <v>Sprinter 515 CDI, 23 Seat</v>
      </c>
      <c r="J3" s="13" t="str">
        <f>VLOOKUP(Table13456[[#This Row],[Eq No]],[1]!Table3[[Eq.No.]:[FY23/34 Acq. Status]],17,FALSE)</f>
        <v>NCV 515 CDI PVZA</v>
      </c>
      <c r="K3" s="2">
        <v>1082830.5669007734</v>
      </c>
      <c r="L3" s="2">
        <v>0</v>
      </c>
      <c r="M3" s="2">
        <v>0</v>
      </c>
    </row>
    <row r="4" spans="2:13" x14ac:dyDescent="0.25">
      <c r="B4" s="1">
        <v>804020260002</v>
      </c>
      <c r="C4" s="1" t="s">
        <v>11</v>
      </c>
      <c r="D4" s="1" t="s">
        <v>12</v>
      </c>
      <c r="E4" s="1" t="str">
        <f>RIGHT(Table13456[[#This Row],[PROJECT TITLE]],6)</f>
        <v>CB0024</v>
      </c>
      <c r="F4" s="10" t="s">
        <v>8</v>
      </c>
      <c r="G4" s="13" t="str">
        <f>VLOOKUP(Table13456[[#This Row],[Eq No]],[1]!Table3[[Eq.No.]:[FY23/34 Acq. Status]],2,FALSE)</f>
        <v>Pool Transport</v>
      </c>
      <c r="H4" s="12">
        <f>VLOOKUP(Table13456[[#This Row],[Eq No]],[1]!Table3[[Eq.No.]:[FY23/34 Acq. Status]],3,FALSE)</f>
        <v>2012</v>
      </c>
      <c r="I4" s="13" t="str">
        <f>VLOOKUP(Table13456[[#This Row],[Eq No]],[1]!Table3[[Eq.No.]:[FY23/34 Acq. Status]],12,FALSE)</f>
        <v>Combi T5 Caravelle</v>
      </c>
      <c r="J4" s="13" t="str">
        <f>VLOOKUP(Table13456[[#This Row],[Eq No]],[1]!Table3[[Eq.No.]:[FY23/34 Acq. Status]],17,FALSE)</f>
        <v>Combi T5 Caravelle</v>
      </c>
      <c r="K4" s="2">
        <v>1654343.2041145277</v>
      </c>
      <c r="L4" s="2">
        <v>0</v>
      </c>
      <c r="M4" s="2">
        <v>0</v>
      </c>
    </row>
    <row r="5" spans="2:13" hidden="1" x14ac:dyDescent="0.25">
      <c r="B5" s="8">
        <v>805120250013</v>
      </c>
      <c r="C5" s="8" t="s">
        <v>14</v>
      </c>
      <c r="D5" s="1" t="s">
        <v>15</v>
      </c>
      <c r="E5" s="1" t="str">
        <f>RIGHT(Table13456[[#This Row],[PROJECT TITLE]],6)</f>
        <v>CR0094</v>
      </c>
      <c r="F5" s="10" t="s">
        <v>16</v>
      </c>
      <c r="G5" s="13">
        <f>VLOOKUP(Table13456[[#This Row],[Eq No]],[1]!Table3[[Eq.No.]:[FY23/34 Acq. Status]],2,FALSE)</f>
        <v>0</v>
      </c>
      <c r="H5" s="12">
        <f>VLOOKUP(Table13456[[#This Row],[Eq No]],[1]!Table3[[Eq.No.]:[FY23/34 Acq. Status]],3,FALSE)</f>
        <v>2014</v>
      </c>
      <c r="I5" s="13" t="str">
        <f>VLOOKUP(Table13456[[#This Row],[Eq No]],[1]!Table3[[Eq.No.]:[FY23/34 Acq. Status]],12,FALSE)</f>
        <v>Crane MHT780 T Evolution</v>
      </c>
      <c r="J5" s="13" t="str">
        <f>VLOOKUP(Table13456[[#This Row],[Eq No]],[1]!Table3[[Eq.No.]:[FY23/34 Acq. Status]],17,FALSE)</f>
        <v>Crane MHT780 T Evolution</v>
      </c>
      <c r="K5" s="2">
        <v>0</v>
      </c>
      <c r="L5" s="2">
        <v>0</v>
      </c>
      <c r="M5" s="2">
        <v>12683026</v>
      </c>
    </row>
    <row r="6" spans="2:13" hidden="1" x14ac:dyDescent="0.25">
      <c r="B6" s="8">
        <v>806120250604</v>
      </c>
      <c r="C6" s="8" t="s">
        <v>17</v>
      </c>
      <c r="D6" s="1" t="s">
        <v>18</v>
      </c>
      <c r="E6" s="1" t="str">
        <f>RIGHT(Table13456[[#This Row],[PROJECT TITLE]],6)</f>
        <v>WK1005</v>
      </c>
      <c r="F6" s="10" t="s">
        <v>19</v>
      </c>
      <c r="G6" s="13" t="str">
        <f>VLOOKUP(Table13456[[#This Row],[Eq No]],[1]!Table3[[Eq.No.]:[FY23/34 Acq. Status]],2,FALSE)</f>
        <v>SOT NCH2</v>
      </c>
      <c r="H6" s="12">
        <f>VLOOKUP(Table13456[[#This Row],[Eq No]],[1]!Table3[[Eq.No.]:[FY23/34 Acq. Status]],3,FALSE)</f>
        <v>2018</v>
      </c>
      <c r="I6" s="13" t="str">
        <f>VLOOKUP(Table13456[[#This Row],[Eq No]],[1]!Table3[[Eq.No.]:[FY23/34 Acq. Status]],12,FALSE)</f>
        <v>B30E (27000L)</v>
      </c>
      <c r="J6" s="13" t="str">
        <f>VLOOKUP(Table13456[[#This Row],[Eq No]],[1]!Table3[[Eq.No.]:[FY23/34 Acq. Status]],17,FALSE)</f>
        <v>B30E(27000L)</v>
      </c>
      <c r="K6" s="2">
        <v>8991504</v>
      </c>
      <c r="L6" s="2">
        <v>0</v>
      </c>
      <c r="M6" s="2">
        <v>0</v>
      </c>
    </row>
    <row r="7" spans="2:13" hidden="1" x14ac:dyDescent="0.25">
      <c r="B7" s="8">
        <v>805120260101</v>
      </c>
      <c r="C7" s="8" t="s">
        <v>20</v>
      </c>
      <c r="D7" s="1" t="s">
        <v>21</v>
      </c>
      <c r="E7" s="1" t="str">
        <f>RIGHT(Table13456[[#This Row],[PROJECT TITLE]],6)</f>
        <v>LD0303</v>
      </c>
      <c r="F7" s="10" t="s">
        <v>16</v>
      </c>
      <c r="G7" s="13" t="str">
        <f>VLOOKUP(Table13456[[#This Row],[Eq No]],[1]!Table3[[Eq.No.]:[FY23/34 Acq. Status]],2,FALSE)</f>
        <v>Shafts &amp; Winders - CHL 667 NC</v>
      </c>
      <c r="H7" s="12">
        <f>VLOOKUP(Table13456[[#This Row],[Eq No]],[1]!Table3[[Eq.No.]:[FY23/34 Acq. Status]],3,FALSE)</f>
        <v>2013</v>
      </c>
      <c r="I7" s="13" t="str">
        <f>VLOOKUP(Table13456[[#This Row],[Eq No]],[1]!Table3[[Eq.No.]:[FY23/34 Acq. Status]],12,FALSE)</f>
        <v>4x2, 2.5D</v>
      </c>
      <c r="J7" s="13" t="str">
        <f>VLOOKUP(Table13456[[#This Row],[Eq No]],[1]!Table3[[Eq.No.]:[FY23/34 Acq. Status]],17,FALSE)</f>
        <v>4x2, 2.5D, D Nel</v>
      </c>
      <c r="K7" s="2">
        <v>1124439.7320000001</v>
      </c>
      <c r="L7" s="2">
        <v>0</v>
      </c>
      <c r="M7" s="2">
        <v>0</v>
      </c>
    </row>
    <row r="8" spans="2:13" hidden="1" x14ac:dyDescent="0.25">
      <c r="B8" s="8">
        <v>805120260007</v>
      </c>
      <c r="C8" s="8" t="s">
        <v>22</v>
      </c>
      <c r="D8" s="1" t="s">
        <v>21</v>
      </c>
      <c r="E8" s="1" t="str">
        <f>RIGHT(Table13456[[#This Row],[PROJECT TITLE]],6)</f>
        <v>LD0341</v>
      </c>
      <c r="F8" s="10" t="s">
        <v>16</v>
      </c>
      <c r="G8" s="13" t="str">
        <f>VLOOKUP(Table13456[[#This Row],[Eq No]],[1]!Table3[[Eq.No.]:[FY23/34 Acq. Status]],2,FALSE)</f>
        <v>Stretcher L/C (Capt)</v>
      </c>
      <c r="H8" s="12">
        <f>VLOOKUP(Table13456[[#This Row],[Eq No]],[1]!Table3[[Eq.No.]:[FY23/34 Acq. Status]],3,FALSE)</f>
        <v>2014</v>
      </c>
      <c r="I8" s="13" t="str">
        <f>VLOOKUP(Table13456[[#This Row],[Eq No]],[1]!Table3[[Eq.No.]:[FY23/34 Acq. Status]],12,FALSE)</f>
        <v>L/C, 4x4, 4.2D Expl</v>
      </c>
      <c r="J8" s="13" t="str">
        <f>VLOOKUP(Table13456[[#This Row],[Eq No]],[1]!Table3[[Eq.No.]:[FY23/34 Acq. Status]],17,FALSE)</f>
        <v>L/Cruiser 4x4 (Converted to UG Spec)</v>
      </c>
      <c r="K8" s="2">
        <v>2911697.6168799996</v>
      </c>
      <c r="L8" s="2">
        <v>0</v>
      </c>
      <c r="M8" s="2">
        <v>0</v>
      </c>
    </row>
    <row r="9" spans="2:13" hidden="1" x14ac:dyDescent="0.25">
      <c r="B9" s="8">
        <v>805120260008</v>
      </c>
      <c r="C9" s="8" t="s">
        <v>23</v>
      </c>
      <c r="D9" s="1" t="s">
        <v>21</v>
      </c>
      <c r="E9" s="1" t="str">
        <f>RIGHT(Table13456[[#This Row],[PROJECT TITLE]],6)</f>
        <v>LD0411</v>
      </c>
      <c r="F9" s="10" t="s">
        <v>16</v>
      </c>
      <c r="G9" s="13">
        <f>VLOOKUP(Table13456[[#This Row],[Eq No]],[1]!Table3[[Eq.No.]:[FY23/34 Acq. Status]],2,FALSE)</f>
        <v>0</v>
      </c>
      <c r="H9" s="12">
        <f>VLOOKUP(Table13456[[#This Row],[Eq No]],[1]!Table3[[Eq.No.]:[FY23/34 Acq. Status]],3,FALSE)</f>
        <v>2017</v>
      </c>
      <c r="I9" s="13" t="str">
        <f>VLOOKUP(Table13456[[#This Row],[Eq No]],[1]!Table3[[Eq.No.]:[FY23/34 Acq. Status]],12,FALSE)</f>
        <v>D/Cab Maverick</v>
      </c>
      <c r="J9" s="13" t="str">
        <f>VLOOKUP(Table13456[[#This Row],[Eq No]],[1]!Table3[[Eq.No.]:[FY23/34 Acq. Status]],17,FALSE)</f>
        <v>L/Cruiser 4x4 (Converted to UG Spec)</v>
      </c>
      <c r="K9" s="2">
        <v>2911697.6168799996</v>
      </c>
      <c r="L9" s="2">
        <v>0</v>
      </c>
      <c r="M9" s="2">
        <v>0</v>
      </c>
    </row>
    <row r="10" spans="2:13" hidden="1" x14ac:dyDescent="0.25">
      <c r="B10" s="8">
        <v>805120260009</v>
      </c>
      <c r="C10" s="8" t="s">
        <v>24</v>
      </c>
      <c r="D10" s="1" t="s">
        <v>21</v>
      </c>
      <c r="E10" s="1" t="str">
        <f>RIGHT(Table13456[[#This Row],[PROJECT TITLE]],6)</f>
        <v>LD0414</v>
      </c>
      <c r="F10" s="10" t="s">
        <v>16</v>
      </c>
      <c r="G10" s="13">
        <f>VLOOKUP(Table13456[[#This Row],[Eq No]],[1]!Table3[[Eq.No.]:[FY23/34 Acq. Status]],2,FALSE)</f>
        <v>0</v>
      </c>
      <c r="H10" s="12">
        <f>VLOOKUP(Table13456[[#This Row],[Eq No]],[1]!Table3[[Eq.No.]:[FY23/34 Acq. Status]],3,FALSE)</f>
        <v>2017</v>
      </c>
      <c r="I10" s="13" t="str">
        <f>VLOOKUP(Table13456[[#This Row],[Eq No]],[1]!Table3[[Eq.No.]:[FY23/34 Acq. Status]],12,FALSE)</f>
        <v>D/Cab Maverick</v>
      </c>
      <c r="J10" s="13" t="str">
        <f>VLOOKUP(Table13456[[#This Row],[Eq No]],[1]!Table3[[Eq.No.]:[FY23/34 Acq. Status]],17,FALSE)</f>
        <v>L/Cruiser 4x4 (Converted to UG Spec)</v>
      </c>
      <c r="K10" s="2">
        <v>2911697.6168799996</v>
      </c>
      <c r="L10" s="2">
        <v>0</v>
      </c>
      <c r="M10" s="2">
        <v>0</v>
      </c>
    </row>
    <row r="11" spans="2:13" hidden="1" x14ac:dyDescent="0.25">
      <c r="B11" s="8">
        <v>805120260010</v>
      </c>
      <c r="C11" s="8" t="s">
        <v>25</v>
      </c>
      <c r="D11" s="1" t="s">
        <v>21</v>
      </c>
      <c r="E11" s="1" t="str">
        <f>RIGHT(Table13456[[#This Row],[PROJECT TITLE]],6)</f>
        <v>LD0415</v>
      </c>
      <c r="F11" s="10" t="s">
        <v>16</v>
      </c>
      <c r="G11" s="13" t="str">
        <f>VLOOKUP(Table13456[[#This Row],[Eq No]],[1]!Table3[[Eq.No.]:[FY23/34 Acq. Status]],2,FALSE)</f>
        <v>Itireleng UG</v>
      </c>
      <c r="H11" s="12">
        <f>VLOOKUP(Table13456[[#This Row],[Eq No]],[1]!Table3[[Eq.No.]:[FY23/34 Acq. Status]],3,FALSE)</f>
        <v>2017</v>
      </c>
      <c r="I11" s="13" t="str">
        <f>VLOOKUP(Table13456[[#This Row],[Eq No]],[1]!Table3[[Eq.No.]:[FY23/34 Acq. Status]],12,FALSE)</f>
        <v>D/Cab Maverick</v>
      </c>
      <c r="J11" s="13" t="str">
        <f>VLOOKUP(Table13456[[#This Row],[Eq No]],[1]!Table3[[Eq.No.]:[FY23/34 Acq. Status]],17,FALSE)</f>
        <v>L/Cruiser 4x4 (Converted to UG Spec)</v>
      </c>
      <c r="K11" s="2">
        <v>2911697.6168799996</v>
      </c>
      <c r="L11" s="2">
        <v>0</v>
      </c>
      <c r="M11" s="2">
        <v>0</v>
      </c>
    </row>
    <row r="12" spans="2:13" hidden="1" x14ac:dyDescent="0.25">
      <c r="B12" s="8">
        <v>805120260011</v>
      </c>
      <c r="C12" s="8" t="s">
        <v>26</v>
      </c>
      <c r="D12" s="1" t="s">
        <v>21</v>
      </c>
      <c r="E12" s="1" t="str">
        <f>RIGHT(Table13456[[#This Row],[PROJECT TITLE]],6)</f>
        <v>LD0199</v>
      </c>
      <c r="F12" s="10" t="s">
        <v>16</v>
      </c>
      <c r="G12" s="13" t="str">
        <f>VLOOKUP(Table13456[[#This Row],[Eq No]],[1]!Table3[[Eq.No.]:[FY23/34 Acq. Status]],2,FALSE)</f>
        <v>N2 SHERQ</v>
      </c>
      <c r="H12" s="12">
        <f>VLOOKUP(Table13456[[#This Row],[Eq No]],[1]!Table3[[Eq.No.]:[FY23/34 Acq. Status]],3,FALSE)</f>
        <v>2007</v>
      </c>
      <c r="I12" s="13" t="str">
        <f>VLOOKUP(Table13456[[#This Row],[Eq No]],[1]!Table3[[Eq.No.]:[FY23/34 Acq. Status]],12,FALSE)</f>
        <v>4 x 4 (2.5D)</v>
      </c>
      <c r="J12" s="13" t="str">
        <f>VLOOKUP(Table13456[[#This Row],[Eq No]],[1]!Table3[[Eq.No.]:[FY23/34 Acq. Status]],17,FALSE)</f>
        <v>L/Cruiser 4x4 (Converted to UG Spec)</v>
      </c>
      <c r="K12" s="2">
        <v>2911697.6168799996</v>
      </c>
      <c r="L12" s="2">
        <v>0</v>
      </c>
      <c r="M12" s="2">
        <v>0</v>
      </c>
    </row>
    <row r="13" spans="2:13" hidden="1" x14ac:dyDescent="0.25">
      <c r="B13" s="8">
        <v>805220250006</v>
      </c>
      <c r="C13" s="8" t="s">
        <v>27</v>
      </c>
      <c r="D13" s="1" t="s">
        <v>28</v>
      </c>
      <c r="E13" s="1" t="str">
        <f>RIGHT(Table13456[[#This Row],[PROJECT TITLE]],6)</f>
        <v>RT0039</v>
      </c>
      <c r="F13" s="10" t="s">
        <v>29</v>
      </c>
      <c r="G13" s="13" t="str">
        <f>VLOOKUP(Table13456[[#This Row],[Eq No]],[1]!Table3[[Eq.No.]:[FY23/34 Acq. Status]],2,FALSE)</f>
        <v>SEAM 2 Section</v>
      </c>
      <c r="H13" s="12">
        <f>VLOOKUP(Table13456[[#This Row],[Eq No]],[1]!Table3[[Eq.No.]:[FY23/34 Acq. Status]],3,FALSE)</f>
        <v>2014</v>
      </c>
      <c r="I13" s="13" t="str">
        <f>VLOOKUP(Table13456[[#This Row],[Eq No]],[1]!Table3[[Eq.No.]:[FY23/34 Acq. Status]],12,FALSE)</f>
        <v>Boltec 235H</v>
      </c>
      <c r="J13" s="13" t="str">
        <f>VLOOKUP(Table13456[[#This Row],[Eq No]],[1]!Table3[[Eq.No.]:[FY23/34 Acq. Status]],17,FALSE)</f>
        <v>Boltec 235H</v>
      </c>
      <c r="K13" s="2">
        <v>19263083</v>
      </c>
      <c r="L13" s="2">
        <v>0</v>
      </c>
      <c r="M13" s="2">
        <v>0</v>
      </c>
    </row>
    <row r="14" spans="2:13" hidden="1" x14ac:dyDescent="0.25">
      <c r="B14" s="8">
        <v>805220250007</v>
      </c>
      <c r="C14" s="8" t="s">
        <v>30</v>
      </c>
      <c r="D14" s="1" t="s">
        <v>31</v>
      </c>
      <c r="E14" s="1" t="str">
        <f>RIGHT(Table13456[[#This Row],[PROJECT TITLE]],6)</f>
        <v>SR0024</v>
      </c>
      <c r="F14" s="10" t="s">
        <v>29</v>
      </c>
      <c r="G14" s="13" t="str">
        <f>VLOOKUP(Table13456[[#This Row],[Eq No]],[1]!Table3[[Eq.No.]:[FY23/34 Acq. Status]],2,FALSE)</f>
        <v>N3</v>
      </c>
      <c r="H14" s="12">
        <f>VLOOKUP(Table13456[[#This Row],[Eq No]],[1]!Table3[[Eq.No.]:[FY23/34 Acq. Status]],3,FALSE)</f>
        <v>2014</v>
      </c>
      <c r="I14" s="13" t="str">
        <f>VLOOKUP(Table13456[[#This Row],[Eq No]],[1]!Table3[[Eq.No.]:[FY23/34 Acq. Status]],12,FALSE)</f>
        <v>Super 220E</v>
      </c>
      <c r="J14" s="13" t="str">
        <f>VLOOKUP(Table13456[[#This Row],[Eq No]],[1]!Table3[[Eq.No.]:[FY23/34 Acq. Status]],17,FALSE)</f>
        <v>Scaler 220 E, 4-Wheeler</v>
      </c>
      <c r="K14" s="2">
        <v>6145603</v>
      </c>
      <c r="L14" s="2">
        <v>0</v>
      </c>
      <c r="M14" s="2">
        <v>0</v>
      </c>
    </row>
    <row r="15" spans="2:13" hidden="1" x14ac:dyDescent="0.25">
      <c r="B15" s="8">
        <v>805220250008</v>
      </c>
      <c r="C15" s="8" t="s">
        <v>32</v>
      </c>
      <c r="D15" s="1" t="s">
        <v>31</v>
      </c>
      <c r="E15" s="1" t="str">
        <f>RIGHT(Table13456[[#This Row],[PROJECT TITLE]],6)</f>
        <v>SR0028</v>
      </c>
      <c r="F15" s="10" t="s">
        <v>29</v>
      </c>
      <c r="G15" s="13" t="str">
        <f>VLOOKUP(Table13456[[#This Row],[Eq No]],[1]!Table3[[Eq.No.]:[FY23/34 Acq. Status]],2,FALSE)</f>
        <v>Central Section</v>
      </c>
      <c r="H15" s="12">
        <f>VLOOKUP(Table13456[[#This Row],[Eq No]],[1]!Table3[[Eq.No.]:[FY23/34 Acq. Status]],3,FALSE)</f>
        <v>2014</v>
      </c>
      <c r="I15" s="13" t="str">
        <f>VLOOKUP(Table13456[[#This Row],[Eq No]],[1]!Table3[[Eq.No.]:[FY23/34 Acq. Status]],12,FALSE)</f>
        <v>Super 220E</v>
      </c>
      <c r="J15" s="13" t="str">
        <f>VLOOKUP(Table13456[[#This Row],[Eq No]],[1]!Table3[[Eq.No.]:[FY23/34 Acq. Status]],17,FALSE)</f>
        <v>Scaler 220 E, 4-Wheeler</v>
      </c>
      <c r="K15" s="2">
        <v>6145603</v>
      </c>
      <c r="L15" s="2">
        <v>0</v>
      </c>
      <c r="M15" s="2">
        <v>0</v>
      </c>
    </row>
    <row r="16" spans="2:13" hidden="1" x14ac:dyDescent="0.25">
      <c r="B16" s="8">
        <v>805220250009</v>
      </c>
      <c r="C16" s="8" t="s">
        <v>33</v>
      </c>
      <c r="D16" s="1" t="s">
        <v>31</v>
      </c>
      <c r="E16" s="1" t="str">
        <f>RIGHT(Table13456[[#This Row],[PROJECT TITLE]],6)</f>
        <v>SR0030</v>
      </c>
      <c r="F16" s="10" t="s">
        <v>29</v>
      </c>
      <c r="G16" s="13" t="str">
        <f>VLOOKUP(Table13456[[#This Row],[Eq No]],[1]!Table3[[Eq.No.]:[FY23/34 Acq. Status]],2,FALSE)</f>
        <v>North Section</v>
      </c>
      <c r="H16" s="12">
        <f>VLOOKUP(Table13456[[#This Row],[Eq No]],[1]!Table3[[Eq.No.]:[FY23/34 Acq. Status]],3,FALSE)</f>
        <v>2014</v>
      </c>
      <c r="I16" s="13" t="str">
        <f>VLOOKUP(Table13456[[#This Row],[Eq No]],[1]!Table3[[Eq.No.]:[FY23/34 Acq. Status]],12,FALSE)</f>
        <v>Super 220E</v>
      </c>
      <c r="J16" s="13" t="str">
        <f>VLOOKUP(Table13456[[#This Row],[Eq No]],[1]!Table3[[Eq.No.]:[FY23/34 Acq. Status]],17,FALSE)</f>
        <v>Scaler 220 E, 4-Wheeler</v>
      </c>
      <c r="K16" s="2">
        <v>6145603</v>
      </c>
      <c r="L16" s="2">
        <v>0</v>
      </c>
      <c r="M16" s="2">
        <v>0</v>
      </c>
    </row>
    <row r="17" spans="2:13" hidden="1" x14ac:dyDescent="0.25">
      <c r="B17" s="8">
        <v>805220250012</v>
      </c>
      <c r="C17" s="8" t="s">
        <v>34</v>
      </c>
      <c r="D17" s="1" t="s">
        <v>21</v>
      </c>
      <c r="E17" s="1" t="str">
        <f>RIGHT(Table13456[[#This Row],[PROJECT TITLE]],6)</f>
        <v>LD0457</v>
      </c>
      <c r="F17" s="10" t="s">
        <v>29</v>
      </c>
      <c r="G17" s="13">
        <f>VLOOKUP(Table13456[[#This Row],[Eq No]],[1]!Table3[[Eq.No.]:[FY23/34 Acq. Status]],2,FALSE)</f>
        <v>0</v>
      </c>
      <c r="H17" s="12">
        <f>VLOOKUP(Table13456[[#This Row],[Eq No]],[1]!Table3[[Eq.No.]:[FY23/34 Acq. Status]],3,FALSE)</f>
        <v>2017</v>
      </c>
      <c r="I17" s="13" t="str">
        <f>VLOOKUP(Table13456[[#This Row],[Eq No]],[1]!Table3[[Eq.No.]:[FY23/34 Acq. Status]],12,FALSE)</f>
        <v>D/Cab Maverick</v>
      </c>
      <c r="J17" s="13" t="str">
        <f>VLOOKUP(Table13456[[#This Row],[Eq No]],[1]!Table3[[Eq.No.]:[FY23/34 Acq. Status]],17,FALSE)</f>
        <v>L/Cruiser 4x4 (Converted to UG Spec)</v>
      </c>
      <c r="K17" s="2">
        <v>2761718</v>
      </c>
      <c r="L17" s="2">
        <v>0</v>
      </c>
      <c r="M17" s="2">
        <v>0</v>
      </c>
    </row>
    <row r="18" spans="2:13" hidden="1" x14ac:dyDescent="0.25">
      <c r="B18" s="8">
        <v>805220250013</v>
      </c>
      <c r="C18" s="8" t="s">
        <v>35</v>
      </c>
      <c r="D18" s="1" t="s">
        <v>21</v>
      </c>
      <c r="E18" s="1" t="str">
        <f>RIGHT(Table13456[[#This Row],[PROJECT TITLE]],6)</f>
        <v>LD0480</v>
      </c>
      <c r="F18" s="10" t="s">
        <v>29</v>
      </c>
      <c r="G18" s="13">
        <f>VLOOKUP(Table13456[[#This Row],[Eq No]],[1]!Table3[[Eq.No.]:[FY23/34 Acq. Status]],2,FALSE)</f>
        <v>0</v>
      </c>
      <c r="H18" s="12">
        <f>VLOOKUP(Table13456[[#This Row],[Eq No]],[1]!Table3[[Eq.No.]:[FY23/34 Acq. Status]],3,FALSE)</f>
        <v>2019</v>
      </c>
      <c r="I18" s="13" t="str">
        <f>VLOOKUP(Table13456[[#This Row],[Eq No]],[1]!Table3[[Eq.No.]:[FY23/34 Acq. Status]],12,FALSE)</f>
        <v>D/Cab Maverick</v>
      </c>
      <c r="J18" s="13" t="str">
        <f>VLOOKUP(Table13456[[#This Row],[Eq No]],[1]!Table3[[Eq.No.]:[FY23/34 Acq. Status]],17,FALSE)</f>
        <v>L/Cruiser 4x4 (Converted to UG Spec)</v>
      </c>
      <c r="K18" s="2">
        <v>2761718</v>
      </c>
      <c r="L18" s="2">
        <v>0</v>
      </c>
      <c r="M18" s="2">
        <v>0</v>
      </c>
    </row>
    <row r="19" spans="2:13" hidden="1" x14ac:dyDescent="0.25">
      <c r="B19" s="8">
        <v>805220250014</v>
      </c>
      <c r="C19" s="8" t="s">
        <v>36</v>
      </c>
      <c r="D19" s="1" t="s">
        <v>21</v>
      </c>
      <c r="E19" s="1" t="str">
        <f>RIGHT(Table13456[[#This Row],[PROJECT TITLE]],6)</f>
        <v>LD0481</v>
      </c>
      <c r="F19" s="10" t="s">
        <v>29</v>
      </c>
      <c r="G19" s="13">
        <f>VLOOKUP(Table13456[[#This Row],[Eq No]],[1]!Table3[[Eq.No.]:[FY23/34 Acq. Status]],2,FALSE)</f>
        <v>0</v>
      </c>
      <c r="H19" s="12">
        <f>VLOOKUP(Table13456[[#This Row],[Eq No]],[1]!Table3[[Eq.No.]:[FY23/34 Acq. Status]],3,FALSE)</f>
        <v>2019</v>
      </c>
      <c r="I19" s="13" t="str">
        <f>VLOOKUP(Table13456[[#This Row],[Eq No]],[1]!Table3[[Eq.No.]:[FY23/34 Acq. Status]],12,FALSE)</f>
        <v>D/Cab Maverick</v>
      </c>
      <c r="J19" s="13" t="str">
        <f>VLOOKUP(Table13456[[#This Row],[Eq No]],[1]!Table3[[Eq.No.]:[FY23/34 Acq. Status]],17,FALSE)</f>
        <v>L/Cruiser 4x4 (Converted to UG Spec)</v>
      </c>
      <c r="K19" s="2">
        <v>2761718</v>
      </c>
      <c r="L19" s="2">
        <v>0</v>
      </c>
      <c r="M19" s="2">
        <v>0</v>
      </c>
    </row>
    <row r="20" spans="2:13" hidden="1" x14ac:dyDescent="0.25">
      <c r="B20" s="8">
        <v>805220250015</v>
      </c>
      <c r="C20" s="8" t="s">
        <v>37</v>
      </c>
      <c r="D20" s="1" t="s">
        <v>21</v>
      </c>
      <c r="E20" s="1" t="str">
        <f>RIGHT(Table13456[[#This Row],[PROJECT TITLE]],6)</f>
        <v>LD0482</v>
      </c>
      <c r="F20" s="10" t="s">
        <v>29</v>
      </c>
      <c r="G20" s="13">
        <f>VLOOKUP(Table13456[[#This Row],[Eq No]],[1]!Table3[[Eq.No.]:[FY23/34 Acq. Status]],2,FALSE)</f>
        <v>0</v>
      </c>
      <c r="H20" s="12">
        <f>VLOOKUP(Table13456[[#This Row],[Eq No]],[1]!Table3[[Eq.No.]:[FY23/34 Acq. Status]],3,FALSE)</f>
        <v>2019</v>
      </c>
      <c r="I20" s="13" t="str">
        <f>VLOOKUP(Table13456[[#This Row],[Eq No]],[1]!Table3[[Eq.No.]:[FY23/34 Acq. Status]],12,FALSE)</f>
        <v>D/Cab Maverick</v>
      </c>
      <c r="J20" s="13" t="str">
        <f>VLOOKUP(Table13456[[#This Row],[Eq No]],[1]!Table3[[Eq.No.]:[FY23/34 Acq. Status]],17,FALSE)</f>
        <v>L/Cruiser 4x4 (Converted to UG Spec)</v>
      </c>
      <c r="K20" s="2">
        <v>2761718</v>
      </c>
      <c r="L20" s="2">
        <v>0</v>
      </c>
      <c r="M20" s="2">
        <v>0</v>
      </c>
    </row>
    <row r="21" spans="2:13" hidden="1" x14ac:dyDescent="0.25">
      <c r="B21" s="8">
        <v>805220260006</v>
      </c>
      <c r="C21" s="8" t="s">
        <v>38</v>
      </c>
      <c r="D21" s="1" t="s">
        <v>39</v>
      </c>
      <c r="E21" s="1" t="str">
        <f>RIGHT(Table13456[[#This Row],[PROJECT TITLE]],6)</f>
        <v>DT0143</v>
      </c>
      <c r="F21" s="10" t="s">
        <v>29</v>
      </c>
      <c r="G21" s="13" t="str">
        <f>VLOOKUP(Table13456[[#This Row],[Eq No]],[1]!Table3[[Eq.No.]:[FY23/34 Acq. Status]],2,FALSE)</f>
        <v>Load &amp; Haul</v>
      </c>
      <c r="H21" s="12">
        <f>VLOOKUP(Table13456[[#This Row],[Eq No]],[1]!Table3[[Eq.No.]:[FY23/34 Acq. Status]],3,FALSE)</f>
        <v>2019</v>
      </c>
      <c r="I21" s="13" t="str">
        <f>VLOOKUP(Table13456[[#This Row],[Eq No]],[1]!Table3[[Eq.No.]:[FY23/34 Acq. Status]],12,FALSE)</f>
        <v>Elphinstone AD45</v>
      </c>
      <c r="J21" s="13" t="str">
        <f>VLOOKUP(Table13456[[#This Row],[Eq No]],[1]!Table3[[Eq.No.]:[FY23/34 Acq. Status]],17,FALSE)</f>
        <v>Elphinstone AD30</v>
      </c>
      <c r="K21" s="2">
        <v>20151247.324000001</v>
      </c>
      <c r="L21" s="2">
        <v>0</v>
      </c>
      <c r="M21" s="2">
        <v>0</v>
      </c>
    </row>
    <row r="22" spans="2:13" hidden="1" x14ac:dyDescent="0.25">
      <c r="B22" s="8">
        <v>805220260007</v>
      </c>
      <c r="C22" s="8" t="s">
        <v>40</v>
      </c>
      <c r="D22" s="1" t="s">
        <v>21</v>
      </c>
      <c r="E22" s="1" t="str">
        <f>RIGHT(Table13456[[#This Row],[PROJECT TITLE]],6)</f>
        <v>LD0421</v>
      </c>
      <c r="F22" s="10" t="s">
        <v>29</v>
      </c>
      <c r="G22" s="13">
        <f>VLOOKUP(Table13456[[#This Row],[Eq No]],[1]!Table3[[Eq.No.]:[FY23/34 Acq. Status]],2,FALSE)</f>
        <v>0</v>
      </c>
      <c r="H22" s="12">
        <f>VLOOKUP(Table13456[[#This Row],[Eq No]],[1]!Table3[[Eq.No.]:[FY23/34 Acq. Status]],3,FALSE)</f>
        <v>2016</v>
      </c>
      <c r="I22" s="13" t="str">
        <f>VLOOKUP(Table13456[[#This Row],[Eq No]],[1]!Table3[[Eq.No.]:[FY23/34 Acq. Status]],12,FALSE)</f>
        <v>D/Cab Maverick</v>
      </c>
      <c r="J22" s="13" t="str">
        <f>VLOOKUP(Table13456[[#This Row],[Eq No]],[1]!Table3[[Eq.No.]:[FY23/34 Acq. Status]],17,FALSE)</f>
        <v>L/Cruiser 4x4 (Converted to UG Spec)</v>
      </c>
      <c r="K22" s="2">
        <v>2911697.6168799996</v>
      </c>
      <c r="L22" s="2">
        <v>0</v>
      </c>
      <c r="M22" s="2">
        <v>0</v>
      </c>
    </row>
    <row r="23" spans="2:13" hidden="1" x14ac:dyDescent="0.25">
      <c r="B23" s="8">
        <v>805220260008</v>
      </c>
      <c r="C23" s="8" t="s">
        <v>41</v>
      </c>
      <c r="D23" s="1" t="s">
        <v>21</v>
      </c>
      <c r="E23" s="1" t="str">
        <f>RIGHT(Table13456[[#This Row],[PROJECT TITLE]],6)</f>
        <v>LD0465</v>
      </c>
      <c r="F23" s="10" t="s">
        <v>29</v>
      </c>
      <c r="G23" s="13" t="str">
        <f>VLOOKUP(Table13456[[#This Row],[Eq No]],[1]!Table3[[Eq.No.]:[FY23/34 Acq. Status]],2,FALSE)</f>
        <v>Nch 3 Elect</v>
      </c>
      <c r="H23" s="12">
        <f>VLOOKUP(Table13456[[#This Row],[Eq No]],[1]!Table3[[Eq.No.]:[FY23/34 Acq. Status]],3,FALSE)</f>
        <v>2017</v>
      </c>
      <c r="I23" s="13" t="str">
        <f>VLOOKUP(Table13456[[#This Row],[Eq No]],[1]!Table3[[Eq.No.]:[FY23/34 Acq. Status]],12,FALSE)</f>
        <v>2.45 D-4D, D/C</v>
      </c>
      <c r="J23" s="13" t="str">
        <f>VLOOKUP(Table13456[[#This Row],[Eq No]],[1]!Table3[[Eq.No.]:[FY23/34 Acq. Status]],17,FALSE)</f>
        <v>L/Cruiser 4x4 (Converted to UG Spec)</v>
      </c>
      <c r="K23" s="2">
        <v>2911697.6168799996</v>
      </c>
      <c r="L23" s="2">
        <v>0</v>
      </c>
      <c r="M23" s="2">
        <v>0</v>
      </c>
    </row>
    <row r="24" spans="2:13" hidden="1" x14ac:dyDescent="0.25">
      <c r="B24" s="1">
        <v>807120250009</v>
      </c>
      <c r="C24" s="1" t="s">
        <v>42</v>
      </c>
      <c r="D24" s="1" t="s">
        <v>21</v>
      </c>
      <c r="E24" s="1" t="str">
        <f>RIGHT(Table13456[[#This Row],[PROJECT TITLE]],6)</f>
        <v>LD0453</v>
      </c>
      <c r="F24" s="10" t="s">
        <v>43</v>
      </c>
      <c r="G24" s="13" t="str">
        <f>VLOOKUP(Table13456[[#This Row],[Eq No]],[1]!Table3[[Eq.No.]:[FY23/34 Acq. Status]],2,FALSE)</f>
        <v>Gloria U/G</v>
      </c>
      <c r="H24" s="12">
        <f>VLOOKUP(Table13456[[#This Row],[Eq No]],[1]!Table3[[Eq.No.]:[FY23/34 Acq. Status]],3,FALSE)</f>
        <v>2018</v>
      </c>
      <c r="I24" s="13" t="str">
        <f>VLOOKUP(Table13456[[#This Row],[Eq No]],[1]!Table3[[Eq.No.]:[FY23/34 Acq. Status]],12,FALSE)</f>
        <v>Maverick D/C</v>
      </c>
      <c r="J24" s="13" t="str">
        <f>VLOOKUP(Table13456[[#This Row],[Eq No]],[1]!Table3[[Eq.No.]:[FY23/34 Acq. Status]],17,FALSE)</f>
        <v>L/Cruiser 4x4 (Converted to UG Spec)</v>
      </c>
      <c r="K24" s="2">
        <v>2761718</v>
      </c>
      <c r="L24" s="2">
        <v>0</v>
      </c>
      <c r="M24" s="2">
        <v>0</v>
      </c>
    </row>
    <row r="25" spans="2:13" hidden="1" x14ac:dyDescent="0.25">
      <c r="B25" s="1">
        <v>807120250010</v>
      </c>
      <c r="C25" s="1" t="s">
        <v>44</v>
      </c>
      <c r="D25" s="1" t="s">
        <v>21</v>
      </c>
      <c r="E25" s="1" t="str">
        <f>RIGHT(Table13456[[#This Row],[PROJECT TITLE]],6)</f>
        <v>LD0517</v>
      </c>
      <c r="F25" s="10" t="s">
        <v>43</v>
      </c>
      <c r="G25" s="13" t="str">
        <f>VLOOKUP(Table13456[[#This Row],[Eq No]],[1]!Table3[[Eq.No.]:[FY23/34 Acq. Status]],2,FALSE)</f>
        <v>Gloria U/G</v>
      </c>
      <c r="H25" s="12">
        <f>VLOOKUP(Table13456[[#This Row],[Eq No]],[1]!Table3[[Eq.No.]:[FY23/34 Acq. Status]],3,FALSE)</f>
        <v>2018</v>
      </c>
      <c r="I25" s="13" t="str">
        <f>VLOOKUP(Table13456[[#This Row],[Eq No]],[1]!Table3[[Eq.No.]:[FY23/34 Acq. Status]],12,FALSE)</f>
        <v>Maverick D/C</v>
      </c>
      <c r="J25" s="13" t="str">
        <f>VLOOKUP(Table13456[[#This Row],[Eq No]],[1]!Table3[[Eq.No.]:[FY23/34 Acq. Status]],17,FALSE)</f>
        <v>L/Cruiser 4x4 (Converted to UG Spec)</v>
      </c>
      <c r="K25" s="2">
        <v>2761718</v>
      </c>
      <c r="L25" s="2">
        <v>0</v>
      </c>
      <c r="M25" s="2">
        <v>0</v>
      </c>
    </row>
    <row r="26" spans="2:13" hidden="1" x14ac:dyDescent="0.25">
      <c r="B26" s="1">
        <v>807120260006</v>
      </c>
      <c r="C26" s="1" t="s">
        <v>45</v>
      </c>
      <c r="D26" s="1" t="s">
        <v>39</v>
      </c>
      <c r="E26" s="1" t="str">
        <f>RIGHT(Table13456[[#This Row],[PROJECT TITLE]],6)</f>
        <v>DT0105</v>
      </c>
      <c r="F26" s="10" t="s">
        <v>43</v>
      </c>
      <c r="G26" s="13" t="str">
        <f>VLOOKUP(Table13456[[#This Row],[Eq No]],[1]!Table3[[Eq.No.]:[FY23/34 Acq. Status]],2,FALSE)</f>
        <v>Gloria U/G</v>
      </c>
      <c r="H26" s="12">
        <f>VLOOKUP(Table13456[[#This Row],[Eq No]],[1]!Table3[[Eq.No.]:[FY23/34 Acq. Status]],3,FALSE)</f>
        <v>2015</v>
      </c>
      <c r="I26" s="13" t="str">
        <f>VLOOKUP(Table13456[[#This Row],[Eq No]],[1]!Table3[[Eq.No.]:[FY23/34 Acq. Status]],12,FALSE)</f>
        <v>MT 436 LP</v>
      </c>
      <c r="J26" s="13" t="str">
        <f>VLOOKUP(Table13456[[#This Row],[Eq No]],[1]!Table3[[Eq.No.]:[FY23/34 Acq. Status]],17,FALSE)</f>
        <v>Elphinstone AD30</v>
      </c>
      <c r="K26" s="2">
        <v>20151247.324000001</v>
      </c>
      <c r="L26" s="2">
        <v>0</v>
      </c>
      <c r="M26" s="2">
        <v>0</v>
      </c>
    </row>
    <row r="27" spans="2:13" hidden="1" x14ac:dyDescent="0.25">
      <c r="B27" s="1">
        <v>807120260007</v>
      </c>
      <c r="C27" s="1" t="s">
        <v>46</v>
      </c>
      <c r="D27" s="1" t="s">
        <v>39</v>
      </c>
      <c r="E27" s="1" t="str">
        <f>RIGHT(Table13456[[#This Row],[PROJECT TITLE]],6)</f>
        <v>DT0106</v>
      </c>
      <c r="F27" s="10" t="s">
        <v>43</v>
      </c>
      <c r="G27" s="13" t="str">
        <f>VLOOKUP(Table13456[[#This Row],[Eq No]],[1]!Table3[[Eq.No.]:[FY23/34 Acq. Status]],2,FALSE)</f>
        <v>Gloria U/G</v>
      </c>
      <c r="H27" s="12">
        <f>VLOOKUP(Table13456[[#This Row],[Eq No]],[1]!Table3[[Eq.No.]:[FY23/34 Acq. Status]],3,FALSE)</f>
        <v>2015</v>
      </c>
      <c r="I27" s="13" t="str">
        <f>VLOOKUP(Table13456[[#This Row],[Eq No]],[1]!Table3[[Eq.No.]:[FY23/34 Acq. Status]],12,FALSE)</f>
        <v>MT 436 LP</v>
      </c>
      <c r="J27" s="13" t="str">
        <f>VLOOKUP(Table13456[[#This Row],[Eq No]],[1]!Table3[[Eq.No.]:[FY23/34 Acq. Status]],17,FALSE)</f>
        <v>Elphinstone AD30</v>
      </c>
      <c r="K27" s="2">
        <v>20151247.324000001</v>
      </c>
      <c r="L27" s="2">
        <v>0</v>
      </c>
      <c r="M27" s="2">
        <v>0</v>
      </c>
    </row>
    <row r="28" spans="2:13" hidden="1" x14ac:dyDescent="0.25">
      <c r="B28" s="1">
        <v>807120260008</v>
      </c>
      <c r="C28" s="1" t="s">
        <v>47</v>
      </c>
      <c r="D28" s="1" t="s">
        <v>21</v>
      </c>
      <c r="E28" s="1" t="str">
        <f>RIGHT(Table13456[[#This Row],[PROJECT TITLE]],6)</f>
        <v>LD0330</v>
      </c>
      <c r="F28" s="10" t="s">
        <v>43</v>
      </c>
      <c r="G28" s="13" t="str">
        <f>VLOOKUP(Table13456[[#This Row],[Eq No]],[1]!Table3[[Eq.No.]:[FY23/34 Acq. Status]],2,FALSE)</f>
        <v>Hilux Single Cab Hilux SC 2.5</v>
      </c>
      <c r="H28" s="12">
        <f>VLOOKUP(Table13456[[#This Row],[Eq No]],[1]!Table3[[Eq.No.]:[FY23/34 Acq. Status]],3,FALSE)</f>
        <v>2014</v>
      </c>
      <c r="I28" s="13" t="str">
        <f>VLOOKUP(Table13456[[#This Row],[Eq No]],[1]!Table3[[Eq.No.]:[FY23/34 Acq. Status]],12,FALSE)</f>
        <v>4 x 4 (2.5D)</v>
      </c>
      <c r="J28" s="13" t="str">
        <f>VLOOKUP(Table13456[[#This Row],[Eq No]],[1]!Table3[[Eq.No.]:[FY23/34 Acq. Status]],17,FALSE)</f>
        <v>4 x 4 (2.5D)</v>
      </c>
      <c r="K28" s="2">
        <v>1157210.132</v>
      </c>
      <c r="L28" s="2">
        <v>0</v>
      </c>
      <c r="M28" s="2">
        <v>0</v>
      </c>
    </row>
    <row r="29" spans="2:13" hidden="1" x14ac:dyDescent="0.25">
      <c r="B29" s="1">
        <v>807120260009</v>
      </c>
      <c r="C29" s="1" t="s">
        <v>48</v>
      </c>
      <c r="D29" s="1" t="s">
        <v>21</v>
      </c>
      <c r="E29" s="1" t="str">
        <f>RIGHT(Table13456[[#This Row],[PROJECT TITLE]],6)</f>
        <v>LD0331</v>
      </c>
      <c r="F29" s="10" t="s">
        <v>43</v>
      </c>
      <c r="G29" s="13" t="str">
        <f>VLOOKUP(Table13456[[#This Row],[Eq No]],[1]!Table3[[Eq.No.]:[FY23/34 Acq. Status]],2,FALSE)</f>
        <v>Instumentation Gloria</v>
      </c>
      <c r="H29" s="12">
        <f>VLOOKUP(Table13456[[#This Row],[Eq No]],[1]!Table3[[Eq.No.]:[FY23/34 Acq. Status]],3,FALSE)</f>
        <v>2014</v>
      </c>
      <c r="I29" s="13" t="str">
        <f>VLOOKUP(Table13456[[#This Row],[Eq No]],[1]!Table3[[Eq.No.]:[FY23/34 Acq. Status]],12,FALSE)</f>
        <v>4 x 4 (2.5D)</v>
      </c>
      <c r="J29" s="13" t="str">
        <f>VLOOKUP(Table13456[[#This Row],[Eq No]],[1]!Table3[[Eq.No.]:[FY23/34 Acq. Status]],17,FALSE)</f>
        <v>4 x 4 (2.5D)</v>
      </c>
      <c r="K29" s="2">
        <v>1157210.132</v>
      </c>
      <c r="L29" s="2">
        <v>0</v>
      </c>
      <c r="M29" s="2">
        <v>0</v>
      </c>
    </row>
    <row r="30" spans="2:13" hidden="1" x14ac:dyDescent="0.25">
      <c r="B30" s="1">
        <v>807120260010</v>
      </c>
      <c r="C30" s="1" t="s">
        <v>49</v>
      </c>
      <c r="D30" s="1" t="s">
        <v>21</v>
      </c>
      <c r="E30" s="1" t="str">
        <f>RIGHT(Table13456[[#This Row],[PROJECT TITLE]],6)</f>
        <v>LD0344</v>
      </c>
      <c r="F30" s="10" t="s">
        <v>43</v>
      </c>
      <c r="G30" s="13" t="str">
        <f>VLOOKUP(Table13456[[#This Row],[Eq No]],[1]!Table3[[Eq.No.]:[FY23/34 Acq. Status]],2,FALSE)</f>
        <v>Replacement L/C Mech</v>
      </c>
      <c r="H30" s="12">
        <f>VLOOKUP(Table13456[[#This Row],[Eq No]],[1]!Table3[[Eq.No.]:[FY23/34 Acq. Status]],3,FALSE)</f>
        <v>2014</v>
      </c>
      <c r="I30" s="13" t="str">
        <f>VLOOKUP(Table13456[[#This Row],[Eq No]],[1]!Table3[[Eq.No.]:[FY23/34 Acq. Status]],12,FALSE)</f>
        <v>L/C, 4x4, 4.2D</v>
      </c>
      <c r="J30" s="13" t="str">
        <f>VLOOKUP(Table13456[[#This Row],[Eq No]],[1]!Table3[[Eq.No.]:[FY23/34 Acq. Status]],17,FALSE)</f>
        <v>L/Cruiser 4x4 (Converted to UG Spec)</v>
      </c>
      <c r="K30" s="2">
        <v>2911697.6168799996</v>
      </c>
      <c r="L30" s="2">
        <v>0</v>
      </c>
      <c r="M30" s="2">
        <v>0</v>
      </c>
    </row>
    <row r="31" spans="2:13" hidden="1" x14ac:dyDescent="0.25">
      <c r="B31" s="1">
        <v>807120260011</v>
      </c>
      <c r="C31" s="1" t="s">
        <v>50</v>
      </c>
      <c r="D31" s="1" t="s">
        <v>21</v>
      </c>
      <c r="E31" s="1" t="str">
        <f>RIGHT(Table13456[[#This Row],[PROJECT TITLE]],6)</f>
        <v>LD0425</v>
      </c>
      <c r="F31" s="10" t="s">
        <v>43</v>
      </c>
      <c r="G31" s="13" t="str">
        <f>VLOOKUP(Table13456[[#This Row],[Eq No]],[1]!Table3[[Eq.No.]:[FY23/34 Acq. Status]],2,FALSE)</f>
        <v>Gloria U/G</v>
      </c>
      <c r="H31" s="12">
        <f>VLOOKUP(Table13456[[#This Row],[Eq No]],[1]!Table3[[Eq.No.]:[FY23/34 Acq. Status]],3,FALSE)</f>
        <v>2017</v>
      </c>
      <c r="I31" s="13" t="str">
        <f>VLOOKUP(Table13456[[#This Row],[Eq No]],[1]!Table3[[Eq.No.]:[FY23/34 Acq. Status]],12,FALSE)</f>
        <v>Maverick D/C</v>
      </c>
      <c r="J31" s="13" t="str">
        <f>VLOOKUP(Table13456[[#This Row],[Eq No]],[1]!Table3[[Eq.No.]:[FY23/34 Acq. Status]],17,FALSE)</f>
        <v>L/Cruiser 4x4 (Converted to UG Spec)</v>
      </c>
      <c r="K31" s="2">
        <v>2911697.6168799996</v>
      </c>
      <c r="L31" s="2">
        <v>0</v>
      </c>
      <c r="M31" s="2">
        <v>0</v>
      </c>
    </row>
    <row r="32" spans="2:13" hidden="1" x14ac:dyDescent="0.25">
      <c r="B32" s="3" t="s">
        <v>51</v>
      </c>
      <c r="C32" s="1" t="s">
        <v>52</v>
      </c>
      <c r="D32" s="1" t="s">
        <v>10</v>
      </c>
      <c r="E32" s="1" t="str">
        <f>RIGHT(Table13456[[#This Row],[PROJECT TITLE]],6)</f>
        <v>BS0028</v>
      </c>
      <c r="F32" s="10" t="s">
        <v>8</v>
      </c>
      <c r="G32" s="13" t="str">
        <f>VLOOKUP(Table13456[[#This Row],[Eq No]],[1]!Table3[[Eq.No.]:[FY23/34 Acq. Status]],2,FALSE)</f>
        <v>Pool Transport</v>
      </c>
      <c r="H32" s="12">
        <f>VLOOKUP(Table13456[[#This Row],[Eq No]],[1]!Table3[[Eq.No.]:[FY23/34 Acq. Status]],3,FALSE)</f>
        <v>2017</v>
      </c>
      <c r="I32" s="13" t="str">
        <f>VLOOKUP(Table13456[[#This Row],[Eq No]],[1]!Table3[[Eq.No.]:[FY23/34 Acq. Status]],12,FALSE)</f>
        <v>Sprinter</v>
      </c>
      <c r="J32" s="13" t="str">
        <f>VLOOKUP(Table13456[[#This Row],[Eq No]],[1]!Table3[[Eq.No.]:[FY23/34 Acq. Status]],17,FALSE)</f>
        <v>Sprinter 516 CDI</v>
      </c>
      <c r="K32" s="2">
        <v>0</v>
      </c>
      <c r="L32" s="2">
        <v>0</v>
      </c>
      <c r="M32" s="2">
        <v>1990160.4942191234</v>
      </c>
    </row>
    <row r="33" spans="2:13" hidden="1" x14ac:dyDescent="0.25">
      <c r="B33" s="3" t="s">
        <v>51</v>
      </c>
      <c r="C33" s="4" t="s">
        <v>53</v>
      </c>
      <c r="D33" s="1" t="s">
        <v>12</v>
      </c>
      <c r="E33" s="1" t="str">
        <f>RIGHT(Table13456[[#This Row],[PROJECT TITLE]],6)</f>
        <v>CB0025</v>
      </c>
      <c r="F33" s="10" t="s">
        <v>8</v>
      </c>
      <c r="G33" s="13" t="str">
        <f>VLOOKUP(Table13456[[#This Row],[Eq No]],[1]!Table3[[Eq.No.]:[FY23/34 Acq. Status]],2,FALSE)</f>
        <v>Proto</v>
      </c>
      <c r="H33" s="12">
        <f>VLOOKUP(Table13456[[#This Row],[Eq No]],[1]!Table3[[Eq.No.]:[FY23/34 Acq. Status]],3,FALSE)</f>
        <v>2014</v>
      </c>
      <c r="I33" s="13" t="str">
        <f>VLOOKUP(Table13456[[#This Row],[Eq No]],[1]!Table3[[Eq.No.]:[FY23/34 Acq. Status]],12,FALSE)</f>
        <v>Quantum 2.5D-4D</v>
      </c>
      <c r="J33" s="13" t="str">
        <f>VLOOKUP(Table13456[[#This Row],[Eq No]],[1]!Table3[[Eq.No.]:[FY23/34 Acq. Status]],17,FALSE)</f>
        <v>Quantum 2.5D-4D</v>
      </c>
      <c r="K33" s="2">
        <v>0</v>
      </c>
      <c r="L33" s="2">
        <v>0</v>
      </c>
      <c r="M33" s="2">
        <v>1672142.5046951747</v>
      </c>
    </row>
    <row r="34" spans="2:13" hidden="1" x14ac:dyDescent="0.25">
      <c r="B34" s="3" t="s">
        <v>51</v>
      </c>
      <c r="C34" s="4" t="s">
        <v>54</v>
      </c>
      <c r="D34" s="1" t="s">
        <v>12</v>
      </c>
      <c r="E34" s="1" t="str">
        <f>RIGHT(Table13456[[#This Row],[PROJECT TITLE]],6)</f>
        <v>CB0030</v>
      </c>
      <c r="F34" s="10" t="s">
        <v>8</v>
      </c>
      <c r="G34" s="13" t="str">
        <f>VLOOKUP(Table13456[[#This Row],[Eq No]],[1]!Table3[[Eq.No.]:[FY23/34 Acq. Status]],2,FALSE)</f>
        <v>Pool Transport</v>
      </c>
      <c r="H34" s="12">
        <f>VLOOKUP(Table13456[[#This Row],[Eq No]],[1]!Table3[[Eq.No.]:[FY23/34 Acq. Status]],3,FALSE)</f>
        <v>2017</v>
      </c>
      <c r="I34" s="13" t="str">
        <f>VLOOKUP(Table13456[[#This Row],[Eq No]],[1]!Table3[[Eq.No.]:[FY23/34 Acq. Status]],12,FALSE)</f>
        <v>Quantum Mini Bus 14St</v>
      </c>
      <c r="J34" s="13" t="str">
        <f>VLOOKUP(Table13456[[#This Row],[Eq No]],[1]!Table3[[Eq.No.]:[FY23/34 Acq. Status]],17,FALSE)</f>
        <v>Quantum Mini Bus 14St</v>
      </c>
      <c r="K34" s="2">
        <v>0</v>
      </c>
      <c r="L34" s="2">
        <v>1620206.1291006159</v>
      </c>
      <c r="M34" s="2">
        <v>0</v>
      </c>
    </row>
    <row r="35" spans="2:13" hidden="1" x14ac:dyDescent="0.25">
      <c r="B35" s="3" t="s">
        <v>51</v>
      </c>
      <c r="C35" s="4" t="s">
        <v>55</v>
      </c>
      <c r="D35" s="1" t="s">
        <v>12</v>
      </c>
      <c r="E35" s="1" t="str">
        <f>RIGHT(Table13456[[#This Row],[PROJECT TITLE]],6)</f>
        <v>CB0033</v>
      </c>
      <c r="F35" s="10" t="s">
        <v>8</v>
      </c>
      <c r="G35" s="13" t="str">
        <f>VLOOKUP(Table13456[[#This Row],[Eq No]],[1]!Table3[[Eq.No.]:[FY23/34 Acq. Status]],2,FALSE)</f>
        <v>Pool Transport</v>
      </c>
      <c r="H35" s="12">
        <f>VLOOKUP(Table13456[[#This Row],[Eq No]],[1]!Table3[[Eq.No.]:[FY23/34 Acq. Status]],3,FALSE)</f>
        <v>2018</v>
      </c>
      <c r="I35" s="13" t="str">
        <f>VLOOKUP(Table13456[[#This Row],[Eq No]],[1]!Table3[[Eq.No.]:[FY23/34 Acq. Status]],12,FALSE)</f>
        <v>Quantum Mini Bus 10St</v>
      </c>
      <c r="J35" s="13" t="str">
        <f>VLOOKUP(Table13456[[#This Row],[Eq No]],[1]!Table3[[Eq.No.]:[FY23/34 Acq. Status]],17,FALSE)</f>
        <v>Quantum Mini Bus 10St</v>
      </c>
      <c r="K35" s="2">
        <v>0</v>
      </c>
      <c r="L35" s="2">
        <v>1620206.1291006159</v>
      </c>
      <c r="M35" s="2">
        <v>0</v>
      </c>
    </row>
    <row r="36" spans="2:13" hidden="1" x14ac:dyDescent="0.25">
      <c r="B36" s="3" t="s">
        <v>51</v>
      </c>
      <c r="C36" s="4" t="s">
        <v>56</v>
      </c>
      <c r="D36" s="1" t="s">
        <v>57</v>
      </c>
      <c r="E36" s="1" t="str">
        <f>RIGHT(Table13456[[#This Row],[PROJECT TITLE]],6)</f>
        <v>CD0011</v>
      </c>
      <c r="F36" s="10" t="s">
        <v>8</v>
      </c>
      <c r="G36" s="13" t="str">
        <f>VLOOKUP(Table13456[[#This Row],[Eq No]],[1]!Table3[[Eq.No.]:[FY23/34 Acq. Status]],2,FALSE)</f>
        <v>Pool Transport</v>
      </c>
      <c r="H36" s="12">
        <f>VLOOKUP(Table13456[[#This Row],[Eq No]],[1]!Table3[[Eq.No.]:[FY23/34 Acq. Status]],3,FALSE)</f>
        <v>2018</v>
      </c>
      <c r="I36" s="13" t="str">
        <f>VLOOKUP(Table13456[[#This Row],[Eq No]],[1]!Table3[[Eq.No.]:[FY23/34 Acq. Status]],12,FALSE)</f>
        <v>Avanza 1.5 TX</v>
      </c>
      <c r="J36" s="13" t="str">
        <f>VLOOKUP(Table13456[[#This Row],[Eq No]],[1]!Table3[[Eq.No.]:[FY23/34 Acq. Status]],17,FALSE)</f>
        <v>Avanza 1.5 SX</v>
      </c>
      <c r="K36" s="2">
        <v>0</v>
      </c>
      <c r="L36" s="2">
        <v>0</v>
      </c>
      <c r="M36" s="2">
        <v>874000.65379999997</v>
      </c>
    </row>
    <row r="37" spans="2:13" hidden="1" x14ac:dyDescent="0.25">
      <c r="B37" s="3" t="s">
        <v>51</v>
      </c>
      <c r="C37" s="4" t="s">
        <v>58</v>
      </c>
      <c r="D37" s="1" t="s">
        <v>57</v>
      </c>
      <c r="E37" s="1" t="str">
        <f>RIGHT(Table13456[[#This Row],[PROJECT TITLE]],6)</f>
        <v>CD0012</v>
      </c>
      <c r="F37" s="10" t="s">
        <v>8</v>
      </c>
      <c r="G37" s="13" t="str">
        <f>VLOOKUP(Table13456[[#This Row],[Eq No]],[1]!Table3[[Eq.No.]:[FY23/34 Acq. Status]],2,FALSE)</f>
        <v>Pool Transport</v>
      </c>
      <c r="H37" s="12">
        <f>VLOOKUP(Table13456[[#This Row],[Eq No]],[1]!Table3[[Eq.No.]:[FY23/34 Acq. Status]],3,FALSE)</f>
        <v>2018</v>
      </c>
      <c r="I37" s="13" t="str">
        <f>VLOOKUP(Table13456[[#This Row],[Eq No]],[1]!Table3[[Eq.No.]:[FY23/34 Acq. Status]],12,FALSE)</f>
        <v>Avanza 1.5 TX</v>
      </c>
      <c r="J37" s="13" t="str">
        <f>VLOOKUP(Table13456[[#This Row],[Eq No]],[1]!Table3[[Eq.No.]:[FY23/34 Acq. Status]],17,FALSE)</f>
        <v>Avanza 1.5 SX</v>
      </c>
      <c r="K37" s="2">
        <v>0</v>
      </c>
      <c r="L37" s="2">
        <v>0</v>
      </c>
      <c r="M37" s="2">
        <v>874000.65379999997</v>
      </c>
    </row>
    <row r="38" spans="2:13" hidden="1" x14ac:dyDescent="0.25">
      <c r="B38" s="3" t="s">
        <v>51</v>
      </c>
      <c r="C38" s="4" t="s">
        <v>59</v>
      </c>
      <c r="D38" s="1" t="s">
        <v>15</v>
      </c>
      <c r="E38" s="1" t="str">
        <f>RIGHT(Table13456[[#This Row],[PROJECT TITLE]],6)</f>
        <v>CR0107</v>
      </c>
      <c r="F38" s="10" t="s">
        <v>8</v>
      </c>
      <c r="G38" s="13" t="str">
        <f>VLOOKUP(Table13456[[#This Row],[Eq No]],[1]!Table3[[Eq.No.]:[FY23/34 Acq. Status]],2,FALSE)</f>
        <v>BR Stores</v>
      </c>
      <c r="H38" s="12">
        <f>VLOOKUP(Table13456[[#This Row],[Eq No]],[1]!Table3[[Eq.No.]:[FY23/34 Acq. Status]],3,FALSE)</f>
        <v>2014</v>
      </c>
      <c r="I38" s="13" t="str">
        <f>VLOOKUP(Table13456[[#This Row],[Eq No]],[1]!Table3[[Eq.No.]:[FY23/34 Acq. Status]],12,FALSE)</f>
        <v>MHT-X 10120 L</v>
      </c>
      <c r="J38" s="13" t="str">
        <f>VLOOKUP(Table13456[[#This Row],[Eq No]],[1]!Table3[[Eq.No.]:[FY23/34 Acq. Status]],17,FALSE)</f>
        <v>MHT-X 10120 L</v>
      </c>
      <c r="K38" s="2">
        <v>0</v>
      </c>
      <c r="L38" s="2">
        <v>13969014.279429123</v>
      </c>
      <c r="M38" s="2">
        <v>0</v>
      </c>
    </row>
    <row r="39" spans="2:13" hidden="1" x14ac:dyDescent="0.25">
      <c r="B39" s="3" t="s">
        <v>51</v>
      </c>
      <c r="C39" s="4" t="s">
        <v>60</v>
      </c>
      <c r="D39" s="1" t="s">
        <v>15</v>
      </c>
      <c r="E39" s="1" t="str">
        <f>RIGHT(Table13456[[#This Row],[PROJECT TITLE]],6)</f>
        <v>CR0121</v>
      </c>
      <c r="F39" s="10" t="s">
        <v>8</v>
      </c>
      <c r="G39" s="13" t="str">
        <f>VLOOKUP(Table13456[[#This Row],[Eq No]],[1]!Table3[[Eq.No.]:[FY23/34 Acq. Status]],2,FALSE)</f>
        <v>BR Stores</v>
      </c>
      <c r="H39" s="12">
        <f>VLOOKUP(Table13456[[#This Row],[Eq No]],[1]!Table3[[Eq.No.]:[FY23/34 Acq. Status]],3,FALSE)</f>
        <v>2015</v>
      </c>
      <c r="I39" s="13" t="str">
        <f>VLOOKUP(Table13456[[#This Row],[Eq No]],[1]!Table3[[Eq.No.]:[FY23/34 Acq. Status]],12,FALSE)</f>
        <v>MHT-X 780</v>
      </c>
      <c r="J39" s="13" t="str">
        <f>VLOOKUP(Table13456[[#This Row],[Eq No]],[1]!Table3[[Eq.No.]:[FY23/34 Acq. Status]],17,FALSE)</f>
        <v>MHT-X 780</v>
      </c>
      <c r="K39" s="2">
        <v>0</v>
      </c>
      <c r="L39" s="2">
        <v>0</v>
      </c>
      <c r="M39" s="2">
        <v>11988921.38066224</v>
      </c>
    </row>
    <row r="40" spans="2:13" hidden="1" x14ac:dyDescent="0.25">
      <c r="B40" s="3" t="s">
        <v>51</v>
      </c>
      <c r="C40" s="4" t="s">
        <v>61</v>
      </c>
      <c r="D40" s="1" t="s">
        <v>15</v>
      </c>
      <c r="E40" s="1" t="str">
        <f>RIGHT(Table13456[[#This Row],[PROJECT TITLE]],6)</f>
        <v>CR0145</v>
      </c>
      <c r="F40" s="10" t="s">
        <v>8</v>
      </c>
      <c r="G40" s="13" t="str">
        <f>VLOOKUP(Table13456[[#This Row],[Eq No]],[1]!Table3[[Eq.No.]:[FY23/34 Acq. Status]],2,FALSE)</f>
        <v>BR Stores</v>
      </c>
      <c r="H40" s="12">
        <f>VLOOKUP(Table13456[[#This Row],[Eq No]],[1]!Table3[[Eq.No.]:[FY23/34 Acq. Status]],3,FALSE)</f>
        <v>2016</v>
      </c>
      <c r="I40" s="13" t="str">
        <f>VLOOKUP(Table13456[[#This Row],[Eq No]],[1]!Table3[[Eq.No.]:[FY23/34 Acq. Status]],12,FALSE)</f>
        <v>MT-X 742</v>
      </c>
      <c r="J40" s="13" t="str">
        <f>VLOOKUP(Table13456[[#This Row],[Eq No]],[1]!Table3[[Eq.No.]:[FY23/34 Acq. Status]],17,FALSE)</f>
        <v>MT-X 742</v>
      </c>
      <c r="K40" s="2">
        <v>0</v>
      </c>
      <c r="L40" s="2">
        <v>0</v>
      </c>
      <c r="M40" s="2">
        <v>11988921.38066224</v>
      </c>
    </row>
    <row r="41" spans="2:13" hidden="1" x14ac:dyDescent="0.25">
      <c r="B41" s="3" t="s">
        <v>51</v>
      </c>
      <c r="C41" s="4" t="s">
        <v>62</v>
      </c>
      <c r="D41" s="1" t="s">
        <v>21</v>
      </c>
      <c r="E41" s="1" t="str">
        <f>RIGHT(Table13456[[#This Row],[PROJECT TITLE]],6)</f>
        <v>LD0239</v>
      </c>
      <c r="F41" s="10" t="s">
        <v>8</v>
      </c>
      <c r="G41" s="13" t="str">
        <f>VLOOKUP(Table13456[[#This Row],[Eq No]],[1]!Table3[[Eq.No.]:[FY23/34 Acq. Status]],2,FALSE)</f>
        <v>BRMO</v>
      </c>
      <c r="H41" s="12">
        <f>VLOOKUP(Table13456[[#This Row],[Eq No]],[1]!Table3[[Eq.No.]:[FY23/34 Acq. Status]],3,FALSE)</f>
        <v>2010</v>
      </c>
      <c r="I41" s="13" t="str">
        <f>VLOOKUP(Table13456[[#This Row],[Eq No]],[1]!Table3[[Eq.No.]:[FY23/34 Acq. Status]],12,FALSE)</f>
        <v>2.5D 4x4</v>
      </c>
      <c r="J41" s="13" t="str">
        <f>VLOOKUP(Table13456[[#This Row],[Eq No]],[1]!Table3[[Eq.No.]:[FY23/34 Acq. Status]],17,FALSE)</f>
        <v>L/Cruiser 4x4 (Converted to UG Spec)</v>
      </c>
      <c r="K41" s="2">
        <v>0</v>
      </c>
      <c r="L41" s="2">
        <v>3643512.1748480005</v>
      </c>
      <c r="M41" s="2">
        <v>0</v>
      </c>
    </row>
    <row r="42" spans="2:13" hidden="1" x14ac:dyDescent="0.25">
      <c r="B42" s="3" t="s">
        <v>51</v>
      </c>
      <c r="C42" s="4" t="s">
        <v>63</v>
      </c>
      <c r="D42" s="1" t="s">
        <v>21</v>
      </c>
      <c r="E42" s="1" t="str">
        <f>RIGHT(Table13456[[#This Row],[PROJECT TITLE]],6)</f>
        <v>LD0252</v>
      </c>
      <c r="F42" s="10" t="s">
        <v>8</v>
      </c>
      <c r="G42" s="13" t="str">
        <f>VLOOKUP(Table13456[[#This Row],[Eq No]],[1]!Table3[[Eq.No.]:[FY23/34 Acq. Status]],2,FALSE)</f>
        <v>Environmental</v>
      </c>
      <c r="H42" s="12">
        <f>VLOOKUP(Table13456[[#This Row],[Eq No]],[1]!Table3[[Eq.No.]:[FY23/34 Acq. Status]],3,FALSE)</f>
        <v>2010</v>
      </c>
      <c r="I42" s="13" t="str">
        <f>VLOOKUP(Table13456[[#This Row],[Eq No]],[1]!Table3[[Eq.No.]:[FY23/34 Acq. Status]],12,FALSE)</f>
        <v>2.5D 4x4</v>
      </c>
      <c r="J42" s="13" t="str">
        <f>VLOOKUP(Table13456[[#This Row],[Eq No]],[1]!Table3[[Eq.No.]:[FY23/34 Acq. Status]],17,FALSE)</f>
        <v>4 x 4 (2.5D)</v>
      </c>
      <c r="K42" s="2">
        <v>0</v>
      </c>
      <c r="L42" s="2">
        <v>0</v>
      </c>
      <c r="M42" s="2">
        <v>1239840.3537999999</v>
      </c>
    </row>
    <row r="43" spans="2:13" hidden="1" x14ac:dyDescent="0.25">
      <c r="B43" s="3" t="s">
        <v>51</v>
      </c>
      <c r="C43" s="4" t="s">
        <v>64</v>
      </c>
      <c r="D43" s="1" t="s">
        <v>21</v>
      </c>
      <c r="E43" s="1" t="str">
        <f>RIGHT(Table13456[[#This Row],[PROJECT TITLE]],6)</f>
        <v>LD0253</v>
      </c>
      <c r="F43" s="10" t="s">
        <v>8</v>
      </c>
      <c r="G43" s="13" t="str">
        <f>VLOOKUP(Table13456[[#This Row],[Eq No]],[1]!Table3[[Eq.No.]:[FY23/34 Acq. Status]],2,FALSE)</f>
        <v>Geologist,MRM</v>
      </c>
      <c r="H43" s="12">
        <f>VLOOKUP(Table13456[[#This Row],[Eq No]],[1]!Table3[[Eq.No.]:[FY23/34 Acq. Status]],3,FALSE)</f>
        <v>2010</v>
      </c>
      <c r="I43" s="13" t="str">
        <f>VLOOKUP(Table13456[[#This Row],[Eq No]],[1]!Table3[[Eq.No.]:[FY23/34 Acq. Status]],12,FALSE)</f>
        <v>2.5D 4x4</v>
      </c>
      <c r="J43" s="13" t="str">
        <f>VLOOKUP(Table13456[[#This Row],[Eq No]],[1]!Table3[[Eq.No.]:[FY23/34 Acq. Status]],17,FALSE)</f>
        <v>4 x 4 (2.5D)</v>
      </c>
      <c r="K43" s="2">
        <v>0</v>
      </c>
      <c r="L43" s="2">
        <v>0</v>
      </c>
      <c r="M43" s="2">
        <v>1239840.3537999999</v>
      </c>
    </row>
    <row r="44" spans="2:13" hidden="1" x14ac:dyDescent="0.25">
      <c r="B44" s="3" t="s">
        <v>51</v>
      </c>
      <c r="C44" s="4" t="s">
        <v>65</v>
      </c>
      <c r="D44" s="1" t="s">
        <v>21</v>
      </c>
      <c r="E44" s="1" t="str">
        <f>RIGHT(Table13456[[#This Row],[PROJECT TITLE]],6)</f>
        <v>LD0256</v>
      </c>
      <c r="F44" s="10" t="s">
        <v>8</v>
      </c>
      <c r="G44" s="13" t="str">
        <f>VLOOKUP(Table13456[[#This Row],[Eq No]],[1]!Table3[[Eq.No.]:[FY23/34 Acq. Status]],2,FALSE)</f>
        <v>Training Centre N3</v>
      </c>
      <c r="H44" s="12">
        <f>VLOOKUP(Table13456[[#This Row],[Eq No]],[1]!Table3[[Eq.No.]:[FY23/34 Acq. Status]],3,FALSE)</f>
        <v>2011</v>
      </c>
      <c r="I44" s="13" t="str">
        <f>VLOOKUP(Table13456[[#This Row],[Eq No]],[1]!Table3[[Eq.No.]:[FY23/34 Acq. Status]],12,FALSE)</f>
        <v>2.5D 4x4</v>
      </c>
      <c r="J44" s="13" t="str">
        <f>VLOOKUP(Table13456[[#This Row],[Eq No]],[1]!Table3[[Eq.No.]:[FY23/34 Acq. Status]],17,FALSE)</f>
        <v>L/Cruiser 4x4 (Converted to UG Spec)</v>
      </c>
      <c r="K44" s="2">
        <v>0</v>
      </c>
      <c r="L44" s="2">
        <v>0</v>
      </c>
      <c r="M44" s="2">
        <v>3760306.4600920002</v>
      </c>
    </row>
    <row r="45" spans="2:13" hidden="1" x14ac:dyDescent="0.25">
      <c r="B45" s="3" t="s">
        <v>51</v>
      </c>
      <c r="C45" s="4" t="s">
        <v>66</v>
      </c>
      <c r="D45" s="1" t="s">
        <v>21</v>
      </c>
      <c r="E45" s="1" t="str">
        <f>RIGHT(Table13456[[#This Row],[PROJECT TITLE]],6)</f>
        <v>LD0259</v>
      </c>
      <c r="F45" s="10" t="s">
        <v>8</v>
      </c>
      <c r="G45" s="13" t="str">
        <f>VLOOKUP(Table13456[[#This Row],[Eq No]],[1]!Table3[[Eq.No.]:[FY23/34 Acq. Status]],2,FALSE)</f>
        <v>BR Services - Salvage yard</v>
      </c>
      <c r="H45" s="12">
        <f>VLOOKUP(Table13456[[#This Row],[Eq No]],[1]!Table3[[Eq.No.]:[FY23/34 Acq. Status]],3,FALSE)</f>
        <v>2011</v>
      </c>
      <c r="I45" s="13" t="str">
        <f>VLOOKUP(Table13456[[#This Row],[Eq No]],[1]!Table3[[Eq.No.]:[FY23/34 Acq. Status]],12,FALSE)</f>
        <v>2.5D 4x4</v>
      </c>
      <c r="J45" s="13" t="str">
        <f>VLOOKUP(Table13456[[#This Row],[Eq No]],[1]!Table3[[Eq.No.]:[FY23/34 Acq. Status]],17,FALSE)</f>
        <v>4 x 2 (2.5D) SRX</v>
      </c>
      <c r="K45" s="2">
        <v>0</v>
      </c>
      <c r="L45" s="2">
        <v>1167311.3472</v>
      </c>
      <c r="M45" s="2">
        <v>0</v>
      </c>
    </row>
    <row r="46" spans="2:13" hidden="1" x14ac:dyDescent="0.25">
      <c r="B46" s="3" t="s">
        <v>51</v>
      </c>
      <c r="C46" s="4" t="s">
        <v>67</v>
      </c>
      <c r="D46" s="1" t="s">
        <v>21</v>
      </c>
      <c r="E46" s="1" t="str">
        <f>RIGHT(Table13456[[#This Row],[PROJECT TITLE]],6)</f>
        <v>LD0269</v>
      </c>
      <c r="F46" s="10" t="s">
        <v>8</v>
      </c>
      <c r="G46" s="13" t="str">
        <f>VLOOKUP(Table13456[[#This Row],[Eq No]],[1]!Table3[[Eq.No.]:[FY23/34 Acq. Status]],2,FALSE)</f>
        <v>IT</v>
      </c>
      <c r="H46" s="12">
        <f>VLOOKUP(Table13456[[#This Row],[Eq No]],[1]!Table3[[Eq.No.]:[FY23/34 Acq. Status]],3,FALSE)</f>
        <v>2011</v>
      </c>
      <c r="I46" s="13" t="str">
        <f>VLOOKUP(Table13456[[#This Row],[Eq No]],[1]!Table3[[Eq.No.]:[FY23/34 Acq. Status]],12,FALSE)</f>
        <v>2.5D 4x4</v>
      </c>
      <c r="J46" s="13" t="str">
        <f>VLOOKUP(Table13456[[#This Row],[Eq No]],[1]!Table3[[Eq.No.]:[FY23/34 Acq. Status]],17,FALSE)</f>
        <v>4 x 4 (2.5D)</v>
      </c>
      <c r="K46" s="2">
        <v>0</v>
      </c>
      <c r="L46" s="2">
        <v>1201331.1872</v>
      </c>
      <c r="M46" s="2">
        <v>0</v>
      </c>
    </row>
    <row r="47" spans="2:13" hidden="1" x14ac:dyDescent="0.25">
      <c r="B47" s="3" t="s">
        <v>51</v>
      </c>
      <c r="C47" s="4" t="s">
        <v>68</v>
      </c>
      <c r="D47" s="1" t="s">
        <v>21</v>
      </c>
      <c r="E47" s="1" t="str">
        <f>RIGHT(Table13456[[#This Row],[PROJECT TITLE]],6)</f>
        <v>LD0270</v>
      </c>
      <c r="F47" s="10" t="s">
        <v>8</v>
      </c>
      <c r="G47" s="13" t="str">
        <f>VLOOKUP(Table13456[[#This Row],[Eq No]],[1]!Table3[[Eq.No.]:[FY23/34 Acq. Status]],2,FALSE)</f>
        <v>Serveyors</v>
      </c>
      <c r="H47" s="12">
        <f>VLOOKUP(Table13456[[#This Row],[Eq No]],[1]!Table3[[Eq.No.]:[FY23/34 Acq. Status]],3,FALSE)</f>
        <v>2011</v>
      </c>
      <c r="I47" s="13" t="str">
        <f>VLOOKUP(Table13456[[#This Row],[Eq No]],[1]!Table3[[Eq.No.]:[FY23/34 Acq. Status]],12,FALSE)</f>
        <v>2.5D 4x4</v>
      </c>
      <c r="J47" s="13" t="str">
        <f>VLOOKUP(Table13456[[#This Row],[Eq No]],[1]!Table3[[Eq.No.]:[FY23/34 Acq. Status]],17,FALSE)</f>
        <v>4 x 4 (2.5D)</v>
      </c>
      <c r="K47" s="2">
        <v>0</v>
      </c>
      <c r="L47" s="2">
        <v>1201331.1872</v>
      </c>
      <c r="M47" s="2">
        <v>0</v>
      </c>
    </row>
    <row r="48" spans="2:13" hidden="1" x14ac:dyDescent="0.25">
      <c r="B48" s="3" t="s">
        <v>51</v>
      </c>
      <c r="C48" s="4" t="s">
        <v>69</v>
      </c>
      <c r="D48" s="1" t="s">
        <v>21</v>
      </c>
      <c r="E48" s="1" t="str">
        <f>RIGHT(Table13456[[#This Row],[PROJECT TITLE]],6)</f>
        <v>LD0273</v>
      </c>
      <c r="F48" s="10" t="s">
        <v>8</v>
      </c>
      <c r="G48" s="13" t="str">
        <f>VLOOKUP(Table13456[[#This Row],[Eq No]],[1]!Table3[[Eq.No.]:[FY23/34 Acq. Status]],2,FALSE)</f>
        <v>Geologist,MRM</v>
      </c>
      <c r="H48" s="12">
        <f>VLOOKUP(Table13456[[#This Row],[Eq No]],[1]!Table3[[Eq.No.]:[FY23/34 Acq. Status]],3,FALSE)</f>
        <v>2012</v>
      </c>
      <c r="I48" s="13" t="str">
        <f>VLOOKUP(Table13456[[#This Row],[Eq No]],[1]!Table3[[Eq.No.]:[FY23/34 Acq. Status]],12,FALSE)</f>
        <v>2.5D 4x4</v>
      </c>
      <c r="J48" s="13" t="str">
        <f>VLOOKUP(Table13456[[#This Row],[Eq No]],[1]!Table3[[Eq.No.]:[FY23/34 Acq. Status]],17,FALSE)</f>
        <v>4 x 4 (2.5D)</v>
      </c>
      <c r="K48" s="2">
        <v>0</v>
      </c>
      <c r="L48" s="2">
        <v>1201331.1872</v>
      </c>
      <c r="M48" s="2">
        <v>0</v>
      </c>
    </row>
    <row r="49" spans="2:13" hidden="1" x14ac:dyDescent="0.25">
      <c r="B49" s="3" t="s">
        <v>51</v>
      </c>
      <c r="C49" s="4" t="s">
        <v>70</v>
      </c>
      <c r="D49" s="1" t="s">
        <v>21</v>
      </c>
      <c r="E49" s="1" t="str">
        <f>RIGHT(Table13456[[#This Row],[PROJECT TITLE]],6)</f>
        <v>LD0274</v>
      </c>
      <c r="F49" s="10" t="s">
        <v>8</v>
      </c>
      <c r="G49" s="13" t="str">
        <f>VLOOKUP(Table13456[[#This Row],[Eq No]],[1]!Table3[[Eq.No.]:[FY23/34 Acq. Status]],2,FALSE)</f>
        <v>Safety</v>
      </c>
      <c r="H49" s="12">
        <f>VLOOKUP(Table13456[[#This Row],[Eq No]],[1]!Table3[[Eq.No.]:[FY23/34 Acq. Status]],3,FALSE)</f>
        <v>2012</v>
      </c>
      <c r="I49" s="13" t="str">
        <f>VLOOKUP(Table13456[[#This Row],[Eq No]],[1]!Table3[[Eq.No.]:[FY23/34 Acq. Status]],12,FALSE)</f>
        <v>2.5D 4x4</v>
      </c>
      <c r="J49" s="13" t="str">
        <f>VLOOKUP(Table13456[[#This Row],[Eq No]],[1]!Table3[[Eq.No.]:[FY23/34 Acq. Status]],17,FALSE)</f>
        <v>4 x 4 (2.5D)</v>
      </c>
      <c r="K49" s="2">
        <v>0</v>
      </c>
      <c r="L49" s="2">
        <v>1201331.1872</v>
      </c>
      <c r="M49" s="2">
        <v>0</v>
      </c>
    </row>
    <row r="50" spans="2:13" hidden="1" x14ac:dyDescent="0.25">
      <c r="B50" s="3" t="s">
        <v>51</v>
      </c>
      <c r="C50" s="4" t="s">
        <v>71</v>
      </c>
      <c r="D50" s="1" t="s">
        <v>21</v>
      </c>
      <c r="E50" s="1" t="str">
        <f>RIGHT(Table13456[[#This Row],[PROJECT TITLE]],6)</f>
        <v>LD0294</v>
      </c>
      <c r="F50" s="10" t="s">
        <v>8</v>
      </c>
      <c r="G50" s="13" t="str">
        <f>VLOOKUP(Table13456[[#This Row],[Eq No]],[1]!Table3[[Eq.No.]:[FY23/34 Acq. Status]],2,FALSE)</f>
        <v>Port Elizabeth - Port Logistics</v>
      </c>
      <c r="H50" s="12">
        <f>VLOOKUP(Table13456[[#This Row],[Eq No]],[1]!Table3[[Eq.No.]:[FY23/34 Acq. Status]],3,FALSE)</f>
        <v>2012</v>
      </c>
      <c r="I50" s="13" t="str">
        <f>VLOOKUP(Table13456[[#This Row],[Eq No]],[1]!Table3[[Eq.No.]:[FY23/34 Acq. Status]],12,FALSE)</f>
        <v>2.5D 4x4</v>
      </c>
      <c r="J50" s="13" t="str">
        <f>VLOOKUP(Table13456[[#This Row],[Eq No]],[1]!Table3[[Eq.No.]:[FY23/34 Acq. Status]],17,FALSE)</f>
        <v>4 x 2, 2.5D S/C</v>
      </c>
      <c r="K50" s="2">
        <v>0</v>
      </c>
      <c r="L50" s="2">
        <v>1167311.3472</v>
      </c>
      <c r="M50" s="2">
        <v>0</v>
      </c>
    </row>
    <row r="51" spans="2:13" hidden="1" x14ac:dyDescent="0.25">
      <c r="B51" s="3" t="s">
        <v>51</v>
      </c>
      <c r="C51" s="4" t="s">
        <v>72</v>
      </c>
      <c r="D51" s="1" t="s">
        <v>21</v>
      </c>
      <c r="E51" s="1" t="str">
        <f>RIGHT(Table13456[[#This Row],[PROJECT TITLE]],6)</f>
        <v>LD0301</v>
      </c>
      <c r="F51" s="10" t="s">
        <v>8</v>
      </c>
      <c r="G51" s="13" t="str">
        <f>VLOOKUP(Table13456[[#This Row],[Eq No]],[1]!Table3[[Eq.No.]:[FY23/34 Acq. Status]],2,FALSE)</f>
        <v>Geologist,MRM</v>
      </c>
      <c r="H51" s="12">
        <f>VLOOKUP(Table13456[[#This Row],[Eq No]],[1]!Table3[[Eq.No.]:[FY23/34 Acq. Status]],3,FALSE)</f>
        <v>2013</v>
      </c>
      <c r="I51" s="13" t="str">
        <f>VLOOKUP(Table13456[[#This Row],[Eq No]],[1]!Table3[[Eq.No.]:[FY23/34 Acq. Status]],12,FALSE)</f>
        <v>2.5D 4x4</v>
      </c>
      <c r="J51" s="13" t="str">
        <f>VLOOKUP(Table13456[[#This Row],[Eq No]],[1]!Table3[[Eq.No.]:[FY23/34 Acq. Status]],17,FALSE)</f>
        <v>4 x 4 (2.5D)</v>
      </c>
      <c r="K51" s="2">
        <v>0</v>
      </c>
      <c r="L51" s="2">
        <v>0</v>
      </c>
      <c r="M51" s="2">
        <v>1239840.3537999999</v>
      </c>
    </row>
    <row r="52" spans="2:13" hidden="1" x14ac:dyDescent="0.25">
      <c r="B52" s="3" t="s">
        <v>51</v>
      </c>
      <c r="C52" s="4" t="s">
        <v>73</v>
      </c>
      <c r="D52" s="1" t="s">
        <v>21</v>
      </c>
      <c r="E52" s="1" t="str">
        <f>RIGHT(Table13456[[#This Row],[PROJECT TITLE]],6)</f>
        <v>LD0306</v>
      </c>
      <c r="F52" s="10" t="s">
        <v>8</v>
      </c>
      <c r="G52" s="13" t="str">
        <f>VLOOKUP(Table13456[[#This Row],[Eq No]],[1]!Table3[[Eq.No.]:[FY23/34 Acq. Status]],2,FALSE)</f>
        <v>Hygiene</v>
      </c>
      <c r="H52" s="12">
        <f>VLOOKUP(Table13456[[#This Row],[Eq No]],[1]!Table3[[Eq.No.]:[FY23/34 Acq. Status]],3,FALSE)</f>
        <v>2013</v>
      </c>
      <c r="I52" s="13" t="str">
        <f>VLOOKUP(Table13456[[#This Row],[Eq No]],[1]!Table3[[Eq.No.]:[FY23/34 Acq. Status]],12,FALSE)</f>
        <v>2.5D 4x4</v>
      </c>
      <c r="J52" s="13" t="str">
        <f>VLOOKUP(Table13456[[#This Row],[Eq No]],[1]!Table3[[Eq.No.]:[FY23/34 Acq. Status]],17,FALSE)</f>
        <v>4 x 4 (2.5D)</v>
      </c>
      <c r="K52" s="2">
        <v>0</v>
      </c>
      <c r="L52" s="2">
        <v>1201331.1872</v>
      </c>
      <c r="M52" s="2">
        <v>0</v>
      </c>
    </row>
    <row r="53" spans="2:13" hidden="1" x14ac:dyDescent="0.25">
      <c r="B53" s="3" t="s">
        <v>51</v>
      </c>
      <c r="C53" s="4" t="s">
        <v>74</v>
      </c>
      <c r="D53" s="1" t="s">
        <v>21</v>
      </c>
      <c r="E53" s="1" t="str">
        <f>RIGHT(Table13456[[#This Row],[PROJECT TITLE]],6)</f>
        <v>LD0333</v>
      </c>
      <c r="F53" s="10" t="s">
        <v>8</v>
      </c>
      <c r="G53" s="13" t="str">
        <f>VLOOKUP(Table13456[[#This Row],[Eq No]],[1]!Table3[[Eq.No.]:[FY23/34 Acq. Status]],2,FALSE)</f>
        <v>BR Civils Services</v>
      </c>
      <c r="H53" s="12">
        <f>VLOOKUP(Table13456[[#This Row],[Eq No]],[1]!Table3[[Eq.No.]:[FY23/34 Acq. Status]],3,FALSE)</f>
        <v>2014</v>
      </c>
      <c r="I53" s="13" t="str">
        <f>VLOOKUP(Table13456[[#This Row],[Eq No]],[1]!Table3[[Eq.No.]:[FY23/34 Acq. Status]],12,FALSE)</f>
        <v>2.5D 4x2</v>
      </c>
      <c r="J53" s="13" t="str">
        <f>VLOOKUP(Table13456[[#This Row],[Eq No]],[1]!Table3[[Eq.No.]:[FY23/34 Acq. Status]],17,FALSE)</f>
        <v>4 x 4 (2.5D)</v>
      </c>
      <c r="K53" s="2">
        <v>0</v>
      </c>
      <c r="L53" s="2">
        <v>1201331.1872</v>
      </c>
      <c r="M53" s="2">
        <v>0</v>
      </c>
    </row>
    <row r="54" spans="2:13" hidden="1" x14ac:dyDescent="0.25">
      <c r="B54" s="3" t="s">
        <v>51</v>
      </c>
      <c r="C54" s="4" t="s">
        <v>75</v>
      </c>
      <c r="D54" s="1" t="s">
        <v>21</v>
      </c>
      <c r="E54" s="1" t="str">
        <f>RIGHT(Table13456[[#This Row],[PROJECT TITLE]],6)</f>
        <v>LD0335</v>
      </c>
      <c r="F54" s="10" t="s">
        <v>8</v>
      </c>
      <c r="G54" s="13" t="str">
        <f>VLOOKUP(Table13456[[#This Row],[Eq No]],[1]!Table3[[Eq.No.]:[FY23/34 Acq. Status]],2,FALSE)</f>
        <v>BR Civils Services</v>
      </c>
      <c r="H54" s="12">
        <f>VLOOKUP(Table13456[[#This Row],[Eq No]],[1]!Table3[[Eq.No.]:[FY23/34 Acq. Status]],3,FALSE)</f>
        <v>2014</v>
      </c>
      <c r="I54" s="13" t="str">
        <f>VLOOKUP(Table13456[[#This Row],[Eq No]],[1]!Table3[[Eq.No.]:[FY23/34 Acq. Status]],12,FALSE)</f>
        <v>2.5D 4x2</v>
      </c>
      <c r="J54" s="13" t="str">
        <f>VLOOKUP(Table13456[[#This Row],[Eq No]],[1]!Table3[[Eq.No.]:[FY23/34 Acq. Status]],17,FALSE)</f>
        <v>4 x 4 (2.5D)</v>
      </c>
      <c r="K54" s="2">
        <v>0</v>
      </c>
      <c r="L54" s="2">
        <v>1201331.1872</v>
      </c>
      <c r="M54" s="2">
        <v>0</v>
      </c>
    </row>
    <row r="55" spans="2:13" hidden="1" x14ac:dyDescent="0.25">
      <c r="B55" s="3" t="s">
        <v>51</v>
      </c>
      <c r="C55" s="4" t="s">
        <v>76</v>
      </c>
      <c r="D55" s="1" t="s">
        <v>21</v>
      </c>
      <c r="E55" s="1" t="str">
        <f>RIGHT(Table13456[[#This Row],[PROJECT TITLE]],6)</f>
        <v>LD0336</v>
      </c>
      <c r="F55" s="10" t="s">
        <v>8</v>
      </c>
      <c r="G55" s="13" t="str">
        <f>VLOOKUP(Table13456[[#This Row],[Eq No]],[1]!Table3[[Eq.No.]:[FY23/34 Acq. Status]],2,FALSE)</f>
        <v>BR Civils Services</v>
      </c>
      <c r="H55" s="12">
        <f>VLOOKUP(Table13456[[#This Row],[Eq No]],[1]!Table3[[Eq.No.]:[FY23/34 Acq. Status]],3,FALSE)</f>
        <v>2014</v>
      </c>
      <c r="I55" s="13" t="str">
        <f>VLOOKUP(Table13456[[#This Row],[Eq No]],[1]!Table3[[Eq.No.]:[FY23/34 Acq. Status]],12,FALSE)</f>
        <v>2.5D 4x2</v>
      </c>
      <c r="J55" s="13" t="str">
        <f>VLOOKUP(Table13456[[#This Row],[Eq No]],[1]!Table3[[Eq.No.]:[FY23/34 Acq. Status]],17,FALSE)</f>
        <v>4 x 4 (2.5D)</v>
      </c>
      <c r="K55" s="2">
        <v>0</v>
      </c>
      <c r="L55" s="2">
        <v>1201331.1872</v>
      </c>
      <c r="M55" s="2">
        <v>0</v>
      </c>
    </row>
    <row r="56" spans="2:13" hidden="1" x14ac:dyDescent="0.25">
      <c r="B56" s="3" t="s">
        <v>51</v>
      </c>
      <c r="C56" s="4" t="s">
        <v>77</v>
      </c>
      <c r="D56" s="1" t="s">
        <v>21</v>
      </c>
      <c r="E56" s="1" t="str">
        <f>RIGHT(Table13456[[#This Row],[PROJECT TITLE]],6)</f>
        <v>LD0337</v>
      </c>
      <c r="F56" s="10" t="s">
        <v>8</v>
      </c>
      <c r="G56" s="13" t="str">
        <f>VLOOKUP(Table13456[[#This Row],[Eq No]],[1]!Table3[[Eq.No.]:[FY23/34 Acq. Status]],2,FALSE)</f>
        <v>BR Civils Services</v>
      </c>
      <c r="H56" s="12">
        <f>VLOOKUP(Table13456[[#This Row],[Eq No]],[1]!Table3[[Eq.No.]:[FY23/34 Acq. Status]],3,FALSE)</f>
        <v>2014</v>
      </c>
      <c r="I56" s="13" t="str">
        <f>VLOOKUP(Table13456[[#This Row],[Eq No]],[1]!Table3[[Eq.No.]:[FY23/34 Acq. Status]],12,FALSE)</f>
        <v>2.5D 4x2</v>
      </c>
      <c r="J56" s="13" t="str">
        <f>VLOOKUP(Table13456[[#This Row],[Eq No]],[1]!Table3[[Eq.No.]:[FY23/34 Acq. Status]],17,FALSE)</f>
        <v>4 x 2 (2.5D)</v>
      </c>
      <c r="K56" s="2">
        <v>0</v>
      </c>
      <c r="L56" s="2">
        <v>1167311.3472</v>
      </c>
      <c r="M56" s="2">
        <v>0</v>
      </c>
    </row>
    <row r="57" spans="2:13" hidden="1" x14ac:dyDescent="0.25">
      <c r="B57" s="3" t="s">
        <v>51</v>
      </c>
      <c r="C57" s="4" t="s">
        <v>78</v>
      </c>
      <c r="D57" s="1" t="s">
        <v>21</v>
      </c>
      <c r="E57" s="1" t="str">
        <f>RIGHT(Table13456[[#This Row],[PROJECT TITLE]],6)</f>
        <v>LD0338</v>
      </c>
      <c r="F57" s="10" t="s">
        <v>8</v>
      </c>
      <c r="G57" s="13" t="str">
        <f>VLOOKUP(Table13456[[#This Row],[Eq No]],[1]!Table3[[Eq.No.]:[FY23/34 Acq. Status]],2,FALSE)</f>
        <v>BR Elect Services</v>
      </c>
      <c r="H57" s="12">
        <f>VLOOKUP(Table13456[[#This Row],[Eq No]],[1]!Table3[[Eq.No.]:[FY23/34 Acq. Status]],3,FALSE)</f>
        <v>2014</v>
      </c>
      <c r="I57" s="13" t="str">
        <f>VLOOKUP(Table13456[[#This Row],[Eq No]],[1]!Table3[[Eq.No.]:[FY23/34 Acq. Status]],12,FALSE)</f>
        <v>2.5D 4x2</v>
      </c>
      <c r="J57" s="13" t="str">
        <f>VLOOKUP(Table13456[[#This Row],[Eq No]],[1]!Table3[[Eq.No.]:[FY23/34 Acq. Status]],17,FALSE)</f>
        <v>4 x 2 (2.5D)</v>
      </c>
      <c r="K57" s="2">
        <v>0</v>
      </c>
      <c r="L57" s="2">
        <v>1167311.3472</v>
      </c>
      <c r="M57" s="2">
        <v>0</v>
      </c>
    </row>
    <row r="58" spans="2:13" hidden="1" x14ac:dyDescent="0.25">
      <c r="B58" s="3" t="s">
        <v>51</v>
      </c>
      <c r="C58" s="4" t="s">
        <v>79</v>
      </c>
      <c r="D58" s="1" t="s">
        <v>21</v>
      </c>
      <c r="E58" s="1" t="str">
        <f>RIGHT(Table13456[[#This Row],[PROJECT TITLE]],6)</f>
        <v>LD0339</v>
      </c>
      <c r="F58" s="10" t="s">
        <v>8</v>
      </c>
      <c r="G58" s="13">
        <f>VLOOKUP(Table13456[[#This Row],[Eq No]],[1]!Table3[[Eq.No.]:[FY23/34 Acq. Status]],2,FALSE)</f>
        <v>0</v>
      </c>
      <c r="H58" s="12">
        <f>VLOOKUP(Table13456[[#This Row],[Eq No]],[1]!Table3[[Eq.No.]:[FY23/34 Acq. Status]],3,FALSE)</f>
        <v>2014</v>
      </c>
      <c r="I58" s="13" t="str">
        <f>VLOOKUP(Table13456[[#This Row],[Eq No]],[1]!Table3[[Eq.No.]:[FY23/34 Acq. Status]],12,FALSE)</f>
        <v>2.5D 4x4</v>
      </c>
      <c r="J58" s="13" t="str">
        <f>VLOOKUP(Table13456[[#This Row],[Eq No]],[1]!Table3[[Eq.No.]:[FY23/34 Acq. Status]],17,FALSE)</f>
        <v>4 x 4 (2.5D)</v>
      </c>
      <c r="K58" s="2">
        <v>0</v>
      </c>
      <c r="L58" s="2">
        <v>1201331.1872</v>
      </c>
      <c r="M58" s="2">
        <v>0</v>
      </c>
    </row>
    <row r="59" spans="2:13" hidden="1" x14ac:dyDescent="0.25">
      <c r="B59" s="3" t="s">
        <v>51</v>
      </c>
      <c r="C59" s="4" t="s">
        <v>80</v>
      </c>
      <c r="D59" s="1" t="s">
        <v>21</v>
      </c>
      <c r="E59" s="1" t="str">
        <f>RIGHT(Table13456[[#This Row],[PROJECT TITLE]],6)</f>
        <v>LD0340</v>
      </c>
      <c r="F59" s="10" t="s">
        <v>8</v>
      </c>
      <c r="G59" s="13">
        <f>VLOOKUP(Table13456[[#This Row],[Eq No]],[1]!Table3[[Eq.No.]:[FY23/34 Acq. Status]],2,FALSE)</f>
        <v>0</v>
      </c>
      <c r="H59" s="12">
        <f>VLOOKUP(Table13456[[#This Row],[Eq No]],[1]!Table3[[Eq.No.]:[FY23/34 Acq. Status]],3,FALSE)</f>
        <v>2014</v>
      </c>
      <c r="I59" s="13" t="str">
        <f>VLOOKUP(Table13456[[#This Row],[Eq No]],[1]!Table3[[Eq.No.]:[FY23/34 Acq. Status]],12,FALSE)</f>
        <v>2.5D 4x4</v>
      </c>
      <c r="J59" s="13" t="str">
        <f>VLOOKUP(Table13456[[#This Row],[Eq No]],[1]!Table3[[Eq.No.]:[FY23/34 Acq. Status]],17,FALSE)</f>
        <v>4 x 4 (2.5D)</v>
      </c>
      <c r="K59" s="2">
        <v>0</v>
      </c>
      <c r="L59" s="2">
        <v>1201331.1872</v>
      </c>
      <c r="M59" s="2">
        <v>0</v>
      </c>
    </row>
    <row r="60" spans="2:13" hidden="1" x14ac:dyDescent="0.25">
      <c r="B60" s="3" t="s">
        <v>51</v>
      </c>
      <c r="C60" s="4" t="s">
        <v>81</v>
      </c>
      <c r="D60" s="1" t="s">
        <v>21</v>
      </c>
      <c r="E60" s="1" t="str">
        <f>RIGHT(Table13456[[#This Row],[PROJECT TITLE]],6)</f>
        <v>LD0364</v>
      </c>
      <c r="F60" s="10" t="s">
        <v>8</v>
      </c>
      <c r="G60" s="13" t="str">
        <f>VLOOKUP(Table13456[[#This Row],[Eq No]],[1]!Table3[[Eq.No.]:[FY23/34 Acq. Status]],2,FALSE)</f>
        <v>BR Projects</v>
      </c>
      <c r="H60" s="12">
        <f>VLOOKUP(Table13456[[#This Row],[Eq No]],[1]!Table3[[Eq.No.]:[FY23/34 Acq. Status]],3,FALSE)</f>
        <v>2014</v>
      </c>
      <c r="I60" s="13" t="str">
        <f>VLOOKUP(Table13456[[#This Row],[Eq No]],[1]!Table3[[Eq.No.]:[FY23/34 Acq. Status]],12,FALSE)</f>
        <v>2.5D 4x2</v>
      </c>
      <c r="J60" s="13" t="str">
        <f>VLOOKUP(Table13456[[#This Row],[Eq No]],[1]!Table3[[Eq.No.]:[FY23/34 Acq. Status]],17,FALSE)</f>
        <v>4 x 4 (2.5D)</v>
      </c>
      <c r="K60" s="2">
        <v>0</v>
      </c>
      <c r="L60" s="2">
        <v>0</v>
      </c>
      <c r="M60" s="2">
        <v>1239840.3537999999</v>
      </c>
    </row>
    <row r="61" spans="2:13" hidden="1" x14ac:dyDescent="0.25">
      <c r="B61" s="3" t="s">
        <v>51</v>
      </c>
      <c r="C61" s="4" t="s">
        <v>82</v>
      </c>
      <c r="D61" s="1" t="s">
        <v>21</v>
      </c>
      <c r="E61" s="1" t="str">
        <f>RIGHT(Table13456[[#This Row],[PROJECT TITLE]],6)</f>
        <v>LD0374</v>
      </c>
      <c r="F61" s="10" t="s">
        <v>8</v>
      </c>
      <c r="G61" s="13" t="str">
        <f>VLOOKUP(Table13456[[#This Row],[Eq No]],[1]!Table3[[Eq.No.]:[FY23/34 Acq. Status]],2,FALSE)</f>
        <v>Proto</v>
      </c>
      <c r="H61" s="12">
        <f>VLOOKUP(Table13456[[#This Row],[Eq No]],[1]!Table3[[Eq.No.]:[FY23/34 Acq. Status]],3,FALSE)</f>
        <v>2015</v>
      </c>
      <c r="I61" s="13" t="str">
        <f>VLOOKUP(Table13456[[#This Row],[Eq No]],[1]!Table3[[Eq.No.]:[FY23/34 Acq. Status]],12,FALSE)</f>
        <v>Land Cruiser 70 4.2D V8</v>
      </c>
      <c r="J61" s="13" t="str">
        <f>VLOOKUP(Table13456[[#This Row],[Eq No]],[1]!Table3[[Eq.No.]:[FY23/34 Acq. Status]],17,FALSE)</f>
        <v>L/C, 4x4, 4.2D</v>
      </c>
      <c r="K61" s="2">
        <v>0</v>
      </c>
      <c r="L61" s="2">
        <v>0</v>
      </c>
      <c r="M61" s="2">
        <v>1633230.1538</v>
      </c>
    </row>
    <row r="62" spans="2:13" hidden="1" x14ac:dyDescent="0.25">
      <c r="B62" s="3" t="s">
        <v>51</v>
      </c>
      <c r="C62" s="4" t="s">
        <v>83</v>
      </c>
      <c r="D62" s="1" t="s">
        <v>21</v>
      </c>
      <c r="E62" s="1" t="str">
        <f>RIGHT(Table13456[[#This Row],[PROJECT TITLE]],6)</f>
        <v>LD0375</v>
      </c>
      <c r="F62" s="10" t="s">
        <v>8</v>
      </c>
      <c r="G62" s="13" t="str">
        <f>VLOOKUP(Table13456[[#This Row],[Eq No]],[1]!Table3[[Eq.No.]:[FY23/34 Acq. Status]],2,FALSE)</f>
        <v>Nch 3 Elect</v>
      </c>
      <c r="H62" s="12">
        <f>VLOOKUP(Table13456[[#This Row],[Eq No]],[1]!Table3[[Eq.No.]:[FY23/34 Acq. Status]],3,FALSE)</f>
        <v>2015</v>
      </c>
      <c r="I62" s="13" t="str">
        <f>VLOOKUP(Table13456[[#This Row],[Eq No]],[1]!Table3[[Eq.No.]:[FY23/34 Acq. Status]],12,FALSE)</f>
        <v>2.5D 4x4</v>
      </c>
      <c r="J62" s="13" t="str">
        <f>VLOOKUP(Table13456[[#This Row],[Eq No]],[1]!Table3[[Eq.No.]:[FY23/34 Acq. Status]],17,FALSE)</f>
        <v>4 x 4 (2.5D)</v>
      </c>
      <c r="K62" s="2">
        <v>0</v>
      </c>
      <c r="L62" s="2">
        <v>0</v>
      </c>
      <c r="M62" s="2">
        <v>1239840.3537999999</v>
      </c>
    </row>
    <row r="63" spans="2:13" hidden="1" x14ac:dyDescent="0.25">
      <c r="B63" s="3" t="s">
        <v>51</v>
      </c>
      <c r="C63" s="4" t="s">
        <v>84</v>
      </c>
      <c r="D63" s="1" t="s">
        <v>21</v>
      </c>
      <c r="E63" s="1" t="str">
        <f>RIGHT(Table13456[[#This Row],[PROJECT TITLE]],6)</f>
        <v>LD0462</v>
      </c>
      <c r="F63" s="10" t="s">
        <v>8</v>
      </c>
      <c r="G63" s="13" t="str">
        <f>VLOOKUP(Table13456[[#This Row],[Eq No]],[1]!Table3[[Eq.No.]:[FY23/34 Acq. Status]],2,FALSE)</f>
        <v>BR HOD</v>
      </c>
      <c r="H63" s="12">
        <f>VLOOKUP(Table13456[[#This Row],[Eq No]],[1]!Table3[[Eq.No.]:[FY23/34 Acq. Status]],3,FALSE)</f>
        <v>2016</v>
      </c>
      <c r="I63" s="13" t="str">
        <f>VLOOKUP(Table13456[[#This Row],[Eq No]],[1]!Table3[[Eq.No.]:[FY23/34 Acq. Status]],12,FALSE)</f>
        <v>2.8 GD6 D/C RAI 4x2</v>
      </c>
      <c r="J63" s="13" t="str">
        <f>VLOOKUP(Table13456[[#This Row],[Eq No]],[1]!Table3[[Eq.No.]:[FY23/34 Acq. Status]],17,FALSE)</f>
        <v>4x4 DC 2.8GD-6</v>
      </c>
      <c r="K63" s="2">
        <v>0</v>
      </c>
      <c r="L63" s="2">
        <v>0</v>
      </c>
      <c r="M63" s="2">
        <v>1239840.3537999999</v>
      </c>
    </row>
    <row r="64" spans="2:13" hidden="1" x14ac:dyDescent="0.25">
      <c r="B64" s="3" t="s">
        <v>51</v>
      </c>
      <c r="C64" s="4" t="s">
        <v>85</v>
      </c>
      <c r="D64" s="1" t="s">
        <v>21</v>
      </c>
      <c r="E64" s="1" t="str">
        <f>RIGHT(Table13456[[#This Row],[PROJECT TITLE]],6)</f>
        <v>LD0464</v>
      </c>
      <c r="F64" s="10" t="s">
        <v>8</v>
      </c>
      <c r="G64" s="13" t="str">
        <f>VLOOKUP(Table13456[[#This Row],[Eq No]],[1]!Table3[[Eq.No.]:[FY23/34 Acq. Status]],2,FALSE)</f>
        <v>Training Centre</v>
      </c>
      <c r="H64" s="12">
        <f>VLOOKUP(Table13456[[#This Row],[Eq No]],[1]!Table3[[Eq.No.]:[FY23/34 Acq. Status]],3,FALSE)</f>
        <v>2017</v>
      </c>
      <c r="I64" s="13" t="str">
        <f>VLOOKUP(Table13456[[#This Row],[Eq No]],[1]!Table3[[Eq.No.]:[FY23/34 Acq. Status]],12,FALSE)</f>
        <v xml:space="preserve">2.4 GD6 D/C 4x4 SRX </v>
      </c>
      <c r="J64" s="13" t="str">
        <f>VLOOKUP(Table13456[[#This Row],[Eq No]],[1]!Table3[[Eq.No.]:[FY23/34 Acq. Status]],17,FALSE)</f>
        <v>L/Cruiser 4x4 (Converted to UG Spec)</v>
      </c>
      <c r="K64" s="2">
        <v>0</v>
      </c>
      <c r="L64" s="2">
        <v>0</v>
      </c>
      <c r="M64" s="2">
        <v>3760306.4600920002</v>
      </c>
    </row>
    <row r="65" spans="2:13" hidden="1" x14ac:dyDescent="0.25">
      <c r="B65" s="3" t="s">
        <v>51</v>
      </c>
      <c r="C65" s="4" t="s">
        <v>86</v>
      </c>
      <c r="D65" s="1" t="s">
        <v>21</v>
      </c>
      <c r="E65" s="1" t="str">
        <f>RIGHT(Table13456[[#This Row],[PROJECT TITLE]],6)</f>
        <v>LD0472</v>
      </c>
      <c r="F65" s="10" t="s">
        <v>8</v>
      </c>
      <c r="G65" s="13" t="str">
        <f>VLOOKUP(Table13456[[#This Row],[Eq No]],[1]!Table3[[Eq.No.]:[FY23/34 Acq. Status]],2,FALSE)</f>
        <v>Security</v>
      </c>
      <c r="H65" s="12">
        <f>VLOOKUP(Table13456[[#This Row],[Eq No]],[1]!Table3[[Eq.No.]:[FY23/34 Acq. Status]],3,FALSE)</f>
        <v>2017</v>
      </c>
      <c r="I65" s="13" t="str">
        <f>VLOOKUP(Table13456[[#This Row],[Eq No]],[1]!Table3[[Eq.No.]:[FY23/34 Acq. Status]],12,FALSE)</f>
        <v>2.4, GD6, D/C</v>
      </c>
      <c r="J65" s="13" t="str">
        <f>VLOOKUP(Table13456[[#This Row],[Eq No]],[1]!Table3[[Eq.No.]:[FY23/34 Acq. Status]],17,FALSE)</f>
        <v>Hilux D/C 2.4GD6 4x4 RAI MT</v>
      </c>
      <c r="K65" s="2">
        <v>0</v>
      </c>
      <c r="L65" s="2">
        <v>0</v>
      </c>
      <c r="M65" s="2">
        <v>1130228.1164000002</v>
      </c>
    </row>
    <row r="66" spans="2:13" hidden="1" x14ac:dyDescent="0.25">
      <c r="B66" s="3" t="s">
        <v>51</v>
      </c>
      <c r="C66" s="4" t="s">
        <v>87</v>
      </c>
      <c r="D66" s="1" t="s">
        <v>21</v>
      </c>
      <c r="E66" s="1" t="str">
        <f>RIGHT(Table13456[[#This Row],[PROJECT TITLE]],6)</f>
        <v>LD0473</v>
      </c>
      <c r="F66" s="10" t="s">
        <v>8</v>
      </c>
      <c r="G66" s="13" t="str">
        <f>VLOOKUP(Table13456[[#This Row],[Eq No]],[1]!Table3[[Eq.No.]:[FY23/34 Acq. Status]],2,FALSE)</f>
        <v>Instrumentation</v>
      </c>
      <c r="H66" s="12">
        <f>VLOOKUP(Table13456[[#This Row],[Eq No]],[1]!Table3[[Eq.No.]:[FY23/34 Acq. Status]],3,FALSE)</f>
        <v>2018</v>
      </c>
      <c r="I66" s="13" t="str">
        <f>VLOOKUP(Table13456[[#This Row],[Eq No]],[1]!Table3[[Eq.No.]:[FY23/34 Acq. Status]],12,FALSE)</f>
        <v>2.4 GD6 S/C SRX 4x4</v>
      </c>
      <c r="J66" s="13" t="str">
        <f>VLOOKUP(Table13456[[#This Row],[Eq No]],[1]!Table3[[Eq.No.]:[FY23/34 Acq. Status]],17,FALSE)</f>
        <v>2.4, GD6, S/C</v>
      </c>
      <c r="K66" s="2">
        <v>0</v>
      </c>
      <c r="L66" s="2">
        <v>0</v>
      </c>
      <c r="M66" s="2">
        <v>1204729.9938000001</v>
      </c>
    </row>
    <row r="67" spans="2:13" hidden="1" x14ac:dyDescent="0.25">
      <c r="B67" s="3" t="s">
        <v>51</v>
      </c>
      <c r="C67" s="4" t="s">
        <v>88</v>
      </c>
      <c r="D67" s="1" t="s">
        <v>21</v>
      </c>
      <c r="E67" s="1" t="str">
        <f>RIGHT(Table13456[[#This Row],[PROJECT TITLE]],6)</f>
        <v>LD0474</v>
      </c>
      <c r="F67" s="10" t="s">
        <v>8</v>
      </c>
      <c r="G67" s="13" t="str">
        <f>VLOOKUP(Table13456[[#This Row],[Eq No]],[1]!Table3[[Eq.No.]:[FY23/34 Acq. Status]],2,FALSE)</f>
        <v>Instrumentation</v>
      </c>
      <c r="H67" s="12">
        <f>VLOOKUP(Table13456[[#This Row],[Eq No]],[1]!Table3[[Eq.No.]:[FY23/34 Acq. Status]],3,FALSE)</f>
        <v>2018</v>
      </c>
      <c r="I67" s="13" t="str">
        <f>VLOOKUP(Table13456[[#This Row],[Eq No]],[1]!Table3[[Eq.No.]:[FY23/34 Acq. Status]],12,FALSE)</f>
        <v>2.4 GD6 S/C SRX 4x4</v>
      </c>
      <c r="J67" s="13" t="str">
        <f>VLOOKUP(Table13456[[#This Row],[Eq No]],[1]!Table3[[Eq.No.]:[FY23/34 Acq. Status]],17,FALSE)</f>
        <v>2.4, GD6, S/C</v>
      </c>
      <c r="K67" s="2">
        <v>0</v>
      </c>
      <c r="L67" s="2">
        <v>0</v>
      </c>
      <c r="M67" s="2">
        <v>1204729.9938000001</v>
      </c>
    </row>
    <row r="68" spans="2:13" hidden="1" x14ac:dyDescent="0.25">
      <c r="B68" s="3" t="s">
        <v>51</v>
      </c>
      <c r="C68" s="4" t="s">
        <v>89</v>
      </c>
      <c r="D68" s="1" t="s">
        <v>21</v>
      </c>
      <c r="E68" s="1" t="str">
        <f>RIGHT(Table13456[[#This Row],[PROJECT TITLE]],6)</f>
        <v>LD0487</v>
      </c>
      <c r="F68" s="10" t="s">
        <v>8</v>
      </c>
      <c r="G68" s="13">
        <f>VLOOKUP(Table13456[[#This Row],[Eq No]],[1]!Table3[[Eq.No.]:[FY23/34 Acq. Status]],2,FALSE)</f>
        <v>0</v>
      </c>
      <c r="H68" s="12">
        <f>VLOOKUP(Table13456[[#This Row],[Eq No]],[1]!Table3[[Eq.No.]:[FY23/34 Acq. Status]],3,FALSE)</f>
        <v>2018</v>
      </c>
      <c r="I68" s="13" t="str">
        <f>VLOOKUP(Table13456[[#This Row],[Eq No]],[1]!Table3[[Eq.No.]:[FY23/34 Acq. Status]],12,FALSE)</f>
        <v>2.4GD6 D/C 4x4 SRX 6AT</v>
      </c>
      <c r="J68" s="13" t="str">
        <f>VLOOKUP(Table13456[[#This Row],[Eq No]],[1]!Table3[[Eq.No.]:[FY23/34 Acq. Status]],17,FALSE)</f>
        <v>Hilux D/C 2.4GD6 4x4 RAI MT</v>
      </c>
      <c r="K68" s="2">
        <v>0</v>
      </c>
      <c r="L68" s="2">
        <v>0</v>
      </c>
      <c r="M68" s="2">
        <v>1130228.1164000002</v>
      </c>
    </row>
    <row r="69" spans="2:13" hidden="1" x14ac:dyDescent="0.25">
      <c r="B69" s="3" t="s">
        <v>51</v>
      </c>
      <c r="C69" s="4" t="s">
        <v>90</v>
      </c>
      <c r="D69" s="1" t="s">
        <v>21</v>
      </c>
      <c r="E69" s="1" t="str">
        <f>RIGHT(Table13456[[#This Row],[PROJECT TITLE]],6)</f>
        <v>LD0488</v>
      </c>
      <c r="F69" s="10" t="s">
        <v>8</v>
      </c>
      <c r="G69" s="13" t="str">
        <f>VLOOKUP(Table13456[[#This Row],[Eq No]],[1]!Table3[[Eq.No.]:[FY23/34 Acq. Status]],2,FALSE)</f>
        <v xml:space="preserve">BR Services </v>
      </c>
      <c r="H69" s="12">
        <f>VLOOKUP(Table13456[[#This Row],[Eq No]],[1]!Table3[[Eq.No.]:[FY23/34 Acq. Status]],3,FALSE)</f>
        <v>2018</v>
      </c>
      <c r="I69" s="13" t="str">
        <f>VLOOKUP(Table13456[[#This Row],[Eq No]],[1]!Table3[[Eq.No.]:[FY23/34 Acq. Status]],12,FALSE)</f>
        <v>2.4GD6 D/C 4x4 SRX 6MT</v>
      </c>
      <c r="J69" s="13" t="str">
        <f>VLOOKUP(Table13456[[#This Row],[Eq No]],[1]!Table3[[Eq.No.]:[FY23/34 Acq. Status]],17,FALSE)</f>
        <v>Hilux D/C 2.4GD6 4x4 RAI MT</v>
      </c>
      <c r="K69" s="2">
        <v>0</v>
      </c>
      <c r="L69" s="2">
        <v>0</v>
      </c>
      <c r="M69" s="2">
        <v>1130228.1164000002</v>
      </c>
    </row>
    <row r="70" spans="2:13" hidden="1" x14ac:dyDescent="0.25">
      <c r="B70" s="3" t="s">
        <v>51</v>
      </c>
      <c r="C70" s="4" t="s">
        <v>91</v>
      </c>
      <c r="D70" s="1" t="s">
        <v>92</v>
      </c>
      <c r="E70" s="1" t="str">
        <f>RIGHT(Table13456[[#This Row],[PROJECT TITLE]],6)</f>
        <v>TK0060</v>
      </c>
      <c r="F70" s="10" t="s">
        <v>8</v>
      </c>
      <c r="G70" s="13" t="str">
        <f>VLOOKUP(Table13456[[#This Row],[Eq No]],[1]!Table3[[Eq.No.]:[FY23/34 Acq. Status]],2,FALSE)</f>
        <v>Fire House - Fire Truck</v>
      </c>
      <c r="H70" s="12">
        <f>VLOOKUP(Table13456[[#This Row],[Eq No]],[1]!Table3[[Eq.No.]:[FY23/34 Acq. Status]],3,FALSE)</f>
        <v>2011</v>
      </c>
      <c r="I70" s="13" t="str">
        <f>VLOOKUP(Table13456[[#This Row],[Eq No]],[1]!Table3[[Eq.No.]:[FY23/34 Acq. Status]],12,FALSE)</f>
        <v>Equipment Not found on Asset List</v>
      </c>
      <c r="J70" s="13" t="str">
        <f>VLOOKUP(Table13456[[#This Row],[Eq No]],[1]!Table3[[Eq.No.]:[FY23/34 Acq. Status]],17,FALSE)</f>
        <v>Mobile Fire Truck P340</v>
      </c>
      <c r="K70" s="2">
        <v>0</v>
      </c>
      <c r="L70" s="2">
        <v>7440121.0574438404</v>
      </c>
      <c r="M70" s="2">
        <v>0</v>
      </c>
    </row>
    <row r="71" spans="2:13" hidden="1" x14ac:dyDescent="0.25">
      <c r="B71" s="3" t="s">
        <v>51</v>
      </c>
      <c r="C71" s="4" t="s">
        <v>93</v>
      </c>
      <c r="D71" s="1" t="s">
        <v>92</v>
      </c>
      <c r="E71" s="1" t="str">
        <f>RIGHT(Table13456[[#This Row],[PROJECT TITLE]],6)</f>
        <v>TK0071</v>
      </c>
      <c r="F71" s="10" t="s">
        <v>8</v>
      </c>
      <c r="G71" s="13" t="str">
        <f>VLOOKUP(Table13456[[#This Row],[Eq No]],[1]!Table3[[Eq.No.]:[FY23/34 Acq. Status]],2,FALSE)</f>
        <v>BR Services Fitter/Bolier</v>
      </c>
      <c r="H71" s="12">
        <f>VLOOKUP(Table13456[[#This Row],[Eq No]],[1]!Table3[[Eq.No.]:[FY23/34 Acq. Status]],3,FALSE)</f>
        <v>2011</v>
      </c>
      <c r="I71" s="13" t="str">
        <f>VLOOKUP(Table13456[[#This Row],[Eq No]],[1]!Table3[[Eq.No.]:[FY23/34 Acq. Status]],12,FALSE)</f>
        <v>Hino Super F</v>
      </c>
      <c r="J71" s="13" t="str">
        <f>VLOOKUP(Table13456[[#This Row],[Eq No]],[1]!Table3[[Eq.No.]:[FY23/34 Acq. Status]],17,FALSE)</f>
        <v>Hino500,1324Tipper</v>
      </c>
      <c r="K71" s="2">
        <v>0</v>
      </c>
      <c r="L71" s="2">
        <v>2126185.3695999999</v>
      </c>
      <c r="M71" s="2">
        <v>0</v>
      </c>
    </row>
    <row r="72" spans="2:13" hidden="1" x14ac:dyDescent="0.25">
      <c r="B72" s="3" t="s">
        <v>51</v>
      </c>
      <c r="C72" s="4" t="s">
        <v>94</v>
      </c>
      <c r="D72" s="1" t="s">
        <v>95</v>
      </c>
      <c r="E72" s="1" t="str">
        <f>RIGHT(Table13456[[#This Row],[PROJECT TITLE]],6)</f>
        <v>UV0011</v>
      </c>
      <c r="F72" s="10" t="s">
        <v>8</v>
      </c>
      <c r="G72" s="13" t="str">
        <f>VLOOKUP(Table13456[[#This Row],[Eq No]],[1]!Table3[[Eq.No.]:[FY23/34 Acq. Status]],2,FALSE)</f>
        <v>Proto</v>
      </c>
      <c r="H72" s="12">
        <f>VLOOKUP(Table13456[[#This Row],[Eq No]],[1]!Table3[[Eq.No.]:[FY23/34 Acq. Status]],3,FALSE)</f>
        <v>2001</v>
      </c>
      <c r="I72" s="13" t="str">
        <f>VLOOKUP(Table13456[[#This Row],[Eq No]],[1]!Table3[[Eq.No.]:[FY23/34 Acq. Status]],12,FALSE)</f>
        <v>Land Cruiser 70 4.2D</v>
      </c>
      <c r="J72" s="13" t="str">
        <f>VLOOKUP(Table13456[[#This Row],[Eq No]],[1]!Table3[[Eq.No.]:[FY23/34 Acq. Status]],17,FALSE)</f>
        <v>L/C, 4x4, 4.2D</v>
      </c>
      <c r="K72" s="2">
        <v>0</v>
      </c>
      <c r="L72" s="2">
        <v>0</v>
      </c>
      <c r="M72" s="2">
        <v>1633230.1538</v>
      </c>
    </row>
    <row r="73" spans="2:13" hidden="1" x14ac:dyDescent="0.25">
      <c r="B73" s="3" t="s">
        <v>51</v>
      </c>
      <c r="C73" s="4" t="s">
        <v>96</v>
      </c>
      <c r="D73" s="1" t="s">
        <v>97</v>
      </c>
      <c r="E73" s="1" t="str">
        <f>RIGHT(Table13456[[#This Row],[PROJECT TITLE]],6)</f>
        <v>GD0008</v>
      </c>
      <c r="F73" s="10" t="s">
        <v>43</v>
      </c>
      <c r="G73" s="13" t="str">
        <f>VLOOKUP(Table13456[[#This Row],[Eq No]],[1]!Table3[[Eq.No.]:[FY23/34 Acq. Status]],2,FALSE)</f>
        <v>Gloria U/G</v>
      </c>
      <c r="H73" s="12">
        <f>VLOOKUP(Table13456[[#This Row],[Eq No]],[1]!Table3[[Eq.No.]:[FY23/34 Acq. Status]],3,FALSE)</f>
        <v>2016</v>
      </c>
      <c r="I73" s="13" t="str">
        <f>VLOOKUP(Table13456[[#This Row],[Eq No]],[1]!Table3[[Eq.No.]:[FY23/34 Acq. Status]],12,FALSE)</f>
        <v>120G</v>
      </c>
      <c r="J73" s="13" t="str">
        <f>VLOOKUP(Table13456[[#This Row],[Eq No]],[1]!Table3[[Eq.No.]:[FY23/34 Acq. Status]],17,FALSE)</f>
        <v>120G</v>
      </c>
      <c r="K73" s="2">
        <v>0</v>
      </c>
      <c r="L73" s="2">
        <v>6404325.3673113603</v>
      </c>
      <c r="M73" s="2">
        <v>0</v>
      </c>
    </row>
    <row r="74" spans="2:13" hidden="1" x14ac:dyDescent="0.25">
      <c r="B74" s="3" t="s">
        <v>51</v>
      </c>
      <c r="C74" s="4" t="s">
        <v>98</v>
      </c>
      <c r="D74" s="1" t="s">
        <v>21</v>
      </c>
      <c r="E74" s="1" t="str">
        <f>RIGHT(Table13456[[#This Row],[PROJECT TITLE]],6)</f>
        <v>LD0226</v>
      </c>
      <c r="F74" s="10" t="s">
        <v>43</v>
      </c>
      <c r="G74" s="13" t="str">
        <f>VLOOKUP(Table13456[[#This Row],[Eq No]],[1]!Table3[[Eq.No.]:[FY23/34 Acq. Status]],2,FALSE)</f>
        <v>Stretcher carrier</v>
      </c>
      <c r="H74" s="12">
        <f>VLOOKUP(Table13456[[#This Row],[Eq No]],[1]!Table3[[Eq.No.]:[FY23/34 Acq. Status]],3,FALSE)</f>
        <v>2009</v>
      </c>
      <c r="I74" s="13" t="str">
        <f>VLOOKUP(Table13456[[#This Row],[Eq No]],[1]!Table3[[Eq.No.]:[FY23/34 Acq. Status]],12,FALSE)</f>
        <v>LDV, TOYOTA Stretcher carrier</v>
      </c>
      <c r="J74" s="13" t="str">
        <f>VLOOKUP(Table13456[[#This Row],[Eq No]],[1]!Table3[[Eq.No.]:[FY23/34 Acq. Status]],17,FALSE)</f>
        <v>L/cruiser 4x4 (Converted to UG Spec)</v>
      </c>
      <c r="K74" s="2">
        <v>0</v>
      </c>
      <c r="L74" s="2">
        <v>3643512.1748480005</v>
      </c>
      <c r="M74" s="2">
        <v>0</v>
      </c>
    </row>
    <row r="75" spans="2:13" hidden="1" x14ac:dyDescent="0.25">
      <c r="B75" s="3" t="s">
        <v>51</v>
      </c>
      <c r="C75" s="4" t="s">
        <v>99</v>
      </c>
      <c r="D75" s="1" t="s">
        <v>21</v>
      </c>
      <c r="E75" s="1" t="str">
        <f>RIGHT(Table13456[[#This Row],[PROJECT TITLE]],6)</f>
        <v>LD0287</v>
      </c>
      <c r="F75" s="10" t="s">
        <v>43</v>
      </c>
      <c r="G75" s="13" t="str">
        <f>VLOOKUP(Table13456[[#This Row],[Eq No]],[1]!Table3[[Eq.No.]:[FY23/34 Acq. Status]],2,FALSE)</f>
        <v>Gloria S/Plant</v>
      </c>
      <c r="H75" s="12">
        <f>VLOOKUP(Table13456[[#This Row],[Eq No]],[1]!Table3[[Eq.No.]:[FY23/34 Acq. Status]],3,FALSE)</f>
        <v>2013</v>
      </c>
      <c r="I75" s="13" t="str">
        <f>VLOOKUP(Table13456[[#This Row],[Eq No]],[1]!Table3[[Eq.No.]:[FY23/34 Acq. Status]],12,FALSE)</f>
        <v>L/C, 4x4, 4.2D</v>
      </c>
      <c r="J75" s="13" t="str">
        <f>VLOOKUP(Table13456[[#This Row],[Eq No]],[1]!Table3[[Eq.No.]:[FY23/34 Acq. Status]],17,FALSE)</f>
        <v>L/C, 4x4, 4.2D</v>
      </c>
      <c r="K75" s="2">
        <v>0</v>
      </c>
      <c r="L75" s="2">
        <v>0</v>
      </c>
      <c r="M75" s="2">
        <v>1633230.1538</v>
      </c>
    </row>
    <row r="76" spans="2:13" hidden="1" x14ac:dyDescent="0.25">
      <c r="B76" s="3" t="s">
        <v>51</v>
      </c>
      <c r="C76" s="4" t="s">
        <v>100</v>
      </c>
      <c r="D76" s="1" t="s">
        <v>21</v>
      </c>
      <c r="E76" s="1" t="str">
        <f>RIGHT(Table13456[[#This Row],[PROJECT TITLE]],6)</f>
        <v>LD0412</v>
      </c>
      <c r="F76" s="10" t="s">
        <v>43</v>
      </c>
      <c r="G76" s="13" t="str">
        <f>VLOOKUP(Table13456[[#This Row],[Eq No]],[1]!Table3[[Eq.No.]:[FY23/34 Acq. Status]],2,FALSE)</f>
        <v>Gloria U/G</v>
      </c>
      <c r="H76" s="12">
        <f>VLOOKUP(Table13456[[#This Row],[Eq No]],[1]!Table3[[Eq.No.]:[FY23/34 Acq. Status]],3,FALSE)</f>
        <v>2020</v>
      </c>
      <c r="I76" s="13" t="str">
        <f>VLOOKUP(Table13456[[#This Row],[Eq No]],[1]!Table3[[Eq.No.]:[FY23/34 Acq. Status]],12,FALSE)</f>
        <v>Maverick D/C</v>
      </c>
      <c r="J76" s="13" t="str">
        <f>VLOOKUP(Table13456[[#This Row],[Eq No]],[1]!Table3[[Eq.No.]:[FY23/34 Acq. Status]],17,FALSE)</f>
        <v>L/Cruiser 4x4 (Converted to UG Spec)</v>
      </c>
      <c r="K76" s="2">
        <v>0</v>
      </c>
      <c r="L76" s="2">
        <v>3643512.1748480005</v>
      </c>
      <c r="M76" s="2">
        <v>0</v>
      </c>
    </row>
    <row r="77" spans="2:13" hidden="1" x14ac:dyDescent="0.25">
      <c r="B77" s="3" t="s">
        <v>51</v>
      </c>
      <c r="C77" s="4" t="s">
        <v>101</v>
      </c>
      <c r="D77" s="1" t="s">
        <v>21</v>
      </c>
      <c r="E77" s="1" t="str">
        <f>RIGHT(Table13456[[#This Row],[PROJECT TITLE]],6)</f>
        <v>LD0451</v>
      </c>
      <c r="F77" s="10" t="s">
        <v>43</v>
      </c>
      <c r="G77" s="13" t="str">
        <f>VLOOKUP(Table13456[[#This Row],[Eq No]],[1]!Table3[[Eq.No.]:[FY23/34 Acq. Status]],2,FALSE)</f>
        <v>Gloria U/G</v>
      </c>
      <c r="H77" s="12">
        <f>VLOOKUP(Table13456[[#This Row],[Eq No]],[1]!Table3[[Eq.No.]:[FY23/34 Acq. Status]],3,FALSE)</f>
        <v>2018</v>
      </c>
      <c r="I77" s="13" t="str">
        <f>VLOOKUP(Table13456[[#This Row],[Eq No]],[1]!Table3[[Eq.No.]:[FY23/34 Acq. Status]],12,FALSE)</f>
        <v>Maverick D/C</v>
      </c>
      <c r="J77" s="13" t="str">
        <f>VLOOKUP(Table13456[[#This Row],[Eq No]],[1]!Table3[[Eq.No.]:[FY23/34 Acq. Status]],17,FALSE)</f>
        <v>L/Cruiser 4x4 (Converted to UG Spec)</v>
      </c>
      <c r="K77" s="2">
        <v>0</v>
      </c>
      <c r="L77" s="2">
        <v>0</v>
      </c>
      <c r="M77" s="2">
        <v>3760306.4600920002</v>
      </c>
    </row>
    <row r="78" spans="2:13" hidden="1" x14ac:dyDescent="0.25">
      <c r="B78" s="3" t="s">
        <v>51</v>
      </c>
      <c r="C78" s="4" t="s">
        <v>102</v>
      </c>
      <c r="D78" s="1" t="s">
        <v>95</v>
      </c>
      <c r="E78" s="1" t="str">
        <f>RIGHT(Table13456[[#This Row],[PROJECT TITLE]],6)</f>
        <v>UV0076</v>
      </c>
      <c r="F78" s="10" t="s">
        <v>43</v>
      </c>
      <c r="G78" s="13" t="str">
        <f>VLOOKUP(Table13456[[#This Row],[Eq No]],[1]!Table3[[Eq.No.]:[FY23/34 Acq. Status]],2,FALSE)</f>
        <v>Gloria U/G</v>
      </c>
      <c r="H78" s="12">
        <f>VLOOKUP(Table13456[[#This Row],[Eq No]],[1]!Table3[[Eq.No.]:[FY23/34 Acq. Status]],3,FALSE)</f>
        <v>2015</v>
      </c>
      <c r="I78" s="13" t="str">
        <f>VLOOKUP(Table13456[[#This Row],[Eq No]],[1]!Table3[[Eq.No.]:[FY23/34 Acq. Status]],12,FALSE)</f>
        <v>Maverick Man Lift</v>
      </c>
      <c r="J78" s="13" t="str">
        <f>VLOOKUP(Table13456[[#This Row],[Eq No]],[1]!Table3[[Eq.No.]:[FY23/34 Acq. Status]],17,FALSE)</f>
        <v>L/Cruiser 4x4 (Converted to UG Spec)</v>
      </c>
      <c r="K78" s="2">
        <v>0</v>
      </c>
      <c r="L78" s="2">
        <v>0</v>
      </c>
      <c r="M78" s="2">
        <v>3760306.4600920002</v>
      </c>
    </row>
    <row r="79" spans="2:13" hidden="1" x14ac:dyDescent="0.25">
      <c r="B79" s="3" t="s">
        <v>51</v>
      </c>
      <c r="C79" s="4" t="s">
        <v>103</v>
      </c>
      <c r="D79" s="1" t="s">
        <v>95</v>
      </c>
      <c r="E79" s="1" t="str">
        <f>RIGHT(Table13456[[#This Row],[PROJECT TITLE]],6)</f>
        <v>UV0083</v>
      </c>
      <c r="F79" s="10" t="s">
        <v>43</v>
      </c>
      <c r="G79" s="13" t="str">
        <f>VLOOKUP(Table13456[[#This Row],[Eq No]],[1]!Table3[[Eq.No.]:[FY23/34 Acq. Status]],2,FALSE)</f>
        <v>Gloria U/G</v>
      </c>
      <c r="H79" s="12">
        <f>VLOOKUP(Table13456[[#This Row],[Eq No]],[1]!Table3[[Eq.No.]:[FY23/34 Acq. Status]],3,FALSE)</f>
        <v>2016</v>
      </c>
      <c r="I79" s="13" t="str">
        <f>VLOOKUP(Table13456[[#This Row],[Eq No]],[1]!Table3[[Eq.No.]:[FY23/34 Acq. Status]],12,FALSE)</f>
        <v>Casette Carrier</v>
      </c>
      <c r="J79" s="13" t="str">
        <f>VLOOKUP(Table13456[[#This Row],[Eq No]],[1]!Table3[[Eq.No.]:[FY23/34 Acq. Status]],17,FALSE)</f>
        <v>Casette Carrier</v>
      </c>
      <c r="K79" s="2">
        <v>0</v>
      </c>
      <c r="L79" s="2">
        <v>6692310.9120000005</v>
      </c>
      <c r="M79" s="2">
        <v>0</v>
      </c>
    </row>
    <row r="80" spans="2:13" hidden="1" x14ac:dyDescent="0.25">
      <c r="B80" s="3" t="s">
        <v>51</v>
      </c>
      <c r="C80" s="4" t="s">
        <v>104</v>
      </c>
      <c r="D80" s="1" t="s">
        <v>95</v>
      </c>
      <c r="E80" s="1" t="str">
        <f>RIGHT(Table13456[[#This Row],[PROJECT TITLE]],6)</f>
        <v>UV0089</v>
      </c>
      <c r="F80" s="10" t="s">
        <v>43</v>
      </c>
      <c r="G80" s="13" t="str">
        <f>VLOOKUP(Table13456[[#This Row],[Eq No]],[1]!Table3[[Eq.No.]:[FY23/34 Acq. Status]],2,FALSE)</f>
        <v>Gloria U/G</v>
      </c>
      <c r="H80" s="12">
        <f>VLOOKUP(Table13456[[#This Row],[Eq No]],[1]!Table3[[Eq.No.]:[FY23/34 Acq. Status]],3,FALSE)</f>
        <v>2017</v>
      </c>
      <c r="I80" s="13" t="str">
        <f>VLOOKUP(Table13456[[#This Row],[Eq No]],[1]!Table3[[Eq.No.]:[FY23/34 Acq. Status]],12,FALSE)</f>
        <v>Maverick S/Cab</v>
      </c>
      <c r="J80" s="13" t="str">
        <f>VLOOKUP(Table13456[[#This Row],[Eq No]],[1]!Table3[[Eq.No.]:[FY23/34 Acq. Status]],17,FALSE)</f>
        <v>L/Cruiser 4x4 (Converted to UG Spec)</v>
      </c>
      <c r="K80" s="2">
        <v>0</v>
      </c>
      <c r="L80" s="2">
        <v>0</v>
      </c>
      <c r="M80" s="2">
        <v>3760306.4600920002</v>
      </c>
    </row>
    <row r="81" spans="2:13" hidden="1" x14ac:dyDescent="0.25">
      <c r="B81" s="3" t="s">
        <v>51</v>
      </c>
      <c r="C81" s="4" t="s">
        <v>105</v>
      </c>
      <c r="D81" s="1" t="s">
        <v>95</v>
      </c>
      <c r="E81" s="1" t="str">
        <f>RIGHT(Table13456[[#This Row],[PROJECT TITLE]],6)</f>
        <v>UV0095</v>
      </c>
      <c r="F81" s="10" t="s">
        <v>43</v>
      </c>
      <c r="G81" s="13" t="str">
        <f>VLOOKUP(Table13456[[#This Row],[Eq No]],[1]!Table3[[Eq.No.]:[FY23/34 Acq. Status]],2,FALSE)</f>
        <v>Gloria U/G</v>
      </c>
      <c r="H81" s="12">
        <f>VLOOKUP(Table13456[[#This Row],[Eq No]],[1]!Table3[[Eq.No.]:[FY23/34 Acq. Status]],3,FALSE)</f>
        <v>2017</v>
      </c>
      <c r="I81" s="13" t="str">
        <f>VLOOKUP(Table13456[[#This Row],[Eq No]],[1]!Table3[[Eq.No.]:[FY23/34 Acq. Status]],12,FALSE)</f>
        <v>Maverick S/Cab</v>
      </c>
      <c r="J81" s="13" t="str">
        <f>VLOOKUP(Table13456[[#This Row],[Eq No]],[1]!Table3[[Eq.No.]:[FY23/34 Acq. Status]],17,FALSE)</f>
        <v>L/Cruiser 4x4 (Converted to UG Spec)</v>
      </c>
      <c r="K81" s="2">
        <v>0</v>
      </c>
      <c r="L81" s="2">
        <v>3643512.1748480005</v>
      </c>
      <c r="M81" s="2">
        <v>0</v>
      </c>
    </row>
    <row r="82" spans="2:13" hidden="1" x14ac:dyDescent="0.25">
      <c r="B82" s="3" t="s">
        <v>51</v>
      </c>
      <c r="C82" s="4" t="s">
        <v>106</v>
      </c>
      <c r="D82" s="1" t="s">
        <v>95</v>
      </c>
      <c r="E82" s="1" t="str">
        <f>RIGHT(Table13456[[#This Row],[PROJECT TITLE]],6)</f>
        <v>UV0097</v>
      </c>
      <c r="F82" s="10" t="s">
        <v>43</v>
      </c>
      <c r="G82" s="13" t="str">
        <f>VLOOKUP(Table13456[[#This Row],[Eq No]],[1]!Table3[[Eq.No.]:[FY23/34 Acq. Status]],2,FALSE)</f>
        <v>Gloria U/G</v>
      </c>
      <c r="H82" s="12">
        <f>VLOOKUP(Table13456[[#This Row],[Eq No]],[1]!Table3[[Eq.No.]:[FY23/34 Acq. Status]],3,FALSE)</f>
        <v>2017</v>
      </c>
      <c r="I82" s="13" t="str">
        <f>VLOOKUP(Table13456[[#This Row],[Eq No]],[1]!Table3[[Eq.No.]:[FY23/34 Acq. Status]],12,FALSE)</f>
        <v>Maverick Man Lift</v>
      </c>
      <c r="J82" s="13" t="str">
        <f>VLOOKUP(Table13456[[#This Row],[Eq No]],[1]!Table3[[Eq.No.]:[FY23/34 Acq. Status]],17,FALSE)</f>
        <v>L/Cruiser 4x4 (Converted to UG Spec)</v>
      </c>
      <c r="K82" s="2">
        <v>0</v>
      </c>
      <c r="L82" s="2">
        <v>0</v>
      </c>
      <c r="M82" s="2">
        <v>3760306.4600920002</v>
      </c>
    </row>
    <row r="83" spans="2:13" hidden="1" x14ac:dyDescent="0.25">
      <c r="B83" s="3" t="s">
        <v>51</v>
      </c>
      <c r="C83" s="4" t="s">
        <v>107</v>
      </c>
      <c r="D83" s="1" t="s">
        <v>95</v>
      </c>
      <c r="E83" s="1" t="str">
        <f>RIGHT(Table13456[[#This Row],[PROJECT TITLE]],6)</f>
        <v>UV0104</v>
      </c>
      <c r="F83" s="10" t="s">
        <v>43</v>
      </c>
      <c r="G83" s="13" t="str">
        <f>VLOOKUP(Table13456[[#This Row],[Eq No]],[1]!Table3[[Eq.No.]:[FY23/34 Acq. Status]],2,FALSE)</f>
        <v>Gloria U/G</v>
      </c>
      <c r="H83" s="12">
        <f>VLOOKUP(Table13456[[#This Row],[Eq No]],[1]!Table3[[Eq.No.]:[FY23/34 Acq. Status]],3,FALSE)</f>
        <v>2017</v>
      </c>
      <c r="I83" s="13" t="str">
        <f>VLOOKUP(Table13456[[#This Row],[Eq No]],[1]!Table3[[Eq.No.]:[FY23/34 Acq. Status]],12,FALSE)</f>
        <v>Maverick Jam pot</v>
      </c>
      <c r="J83" s="13" t="str">
        <f>VLOOKUP(Table13456[[#This Row],[Eq No]],[1]!Table3[[Eq.No.]:[FY23/34 Acq. Status]],17,FALSE)</f>
        <v>L/Cruiser 4x4 (Converted to UG Spec)</v>
      </c>
      <c r="K83" s="2">
        <v>0</v>
      </c>
      <c r="L83" s="2">
        <v>0</v>
      </c>
      <c r="M83" s="2">
        <v>3760306.4600920002</v>
      </c>
    </row>
    <row r="84" spans="2:13" hidden="1" x14ac:dyDescent="0.25">
      <c r="B84" s="3" t="s">
        <v>51</v>
      </c>
      <c r="C84" s="4" t="s">
        <v>108</v>
      </c>
      <c r="D84" s="1" t="s">
        <v>15</v>
      </c>
      <c r="E84" s="1" t="str">
        <f>RIGHT(Table13456[[#This Row],[PROJECT TITLE]],6)</f>
        <v>CR0102</v>
      </c>
      <c r="F84" s="10" t="s">
        <v>16</v>
      </c>
      <c r="G84" s="13" t="str">
        <f>VLOOKUP(Table13456[[#This Row],[Eq No]],[1]!Table3[[Eq.No.]:[FY23/34 Acq. Status]],2,FALSE)</f>
        <v>Shafts &amp; Winders</v>
      </c>
      <c r="H84" s="12">
        <f>VLOOKUP(Table13456[[#This Row],[Eq No]],[1]!Table3[[Eq.No.]:[FY23/34 Acq. Status]],3,FALSE)</f>
        <v>2015</v>
      </c>
      <c r="I84" s="13" t="str">
        <f>VLOOKUP(Table13456[[#This Row],[Eq No]],[1]!Table3[[Eq.No.]:[FY23/34 Acq. Status]],12,FALSE)</f>
        <v>LTM1060-3.1-60Ton</v>
      </c>
      <c r="J84" s="13" t="str">
        <f>VLOOKUP(Table13456[[#This Row],[Eq No]],[1]!Table3[[Eq.No.]:[FY23/34 Acq. Status]],17,FALSE)</f>
        <v>LTM1060-3.1-60Ton</v>
      </c>
      <c r="K84" s="2">
        <v>0</v>
      </c>
      <c r="L84" s="2">
        <v>0</v>
      </c>
      <c r="M84" s="2">
        <v>23448654.336960003</v>
      </c>
    </row>
    <row r="85" spans="2:13" hidden="1" x14ac:dyDescent="0.25">
      <c r="B85" s="3" t="s">
        <v>51</v>
      </c>
      <c r="C85" s="4" t="s">
        <v>109</v>
      </c>
      <c r="D85" s="1" t="s">
        <v>21</v>
      </c>
      <c r="E85" s="1" t="str">
        <f>RIGHT(Table13456[[#This Row],[PROJECT TITLE]],6)</f>
        <v>LD0485</v>
      </c>
      <c r="F85" s="10" t="s">
        <v>16</v>
      </c>
      <c r="G85" s="13" t="str">
        <f>VLOOKUP(Table13456[[#This Row],[Eq No]],[1]!Table3[[Eq.No.]:[FY23/34 Acq. Status]],2,FALSE)</f>
        <v>Shaft &amp; Winders -  CSH 607 NC - REPCAP 1718</v>
      </c>
      <c r="H85" s="12">
        <f>VLOOKUP(Table13456[[#This Row],[Eq No]],[1]!Table3[[Eq.No.]:[FY23/34 Acq. Status]],3,FALSE)</f>
        <v>2018</v>
      </c>
      <c r="I85" s="13" t="str">
        <f>VLOOKUP(Table13456[[#This Row],[Eq No]],[1]!Table3[[Eq.No.]:[FY23/34 Acq. Status]],12,FALSE)</f>
        <v>2.4 GD6 D/C SRX</v>
      </c>
      <c r="J85" s="13" t="str">
        <f>VLOOKUP(Table13456[[#This Row],[Eq No]],[1]!Table3[[Eq.No.]:[FY23/34 Acq. Status]],17,FALSE)</f>
        <v>2.4 GD6 D/C SRX</v>
      </c>
      <c r="K85" s="2">
        <v>0</v>
      </c>
      <c r="L85" s="2">
        <v>0</v>
      </c>
      <c r="M85" s="2">
        <v>1141467.2757999999</v>
      </c>
    </row>
    <row r="86" spans="2:13" hidden="1" x14ac:dyDescent="0.25">
      <c r="B86" s="3" t="s">
        <v>51</v>
      </c>
      <c r="C86" s="4" t="s">
        <v>110</v>
      </c>
      <c r="D86" s="1" t="s">
        <v>15</v>
      </c>
      <c r="E86" s="1" t="str">
        <f>RIGHT(Table13456[[#This Row],[PROJECT TITLE]],6)</f>
        <v>CR0105</v>
      </c>
      <c r="F86" s="10" t="s">
        <v>16</v>
      </c>
      <c r="G86" s="13">
        <f>VLOOKUP(Table13456[[#This Row],[Eq No]],[1]!Table3[[Eq.No.]:[FY23/34 Acq. Status]],2,FALSE)</f>
        <v>0</v>
      </c>
      <c r="H86" s="12">
        <f>VLOOKUP(Table13456[[#This Row],[Eq No]],[1]!Table3[[Eq.No.]:[FY23/34 Acq. Status]],3,FALSE)</f>
        <v>2015</v>
      </c>
      <c r="I86" s="13" t="str">
        <f>VLOOKUP(Table13456[[#This Row],[Eq No]],[1]!Table3[[Eq.No.]:[FY23/34 Acq. Status]],12,FALSE)</f>
        <v>Crane MHT780 T Evolution</v>
      </c>
      <c r="J86" s="13" t="str">
        <f>VLOOKUP(Table13456[[#This Row],[Eq No]],[1]!Table3[[Eq.No.]:[FY23/34 Acq. Status]],17,FALSE)</f>
        <v>Crane MHT780 T Evolution</v>
      </c>
      <c r="K86" s="2">
        <v>0</v>
      </c>
      <c r="L86" s="2">
        <v>13604531.5328</v>
      </c>
      <c r="M86" s="2">
        <v>0</v>
      </c>
    </row>
    <row r="87" spans="2:13" hidden="1" x14ac:dyDescent="0.25">
      <c r="B87" s="3" t="s">
        <v>51</v>
      </c>
      <c r="C87" s="4" t="s">
        <v>111</v>
      </c>
      <c r="D87" s="1" t="s">
        <v>39</v>
      </c>
      <c r="E87" s="1" t="str">
        <f>RIGHT(Table13456[[#This Row],[PROJECT TITLE]],6)</f>
        <v>DT0107</v>
      </c>
      <c r="F87" s="10" t="s">
        <v>16</v>
      </c>
      <c r="G87" s="13" t="str">
        <f>VLOOKUP(Table13456[[#This Row],[Eq No]],[1]!Table3[[Eq.No.]:[FY23/34 Acq. Status]],2,FALSE)</f>
        <v>NCHW II UG</v>
      </c>
      <c r="H87" s="12">
        <f>VLOOKUP(Table13456[[#This Row],[Eq No]],[1]!Table3[[Eq.No.]:[FY23/34 Acq. Status]],3,FALSE)</f>
        <v>2015</v>
      </c>
      <c r="I87" s="13" t="str">
        <f>VLOOKUP(Table13456[[#This Row],[Eq No]],[1]!Table3[[Eq.No.]:[FY23/34 Acq. Status]],12,FALSE)</f>
        <v>MT 436 LP</v>
      </c>
      <c r="J87" s="13" t="str">
        <f>VLOOKUP(Table13456[[#This Row],[Eq No]],[1]!Table3[[Eq.No.]:[FY23/34 Acq. Status]],17,FALSE)</f>
        <v>Elphinstone AD30 LP</v>
      </c>
      <c r="K87" s="2">
        <v>0</v>
      </c>
      <c r="L87" s="2">
        <v>23276539.660799999</v>
      </c>
      <c r="M87" s="2">
        <v>0</v>
      </c>
    </row>
    <row r="88" spans="2:13" hidden="1" x14ac:dyDescent="0.25">
      <c r="B88" s="3" t="s">
        <v>51</v>
      </c>
      <c r="C88" s="4" t="s">
        <v>112</v>
      </c>
      <c r="D88" s="1" t="s">
        <v>39</v>
      </c>
      <c r="E88" s="1" t="str">
        <f>RIGHT(Table13456[[#This Row],[PROJECT TITLE]],6)</f>
        <v>DT0120</v>
      </c>
      <c r="F88" s="10" t="s">
        <v>16</v>
      </c>
      <c r="G88" s="13" t="str">
        <f>VLOOKUP(Table13456[[#This Row],[Eq No]],[1]!Table3[[Eq.No.]:[FY23/34 Acq. Status]],2,FALSE)</f>
        <v>NCHW II UG</v>
      </c>
      <c r="H88" s="12">
        <f>VLOOKUP(Table13456[[#This Row],[Eq No]],[1]!Table3[[Eq.No.]:[FY23/34 Acq. Status]],3,FALSE)</f>
        <v>2017</v>
      </c>
      <c r="I88" s="13" t="str">
        <f>VLOOKUP(Table13456[[#This Row],[Eq No]],[1]!Table3[[Eq.No.]:[FY23/34 Acq. Status]],12,FALSE)</f>
        <v>Elphinstone AD30</v>
      </c>
      <c r="J88" s="13" t="str">
        <f>VLOOKUP(Table13456[[#This Row],[Eq No]],[1]!Table3[[Eq.No.]:[FY23/34 Acq. Status]],17,FALSE)</f>
        <v>Elphinstone AD30 LP</v>
      </c>
      <c r="K88" s="2">
        <v>0</v>
      </c>
      <c r="L88" s="2">
        <v>0</v>
      </c>
      <c r="M88" s="2">
        <v>24022678.738200001</v>
      </c>
    </row>
    <row r="89" spans="2:13" hidden="1" x14ac:dyDescent="0.25">
      <c r="B89" s="3" t="s">
        <v>51</v>
      </c>
      <c r="C89" s="4" t="s">
        <v>113</v>
      </c>
      <c r="D89" s="1" t="s">
        <v>39</v>
      </c>
      <c r="E89" s="1" t="str">
        <f>RIGHT(Table13456[[#This Row],[PROJECT TITLE]],6)</f>
        <v>DT0121</v>
      </c>
      <c r="F89" s="10" t="s">
        <v>16</v>
      </c>
      <c r="G89" s="13" t="str">
        <f>VLOOKUP(Table13456[[#This Row],[Eq No]],[1]!Table3[[Eq.No.]:[FY23/34 Acq. Status]],2,FALSE)</f>
        <v>NCHW II UG</v>
      </c>
      <c r="H89" s="12">
        <f>VLOOKUP(Table13456[[#This Row],[Eq No]],[1]!Table3[[Eq.No.]:[FY23/34 Acq. Status]],3,FALSE)</f>
        <v>2017</v>
      </c>
      <c r="I89" s="13" t="str">
        <f>VLOOKUP(Table13456[[#This Row],[Eq No]],[1]!Table3[[Eq.No.]:[FY23/34 Acq. Status]],12,FALSE)</f>
        <v>Elphinstone AD30 LP</v>
      </c>
      <c r="J89" s="13" t="str">
        <f>VLOOKUP(Table13456[[#This Row],[Eq No]],[1]!Table3[[Eq.No.]:[FY23/34 Acq. Status]],17,FALSE)</f>
        <v>Elphinstone AD30 LP</v>
      </c>
      <c r="K89" s="2">
        <v>0</v>
      </c>
      <c r="L89" s="2">
        <v>0</v>
      </c>
      <c r="M89" s="2">
        <v>24022678.738200001</v>
      </c>
    </row>
    <row r="90" spans="2:13" hidden="1" x14ac:dyDescent="0.25">
      <c r="B90" s="3" t="s">
        <v>51</v>
      </c>
      <c r="C90" s="4" t="s">
        <v>114</v>
      </c>
      <c r="D90" s="1" t="s">
        <v>7</v>
      </c>
      <c r="E90" s="1" t="str">
        <f>RIGHT(Table13456[[#This Row],[PROJECT TITLE]],6)</f>
        <v>FL0066</v>
      </c>
      <c r="F90" s="10" t="s">
        <v>16</v>
      </c>
      <c r="G90" s="13" t="str">
        <f>VLOOKUP(Table13456[[#This Row],[Eq No]],[1]!Table3[[Eq.No.]:[FY23/34 Acq. Status]],2,FALSE)</f>
        <v>NCHW II UG</v>
      </c>
      <c r="H90" s="12">
        <f>VLOOKUP(Table13456[[#This Row],[Eq No]],[1]!Table3[[Eq.No.]:[FY23/34 Acq. Status]],3,FALSE)</f>
        <v>2014</v>
      </c>
      <c r="I90" s="13" t="str">
        <f>VLOOKUP(Table13456[[#This Row],[Eq No]],[1]!Table3[[Eq.No.]:[FY23/34 Acq. Status]],12,FALSE)</f>
        <v>ST14</v>
      </c>
      <c r="J90" s="13" t="str">
        <f>VLOOKUP(Table13456[[#This Row],[Eq No]],[1]!Table3[[Eq.No.]:[FY23/34 Acq. Status]],17,FALSE)</f>
        <v>ST14</v>
      </c>
      <c r="K90" s="2">
        <v>0</v>
      </c>
      <c r="L90" s="2">
        <v>26914293.568</v>
      </c>
      <c r="M90" s="2">
        <v>0</v>
      </c>
    </row>
    <row r="91" spans="2:13" hidden="1" x14ac:dyDescent="0.25">
      <c r="B91" s="3" t="s">
        <v>51</v>
      </c>
      <c r="C91" s="4" t="s">
        <v>115</v>
      </c>
      <c r="D91" s="1" t="s">
        <v>7</v>
      </c>
      <c r="E91" s="1" t="str">
        <f>RIGHT(Table13456[[#This Row],[PROJECT TITLE]],6)</f>
        <v>FL0067</v>
      </c>
      <c r="F91" s="10" t="s">
        <v>16</v>
      </c>
      <c r="G91" s="13" t="str">
        <f>VLOOKUP(Table13456[[#This Row],[Eq No]],[1]!Table3[[Eq.No.]:[FY23/34 Acq. Status]],2,FALSE)</f>
        <v>NCHW II UG</v>
      </c>
      <c r="H91" s="12">
        <f>VLOOKUP(Table13456[[#This Row],[Eq No]],[1]!Table3[[Eq.No.]:[FY23/34 Acq. Status]],3,FALSE)</f>
        <v>2014</v>
      </c>
      <c r="I91" s="13" t="str">
        <f>VLOOKUP(Table13456[[#This Row],[Eq No]],[1]!Table3[[Eq.No.]:[FY23/34 Acq. Status]],12,FALSE)</f>
        <v>ST14</v>
      </c>
      <c r="J91" s="13" t="str">
        <f>VLOOKUP(Table13456[[#This Row],[Eq No]],[1]!Table3[[Eq.No.]:[FY23/34 Acq. Status]],17,FALSE)</f>
        <v>ST14</v>
      </c>
      <c r="K91" s="2">
        <v>0</v>
      </c>
      <c r="L91" s="2">
        <v>26914293.568</v>
      </c>
      <c r="M91" s="2">
        <v>0</v>
      </c>
    </row>
    <row r="92" spans="2:13" hidden="1" x14ac:dyDescent="0.25">
      <c r="B92" s="3" t="s">
        <v>51</v>
      </c>
      <c r="C92" s="4" t="s">
        <v>116</v>
      </c>
      <c r="D92" s="1" t="s">
        <v>7</v>
      </c>
      <c r="E92" s="1" t="str">
        <f>RIGHT(Table13456[[#This Row],[PROJECT TITLE]],6)</f>
        <v>FL0077</v>
      </c>
      <c r="F92" s="10" t="s">
        <v>16</v>
      </c>
      <c r="G92" s="13" t="str">
        <f>VLOOKUP(Table13456[[#This Row],[Eq No]],[1]!Table3[[Eq.No.]:[FY23/34 Acq. Status]],2,FALSE)</f>
        <v>NCHW II UG</v>
      </c>
      <c r="H92" s="12">
        <f>VLOOKUP(Table13456[[#This Row],[Eq No]],[1]!Table3[[Eq.No.]:[FY23/34 Acq. Status]],3,FALSE)</f>
        <v>2017</v>
      </c>
      <c r="I92" s="13" t="str">
        <f>VLOOKUP(Table13456[[#This Row],[Eq No]],[1]!Table3[[Eq.No.]:[FY23/34 Acq. Status]],12,FALSE)</f>
        <v>ST1030</v>
      </c>
      <c r="J92" s="13" t="str">
        <f>VLOOKUP(Table13456[[#This Row],[Eq No]],[1]!Table3[[Eq.No.]:[FY23/34 Acq. Status]],17,FALSE)</f>
        <v>ST1030</v>
      </c>
      <c r="K92" s="2">
        <v>0</v>
      </c>
      <c r="L92" s="2">
        <v>0</v>
      </c>
      <c r="M92" s="2">
        <v>18807242.346999999</v>
      </c>
    </row>
    <row r="93" spans="2:13" hidden="1" x14ac:dyDescent="0.25">
      <c r="B93" s="3" t="s">
        <v>51</v>
      </c>
      <c r="C93" s="4" t="s">
        <v>117</v>
      </c>
      <c r="D93" s="1" t="s">
        <v>7</v>
      </c>
      <c r="E93" s="1" t="str">
        <f>RIGHT(Table13456[[#This Row],[PROJECT TITLE]],6)</f>
        <v>FL0085</v>
      </c>
      <c r="F93" s="10" t="s">
        <v>16</v>
      </c>
      <c r="G93" s="13" t="str">
        <f>VLOOKUP(Table13456[[#This Row],[Eq No]],[1]!Table3[[Eq.No.]:[FY23/34 Acq. Status]],2,FALSE)</f>
        <v>NCHW II UG</v>
      </c>
      <c r="H93" s="12">
        <f>VLOOKUP(Table13456[[#This Row],[Eq No]],[1]!Table3[[Eq.No.]:[FY23/34 Acq. Status]],3,FALSE)</f>
        <v>2018</v>
      </c>
      <c r="I93" s="13" t="str">
        <f>VLOOKUP(Table13456[[#This Row],[Eq No]],[1]!Table3[[Eq.No.]:[FY23/34 Acq. Status]],12,FALSE)</f>
        <v>ST1030LP</v>
      </c>
      <c r="J93" s="13" t="str">
        <f>VLOOKUP(Table13456[[#This Row],[Eq No]],[1]!Table3[[Eq.No.]:[FY23/34 Acq. Status]],17,FALSE)</f>
        <v>ST1030LP</v>
      </c>
      <c r="K93" s="2">
        <v>0</v>
      </c>
      <c r="L93" s="2">
        <v>0</v>
      </c>
      <c r="M93" s="2">
        <v>18807242.346999999</v>
      </c>
    </row>
    <row r="94" spans="2:13" hidden="1" x14ac:dyDescent="0.25">
      <c r="B94" s="3" t="s">
        <v>51</v>
      </c>
      <c r="C94" s="4" t="s">
        <v>118</v>
      </c>
      <c r="D94" s="1" t="s">
        <v>119</v>
      </c>
      <c r="E94" s="1" t="str">
        <f>RIGHT(Table13456[[#This Row],[PROJECT TITLE]],6)</f>
        <v>HD0053</v>
      </c>
      <c r="F94" s="10" t="s">
        <v>16</v>
      </c>
      <c r="G94" s="13" t="str">
        <f>VLOOKUP(Table13456[[#This Row],[Eq No]],[1]!Table3[[Eq.No.]:[FY23/34 Acq. Status]],2,FALSE)</f>
        <v>NCHW II UG</v>
      </c>
      <c r="H94" s="12">
        <f>VLOOKUP(Table13456[[#This Row],[Eq No]],[1]!Table3[[Eq.No.]:[FY23/34 Acq. Status]],3,FALSE)</f>
        <v>2018</v>
      </c>
      <c r="I94" s="13" t="str">
        <f>VLOOKUP(Table13456[[#This Row],[Eq No]],[1]!Table3[[Eq.No.]:[FY23/34 Acq. Status]],12,FALSE)</f>
        <v>Double Boom 282</v>
      </c>
      <c r="J94" s="13" t="str">
        <f>VLOOKUP(Table13456[[#This Row],[Eq No]],[1]!Table3[[Eq.No.]:[FY23/34 Acq. Status]],17,FALSE)</f>
        <v>Double Boom 282</v>
      </c>
      <c r="K94" s="2">
        <v>0</v>
      </c>
      <c r="L94" s="2">
        <v>20842117.158399999</v>
      </c>
      <c r="M94" s="2">
        <v>0</v>
      </c>
    </row>
    <row r="95" spans="2:13" hidden="1" x14ac:dyDescent="0.25">
      <c r="B95" s="3" t="s">
        <v>51</v>
      </c>
      <c r="C95" s="4" t="s">
        <v>120</v>
      </c>
      <c r="D95" s="1" t="s">
        <v>21</v>
      </c>
      <c r="E95" s="1" t="str">
        <f>RIGHT(Table13456[[#This Row],[PROJECT TITLE]],6)</f>
        <v>LD0426</v>
      </c>
      <c r="F95" s="10" t="s">
        <v>16</v>
      </c>
      <c r="G95" s="13">
        <f>VLOOKUP(Table13456[[#This Row],[Eq No]],[1]!Table3[[Eq.No.]:[FY23/34 Acq. Status]],2,FALSE)</f>
        <v>0</v>
      </c>
      <c r="H95" s="12">
        <f>VLOOKUP(Table13456[[#This Row],[Eq No]],[1]!Table3[[Eq.No.]:[FY23/34 Acq. Status]],3,FALSE)</f>
        <v>2017</v>
      </c>
      <c r="I95" s="13" t="str">
        <f>VLOOKUP(Table13456[[#This Row],[Eq No]],[1]!Table3[[Eq.No.]:[FY23/34 Acq. Status]],12,FALSE)</f>
        <v>D/Cab Maverick</v>
      </c>
      <c r="J95" s="13" t="str">
        <f>VLOOKUP(Table13456[[#This Row],[Eq No]],[1]!Table3[[Eq.No.]:[FY23/34 Acq. Status]],17,FALSE)</f>
        <v>L/Cruiser 4x4 (Converted to UG Spec)</v>
      </c>
      <c r="K95" s="2">
        <v>0</v>
      </c>
      <c r="L95" s="2">
        <v>3643512.1748480005</v>
      </c>
      <c r="M95" s="2">
        <v>0</v>
      </c>
    </row>
    <row r="96" spans="2:13" hidden="1" x14ac:dyDescent="0.25">
      <c r="B96" s="3" t="s">
        <v>51</v>
      </c>
      <c r="C96" s="4" t="s">
        <v>121</v>
      </c>
      <c r="D96" s="1" t="s">
        <v>21</v>
      </c>
      <c r="E96" s="1" t="str">
        <f>RIGHT(Table13456[[#This Row],[PROJECT TITLE]],6)</f>
        <v>LD0450</v>
      </c>
      <c r="F96" s="10" t="s">
        <v>16</v>
      </c>
      <c r="G96" s="13">
        <f>VLOOKUP(Table13456[[#This Row],[Eq No]],[1]!Table3[[Eq.No.]:[FY23/34 Acq. Status]],2,FALSE)</f>
        <v>0</v>
      </c>
      <c r="H96" s="12">
        <f>VLOOKUP(Table13456[[#This Row],[Eq No]],[1]!Table3[[Eq.No.]:[FY23/34 Acq. Status]],3,FALSE)</f>
        <v>2019</v>
      </c>
      <c r="I96" s="13" t="str">
        <f>VLOOKUP(Table13456[[#This Row],[Eq No]],[1]!Table3[[Eq.No.]:[FY23/34 Acq. Status]],12,FALSE)</f>
        <v>D/Cab Maverick</v>
      </c>
      <c r="J96" s="13" t="str">
        <f>VLOOKUP(Table13456[[#This Row],[Eq No]],[1]!Table3[[Eq.No.]:[FY23/34 Acq. Status]],17,FALSE)</f>
        <v>L/Cruiser 4x4 (Converted to UG Spec)</v>
      </c>
      <c r="K96" s="2">
        <v>0</v>
      </c>
      <c r="L96" s="2">
        <v>3643512.1748480005</v>
      </c>
      <c r="M96" s="2">
        <v>0</v>
      </c>
    </row>
    <row r="97" spans="2:13" hidden="1" x14ac:dyDescent="0.25">
      <c r="B97" s="3" t="s">
        <v>51</v>
      </c>
      <c r="C97" s="4" t="s">
        <v>122</v>
      </c>
      <c r="D97" s="1" t="s">
        <v>21</v>
      </c>
      <c r="E97" s="1" t="str">
        <f>RIGHT(Table13456[[#This Row],[PROJECT TITLE]],6)</f>
        <v>LD0499</v>
      </c>
      <c r="F97" s="10" t="s">
        <v>16</v>
      </c>
      <c r="G97" s="13" t="str">
        <f>VLOOKUP(Table13456[[#This Row],[Eq No]],[1]!Table3[[Eq.No.]:[FY23/34 Acq. Status]],2,FALSE)</f>
        <v>Mining NCH2</v>
      </c>
      <c r="H97" s="12">
        <f>VLOOKUP(Table13456[[#This Row],[Eq No]],[1]!Table3[[Eq.No.]:[FY23/34 Acq. Status]],3,FALSE)</f>
        <v>2018</v>
      </c>
      <c r="I97" s="13" t="str">
        <f>VLOOKUP(Table13456[[#This Row],[Eq No]],[1]!Table3[[Eq.No.]:[FY23/34 Acq. Status]],12,FALSE)</f>
        <v>2.4 GD6 D/C SRX</v>
      </c>
      <c r="J97" s="13" t="str">
        <f>VLOOKUP(Table13456[[#This Row],[Eq No]],[1]!Table3[[Eq.No.]:[FY23/34 Acq. Status]],17,FALSE)</f>
        <v>2.4 GD6 D/C SRX</v>
      </c>
      <c r="K97" s="2">
        <v>0</v>
      </c>
      <c r="L97" s="2">
        <v>1106013.5552000001</v>
      </c>
      <c r="M97" s="2">
        <v>0</v>
      </c>
    </row>
    <row r="98" spans="2:13" hidden="1" x14ac:dyDescent="0.25">
      <c r="B98" s="3" t="s">
        <v>51</v>
      </c>
      <c r="C98" s="4" t="s">
        <v>123</v>
      </c>
      <c r="D98" s="1" t="s">
        <v>21</v>
      </c>
      <c r="E98" s="1" t="str">
        <f>RIGHT(Table13456[[#This Row],[PROJECT TITLE]],6)</f>
        <v>LD0509</v>
      </c>
      <c r="F98" s="10" t="s">
        <v>16</v>
      </c>
      <c r="G98" s="13" t="str">
        <f>VLOOKUP(Table13456[[#This Row],[Eq No]],[1]!Table3[[Eq.No.]:[FY23/34 Acq. Status]],2,FALSE)</f>
        <v>Projects - DRA</v>
      </c>
      <c r="H98" s="12">
        <f>VLOOKUP(Table13456[[#This Row],[Eq No]],[1]!Table3[[Eq.No.]:[FY23/34 Acq. Status]],3,FALSE)</f>
        <v>2019</v>
      </c>
      <c r="I98" s="13" t="str">
        <f>VLOOKUP(Table13456[[#This Row],[Eq No]],[1]!Table3[[Eq.No.]:[FY23/34 Acq. Status]],12,FALSE)</f>
        <v>D/Cab Maverick</v>
      </c>
      <c r="J98" s="13" t="str">
        <f>VLOOKUP(Table13456[[#This Row],[Eq No]],[1]!Table3[[Eq.No.]:[FY23/34 Acq. Status]],17,FALSE)</f>
        <v>L/Cruiser 4x4 (Converted to UG Spec)</v>
      </c>
      <c r="K98" s="2">
        <v>0</v>
      </c>
      <c r="L98" s="2">
        <v>0</v>
      </c>
      <c r="M98" s="2">
        <v>3760306.4600920002</v>
      </c>
    </row>
    <row r="99" spans="2:13" hidden="1" x14ac:dyDescent="0.25">
      <c r="B99" s="3" t="s">
        <v>51</v>
      </c>
      <c r="C99" s="4" t="s">
        <v>124</v>
      </c>
      <c r="D99" s="1" t="s">
        <v>28</v>
      </c>
      <c r="E99" s="1" t="str">
        <f>RIGHT(Table13456[[#This Row],[PROJECT TITLE]],6)</f>
        <v>RT0040</v>
      </c>
      <c r="F99" s="10" t="s">
        <v>16</v>
      </c>
      <c r="G99" s="13" t="str">
        <f>VLOOKUP(Table13456[[#This Row],[Eq No]],[1]!Table3[[Eq.No.]:[FY23/34 Acq. Status]],2,FALSE)</f>
        <v>NCH II UG</v>
      </c>
      <c r="H99" s="12">
        <f>VLOOKUP(Table13456[[#This Row],[Eq No]],[1]!Table3[[Eq.No.]:[FY23/34 Acq. Status]],3,FALSE)</f>
        <v>2014</v>
      </c>
      <c r="I99" s="13" t="str">
        <f>VLOOKUP(Table13456[[#This Row],[Eq No]],[1]!Table3[[Eq.No.]:[FY23/34 Acq. Status]],12,FALSE)</f>
        <v>Boltec 235H</v>
      </c>
      <c r="J99" s="13" t="str">
        <f>VLOOKUP(Table13456[[#This Row],[Eq No]],[1]!Table3[[Eq.No.]:[FY23/34 Acq. Status]],17,FALSE)</f>
        <v>Boltec 235H</v>
      </c>
      <c r="K99" s="2">
        <v>0</v>
      </c>
      <c r="L99" s="2">
        <v>20662674.918400001</v>
      </c>
      <c r="M99" s="2">
        <v>0</v>
      </c>
    </row>
    <row r="100" spans="2:13" hidden="1" x14ac:dyDescent="0.25">
      <c r="B100" s="3" t="s">
        <v>51</v>
      </c>
      <c r="C100" s="4" t="s">
        <v>125</v>
      </c>
      <c r="D100" s="1" t="s">
        <v>28</v>
      </c>
      <c r="E100" s="1" t="str">
        <f>RIGHT(Table13456[[#This Row],[PROJECT TITLE]],6)</f>
        <v>RT0043</v>
      </c>
      <c r="F100" s="10" t="s">
        <v>16</v>
      </c>
      <c r="G100" s="13" t="str">
        <f>VLOOKUP(Table13456[[#This Row],[Eq No]],[1]!Table3[[Eq.No.]:[FY23/34 Acq. Status]],2,FALSE)</f>
        <v>NCH II UG</v>
      </c>
      <c r="H100" s="12">
        <f>VLOOKUP(Table13456[[#This Row],[Eq No]],[1]!Table3[[Eq.No.]:[FY23/34 Acq. Status]],3,FALSE)</f>
        <v>2018</v>
      </c>
      <c r="I100" s="13" t="str">
        <f>VLOOKUP(Table13456[[#This Row],[Eq No]],[1]!Table3[[Eq.No.]:[FY23/34 Acq. Status]],12,FALSE)</f>
        <v>Boltec 235H</v>
      </c>
      <c r="J100" s="13" t="str">
        <f>VLOOKUP(Table13456[[#This Row],[Eq No]],[1]!Table3[[Eq.No.]:[FY23/34 Acq. Status]],17,FALSE)</f>
        <v>Boltec 235H</v>
      </c>
      <c r="K100" s="2">
        <v>0</v>
      </c>
      <c r="L100" s="2">
        <v>0</v>
      </c>
      <c r="M100" s="2">
        <v>21325025.483599998</v>
      </c>
    </row>
    <row r="101" spans="2:13" hidden="1" x14ac:dyDescent="0.25">
      <c r="B101" s="3" t="s">
        <v>51</v>
      </c>
      <c r="C101" s="4" t="s">
        <v>126</v>
      </c>
      <c r="D101" s="1" t="s">
        <v>31</v>
      </c>
      <c r="E101" s="1" t="str">
        <f>RIGHT(Table13456[[#This Row],[PROJECT TITLE]],6)</f>
        <v>SR0033</v>
      </c>
      <c r="F101" s="10" t="s">
        <v>16</v>
      </c>
      <c r="G101" s="13" t="str">
        <f>VLOOKUP(Table13456[[#This Row],[Eq No]],[1]!Table3[[Eq.No.]:[FY23/34 Acq. Status]],2,FALSE)</f>
        <v>NCHW II UG</v>
      </c>
      <c r="H101" s="12">
        <f>VLOOKUP(Table13456[[#This Row],[Eq No]],[1]!Table3[[Eq.No.]:[FY23/34 Acq. Status]],3,FALSE)</f>
        <v>2017</v>
      </c>
      <c r="I101" s="13" t="str">
        <f>VLOOKUP(Table13456[[#This Row],[Eq No]],[1]!Table3[[Eq.No.]:[FY23/34 Acq. Status]],12,FALSE)</f>
        <v>4 Wheeler</v>
      </c>
      <c r="J101" s="13" t="str">
        <f>VLOOKUP(Table13456[[#This Row],[Eq No]],[1]!Table3[[Eq.No.]:[FY23/34 Acq. Status]],17,FALSE)</f>
        <v>Scaler 220 E, 4-Wheeler</v>
      </c>
      <c r="K101" s="2">
        <v>0</v>
      </c>
      <c r="L101" s="2">
        <v>6592121.2415999994</v>
      </c>
      <c r="M101" s="2">
        <v>0</v>
      </c>
    </row>
    <row r="102" spans="2:13" hidden="1" x14ac:dyDescent="0.25">
      <c r="B102" s="3" t="s">
        <v>51</v>
      </c>
      <c r="C102" s="4" t="s">
        <v>127</v>
      </c>
      <c r="D102" s="1" t="s">
        <v>95</v>
      </c>
      <c r="E102" s="1" t="str">
        <f>RIGHT(Table13456[[#This Row],[PROJECT TITLE]],6)</f>
        <v>UV0054</v>
      </c>
      <c r="F102" s="10" t="s">
        <v>16</v>
      </c>
      <c r="G102" s="13" t="str">
        <f>VLOOKUP(Table13456[[#This Row],[Eq No]],[1]!Table3[[Eq.No.]:[FY23/34 Acq. Status]],2,FALSE)</f>
        <v>Logistics</v>
      </c>
      <c r="H102" s="12">
        <f>VLOOKUP(Table13456[[#This Row],[Eq No]],[1]!Table3[[Eq.No.]:[FY23/34 Acq. Status]],3,FALSE)</f>
        <v>2015</v>
      </c>
      <c r="I102" s="13" t="str">
        <f>VLOOKUP(Table13456[[#This Row],[Eq No]],[1]!Table3[[Eq.No.]:[FY23/34 Acq. Status]],12,FALSE)</f>
        <v>UV80/Carr/MKIII</v>
      </c>
      <c r="J102" s="13" t="str">
        <f>VLOOKUP(Table13456[[#This Row],[Eq No]],[1]!Table3[[Eq.No.]:[FY23/34 Acq. Status]],17,FALSE)</f>
        <v>UV80/Carr/MKIII</v>
      </c>
      <c r="K102" s="2">
        <v>0</v>
      </c>
      <c r="L102" s="2">
        <v>6692310.9120000005</v>
      </c>
      <c r="M102" s="2">
        <v>0</v>
      </c>
    </row>
    <row r="103" spans="2:13" hidden="1" x14ac:dyDescent="0.25">
      <c r="B103" s="3" t="s">
        <v>51</v>
      </c>
      <c r="C103" s="4" t="s">
        <v>128</v>
      </c>
      <c r="D103" s="1" t="s">
        <v>95</v>
      </c>
      <c r="E103" s="1" t="str">
        <f>RIGHT(Table13456[[#This Row],[PROJECT TITLE]],6)</f>
        <v>UV0057</v>
      </c>
      <c r="F103" s="10" t="s">
        <v>16</v>
      </c>
      <c r="G103" s="13" t="str">
        <f>VLOOKUP(Table13456[[#This Row],[Eq No]],[1]!Table3[[Eq.No.]:[FY23/34 Acq. Status]],2,FALSE)</f>
        <v>Logistics</v>
      </c>
      <c r="H103" s="12" t="e">
        <f>VLOOKUP(Table13456[[#This Row],[Eq No]],[1]!Table3[[Eq.No.]:[FY23/34 Acq. Status]],3,FALSE)</f>
        <v>#N/A</v>
      </c>
      <c r="I103" s="13" t="str">
        <f>VLOOKUP(Table13456[[#This Row],[Eq No]],[1]!Table3[[Eq.No.]:[FY23/34 Acq. Status]],12,FALSE)</f>
        <v>UV80/Carr/MKIII</v>
      </c>
      <c r="J103" s="13" t="str">
        <f>VLOOKUP(Table13456[[#This Row],[Eq No]],[1]!Table3[[Eq.No.]:[FY23/34 Acq. Status]],17,FALSE)</f>
        <v>UV80/Carr/MKIII</v>
      </c>
      <c r="K103" s="2">
        <v>0</v>
      </c>
      <c r="L103" s="2">
        <v>0</v>
      </c>
      <c r="M103" s="2">
        <v>6906835.6979999999</v>
      </c>
    </row>
    <row r="104" spans="2:13" hidden="1" x14ac:dyDescent="0.25">
      <c r="B104" s="3" t="s">
        <v>51</v>
      </c>
      <c r="C104" s="4" t="s">
        <v>129</v>
      </c>
      <c r="D104" s="1" t="s">
        <v>95</v>
      </c>
      <c r="E104" s="1" t="str">
        <f>RIGHT(Table13456[[#This Row],[PROJECT TITLE]],6)</f>
        <v>UV0084</v>
      </c>
      <c r="F104" s="10" t="s">
        <v>16</v>
      </c>
      <c r="G104" s="13" t="str">
        <f>VLOOKUP(Table13456[[#This Row],[Eq No]],[1]!Table3[[Eq.No.]:[FY23/34 Acq. Status]],2,FALSE)</f>
        <v>Electricians U/G</v>
      </c>
      <c r="H104" s="12">
        <f>VLOOKUP(Table13456[[#This Row],[Eq No]],[1]!Table3[[Eq.No.]:[FY23/34 Acq. Status]],3,FALSE)</f>
        <v>2019</v>
      </c>
      <c r="I104" s="13" t="str">
        <f>VLOOKUP(Table13456[[#This Row],[Eq No]],[1]!Table3[[Eq.No.]:[FY23/34 Acq. Status]],12,FALSE)</f>
        <v>UV80/Scis/Crane</v>
      </c>
      <c r="J104" s="13" t="str">
        <f>VLOOKUP(Table13456[[#This Row],[Eq No]],[1]!Table3[[Eq.No.]:[FY23/34 Acq. Status]],17,FALSE)</f>
        <v>UV80/Scis/Crane</v>
      </c>
      <c r="K104" s="2">
        <v>0</v>
      </c>
      <c r="L104" s="2">
        <v>8306390.9119999995</v>
      </c>
      <c r="M104" s="2">
        <v>0</v>
      </c>
    </row>
    <row r="105" spans="2:13" hidden="1" x14ac:dyDescent="0.25">
      <c r="B105" s="3" t="s">
        <v>51</v>
      </c>
      <c r="C105" s="4" t="s">
        <v>130</v>
      </c>
      <c r="D105" s="1" t="s">
        <v>95</v>
      </c>
      <c r="E105" s="1" t="str">
        <f>RIGHT(Table13456[[#This Row],[PROJECT TITLE]],6)</f>
        <v>UV0108</v>
      </c>
      <c r="F105" s="10" t="s">
        <v>16</v>
      </c>
      <c r="G105" s="13" t="str">
        <f>VLOOKUP(Table13456[[#This Row],[Eq No]],[1]!Table3[[Eq.No.]:[FY23/34 Acq. Status]],2,FALSE)</f>
        <v>Mining</v>
      </c>
      <c r="H105" s="12">
        <f>VLOOKUP(Table13456[[#This Row],[Eq No]],[1]!Table3[[Eq.No.]:[FY23/34 Acq. Status]],3,FALSE)</f>
        <v>2018</v>
      </c>
      <c r="I105" s="13" t="str">
        <f>VLOOKUP(Table13456[[#This Row],[Eq No]],[1]!Table3[[Eq.No.]:[FY23/34 Acq. Status]],12,FALSE)</f>
        <v>UV80/EmulCarr/+Crn</v>
      </c>
      <c r="J105" s="13" t="str">
        <f>VLOOKUP(Table13456[[#This Row],[Eq No]],[1]!Table3[[Eq.No.]:[FY23/34 Acq. Status]],17,FALSE)</f>
        <v>UV80 Emul Char</v>
      </c>
      <c r="K105" s="2">
        <v>0</v>
      </c>
      <c r="L105" s="2">
        <v>9051350.9120000005</v>
      </c>
      <c r="M105" s="2">
        <v>0</v>
      </c>
    </row>
    <row r="106" spans="2:13" hidden="1" x14ac:dyDescent="0.25">
      <c r="B106" s="3" t="s">
        <v>51</v>
      </c>
      <c r="C106" s="4" t="s">
        <v>131</v>
      </c>
      <c r="D106" s="1" t="s">
        <v>95</v>
      </c>
      <c r="E106" s="1" t="str">
        <f>RIGHT(Table13456[[#This Row],[PROJECT TITLE]],6)</f>
        <v>UV0118</v>
      </c>
      <c r="F106" s="10" t="s">
        <v>16</v>
      </c>
      <c r="G106" s="13" t="str">
        <f>VLOOKUP(Table13456[[#This Row],[Eq No]],[1]!Table3[[Eq.No.]:[FY23/34 Acq. Status]],2,FALSE)</f>
        <v>Logistics</v>
      </c>
      <c r="H106" s="12">
        <f>VLOOKUP(Table13456[[#This Row],[Eq No]],[1]!Table3[[Eq.No.]:[FY23/34 Acq. Status]],3,FALSE)</f>
        <v>2021</v>
      </c>
      <c r="I106" s="13" t="str">
        <f>VLOOKUP(Table13456[[#This Row],[Eq No]],[1]!Table3[[Eq.No.]:[FY23/34 Acq. Status]],12,FALSE)</f>
        <v>RORO</v>
      </c>
      <c r="J106" s="13" t="str">
        <f>VLOOKUP(Table13456[[#This Row],[Eq No]],[1]!Table3[[Eq.No.]:[FY23/34 Acq. Status]],17,FALSE)</f>
        <v>RORO</v>
      </c>
      <c r="K106" s="2">
        <v>0</v>
      </c>
      <c r="L106" s="2">
        <v>0</v>
      </c>
      <c r="M106" s="2">
        <v>8357729.269452001</v>
      </c>
    </row>
    <row r="107" spans="2:13" hidden="1" x14ac:dyDescent="0.25">
      <c r="B107" s="3" t="s">
        <v>51</v>
      </c>
      <c r="C107" s="4" t="s">
        <v>132</v>
      </c>
      <c r="D107" s="1" t="s">
        <v>95</v>
      </c>
      <c r="E107" s="1" t="str">
        <f>RIGHT(Table13456[[#This Row],[PROJECT TITLE]],6)</f>
        <v>UV0119</v>
      </c>
      <c r="F107" s="10" t="s">
        <v>16</v>
      </c>
      <c r="G107" s="13" t="str">
        <f>VLOOKUP(Table13456[[#This Row],[Eq No]],[1]!Table3[[Eq.No.]:[FY23/34 Acq. Status]],2,FALSE)</f>
        <v>Logistics</v>
      </c>
      <c r="H107" s="12">
        <f>VLOOKUP(Table13456[[#This Row],[Eq No]],[1]!Table3[[Eq.No.]:[FY23/34 Acq. Status]],3,FALSE)</f>
        <v>2020</v>
      </c>
      <c r="I107" s="13" t="str">
        <f>VLOOKUP(Table13456[[#This Row],[Eq No]],[1]!Table3[[Eq.No.]:[FY23/34 Acq. Status]],12,FALSE)</f>
        <v>PLACER</v>
      </c>
      <c r="J107" s="13" t="str">
        <f>VLOOKUP(Table13456[[#This Row],[Eq No]],[1]!Table3[[Eq.No.]:[FY23/34 Acq. Status]],17,FALSE)</f>
        <v>roro</v>
      </c>
      <c r="K107" s="2">
        <v>0</v>
      </c>
      <c r="L107" s="2">
        <v>0</v>
      </c>
      <c r="M107" s="2">
        <v>8357729.269452001</v>
      </c>
    </row>
    <row r="108" spans="2:13" hidden="1" x14ac:dyDescent="0.25">
      <c r="B108" s="3" t="s">
        <v>51</v>
      </c>
      <c r="C108" s="4" t="s">
        <v>133</v>
      </c>
      <c r="D108" s="1" t="s">
        <v>39</v>
      </c>
      <c r="E108" s="1" t="str">
        <f>RIGHT(Table13456[[#This Row],[PROJECT TITLE]],6)</f>
        <v>DT0118</v>
      </c>
      <c r="F108" s="10" t="s">
        <v>29</v>
      </c>
      <c r="G108" s="13" t="str">
        <f>VLOOKUP(Table13456[[#This Row],[Eq No]],[1]!Table3[[Eq.No.]:[FY23/34 Acq. Status]],2,FALSE)</f>
        <v>Load &amp; Haul</v>
      </c>
      <c r="H108" s="12">
        <f>VLOOKUP(Table13456[[#This Row],[Eq No]],[1]!Table3[[Eq.No.]:[FY23/34 Acq. Status]],3,FALSE)</f>
        <v>2017</v>
      </c>
      <c r="I108" s="13" t="str">
        <f>VLOOKUP(Table13456[[#This Row],[Eq No]],[1]!Table3[[Eq.No.]:[FY23/34 Acq. Status]],12,FALSE)</f>
        <v>Elphinstone AD30</v>
      </c>
      <c r="J108" s="13" t="str">
        <f>VLOOKUP(Table13456[[#This Row],[Eq No]],[1]!Table3[[Eq.No.]:[FY23/34 Acq. Status]],17,FALSE)</f>
        <v>MT42B</v>
      </c>
      <c r="K108" s="2">
        <v>0</v>
      </c>
      <c r="L108" s="2">
        <v>0</v>
      </c>
      <c r="M108" s="2">
        <v>34808580.048799999</v>
      </c>
    </row>
    <row r="109" spans="2:13" hidden="1" x14ac:dyDescent="0.25">
      <c r="B109" s="3" t="s">
        <v>51</v>
      </c>
      <c r="C109" s="4" t="s">
        <v>134</v>
      </c>
      <c r="D109" s="1" t="s">
        <v>39</v>
      </c>
      <c r="E109" s="1" t="str">
        <f>RIGHT(Table13456[[#This Row],[PROJECT TITLE]],6)</f>
        <v>DT0145</v>
      </c>
      <c r="F109" s="10" t="s">
        <v>29</v>
      </c>
      <c r="G109" s="13" t="str">
        <f>VLOOKUP(Table13456[[#This Row],[Eq No]],[1]!Table3[[Eq.No.]:[FY23/34 Acq. Status]],2,FALSE)</f>
        <v>Load &amp; Haul</v>
      </c>
      <c r="H109" s="12">
        <f>VLOOKUP(Table13456[[#This Row],[Eq No]],[1]!Table3[[Eq.No.]:[FY23/34 Acq. Status]],3,FALSE)</f>
        <v>2020</v>
      </c>
      <c r="I109" s="13" t="str">
        <f>VLOOKUP(Table13456[[#This Row],[Eq No]],[1]!Table3[[Eq.No.]:[FY23/34 Acq. Status]],12,FALSE)</f>
        <v>Elphinstone AD45</v>
      </c>
      <c r="J109" s="13" t="str">
        <f>VLOOKUP(Table13456[[#This Row],[Eq No]],[1]!Table3[[Eq.No.]:[FY23/34 Acq. Status]],17,FALSE)</f>
        <v>MT42B</v>
      </c>
      <c r="K109" s="2">
        <v>0</v>
      </c>
      <c r="L109" s="2">
        <v>33727433.267200001</v>
      </c>
      <c r="M109" s="2">
        <v>0</v>
      </c>
    </row>
    <row r="110" spans="2:13" hidden="1" x14ac:dyDescent="0.25">
      <c r="B110" s="3" t="s">
        <v>51</v>
      </c>
      <c r="C110" s="4" t="s">
        <v>135</v>
      </c>
      <c r="D110" s="1" t="s">
        <v>39</v>
      </c>
      <c r="E110" s="1" t="str">
        <f>RIGHT(Table13456[[#This Row],[PROJECT TITLE]],6)</f>
        <v>DT0148</v>
      </c>
      <c r="F110" s="10" t="s">
        <v>29</v>
      </c>
      <c r="G110" s="13" t="str">
        <f>VLOOKUP(Table13456[[#This Row],[Eq No]],[1]!Table3[[Eq.No.]:[FY23/34 Acq. Status]],2,FALSE)</f>
        <v>Load &amp; Haul</v>
      </c>
      <c r="H110" s="12">
        <f>VLOOKUP(Table13456[[#This Row],[Eq No]],[1]!Table3[[Eq.No.]:[FY23/34 Acq. Status]],3,FALSE)</f>
        <v>2020</v>
      </c>
      <c r="I110" s="13" t="str">
        <f>VLOOKUP(Table13456[[#This Row],[Eq No]],[1]!Table3[[Eq.No.]:[FY23/34 Acq. Status]],12,FALSE)</f>
        <v>Elphinstone AD45</v>
      </c>
      <c r="J110" s="13" t="str">
        <f>VLOOKUP(Table13456[[#This Row],[Eq No]],[1]!Table3[[Eq.No.]:[FY23/34 Acq. Status]],17,FALSE)</f>
        <v>MT42B</v>
      </c>
      <c r="K110" s="2">
        <v>0</v>
      </c>
      <c r="L110" s="2">
        <v>0</v>
      </c>
      <c r="M110" s="2">
        <v>34808580.048799999</v>
      </c>
    </row>
    <row r="111" spans="2:13" hidden="1" x14ac:dyDescent="0.25">
      <c r="B111" s="3" t="s">
        <v>51</v>
      </c>
      <c r="C111" s="4" t="s">
        <v>136</v>
      </c>
      <c r="D111" s="1" t="s">
        <v>7</v>
      </c>
      <c r="E111" s="1" t="str">
        <f>RIGHT(Table13456[[#This Row],[PROJECT TITLE]],6)</f>
        <v>FL0091</v>
      </c>
      <c r="F111" s="10" t="s">
        <v>29</v>
      </c>
      <c r="G111" s="13" t="str">
        <f>VLOOKUP(Table13456[[#This Row],[Eq No]],[1]!Table3[[Eq.No.]:[FY23/34 Acq. Status]],2,FALSE)</f>
        <v>Load &amp; Haul</v>
      </c>
      <c r="H111" s="12">
        <f>VLOOKUP(Table13456[[#This Row],[Eq No]],[1]!Table3[[Eq.No.]:[FY23/34 Acq. Status]],3,FALSE)</f>
        <v>2019</v>
      </c>
      <c r="I111" s="13" t="str">
        <f>VLOOKUP(Table13456[[#This Row],[Eq No]],[1]!Table3[[Eq.No.]:[FY23/34 Acq. Status]],12,FALSE)</f>
        <v>ST14</v>
      </c>
      <c r="J111" s="13" t="str">
        <f>VLOOKUP(Table13456[[#This Row],[Eq No]],[1]!Table3[[Eq.No.]:[FY23/34 Acq. Status]],17,FALSE)</f>
        <v>ST14B</v>
      </c>
      <c r="K111" s="2">
        <v>0</v>
      </c>
      <c r="L111" s="2">
        <v>31066169.203199998</v>
      </c>
      <c r="M111" s="2">
        <v>0</v>
      </c>
    </row>
    <row r="112" spans="2:13" hidden="1" x14ac:dyDescent="0.25">
      <c r="B112" s="3" t="s">
        <v>51</v>
      </c>
      <c r="C112" s="4" t="s">
        <v>137</v>
      </c>
      <c r="D112" s="1" t="s">
        <v>7</v>
      </c>
      <c r="E112" s="1" t="str">
        <f>RIGHT(Table13456[[#This Row],[PROJECT TITLE]],6)</f>
        <v>FL0101</v>
      </c>
      <c r="F112" s="10" t="s">
        <v>29</v>
      </c>
      <c r="G112" s="13" t="str">
        <f>VLOOKUP(Table13456[[#This Row],[Eq No]],[1]!Table3[[Eq.No.]:[FY23/34 Acq. Status]],2,FALSE)</f>
        <v>Load &amp; Haul</v>
      </c>
      <c r="H112" s="12">
        <f>VLOOKUP(Table13456[[#This Row],[Eq No]],[1]!Table3[[Eq.No.]:[FY23/34 Acq. Status]],3,FALSE)</f>
        <v>2021</v>
      </c>
      <c r="I112" s="13" t="str">
        <f>VLOOKUP(Table13456[[#This Row],[Eq No]],[1]!Table3[[Eq.No.]:[FY23/34 Acq. Status]],12,FALSE)</f>
        <v>ST14</v>
      </c>
      <c r="J112" s="13" t="str">
        <f>VLOOKUP(Table13456[[#This Row],[Eq No]],[1]!Table3[[Eq.No.]:[FY23/34 Acq. Status]],17,FALSE)</f>
        <v>ST14B</v>
      </c>
      <c r="K112" s="2">
        <v>0</v>
      </c>
      <c r="L112" s="2">
        <v>0</v>
      </c>
      <c r="M112" s="2">
        <v>32062008.0678</v>
      </c>
    </row>
    <row r="113" spans="2:13" hidden="1" x14ac:dyDescent="0.25">
      <c r="B113" s="3" t="s">
        <v>51</v>
      </c>
      <c r="C113" s="4" t="s">
        <v>138</v>
      </c>
      <c r="D113" s="1" t="s">
        <v>119</v>
      </c>
      <c r="E113" s="1" t="str">
        <f>RIGHT(Table13456[[#This Row],[PROJECT TITLE]],6)</f>
        <v>HD0049</v>
      </c>
      <c r="F113" s="10" t="s">
        <v>29</v>
      </c>
      <c r="G113" s="13" t="str">
        <f>VLOOKUP(Table13456[[#This Row],[Eq No]],[1]!Table3[[Eq.No.]:[FY23/34 Acq. Status]],2,FALSE)</f>
        <v>SEAM 2 Section</v>
      </c>
      <c r="H113" s="12">
        <f>VLOOKUP(Table13456[[#This Row],[Eq No]],[1]!Table3[[Eq.No.]:[FY23/34 Acq. Status]],3,FALSE)</f>
        <v>2019</v>
      </c>
      <c r="I113" s="13" t="str">
        <f>VLOOKUP(Table13456[[#This Row],[Eq No]],[1]!Table3[[Eq.No.]:[FY23/34 Acq. Status]],12,FALSE)</f>
        <v>EPIROC S2</v>
      </c>
      <c r="J113" s="13" t="str">
        <f>VLOOKUP(Table13456[[#This Row],[Eq No]],[1]!Table3[[Eq.No.]:[FY23/34 Acq. Status]],17,FALSE)</f>
        <v>EPIROC S2</v>
      </c>
      <c r="K113" s="2">
        <v>0</v>
      </c>
      <c r="L113" s="2">
        <v>28291717.158399999</v>
      </c>
      <c r="M113" s="2">
        <v>0</v>
      </c>
    </row>
    <row r="114" spans="2:13" hidden="1" x14ac:dyDescent="0.25">
      <c r="B114" s="3" t="s">
        <v>51</v>
      </c>
      <c r="C114" s="4" t="s">
        <v>139</v>
      </c>
      <c r="D114" s="1" t="s">
        <v>119</v>
      </c>
      <c r="E114" s="1" t="str">
        <f>RIGHT(Table13456[[#This Row],[PROJECT TITLE]],6)</f>
        <v>HD0050</v>
      </c>
      <c r="F114" s="10" t="s">
        <v>29</v>
      </c>
      <c r="G114" s="13" t="str">
        <f>VLOOKUP(Table13456[[#This Row],[Eq No]],[1]!Table3[[Eq.No.]:[FY23/34 Acq. Status]],2,FALSE)</f>
        <v>SEAM 2 Section</v>
      </c>
      <c r="H114" s="12">
        <f>VLOOKUP(Table13456[[#This Row],[Eq No]],[1]!Table3[[Eq.No.]:[FY23/34 Acq. Status]],3,FALSE)</f>
        <v>2019</v>
      </c>
      <c r="I114" s="13" t="str">
        <f>VLOOKUP(Table13456[[#This Row],[Eq No]],[1]!Table3[[Eq.No.]:[FY23/34 Acq. Status]],12,FALSE)</f>
        <v>EPIROC S2</v>
      </c>
      <c r="J114" s="13" t="str">
        <f>VLOOKUP(Table13456[[#This Row],[Eq No]],[1]!Table3[[Eq.No.]:[FY23/34 Acq. Status]],17,FALSE)</f>
        <v>EPIROC S2</v>
      </c>
      <c r="K114" s="2">
        <v>0</v>
      </c>
      <c r="L114" s="2">
        <v>28291717.158399999</v>
      </c>
      <c r="M114" s="2">
        <v>0</v>
      </c>
    </row>
    <row r="115" spans="2:13" hidden="1" x14ac:dyDescent="0.25">
      <c r="B115" s="3" t="s">
        <v>51</v>
      </c>
      <c r="C115" s="4" t="s">
        <v>140</v>
      </c>
      <c r="D115" s="1" t="s">
        <v>119</v>
      </c>
      <c r="E115" s="1" t="str">
        <f>RIGHT(Table13456[[#This Row],[PROJECT TITLE]],6)</f>
        <v>HD0051</v>
      </c>
      <c r="F115" s="10" t="s">
        <v>29</v>
      </c>
      <c r="G115" s="13" t="str">
        <f>VLOOKUP(Table13456[[#This Row],[Eq No]],[1]!Table3[[Eq.No.]:[FY23/34 Acq. Status]],2,FALSE)</f>
        <v>Drill &amp; Blast</v>
      </c>
      <c r="H115" s="12">
        <f>VLOOKUP(Table13456[[#This Row],[Eq No]],[1]!Table3[[Eq.No.]:[FY23/34 Acq. Status]],3,FALSE)</f>
        <v>2019</v>
      </c>
      <c r="I115" s="13" t="str">
        <f>VLOOKUP(Table13456[[#This Row],[Eq No]],[1]!Table3[[Eq.No.]:[FY23/34 Acq. Status]],12,FALSE)</f>
        <v>EPIROC S2</v>
      </c>
      <c r="J115" s="13" t="str">
        <f>VLOOKUP(Table13456[[#This Row],[Eq No]],[1]!Table3[[Eq.No.]:[FY23/34 Acq. Status]],17,FALSE)</f>
        <v>EPIROC S2</v>
      </c>
      <c r="K115" s="2">
        <v>0</v>
      </c>
      <c r="L115" s="2">
        <v>0</v>
      </c>
      <c r="M115" s="2">
        <v>29198619.818599999</v>
      </c>
    </row>
    <row r="116" spans="2:13" hidden="1" x14ac:dyDescent="0.25">
      <c r="B116" s="3" t="s">
        <v>51</v>
      </c>
      <c r="C116" s="4" t="s">
        <v>141</v>
      </c>
      <c r="D116" s="1" t="s">
        <v>119</v>
      </c>
      <c r="E116" s="1" t="str">
        <f>RIGHT(Table13456[[#This Row],[PROJECT TITLE]],6)</f>
        <v>HD0052</v>
      </c>
      <c r="F116" s="10" t="s">
        <v>29</v>
      </c>
      <c r="G116" s="13" t="str">
        <f>VLOOKUP(Table13456[[#This Row],[Eq No]],[1]!Table3[[Eq.No.]:[FY23/34 Acq. Status]],2,FALSE)</f>
        <v>Central Section</v>
      </c>
      <c r="H116" s="12">
        <f>VLOOKUP(Table13456[[#This Row],[Eq No]],[1]!Table3[[Eq.No.]:[FY23/34 Acq. Status]],3,FALSE)</f>
        <v>2019</v>
      </c>
      <c r="I116" s="13" t="str">
        <f>VLOOKUP(Table13456[[#This Row],[Eq No]],[1]!Table3[[Eq.No.]:[FY23/34 Acq. Status]],12,FALSE)</f>
        <v>EPIROC S2</v>
      </c>
      <c r="J116" s="13" t="str">
        <f>VLOOKUP(Table13456[[#This Row],[Eq No]],[1]!Table3[[Eq.No.]:[FY23/34 Acq. Status]],17,FALSE)</f>
        <v>EPIROC S2</v>
      </c>
      <c r="K116" s="2">
        <v>0</v>
      </c>
      <c r="L116" s="2">
        <v>0</v>
      </c>
      <c r="M116" s="2">
        <v>29198619.818599999</v>
      </c>
    </row>
    <row r="117" spans="2:13" hidden="1" x14ac:dyDescent="0.25">
      <c r="B117" s="3" t="s">
        <v>51</v>
      </c>
      <c r="C117" s="4" t="s">
        <v>142</v>
      </c>
      <c r="D117" s="1" t="s">
        <v>21</v>
      </c>
      <c r="E117" s="1" t="str">
        <f>RIGHT(Table13456[[#This Row],[PROJECT TITLE]],6)</f>
        <v>LD0401</v>
      </c>
      <c r="F117" s="10" t="s">
        <v>29</v>
      </c>
      <c r="G117" s="13">
        <f>VLOOKUP(Table13456[[#This Row],[Eq No]],[1]!Table3[[Eq.No.]:[FY23/34 Acq. Status]],2,FALSE)</f>
        <v>0</v>
      </c>
      <c r="H117" s="12">
        <f>VLOOKUP(Table13456[[#This Row],[Eq No]],[1]!Table3[[Eq.No.]:[FY23/34 Acq. Status]],3,FALSE)</f>
        <v>2017</v>
      </c>
      <c r="I117" s="13" t="str">
        <f>VLOOKUP(Table13456[[#This Row],[Eq No]],[1]!Table3[[Eq.No.]:[FY23/34 Acq. Status]],12,FALSE)</f>
        <v>D/Cab Maverick</v>
      </c>
      <c r="J117" s="13" t="str">
        <f>VLOOKUP(Table13456[[#This Row],[Eq No]],[1]!Table3[[Eq.No.]:[FY23/34 Acq. Status]],17,FALSE)</f>
        <v>L/Cruiser 4x4 (Converted to UG Spec)</v>
      </c>
      <c r="K117" s="2">
        <v>0</v>
      </c>
      <c r="L117" s="2">
        <v>0</v>
      </c>
      <c r="M117" s="2">
        <v>3760306.4600920002</v>
      </c>
    </row>
    <row r="118" spans="2:13" hidden="1" x14ac:dyDescent="0.25">
      <c r="B118" s="3" t="s">
        <v>51</v>
      </c>
      <c r="C118" s="4" t="s">
        <v>143</v>
      </c>
      <c r="D118" s="1" t="s">
        <v>21</v>
      </c>
      <c r="E118" s="1" t="str">
        <f>RIGHT(Table13456[[#This Row],[PROJECT TITLE]],6)</f>
        <v>LD0405</v>
      </c>
      <c r="F118" s="10" t="s">
        <v>29</v>
      </c>
      <c r="G118" s="13">
        <f>VLOOKUP(Table13456[[#This Row],[Eq No]],[1]!Table3[[Eq.No.]:[FY23/34 Acq. Status]],2,FALSE)</f>
        <v>0</v>
      </c>
      <c r="H118" s="12">
        <f>VLOOKUP(Table13456[[#This Row],[Eq No]],[1]!Table3[[Eq.No.]:[FY23/34 Acq. Status]],3,FALSE)</f>
        <v>2017</v>
      </c>
      <c r="I118" s="13" t="str">
        <f>VLOOKUP(Table13456[[#This Row],[Eq No]],[1]!Table3[[Eq.No.]:[FY23/34 Acq. Status]],12,FALSE)</f>
        <v>D/Cab Maverick</v>
      </c>
      <c r="J118" s="13" t="str">
        <f>VLOOKUP(Table13456[[#This Row],[Eq No]],[1]!Table3[[Eq.No.]:[FY23/34 Acq. Status]],17,FALSE)</f>
        <v>L/Cruiser 4x4 (Converted to UG Spec)</v>
      </c>
      <c r="K118" s="2">
        <v>0</v>
      </c>
      <c r="L118" s="2">
        <v>0</v>
      </c>
      <c r="M118" s="2">
        <v>3760306.4600920002</v>
      </c>
    </row>
    <row r="119" spans="2:13" hidden="1" x14ac:dyDescent="0.25">
      <c r="B119" s="3" t="s">
        <v>51</v>
      </c>
      <c r="C119" s="4" t="s">
        <v>144</v>
      </c>
      <c r="D119" s="1" t="s">
        <v>21</v>
      </c>
      <c r="E119" s="1" t="str">
        <f>RIGHT(Table13456[[#This Row],[PROJECT TITLE]],6)</f>
        <v>LD0445</v>
      </c>
      <c r="F119" s="10" t="s">
        <v>29</v>
      </c>
      <c r="G119" s="13">
        <f>VLOOKUP(Table13456[[#This Row],[Eq No]],[1]!Table3[[Eq.No.]:[FY23/34 Acq. Status]],2,FALSE)</f>
        <v>0</v>
      </c>
      <c r="H119" s="12">
        <f>VLOOKUP(Table13456[[#This Row],[Eq No]],[1]!Table3[[Eq.No.]:[FY23/34 Acq. Status]],3,FALSE)</f>
        <v>2017</v>
      </c>
      <c r="I119" s="13" t="str">
        <f>VLOOKUP(Table13456[[#This Row],[Eq No]],[1]!Table3[[Eq.No.]:[FY23/34 Acq. Status]],12,FALSE)</f>
        <v>D/Cab Maverick</v>
      </c>
      <c r="J119" s="13" t="str">
        <f>VLOOKUP(Table13456[[#This Row],[Eq No]],[1]!Table3[[Eq.No.]:[FY23/34 Acq. Status]],17,FALSE)</f>
        <v>L/Cruiser 4x4 (Converted to UG Spec)</v>
      </c>
      <c r="K119" s="2">
        <v>0</v>
      </c>
      <c r="L119" s="2">
        <v>3643512.1748480005</v>
      </c>
      <c r="M119" s="2">
        <v>0</v>
      </c>
    </row>
    <row r="120" spans="2:13" hidden="1" x14ac:dyDescent="0.25">
      <c r="B120" s="3" t="s">
        <v>51</v>
      </c>
      <c r="C120" s="4" t="s">
        <v>145</v>
      </c>
      <c r="D120" s="1" t="s">
        <v>21</v>
      </c>
      <c r="E120" s="1" t="str">
        <f>RIGHT(Table13456[[#This Row],[PROJECT TITLE]],6)</f>
        <v>LD0452</v>
      </c>
      <c r="F120" s="10" t="s">
        <v>29</v>
      </c>
      <c r="G120" s="13">
        <f>VLOOKUP(Table13456[[#This Row],[Eq No]],[1]!Table3[[Eq.No.]:[FY23/34 Acq. Status]],2,FALSE)</f>
        <v>0</v>
      </c>
      <c r="H120" s="12">
        <f>VLOOKUP(Table13456[[#This Row],[Eq No]],[1]!Table3[[Eq.No.]:[FY23/34 Acq. Status]],3,FALSE)</f>
        <v>2017</v>
      </c>
      <c r="I120" s="13" t="str">
        <f>VLOOKUP(Table13456[[#This Row],[Eq No]],[1]!Table3[[Eq.No.]:[FY23/34 Acq. Status]],12,FALSE)</f>
        <v>D/Cab Maverick</v>
      </c>
      <c r="J120" s="13" t="str">
        <f>VLOOKUP(Table13456[[#This Row],[Eq No]],[1]!Table3[[Eq.No.]:[FY23/34 Acq. Status]],17,FALSE)</f>
        <v>L/Cruiser 4x4 (Converted to UG Spec)</v>
      </c>
      <c r="K120" s="2">
        <v>0</v>
      </c>
      <c r="L120" s="2">
        <v>0</v>
      </c>
      <c r="M120" s="2">
        <v>3760306.4600920002</v>
      </c>
    </row>
    <row r="121" spans="2:13" hidden="1" x14ac:dyDescent="0.25">
      <c r="B121" s="3" t="s">
        <v>51</v>
      </c>
      <c r="C121" s="4" t="s">
        <v>146</v>
      </c>
      <c r="D121" s="1" t="s">
        <v>21</v>
      </c>
      <c r="E121" s="1" t="str">
        <f>RIGHT(Table13456[[#This Row],[PROJECT TITLE]],6)</f>
        <v>LD0512</v>
      </c>
      <c r="F121" s="10" t="s">
        <v>29</v>
      </c>
      <c r="G121" s="13">
        <f>VLOOKUP(Table13456[[#This Row],[Eq No]],[1]!Table3[[Eq.No.]:[FY23/34 Acq. Status]],2,FALSE)</f>
        <v>0</v>
      </c>
      <c r="H121" s="12">
        <f>VLOOKUP(Table13456[[#This Row],[Eq No]],[1]!Table3[[Eq.No.]:[FY23/34 Acq. Status]],3,FALSE)</f>
        <v>2019</v>
      </c>
      <c r="I121" s="13" t="str">
        <f>VLOOKUP(Table13456[[#This Row],[Eq No]],[1]!Table3[[Eq.No.]:[FY23/34 Acq. Status]],12,FALSE)</f>
        <v>D/Cab Maverick</v>
      </c>
      <c r="J121" s="13" t="str">
        <f>VLOOKUP(Table13456[[#This Row],[Eq No]],[1]!Table3[[Eq.No.]:[FY23/34 Acq. Status]],17,FALSE)</f>
        <v>L/Cruiser 4x4 (Converted to UG Spec)</v>
      </c>
      <c r="K121" s="2">
        <v>0</v>
      </c>
      <c r="L121" s="2">
        <v>3643512.1748480005</v>
      </c>
      <c r="M121" s="2">
        <v>0</v>
      </c>
    </row>
    <row r="122" spans="2:13" hidden="1" x14ac:dyDescent="0.25">
      <c r="B122" s="3" t="s">
        <v>51</v>
      </c>
      <c r="C122" s="4" t="s">
        <v>147</v>
      </c>
      <c r="D122" s="1" t="s">
        <v>28</v>
      </c>
      <c r="E122" s="1" t="str">
        <f>RIGHT(Table13456[[#This Row],[PROJECT TITLE]],6)</f>
        <v>RT0044</v>
      </c>
      <c r="F122" s="10" t="s">
        <v>29</v>
      </c>
      <c r="G122" s="13" t="str">
        <f>VLOOKUP(Table13456[[#This Row],[Eq No]],[1]!Table3[[Eq.No.]:[FY23/34 Acq. Status]],2,FALSE)</f>
        <v>N3</v>
      </c>
      <c r="H122" s="12">
        <f>VLOOKUP(Table13456[[#This Row],[Eq No]],[1]!Table3[[Eq.No.]:[FY23/34 Acq. Status]],3,FALSE)</f>
        <v>2018</v>
      </c>
      <c r="I122" s="13" t="str">
        <f>VLOOKUP(Table13456[[#This Row],[Eq No]],[1]!Table3[[Eq.No.]:[FY23/34 Acq. Status]],12,FALSE)</f>
        <v>Boltec 235H</v>
      </c>
      <c r="J122" s="13" t="str">
        <f>VLOOKUP(Table13456[[#This Row],[Eq No]],[1]!Table3[[Eq.No.]:[FY23/34 Acq. Status]],17,FALSE)</f>
        <v>Boltec 235H</v>
      </c>
      <c r="K122" s="2">
        <v>0</v>
      </c>
      <c r="L122" s="2">
        <v>0</v>
      </c>
      <c r="M122" s="2">
        <v>21325025.483599998</v>
      </c>
    </row>
    <row r="123" spans="2:13" hidden="1" x14ac:dyDescent="0.25">
      <c r="B123" s="3" t="s">
        <v>51</v>
      </c>
      <c r="C123" s="4" t="s">
        <v>148</v>
      </c>
      <c r="D123" s="1" t="s">
        <v>95</v>
      </c>
      <c r="E123" s="1" t="str">
        <f>RIGHT(Table13456[[#This Row],[PROJECT TITLE]],6)</f>
        <v>UV0056</v>
      </c>
      <c r="F123" s="10" t="s">
        <v>29</v>
      </c>
      <c r="G123" s="13">
        <f>VLOOKUP(Table13456[[#This Row],[Eq No]],[1]!Table3[[Eq.No.]:[FY23/34 Acq. Status]],2,FALSE)</f>
        <v>0</v>
      </c>
      <c r="H123" s="12">
        <f>VLOOKUP(Table13456[[#This Row],[Eq No]],[1]!Table3[[Eq.No.]:[FY23/34 Acq. Status]],3,FALSE)</f>
        <v>2016</v>
      </c>
      <c r="I123" s="13" t="str">
        <f>VLOOKUP(Table13456[[#This Row],[Eq No]],[1]!Table3[[Eq.No.]:[FY23/34 Acq. Status]],12,FALSE)</f>
        <v>UV80 Scissor</v>
      </c>
      <c r="J123" s="13" t="str">
        <f>VLOOKUP(Table13456[[#This Row],[Eq No]],[1]!Table3[[Eq.No.]:[FY23/34 Acq. Status]],17,FALSE)</f>
        <v>UV80 Scissor Lift</v>
      </c>
      <c r="K123" s="2">
        <v>0</v>
      </c>
      <c r="L123" s="2">
        <v>8306390.9119999995</v>
      </c>
      <c r="M123" s="2">
        <v>0</v>
      </c>
    </row>
    <row r="124" spans="2:13" hidden="1" x14ac:dyDescent="0.25">
      <c r="B124" s="3" t="s">
        <v>51</v>
      </c>
      <c r="C124" s="4" t="s">
        <v>149</v>
      </c>
      <c r="D124" s="1" t="s">
        <v>95</v>
      </c>
      <c r="E124" s="1" t="str">
        <f>RIGHT(Table13456[[#This Row],[PROJECT TITLE]],6)</f>
        <v>UV0074</v>
      </c>
      <c r="F124" s="10" t="s">
        <v>29</v>
      </c>
      <c r="G124" s="13">
        <f>VLOOKUP(Table13456[[#This Row],[Eq No]],[1]!Table3[[Eq.No.]:[FY23/34 Acq. Status]],2,FALSE)</f>
        <v>0</v>
      </c>
      <c r="H124" s="12">
        <f>VLOOKUP(Table13456[[#This Row],[Eq No]],[1]!Table3[[Eq.No.]:[FY23/34 Acq. Status]],3,FALSE)</f>
        <v>2016</v>
      </c>
      <c r="I124" s="13" t="str">
        <f>VLOOKUP(Table13456[[#This Row],[Eq No]],[1]!Table3[[Eq.No.]:[FY23/34 Acq. Status]],12,FALSE)</f>
        <v>S/Cab Manlift</v>
      </c>
      <c r="J124" s="13" t="str">
        <f>VLOOKUP(Table13456[[#This Row],[Eq No]],[1]!Table3[[Eq.No.]:[FY23/34 Acq. Status]],17,FALSE)</f>
        <v>L/Cruiser 4x4 (Converted to UG Spec)</v>
      </c>
      <c r="K124" s="2">
        <v>0</v>
      </c>
      <c r="L124" s="2">
        <v>0</v>
      </c>
      <c r="M124" s="2">
        <v>3760306.4600920002</v>
      </c>
    </row>
    <row r="125" spans="2:13" hidden="1" x14ac:dyDescent="0.25">
      <c r="B125" s="3" t="s">
        <v>51</v>
      </c>
      <c r="C125" s="4" t="s">
        <v>150</v>
      </c>
      <c r="D125" s="1" t="s">
        <v>95</v>
      </c>
      <c r="E125" s="1" t="str">
        <f>RIGHT(Table13456[[#This Row],[PROJECT TITLE]],6)</f>
        <v>UV0075</v>
      </c>
      <c r="F125" s="10" t="s">
        <v>29</v>
      </c>
      <c r="G125" s="13">
        <f>VLOOKUP(Table13456[[#This Row],[Eq No]],[1]!Table3[[Eq.No.]:[FY23/34 Acq. Status]],2,FALSE)</f>
        <v>0</v>
      </c>
      <c r="H125" s="12">
        <f>VLOOKUP(Table13456[[#This Row],[Eq No]],[1]!Table3[[Eq.No.]:[FY23/34 Acq. Status]],3,FALSE)</f>
        <v>2016</v>
      </c>
      <c r="I125" s="13" t="str">
        <f>VLOOKUP(Table13456[[#This Row],[Eq No]],[1]!Table3[[Eq.No.]:[FY23/34 Acq. Status]],12,FALSE)</f>
        <v>S/Cab Manlift</v>
      </c>
      <c r="J125" s="13" t="str">
        <f>VLOOKUP(Table13456[[#This Row],[Eq No]],[1]!Table3[[Eq.No.]:[FY23/34 Acq. Status]],17,FALSE)</f>
        <v>L/Cruiser 4x4 (Converted to UG Spec)</v>
      </c>
      <c r="K125" s="2">
        <v>0</v>
      </c>
      <c r="L125" s="2">
        <v>0</v>
      </c>
      <c r="M125" s="2">
        <v>3760306.4600920002</v>
      </c>
    </row>
    <row r="126" spans="2:13" hidden="1" x14ac:dyDescent="0.25">
      <c r="B126" s="3" t="s">
        <v>51</v>
      </c>
      <c r="C126" s="4" t="s">
        <v>151</v>
      </c>
      <c r="D126" s="1" t="s">
        <v>95</v>
      </c>
      <c r="E126" s="1" t="str">
        <f>RIGHT(Table13456[[#This Row],[PROJECT TITLE]],6)</f>
        <v>UV0079</v>
      </c>
      <c r="F126" s="10" t="s">
        <v>29</v>
      </c>
      <c r="G126" s="13">
        <f>VLOOKUP(Table13456[[#This Row],[Eq No]],[1]!Table3[[Eq.No.]:[FY23/34 Acq. Status]],2,FALSE)</f>
        <v>0</v>
      </c>
      <c r="H126" s="12">
        <f>VLOOKUP(Table13456[[#This Row],[Eq No]],[1]!Table3[[Eq.No.]:[FY23/34 Acq. Status]],3,FALSE)</f>
        <v>2016</v>
      </c>
      <c r="I126" s="13" t="str">
        <f>VLOOKUP(Table13456[[#This Row],[Eq No]],[1]!Table3[[Eq.No.]:[FY23/34 Acq. Status]],12,FALSE)</f>
        <v>UV80-Liberator</v>
      </c>
      <c r="J126" s="13" t="str">
        <f>VLOOKUP(Table13456[[#This Row],[Eq No]],[1]!Table3[[Eq.No.]:[FY23/34 Acq. Status]],17,FALSE)</f>
        <v>UV80/Carr/MKIII</v>
      </c>
      <c r="K126" s="2">
        <v>0</v>
      </c>
      <c r="L126" s="2">
        <v>0</v>
      </c>
      <c r="M126" s="2">
        <v>6906835.6979999999</v>
      </c>
    </row>
    <row r="127" spans="2:13" hidden="1" x14ac:dyDescent="0.25">
      <c r="B127" s="3" t="s">
        <v>51</v>
      </c>
      <c r="C127" s="4" t="s">
        <v>152</v>
      </c>
      <c r="D127" s="1" t="s">
        <v>95</v>
      </c>
      <c r="E127" s="1" t="str">
        <f>RIGHT(Table13456[[#This Row],[PROJECT TITLE]],6)</f>
        <v>UV0081</v>
      </c>
      <c r="F127" s="10" t="s">
        <v>29</v>
      </c>
      <c r="G127" s="13">
        <f>VLOOKUP(Table13456[[#This Row],[Eq No]],[1]!Table3[[Eq.No.]:[FY23/34 Acq. Status]],2,FALSE)</f>
        <v>0</v>
      </c>
      <c r="H127" s="12">
        <f>VLOOKUP(Table13456[[#This Row],[Eq No]],[1]!Table3[[Eq.No.]:[FY23/34 Acq. Status]],3,FALSE)</f>
        <v>2016</v>
      </c>
      <c r="I127" s="13" t="str">
        <f>VLOOKUP(Table13456[[#This Row],[Eq No]],[1]!Table3[[Eq.No.]:[FY23/34 Acq. Status]],12,FALSE)</f>
        <v>UV80-Liberator</v>
      </c>
      <c r="J127" s="13" t="str">
        <f>VLOOKUP(Table13456[[#This Row],[Eq No]],[1]!Table3[[Eq.No.]:[FY23/34 Acq. Status]],17,FALSE)</f>
        <v>UV80/Carr/MKIII</v>
      </c>
      <c r="K127" s="2">
        <v>0</v>
      </c>
      <c r="L127" s="2">
        <v>0</v>
      </c>
      <c r="M127" s="2">
        <v>6906835.6979999999</v>
      </c>
    </row>
    <row r="128" spans="2:13" hidden="1" x14ac:dyDescent="0.25">
      <c r="B128" s="3" t="s">
        <v>51</v>
      </c>
      <c r="C128" s="4" t="s">
        <v>153</v>
      </c>
      <c r="D128" s="1" t="s">
        <v>39</v>
      </c>
      <c r="E128" s="1" t="str">
        <f>RIGHT(Table13456[[#This Row],[PROJECT TITLE]],6)</f>
        <v>DT0129</v>
      </c>
      <c r="F128" s="10" t="s">
        <v>19</v>
      </c>
      <c r="G128" s="13" t="str">
        <f>VLOOKUP(Table13456[[#This Row],[Eq No]],[1]!Table3[[Eq.No.]:[FY23/34 Acq. Status]],2,FALSE)</f>
        <v>SOT NCH2</v>
      </c>
      <c r="H128" s="12">
        <f>VLOOKUP(Table13456[[#This Row],[Eq No]],[1]!Table3[[Eq.No.]:[FY23/34 Acq. Status]],3,FALSE)</f>
        <v>2018</v>
      </c>
      <c r="I128" s="13" t="str">
        <f>VLOOKUP(Table13456[[#This Row],[Eq No]],[1]!Table3[[Eq.No.]:[FY23/34 Acq. Status]],12,FALSE)</f>
        <v>B50E, 6x6</v>
      </c>
      <c r="J128" s="13" t="str">
        <f>VLOOKUP(Table13456[[#This Row],[Eq No]],[1]!Table3[[Eq.No.]:[FY23/34 Acq. Status]],17,FALSE)</f>
        <v>B50E, 6x6</v>
      </c>
      <c r="K128" s="2">
        <v>0</v>
      </c>
      <c r="L128" s="2">
        <v>13814041.6</v>
      </c>
      <c r="M128" s="2">
        <v>0</v>
      </c>
    </row>
    <row r="129" spans="2:13" hidden="1" x14ac:dyDescent="0.25">
      <c r="B129" s="3" t="s">
        <v>51</v>
      </c>
      <c r="C129" s="4" t="s">
        <v>154</v>
      </c>
      <c r="D129" s="1" t="s">
        <v>39</v>
      </c>
      <c r="E129" s="1" t="str">
        <f>RIGHT(Table13456[[#This Row],[PROJECT TITLE]],6)</f>
        <v>DT0130</v>
      </c>
      <c r="F129" s="10" t="s">
        <v>19</v>
      </c>
      <c r="G129" s="13" t="str">
        <f>VLOOKUP(Table13456[[#This Row],[Eq No]],[1]!Table3[[Eq.No.]:[FY23/34 Acq. Status]],2,FALSE)</f>
        <v>SOT NCH2</v>
      </c>
      <c r="H129" s="12">
        <f>VLOOKUP(Table13456[[#This Row],[Eq No]],[1]!Table3[[Eq.No.]:[FY23/34 Acq. Status]],3,FALSE)</f>
        <v>2018</v>
      </c>
      <c r="I129" s="13" t="str">
        <f>VLOOKUP(Table13456[[#This Row],[Eq No]],[1]!Table3[[Eq.No.]:[FY23/34 Acq. Status]],12,FALSE)</f>
        <v>B50E, 6x6</v>
      </c>
      <c r="J129" s="13" t="str">
        <f>VLOOKUP(Table13456[[#This Row],[Eq No]],[1]!Table3[[Eq.No.]:[FY23/34 Acq. Status]],17,FALSE)</f>
        <v>B50E, 6x6</v>
      </c>
      <c r="K129" s="2">
        <v>0</v>
      </c>
      <c r="L129" s="2">
        <v>13814041.6</v>
      </c>
      <c r="M129" s="2">
        <v>0</v>
      </c>
    </row>
    <row r="130" spans="2:13" hidden="1" x14ac:dyDescent="0.25">
      <c r="B130" s="3" t="s">
        <v>51</v>
      </c>
      <c r="C130" s="4" t="s">
        <v>155</v>
      </c>
      <c r="D130" s="1" t="s">
        <v>39</v>
      </c>
      <c r="E130" s="1" t="str">
        <f>RIGHT(Table13456[[#This Row],[PROJECT TITLE]],6)</f>
        <v>DT0133</v>
      </c>
      <c r="F130" s="10" t="s">
        <v>19</v>
      </c>
      <c r="G130" s="13" t="str">
        <f>VLOOKUP(Table13456[[#This Row],[Eq No]],[1]!Table3[[Eq.No.]:[FY23/34 Acq. Status]],2,FALSE)</f>
        <v>SOT NCH2</v>
      </c>
      <c r="H130" s="12">
        <f>VLOOKUP(Table13456[[#This Row],[Eq No]],[1]!Table3[[Eq.No.]:[FY23/34 Acq. Status]],3,FALSE)</f>
        <v>2019</v>
      </c>
      <c r="I130" s="13" t="str">
        <f>VLOOKUP(Table13456[[#This Row],[Eq No]],[1]!Table3[[Eq.No.]:[FY23/34 Acq. Status]],12,FALSE)</f>
        <v>B50E, 6x6</v>
      </c>
      <c r="J130" s="13" t="str">
        <f>VLOOKUP(Table13456[[#This Row],[Eq No]],[1]!Table3[[Eq.No.]:[FY23/34 Acq. Status]],17,FALSE)</f>
        <v>B50E, 6x6</v>
      </c>
      <c r="K130" s="2">
        <v>0</v>
      </c>
      <c r="L130" s="2">
        <v>0</v>
      </c>
      <c r="M130" s="2">
        <v>14256856.4</v>
      </c>
    </row>
    <row r="131" spans="2:13" hidden="1" x14ac:dyDescent="0.25">
      <c r="B131" s="3" t="s">
        <v>51</v>
      </c>
      <c r="C131" s="4" t="s">
        <v>156</v>
      </c>
      <c r="D131" s="1" t="s">
        <v>39</v>
      </c>
      <c r="E131" s="1" t="str">
        <f>RIGHT(Table13456[[#This Row],[PROJECT TITLE]],6)</f>
        <v>DT0134</v>
      </c>
      <c r="F131" s="10" t="s">
        <v>19</v>
      </c>
      <c r="G131" s="13" t="str">
        <f>VLOOKUP(Table13456[[#This Row],[Eq No]],[1]!Table3[[Eq.No.]:[FY23/34 Acq. Status]],2,FALSE)</f>
        <v>SOT NCH2</v>
      </c>
      <c r="H131" s="12">
        <f>VLOOKUP(Table13456[[#This Row],[Eq No]],[1]!Table3[[Eq.No.]:[FY23/34 Acq. Status]],3,FALSE)</f>
        <v>2019</v>
      </c>
      <c r="I131" s="13" t="str">
        <f>VLOOKUP(Table13456[[#This Row],[Eq No]],[1]!Table3[[Eq.No.]:[FY23/34 Acq. Status]],12,FALSE)</f>
        <v>B50E, 6x6</v>
      </c>
      <c r="J131" s="13" t="str">
        <f>VLOOKUP(Table13456[[#This Row],[Eq No]],[1]!Table3[[Eq.No.]:[FY23/34 Acq. Status]],17,FALSE)</f>
        <v>B50E, 6x6</v>
      </c>
      <c r="K131" s="2">
        <v>0</v>
      </c>
      <c r="L131" s="2">
        <v>0</v>
      </c>
      <c r="M131" s="2">
        <v>14256856.4</v>
      </c>
    </row>
    <row r="132" spans="2:13" hidden="1" x14ac:dyDescent="0.25">
      <c r="B132" s="3" t="s">
        <v>51</v>
      </c>
      <c r="C132" s="4" t="s">
        <v>157</v>
      </c>
      <c r="D132" s="1" t="s">
        <v>39</v>
      </c>
      <c r="E132" s="1" t="str">
        <f>RIGHT(Table13456[[#This Row],[PROJECT TITLE]],6)</f>
        <v>DT0136</v>
      </c>
      <c r="F132" s="10" t="s">
        <v>19</v>
      </c>
      <c r="G132" s="13" t="str">
        <f>VLOOKUP(Table13456[[#This Row],[Eq No]],[1]!Table3[[Eq.No.]:[FY23/34 Acq. Status]],2,FALSE)</f>
        <v>SOT NCH2</v>
      </c>
      <c r="H132" s="12">
        <f>VLOOKUP(Table13456[[#This Row],[Eq No]],[1]!Table3[[Eq.No.]:[FY23/34 Acq. Status]],3,FALSE)</f>
        <v>2019</v>
      </c>
      <c r="I132" s="13" t="str">
        <f>VLOOKUP(Table13456[[#This Row],[Eq No]],[1]!Table3[[Eq.No.]:[FY23/34 Acq. Status]],12,FALSE)</f>
        <v>B50E, 6x6</v>
      </c>
      <c r="J132" s="13" t="str">
        <f>VLOOKUP(Table13456[[#This Row],[Eq No]],[1]!Table3[[Eq.No.]:[FY23/34 Acq. Status]],17,FALSE)</f>
        <v>B50E, 6x6</v>
      </c>
      <c r="K132" s="2">
        <v>0</v>
      </c>
      <c r="L132" s="2">
        <v>0</v>
      </c>
      <c r="M132" s="2">
        <v>14256856.4</v>
      </c>
    </row>
    <row r="133" spans="2:13" hidden="1" x14ac:dyDescent="0.25">
      <c r="B133" s="3" t="s">
        <v>51</v>
      </c>
      <c r="C133" s="4" t="s">
        <v>158</v>
      </c>
      <c r="D133" s="1" t="s">
        <v>39</v>
      </c>
      <c r="E133" s="1" t="str">
        <f>RIGHT(Table13456[[#This Row],[PROJECT TITLE]],6)</f>
        <v>DT0137</v>
      </c>
      <c r="F133" s="10" t="s">
        <v>19</v>
      </c>
      <c r="G133" s="13" t="str">
        <f>VLOOKUP(Table13456[[#This Row],[Eq No]],[1]!Table3[[Eq.No.]:[FY23/34 Acq. Status]],2,FALSE)</f>
        <v>SOT NCH2</v>
      </c>
      <c r="H133" s="12">
        <f>VLOOKUP(Table13456[[#This Row],[Eq No]],[1]!Table3[[Eq.No.]:[FY23/34 Acq. Status]],3,FALSE)</f>
        <v>2019</v>
      </c>
      <c r="I133" s="13" t="str">
        <f>VLOOKUP(Table13456[[#This Row],[Eq No]],[1]!Table3[[Eq.No.]:[FY23/34 Acq. Status]],12,FALSE)</f>
        <v>B50E, 6x6</v>
      </c>
      <c r="J133" s="13" t="str">
        <f>VLOOKUP(Table13456[[#This Row],[Eq No]],[1]!Table3[[Eq.No.]:[FY23/34 Acq. Status]],17,FALSE)</f>
        <v>B50E, 6x6</v>
      </c>
      <c r="K133" s="2">
        <v>0</v>
      </c>
      <c r="L133" s="2">
        <v>0</v>
      </c>
      <c r="M133" s="2">
        <v>14256856.4</v>
      </c>
    </row>
    <row r="134" spans="2:13" hidden="1" x14ac:dyDescent="0.25">
      <c r="B134" s="3" t="s">
        <v>51</v>
      </c>
      <c r="C134" s="4" t="s">
        <v>159</v>
      </c>
      <c r="D134" s="1" t="s">
        <v>13</v>
      </c>
      <c r="E134" s="1" t="str">
        <f>RIGHT(Table13456[[#This Row],[PROJECT TITLE]],6)</f>
        <v>ER0005</v>
      </c>
      <c r="F134" s="10" t="s">
        <v>19</v>
      </c>
      <c r="G134" s="13" t="str">
        <f>VLOOKUP(Table13456[[#This Row],[Eq No]],[1]!Table3[[Eq.No.]:[FY23/34 Acq. Status]],2,FALSE)</f>
        <v>SOT NCH2</v>
      </c>
      <c r="H134" s="12">
        <f>VLOOKUP(Table13456[[#This Row],[Eq No]],[1]!Table3[[Eq.No.]:[FY23/34 Acq. Status]],3,FALSE)</f>
        <v>2017</v>
      </c>
      <c r="I134" s="13" t="str">
        <f>VLOOKUP(Table13456[[#This Row],[Eq No]],[1]!Table3[[Eq.No.]:[FY23/34 Acq. Status]],12,FALSE)</f>
        <v>312D2L (Hyd)</v>
      </c>
      <c r="J134" s="13" t="str">
        <f>VLOOKUP(Table13456[[#This Row],[Eq No]],[1]!Table3[[Eq.No.]:[FY23/34 Acq. Status]],17,FALSE)</f>
        <v>312D2L (Hyd)</v>
      </c>
      <c r="K134" s="2">
        <v>0</v>
      </c>
      <c r="L134" s="2">
        <v>0</v>
      </c>
      <c r="M134" s="2">
        <v>5009539.3510682639</v>
      </c>
    </row>
    <row r="135" spans="2:13" hidden="1" x14ac:dyDescent="0.25">
      <c r="B135" s="3" t="s">
        <v>51</v>
      </c>
      <c r="C135" s="4" t="s">
        <v>160</v>
      </c>
      <c r="D135" s="1" t="s">
        <v>7</v>
      </c>
      <c r="E135" s="1" t="str">
        <f>RIGHT(Table13456[[#This Row],[PROJECT TITLE]],6)</f>
        <v>FL0094</v>
      </c>
      <c r="F135" s="10" t="s">
        <v>19</v>
      </c>
      <c r="G135" s="13" t="str">
        <f>VLOOKUP(Table13456[[#This Row],[Eq No]],[1]!Table3[[Eq.No.]:[FY23/34 Acq. Status]],2,FALSE)</f>
        <v>SOT NCH2</v>
      </c>
      <c r="H135" s="12">
        <f>VLOOKUP(Table13456[[#This Row],[Eq No]],[1]!Table3[[Eq.No.]:[FY23/34 Acq. Status]],3,FALSE)</f>
        <v>2020</v>
      </c>
      <c r="I135" s="13" t="str">
        <f>VLOOKUP(Table13456[[#This Row],[Eq No]],[1]!Table3[[Eq.No.]:[FY23/34 Acq. Status]],12,FALSE)</f>
        <v>L2706E</v>
      </c>
      <c r="J135" s="13" t="str">
        <f>VLOOKUP(Table13456[[#This Row],[Eq No]],[1]!Table3[[Eq.No.]:[FY23/34 Acq. Status]],17,FALSE)</f>
        <v>Caterpillar 966L FEL</v>
      </c>
      <c r="K135" s="2">
        <v>0</v>
      </c>
      <c r="L135" s="2">
        <v>0</v>
      </c>
      <c r="M135" s="2">
        <v>13595654</v>
      </c>
    </row>
    <row r="136" spans="2:13" hidden="1" x14ac:dyDescent="0.25">
      <c r="B136" s="3" t="s">
        <v>51</v>
      </c>
      <c r="C136" s="4" t="s">
        <v>161</v>
      </c>
      <c r="D136" s="1" t="s">
        <v>97</v>
      </c>
      <c r="E136" s="1" t="str">
        <f>RIGHT(Table13456[[#This Row],[PROJECT TITLE]],6)</f>
        <v>GD0010</v>
      </c>
      <c r="F136" s="10" t="s">
        <v>19</v>
      </c>
      <c r="G136" s="13" t="str">
        <f>VLOOKUP(Table13456[[#This Row],[Eq No]],[1]!Table3[[Eq.No.]:[FY23/34 Acq. Status]],2,FALSE)</f>
        <v>SOT NCH2</v>
      </c>
      <c r="H136" s="12">
        <f>VLOOKUP(Table13456[[#This Row],[Eq No]],[1]!Table3[[Eq.No.]:[FY23/34 Acq. Status]],3,FALSE)</f>
        <v>2018</v>
      </c>
      <c r="I136" s="13" t="str">
        <f>VLOOKUP(Table13456[[#This Row],[Eq No]],[1]!Table3[[Eq.No.]:[FY23/34 Acq. Status]],12,FALSE)</f>
        <v>670G</v>
      </c>
      <c r="J136" s="13" t="str">
        <f>VLOOKUP(Table13456[[#This Row],[Eq No]],[1]!Table3[[Eq.No.]:[FY23/34 Acq. Status]],17,FALSE)</f>
        <v>670G</v>
      </c>
      <c r="K136" s="2">
        <v>0</v>
      </c>
      <c r="L136" s="2">
        <v>0</v>
      </c>
      <c r="M136" s="2">
        <v>7873496.6090290016</v>
      </c>
    </row>
    <row r="137" spans="2:13" hidden="1" x14ac:dyDescent="0.25">
      <c r="B137" s="1">
        <v>805120260603</v>
      </c>
      <c r="C137" s="4" t="s">
        <v>162</v>
      </c>
      <c r="D137" s="1" t="s">
        <v>21</v>
      </c>
      <c r="E137" s="1" t="str">
        <f>RIGHT(Table13456[[#This Row],[PROJECT TITLE]],6)</f>
        <v>LD0302</v>
      </c>
      <c r="F137" s="10" t="s">
        <v>19</v>
      </c>
      <c r="G137" s="13" t="str">
        <f>VLOOKUP(Table13456[[#This Row],[Eq No]],[1]!Table3[[Eq.No.]:[FY23/34 Acq. Status]],2,FALSE)</f>
        <v>Mark Makappie</v>
      </c>
      <c r="H137" s="12">
        <f>VLOOKUP(Table13456[[#This Row],[Eq No]],[1]!Table3[[Eq.No.]:[FY23/34 Acq. Status]],3,FALSE)</f>
        <v>2013</v>
      </c>
      <c r="I137" s="13" t="str">
        <f>VLOOKUP(Table13456[[#This Row],[Eq No]],[1]!Table3[[Eq.No.]:[FY23/34 Acq. Status]],12,FALSE)</f>
        <v>4 x 4 (2.5D) D/C</v>
      </c>
      <c r="J137" s="13" t="str">
        <f>VLOOKUP(Table13456[[#This Row],[Eq No]],[1]!Table3[[Eq.No.]:[FY23/34 Acq. Status]],17,FALSE)</f>
        <v>4 x 4 (2.5D) D/C</v>
      </c>
      <c r="K137" s="2">
        <v>1157210.132</v>
      </c>
      <c r="L137" s="2">
        <v>0</v>
      </c>
      <c r="M137" s="2">
        <v>0</v>
      </c>
    </row>
    <row r="138" spans="2:13" hidden="1" x14ac:dyDescent="0.25">
      <c r="B138" s="3" t="s">
        <v>51</v>
      </c>
      <c r="C138" s="4" t="s">
        <v>163</v>
      </c>
      <c r="D138" s="1" t="s">
        <v>18</v>
      </c>
      <c r="E138" s="1" t="str">
        <f>RIGHT(Table13456[[#This Row],[PROJECT TITLE]],6)</f>
        <v>WK1004</v>
      </c>
      <c r="F138" s="10" t="s">
        <v>19</v>
      </c>
      <c r="G138" s="13" t="str">
        <f>VLOOKUP(Table13456[[#This Row],[Eq No]],[1]!Table3[[Eq.No.]:[FY23/34 Acq. Status]],2,FALSE)</f>
        <v>SOT NCH2</v>
      </c>
      <c r="H138" s="12">
        <f>VLOOKUP(Table13456[[#This Row],[Eq No]],[1]!Table3[[Eq.No.]:[FY23/34 Acq. Status]],3,FALSE)</f>
        <v>2018</v>
      </c>
      <c r="I138" s="13" t="str">
        <f>VLOOKUP(Table13456[[#This Row],[Eq No]],[1]!Table3[[Eq.No.]:[FY23/34 Acq. Status]],12,FALSE)</f>
        <v>B30E (27000L)</v>
      </c>
      <c r="J138" s="13" t="str">
        <f>VLOOKUP(Table13456[[#This Row],[Eq No]],[1]!Table3[[Eq.No.]:[FY23/34 Acq. Status]],17,FALSE)</f>
        <v>B30E(27000L)</v>
      </c>
      <c r="K138" s="2">
        <v>0</v>
      </c>
      <c r="L138" s="2">
        <v>0</v>
      </c>
      <c r="M138" s="2">
        <v>10451662.125020597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N3</vt:lpstr>
      <vt:lpstr>N2</vt:lpstr>
      <vt:lpstr>Gloria</vt:lpstr>
      <vt:lpstr>OPD</vt:lpstr>
      <vt:lpstr>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Karsten</dc:creator>
  <cp:lastModifiedBy>Gregory Karsten</cp:lastModifiedBy>
  <dcterms:created xsi:type="dcterms:W3CDTF">2025-10-08T06:27:32Z</dcterms:created>
  <dcterms:modified xsi:type="dcterms:W3CDTF">2025-10-08T07:28:52Z</dcterms:modified>
</cp:coreProperties>
</file>