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Z:\Users\ROELIEP\PROJECTS\BRMO PROJECTS\BRMO PROJECTS IN PROGRESS\Nch3 Battery Bay 2\Capital\Capital Application 13 Nov 2024\"/>
    </mc:Choice>
  </mc:AlternateContent>
  <xr:revisionPtr revIDLastSave="0" documentId="8_{35DC27CE-ACE5-4860-9567-E42AA509A20F}" xr6:coauthVersionLast="47" xr6:coauthVersionMax="47" xr10:uidLastSave="{00000000-0000-0000-0000-000000000000}"/>
  <bookViews>
    <workbookView xWindow="-108" yWindow="-108" windowWidth="23256" windowHeight="12456" tabRatio="793" firstSheet="1" activeTab="9" xr2:uid="{00000000-000D-0000-FFFF-FFFF00000000}"/>
  </bookViews>
  <sheets>
    <sheet name="Mining works capex" sheetId="17" state="hidden" r:id="rId1"/>
    <sheet name="Summary" sheetId="3" r:id="rId2"/>
    <sheet name="Consulting Design " sheetId="13" r:id="rId3"/>
    <sheet name="Cash flow" sheetId="7" state="hidden" r:id="rId4"/>
    <sheet name="Fee Estimate" sheetId="18" r:id="rId5"/>
    <sheet name="Mining works" sheetId="11" r:id="rId6"/>
    <sheet name="TSL" sheetId="4" r:id="rId7"/>
    <sheet name="Civil works" sheetId="14" r:id="rId8"/>
    <sheet name="Overhead crane" sheetId="6" r:id="rId9"/>
    <sheet name="Chargers &amp; Posts" sheetId="16" r:id="rId10"/>
    <sheet name="Transformers" sheetId="5" r:id="rId11"/>
    <sheet name="Cabling" sheetId="10" r:id="rId12"/>
    <sheet name="Equipment" sheetId="15" r:id="rId13"/>
    <sheet name="Project team" sheetId="9" r:id="rId14"/>
    <sheet name="Lubrication system" sheetId="12" r:id="rId15"/>
    <sheet name="Charging Bay" sheetId="1" state="hidden" r:id="rId16"/>
  </sheets>
  <externalReferences>
    <externalReference r:id="rId17"/>
    <externalReference r:id="rId18"/>
  </externalReferences>
  <definedNames>
    <definedName name="_b">#REF!</definedName>
    <definedName name="_bd1">#REF!</definedName>
    <definedName name="A">#REF!</definedName>
    <definedName name="d">#REF!</definedName>
    <definedName name="DB">#REF!</definedName>
    <definedName name="DK">#REF!</definedName>
    <definedName name="LB">#REF!</definedName>
    <definedName name="LC">#REF!</definedName>
    <definedName name="LE">#REF!</definedName>
    <definedName name="MM">#REF!</definedName>
    <definedName name="_xlnm.Print_Area" localSheetId="4">'Fee Estimate'!$A$1:$G$93</definedName>
    <definedName name="_xlnm.Print_Area" localSheetId="0">'Mining works capex'!$B$2:$G$21</definedName>
    <definedName name="_xlnm.Print_Area" localSheetId="1">Summary!$B$2:$G$30</definedName>
    <definedName name="_xlnm.Print_Area" localSheetId="6">TSL!$B$1:$I$14</definedName>
    <definedName name="Print_Area_MI">#REF!</definedName>
    <definedName name="q">#REF!</definedName>
    <definedName name="qa">#REF!</definedName>
    <definedName name="QQ">#REF!</definedName>
    <definedName name="stank">#REF!</definedName>
    <definedName name="SUM">#REF!</definedName>
    <definedName name="SummarySection4">#REF!</definedName>
    <definedName name="Z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3" l="1"/>
  <c r="A12" i="3"/>
  <c r="E10" i="16"/>
  <c r="E9" i="16"/>
  <c r="E12" i="10"/>
  <c r="E14" i="10" s="1"/>
  <c r="C15" i="3" s="1"/>
  <c r="E7" i="5"/>
  <c r="C14" i="3" s="1"/>
  <c r="E5" i="5"/>
  <c r="P76" i="18"/>
  <c r="O76" i="18"/>
  <c r="N76" i="18"/>
  <c r="M76" i="18"/>
  <c r="L76" i="18"/>
  <c r="E72" i="18"/>
  <c r="G72" i="18" s="1"/>
  <c r="G71" i="18"/>
  <c r="G70" i="18"/>
  <c r="E69" i="18"/>
  <c r="G69" i="18" s="1"/>
  <c r="G68" i="18" s="1"/>
  <c r="G60" i="18"/>
  <c r="G56" i="18"/>
  <c r="F45" i="18"/>
  <c r="G45" i="18" s="1"/>
  <c r="E43" i="18"/>
  <c r="G43" i="18" s="1"/>
  <c r="G41" i="18"/>
  <c r="G39" i="18"/>
  <c r="F37" i="18"/>
  <c r="F69" i="18" s="1"/>
  <c r="C33" i="18"/>
  <c r="C51" i="18" s="1"/>
  <c r="K24" i="18"/>
  <c r="K22" i="18"/>
  <c r="K20" i="18"/>
  <c r="K18" i="18"/>
  <c r="K16" i="18"/>
  <c r="K14" i="18"/>
  <c r="K12" i="18"/>
  <c r="K25" i="18" s="1"/>
  <c r="G1" i="18"/>
  <c r="J28" i="18" l="1"/>
  <c r="K28" i="18" s="1"/>
  <c r="K30" i="18"/>
  <c r="G37" i="18"/>
  <c r="F35" i="18"/>
  <c r="G35" i="18" s="1"/>
  <c r="F59" i="18" l="1"/>
  <c r="G63" i="18"/>
  <c r="G62" i="18" s="1"/>
  <c r="G47" i="18"/>
  <c r="G55" i="18"/>
  <c r="G54" i="18" s="1"/>
  <c r="G74" i="18" s="1"/>
  <c r="G66" i="18"/>
  <c r="G65" i="18" s="1"/>
  <c r="F55" i="18"/>
  <c r="F66" i="18"/>
  <c r="F63" i="18"/>
  <c r="G59" i="18"/>
  <c r="G58" i="18" s="1"/>
  <c r="I43" i="18"/>
  <c r="I47" i="18" s="1"/>
  <c r="K31" i="18"/>
  <c r="E5" i="13" l="1"/>
  <c r="G75" i="18"/>
  <c r="F5" i="14" l="1"/>
  <c r="F7" i="14" s="1"/>
  <c r="L6" i="14"/>
  <c r="F10" i="6" l="1"/>
  <c r="F9" i="6"/>
  <c r="F8" i="6"/>
  <c r="F7" i="6"/>
  <c r="F6" i="6"/>
  <c r="F5" i="6"/>
  <c r="F11" i="6" s="1"/>
  <c r="C12" i="3" s="1"/>
  <c r="E13" i="10"/>
  <c r="E8" i="16"/>
  <c r="E7" i="16"/>
  <c r="E6" i="16"/>
  <c r="E5" i="16"/>
  <c r="E9" i="10"/>
  <c r="E11" i="16" l="1"/>
  <c r="C13" i="3" s="1"/>
  <c r="C19" i="3" s="1"/>
  <c r="C24" i="3" s="1"/>
  <c r="E10" i="10"/>
  <c r="E6" i="10"/>
  <c r="E7" i="10"/>
  <c r="E8" i="10"/>
  <c r="E5" i="10"/>
  <c r="C25" i="3" l="1"/>
  <c r="C17" i="3"/>
  <c r="C9" i="3"/>
  <c r="C26" i="3" l="1"/>
  <c r="C27" i="3" s="1"/>
  <c r="C8" i="17"/>
  <c r="C28" i="3" l="1"/>
  <c r="C29" i="3" s="1"/>
  <c r="D6" i="12"/>
  <c r="C9" i="17" l="1"/>
  <c r="E8" i="4" l="1"/>
  <c r="F6" i="15"/>
  <c r="C16" i="3" s="1"/>
  <c r="I7" i="4" l="1"/>
  <c r="C10" i="17" l="1"/>
  <c r="C21" i="1"/>
  <c r="C15" i="17" l="1"/>
  <c r="G16" i="17"/>
  <c r="G14" i="17" s="1"/>
  <c r="E34" i="1"/>
  <c r="E33" i="1"/>
  <c r="C32" i="1"/>
  <c r="E32" i="1" s="1"/>
  <c r="C31" i="1"/>
  <c r="E31" i="1" s="1"/>
  <c r="E30" i="1"/>
  <c r="E27" i="1" s="1"/>
  <c r="E29" i="1"/>
  <c r="E28" i="1"/>
  <c r="E26" i="1"/>
  <c r="E25" i="1"/>
  <c r="E24" i="1"/>
  <c r="C22" i="1"/>
  <c r="E22" i="1" s="1"/>
  <c r="E21" i="1"/>
  <c r="C16" i="17" l="1"/>
  <c r="C17" i="17" s="1"/>
  <c r="E23" i="1"/>
  <c r="C18" i="17" l="1"/>
  <c r="C19" i="17" s="1"/>
  <c r="C20" i="17" s="1"/>
  <c r="G17" i="17"/>
  <c r="F17" i="17"/>
  <c r="H17" i="17"/>
  <c r="G15" i="17"/>
  <c r="E20" i="1"/>
  <c r="C12" i="1" l="1"/>
  <c r="G9" i="7"/>
  <c r="C13" i="1" l="1"/>
  <c r="E13" i="1" s="1"/>
  <c r="N5" i="7"/>
  <c r="G10" i="7" l="1"/>
  <c r="I6" i="4"/>
  <c r="I8" i="4" s="1"/>
  <c r="D7" i="4" l="1"/>
  <c r="E7" i="4" s="1"/>
  <c r="E6" i="4" s="1"/>
  <c r="C10" i="3" s="1"/>
  <c r="E9" i="1" l="1"/>
  <c r="B16" i="3"/>
  <c r="B12" i="3"/>
  <c r="B15" i="3"/>
  <c r="B10" i="3"/>
  <c r="E15" i="1"/>
  <c r="E14" i="1"/>
  <c r="E12" i="1"/>
  <c r="E11" i="1"/>
  <c r="E10" i="1"/>
  <c r="C5" i="1" l="1"/>
  <c r="E5" i="1" s="1"/>
  <c r="N11" i="7"/>
  <c r="N12" i="7"/>
  <c r="L8" i="7"/>
  <c r="L13" i="7" s="1"/>
  <c r="N8" i="7"/>
  <c r="G8" i="7"/>
  <c r="G13" i="7" s="1"/>
  <c r="H8" i="7"/>
  <c r="M8" i="7"/>
  <c r="M13" i="7" s="1"/>
  <c r="F8" i="7"/>
  <c r="I8" i="7"/>
  <c r="I13" i="7" s="1"/>
  <c r="J8" i="7"/>
  <c r="J13" i="7" s="1"/>
  <c r="K8" i="7"/>
  <c r="K13" i="7" s="1"/>
  <c r="E8" i="1"/>
  <c r="N13" i="7" l="1"/>
  <c r="E4" i="1"/>
  <c r="F6" i="7"/>
  <c r="F13" i="7" s="1"/>
  <c r="H7" i="7"/>
  <c r="H13" i="7"/>
  <c r="G25" i="3"/>
  <c r="G23" i="3" s="1"/>
  <c r="B19" i="7" l="1"/>
  <c r="G26" i="3" l="1"/>
  <c r="H26" i="3"/>
  <c r="G24" i="3"/>
  <c r="F26" i="3"/>
  <c r="O13" i="7"/>
  <c r="C1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civilsoft.co</author>
  </authors>
  <commentList>
    <comment ref="A1" authorId="0" shapeId="0" xr:uid="{0A6C1C8F-32DE-4024-8F75-52CA07E20355}">
      <text>
        <r>
          <rPr>
            <sz val="9"/>
            <rFont val="Tahoma"/>
          </rPr>
          <t>Item¦Payment¦Description¦Unit¦Qty¦Rate¦Amount§1¦Nchwaning 3 Underground Charging Bay No. 2§1¦Nchwaning 3 Underground Charging Bay No. 2§BILL NO 1 : PRELIMINARY AND GENERAL - FIXED CHARGE ITEMS¦BILL NO 2 : PRELIMINARY AND GENERAL - TIME RELATED ITEMS¦BILL NO 3 : UNDERGROUND CHARGING BAY¦BILL NO 4 : UNDERGROUND STORE / OFFICE¦BILL NO 5 : UNDERGROUND STORE / TEAROOM</t>
        </r>
      </text>
    </comment>
  </commentList>
</comments>
</file>

<file path=xl/sharedStrings.xml><?xml version="1.0" encoding="utf-8"?>
<sst xmlns="http://schemas.openxmlformats.org/spreadsheetml/2006/main" count="367" uniqueCount="216">
  <si>
    <t>Total</t>
  </si>
  <si>
    <t>Unit cost</t>
  </si>
  <si>
    <t>Units</t>
  </si>
  <si>
    <t>Cost</t>
  </si>
  <si>
    <t>Notes</t>
  </si>
  <si>
    <t>Charging Bay</t>
  </si>
  <si>
    <t>TSL - Fibrecrete</t>
  </si>
  <si>
    <t>Pillars</t>
  </si>
  <si>
    <t>Finishing</t>
  </si>
  <si>
    <t>Civil Works</t>
  </si>
  <si>
    <t>Overhead crane</t>
  </si>
  <si>
    <t>Verlinde</t>
  </si>
  <si>
    <t>Cabling</t>
  </si>
  <si>
    <t>Equipping</t>
  </si>
  <si>
    <t>Capital Cost Summary</t>
  </si>
  <si>
    <t>CAPEX</t>
  </si>
  <si>
    <t>Value</t>
  </si>
  <si>
    <t>Project Capital</t>
  </si>
  <si>
    <t>Escalation</t>
  </si>
  <si>
    <t>Contingency</t>
  </si>
  <si>
    <t>Total cost</t>
  </si>
  <si>
    <t>Fees</t>
  </si>
  <si>
    <t xml:space="preserve">Total vote </t>
  </si>
  <si>
    <t>Tea room &amp; office</t>
  </si>
  <si>
    <t>P&amp;G's</t>
  </si>
  <si>
    <t>Capital Cost Breakdown</t>
  </si>
  <si>
    <t>Cubes</t>
  </si>
  <si>
    <t>Hanging Wall</t>
  </si>
  <si>
    <t>Allowing for all cabling</t>
  </si>
  <si>
    <t>Transformers</t>
  </si>
  <si>
    <t>Main Charging transformer</t>
  </si>
  <si>
    <t>Design</t>
  </si>
  <si>
    <t>Area preparation Works</t>
  </si>
  <si>
    <t>Stabilis</t>
  </si>
  <si>
    <t>Tau Mining</t>
  </si>
  <si>
    <t xml:space="preserve">SMS </t>
  </si>
  <si>
    <t>2 x Overhead Cranes</t>
  </si>
  <si>
    <t>Special tools &amp; equipment</t>
  </si>
  <si>
    <t>Civil Contractor</t>
  </si>
  <si>
    <t>Overhead cranes</t>
  </si>
  <si>
    <t>Civils &amp; Steelwork</t>
  </si>
  <si>
    <t xml:space="preserve">Cashflow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</si>
  <si>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</si>
  <si>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</si>
  <si>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</si>
  <si>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</si>
  <si>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</si>
  <si>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</si>
  <si>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</si>
  <si>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</si>
  <si>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</si>
  <si>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</si>
  <si>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</si>
  <si>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</si>
  <si>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</t>
  </si>
  <si>
    <t>Summary</t>
  </si>
  <si>
    <t>20/21</t>
  </si>
  <si>
    <t>21/22</t>
  </si>
  <si>
    <t>Revision</t>
  </si>
  <si>
    <t>Supply &amp; Install Wiremesh</t>
  </si>
  <si>
    <t>Supply &amp; Install 10m Trusses</t>
  </si>
  <si>
    <t xml:space="preserve">Project team(7,5%) </t>
  </si>
  <si>
    <t>BRMO project team</t>
  </si>
  <si>
    <t>Black Rock Project team cost</t>
  </si>
  <si>
    <t>Mining team - Slyping works, load-out</t>
  </si>
  <si>
    <r>
      <t xml:space="preserve">Fibercrete all pillars &amp; hanging wall, </t>
    </r>
    <r>
      <rPr>
        <b/>
        <sz val="11"/>
        <color theme="1"/>
        <rFont val="Calibri"/>
        <family val="2"/>
        <scheme val="minor"/>
      </rPr>
      <t>Strap pillars</t>
    </r>
  </si>
  <si>
    <r>
      <t xml:space="preserve">2 x Main Transformers, 1 x Portable transformer, </t>
    </r>
    <r>
      <rPr>
        <b/>
        <sz val="11"/>
        <color theme="1"/>
        <rFont val="Calibri"/>
        <family val="2"/>
        <scheme val="minor"/>
      </rPr>
      <t>Trailer</t>
    </r>
  </si>
  <si>
    <t>UTP</t>
  </si>
  <si>
    <t>1,5mm multicore</t>
  </si>
  <si>
    <t>25mm Earth</t>
  </si>
  <si>
    <t>HT - 35mm XLPE</t>
  </si>
  <si>
    <t>Rates as per SLA</t>
  </si>
  <si>
    <t>See Cabling tab</t>
  </si>
  <si>
    <t>Labour</t>
  </si>
  <si>
    <t>Machine cost</t>
  </si>
  <si>
    <t>total sq to TSL</t>
  </si>
  <si>
    <t>8x8 squares (roof)</t>
  </si>
  <si>
    <t>TSL</t>
  </si>
  <si>
    <t>Mining works</t>
  </si>
  <si>
    <t>Civil works</t>
  </si>
  <si>
    <t>Lubrication system</t>
  </si>
  <si>
    <t>Crane price</t>
  </si>
  <si>
    <t>Lubrication system for hydraulic oil &amp; lubes</t>
  </si>
  <si>
    <t>Tools</t>
  </si>
  <si>
    <t>Special tools</t>
  </si>
  <si>
    <t>Strapping</t>
  </si>
  <si>
    <t>Project consulting engineering team</t>
  </si>
  <si>
    <t>Epiroc</t>
  </si>
  <si>
    <t>Charger</t>
  </si>
  <si>
    <t>Post</t>
  </si>
  <si>
    <t>Chargers &amp; Posts</t>
  </si>
  <si>
    <t>`</t>
  </si>
  <si>
    <t>Design &amp; consulting for start-up</t>
  </si>
  <si>
    <t>Complete unit</t>
  </si>
  <si>
    <t>Design &amp; build</t>
  </si>
  <si>
    <t>Charging</t>
  </si>
  <si>
    <t>Project team</t>
  </si>
  <si>
    <t xml:space="preserve">Project </t>
  </si>
  <si>
    <t>Description</t>
  </si>
  <si>
    <t>Fire Supression</t>
  </si>
  <si>
    <t>All Civil &amp; Structural works &amp; Manitou rental</t>
  </si>
  <si>
    <t>Supplier</t>
  </si>
  <si>
    <t>Stock</t>
  </si>
  <si>
    <t>Aberdare</t>
  </si>
  <si>
    <t>35mm 4 core DC cable</t>
  </si>
  <si>
    <t>Interconnect Systems</t>
  </si>
  <si>
    <t>Cost/unit</t>
  </si>
  <si>
    <t>70mm 4 core</t>
  </si>
  <si>
    <t>Length m</t>
  </si>
  <si>
    <t>Cable</t>
  </si>
  <si>
    <t>Stock no</t>
  </si>
  <si>
    <t>LED Lights</t>
  </si>
  <si>
    <t>84000000280079</t>
  </si>
  <si>
    <t>BRANCH/PLANT</t>
  </si>
  <si>
    <t>CREDITOR NAME</t>
  </si>
  <si>
    <t>ORD TP</t>
  </si>
  <si>
    <t>ORD NO</t>
  </si>
  <si>
    <t>ITEM CODE</t>
  </si>
  <si>
    <t>PURCHASE DESCRIPTION</t>
  </si>
  <si>
    <t>UNIT COST</t>
  </si>
  <si>
    <t>MAIN STORE</t>
  </si>
  <si>
    <t>VOLTEX (PTY) LTD</t>
  </si>
  <si>
    <t>#O3</t>
  </si>
  <si>
    <t>23000782</t>
  </si>
  <si>
    <r>
      <t xml:space="preserve">Light Strip LED Alpha </t>
    </r>
    <r>
      <rPr>
        <b/>
        <sz val="8"/>
        <color indexed="10"/>
        <rFont val="Tahoma"/>
        <family val="2"/>
      </rPr>
      <t>10m</t>
    </r>
    <r>
      <rPr>
        <sz val="8"/>
        <color indexed="8"/>
        <rFont val="Tahoma"/>
      </rPr>
      <t xml:space="preserve"> 230v </t>
    </r>
  </si>
  <si>
    <t>Spot Lights</t>
  </si>
  <si>
    <t>Spot Lights+G18:R19</t>
  </si>
  <si>
    <t>Voltex</t>
  </si>
  <si>
    <t>Electrical</t>
  </si>
  <si>
    <t>Delivery</t>
  </si>
  <si>
    <t>Installation</t>
  </si>
  <si>
    <t>Bridge</t>
  </si>
  <si>
    <t>Remote</t>
  </si>
  <si>
    <t>Consulting Design</t>
  </si>
  <si>
    <t>Budget</t>
  </si>
  <si>
    <t>Current Budget</t>
  </si>
  <si>
    <t>Construction</t>
  </si>
  <si>
    <t>Construction Cost</t>
  </si>
  <si>
    <t>Consulting Fees-Construction</t>
  </si>
  <si>
    <t>Owners team cost (7,5%)</t>
  </si>
  <si>
    <t>Rate=G</t>
  </si>
  <si>
    <t>PROJECT: NCHWANING 3 UNDERGROUND CHARGING BAY NO 2</t>
  </si>
  <si>
    <t>SUMMARY: REVISED ADDITIONAL FEES</t>
  </si>
  <si>
    <t xml:space="preserve">Unit </t>
  </si>
  <si>
    <t>Qty</t>
  </si>
  <si>
    <t>Rate</t>
  </si>
  <si>
    <t>Amount</t>
  </si>
  <si>
    <t>Determination of Construction value for Fee purposes.</t>
  </si>
  <si>
    <t>&lt;NewDataSet&gt;·  &lt;xs:schema id="NewDataSet" xmlns="" xmlns:xs="http://www.w3.org/2001/XMLSchema" xmlns:msdata="urn:schemas-microsoft-com:xml-msdata"&gt;·    &lt;xs:element name="NewDataSet" msdata:IsDataSet="true" msdata:MainDataTable="SummaryItems" msdata:UseCurrentLocale="true"&gt;·      &lt;xs:complexType&gt;·        &lt;xs:choice minOccurs="0" maxOccurs="unbounded"&gt;·          &lt;xs:element name="SummaryItems"&gt;·            &lt;xs:complexType&gt;·              &lt;xs:sequence&gt;·                &lt;xs:element name="ContractNo" type="xs:short" minOccurs="0" /&gt;·                &lt;xs:element name="ScheduleNo" type="xs:short" minOccurs="0" /&gt;·                &lt;xs:element name="SortNo" type="xs:short" minOccurs="0" /&gt;·                &lt;xs:element name="Item" type="xs:string" minOccurs="0" /&gt;·                &lt;xs:element name="SubTotalText" type="xs:string" minOccurs="0" /&gt;·                &lt;xs:element name="Description" type="xs:string" minOccurs="0" /&gt;·                &lt;xs:element name="CalcType" type="xs:string" minOccurs="0" /&gt;·                &lt;xs:element name="CalcValue" type="xs:double" minOccurs="0" /&gt;·                &lt;xs:element name="UseFirstSubTotal" type="xs:boolean" minOccurs="0" /&gt;·                &lt;xs:element name="ExclFromWorks" type="xs:boolean" minOccurs="0" /&gt;·                &lt;xs:element name="ExclFromProjected" type="xs:boolean" minOccurs="0" /&gt;·              &lt;/xs:sequence&gt;·            &lt;/xs:complexType&gt;·          &lt;/xs:element&gt;·        &lt;/xs:choice&gt;·      &lt;/xs:complexType&gt;·    &lt;/xs:element&gt;·  &lt;/xs:schema&gt;·  &lt;SummaryItems&gt;·    &lt;ContractNo&gt;1&lt;/ContractNo&gt;·    &lt;ScheduleNo&gt;1&lt;/ScheduleNo&gt;·    &lt;SortNo&gt;1&lt;/SortNo&gt;·    &lt;Description&gt;Add 15% VAT&lt;/Description&gt;·    &lt;CalcType&gt;%&lt;/CalcType&gt;·    &lt;CalcValue&gt;15&lt;/CalcValue&gt;·    &lt;UseFirstSubTotal&gt;false&lt;/UseFirstSubTotal&gt;·    &lt;ExclFromWorks&gt;false&lt;/ExclFromWorks&gt;·    &lt;ExclFromProjected&gt;false&lt;/ExclFromProjected&gt;·  &lt;/SummaryItems&gt;·&lt;/NewDataSet&gt;</t>
  </si>
  <si>
    <t>Provisional sums and Cranes</t>
  </si>
  <si>
    <t>2.24</t>
  </si>
  <si>
    <t>Provisional sum for Engineer</t>
  </si>
  <si>
    <t>Sum</t>
  </si>
  <si>
    <t>3.17.1</t>
  </si>
  <si>
    <t>Provisional sum for Storage tanks</t>
  </si>
  <si>
    <t>3.18.1</t>
  </si>
  <si>
    <t>Provisional sum for Flowbins</t>
  </si>
  <si>
    <t>3.19.1</t>
  </si>
  <si>
    <t>Provisional sum for Oil separator</t>
  </si>
  <si>
    <t>3.20.1</t>
  </si>
  <si>
    <t>Provisional sum for Compressor</t>
  </si>
  <si>
    <t>4.5.1</t>
  </si>
  <si>
    <t>Provisional sum for Racks</t>
  </si>
  <si>
    <t>5.5.1</t>
  </si>
  <si>
    <t>3 x Cranes (Mine supply)</t>
  </si>
  <si>
    <t>No</t>
  </si>
  <si>
    <t>25% on Prov sums &amp; Cranes</t>
  </si>
  <si>
    <t>TOTAL (EXCLUDING VAT) &amp; Provisional sums</t>
  </si>
  <si>
    <t>Construction Value according to latest tender evaluation amount -</t>
  </si>
  <si>
    <t>Fee Engineering: R 1,857,000 + 9,5% (Construction Value - R19,066,000) =</t>
  </si>
  <si>
    <t>Fee</t>
  </si>
  <si>
    <t>Clerk of Works</t>
  </si>
  <si>
    <t>Months</t>
  </si>
  <si>
    <t>Trips</t>
  </si>
  <si>
    <t>Off-site quality inspection</t>
  </si>
  <si>
    <t xml:space="preserve">Site Surveys </t>
  </si>
  <si>
    <t>Deduct Current Fee for Pre-works (Stage 1 and 2)</t>
  </si>
  <si>
    <t>TOTAL ESTIMATED FEE (EXCL. VAT):</t>
  </si>
  <si>
    <t>FEE BREAKDOWN: PROPOSED REVISED ADDITIONAL FEE PER STAGE:</t>
  </si>
  <si>
    <t>Construction Value according to oriinal fee estimate -</t>
  </si>
  <si>
    <t>Stage 1: Design</t>
  </si>
  <si>
    <t>Cost range</t>
  </si>
  <si>
    <t>Engineering Project</t>
  </si>
  <si>
    <t>Engineer</t>
  </si>
  <si>
    <t>%</t>
  </si>
  <si>
    <t>Exceeds</t>
  </si>
  <si>
    <t>But does not exceed</t>
  </si>
  <si>
    <t>Civil work</t>
  </si>
  <si>
    <t>Structural work</t>
  </si>
  <si>
    <t>Mechanical work</t>
  </si>
  <si>
    <t>Electrical work</t>
  </si>
  <si>
    <t>Electronical work</t>
  </si>
  <si>
    <t>Deduct: Existing Fee</t>
  </si>
  <si>
    <t>(Table 1)</t>
  </si>
  <si>
    <t>(Table 2)</t>
  </si>
  <si>
    <t>(Table 5)</t>
  </si>
  <si>
    <t>(Table 6)</t>
  </si>
  <si>
    <t>(Table 9)</t>
  </si>
  <si>
    <t>Stage 2: Procurement</t>
  </si>
  <si>
    <t>Primary</t>
  </si>
  <si>
    <t>Secondary</t>
  </si>
  <si>
    <t>Stage 3: Construction Management</t>
  </si>
  <si>
    <t>Stage 4: Close-out</t>
  </si>
  <si>
    <t>Disbursements and other:</t>
  </si>
  <si>
    <t>Stage</t>
  </si>
  <si>
    <t>Phase 1: Inception</t>
  </si>
  <si>
    <t>Phase 2: Preliminary Design - Concept and Viability</t>
  </si>
  <si>
    <t>Phase 3: Design Development</t>
  </si>
  <si>
    <t>Phase 4:  Documentation and Procurement</t>
  </si>
  <si>
    <t>Phase 5:  Construct Administration and Inspection</t>
  </si>
  <si>
    <t>ROUNDED</t>
  </si>
  <si>
    <t>Phase 6:  Close-out</t>
  </si>
  <si>
    <r>
      <t xml:space="preserve">EXISTING ORDER </t>
    </r>
    <r>
      <rPr>
        <sz val="10"/>
        <rFont val="Arial"/>
        <family val="2"/>
      </rPr>
      <t>(Based on estimated construction value of R 26,809,605,00:</t>
    </r>
  </si>
  <si>
    <t>Auto Vent Doors</t>
  </si>
  <si>
    <t>Vent door equip and fans</t>
  </si>
  <si>
    <t>Chargers &amp; Posts, Auto vent 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</si>
</sst>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R&quot;* #,##0.00_-;\-&quot;R&quot;* #,##0.00_-;_-&quot;R&quot;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&quot;R&quot;\ #,##0"/>
    <numFmt numFmtId="167" formatCode="_-* #,##0_-;\-* #,##0_-;_-* &quot;-&quot;??_-;_-@_-"/>
    <numFmt numFmtId="168" formatCode="&quot;R&quot;#,##0"/>
    <numFmt numFmtId="169" formatCode="yyyy\/mm\/dd"/>
    <numFmt numFmtId="170" formatCode="_(* #,##0.00_);_(* \(#,##0.00\);_(* &quot;-&quot;??_);_(@_)"/>
    <numFmt numFmtId="171" formatCode="_-[$R-1C09]* #,##0.00_-;\-[$R-1C09]* #,##0.00_-;_-[$R-1C09]* &quot;-&quot;??_-;_-@_-"/>
    <numFmt numFmtId="172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8"/>
      <color indexed="8"/>
      <name val="Tahoma"/>
    </font>
    <font>
      <sz val="8"/>
      <color indexed="8"/>
      <name val="Tahoma"/>
    </font>
    <font>
      <b/>
      <sz val="8"/>
      <color indexed="10"/>
      <name val="Tahoma"/>
      <family val="2"/>
    </font>
    <font>
      <sz val="8"/>
      <color indexed="8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9"/>
      <name val="Tahoma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4" fillId="0" borderId="0"/>
    <xf numFmtId="170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36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0" borderId="7" xfId="0" applyBorder="1"/>
    <xf numFmtId="0" fontId="4" fillId="0" borderId="2" xfId="0" applyFont="1" applyBorder="1" applyAlignment="1">
      <alignment horizontal="center"/>
    </xf>
    <xf numFmtId="0" fontId="0" fillId="0" borderId="3" xfId="0" applyBorder="1"/>
    <xf numFmtId="0" fontId="4" fillId="0" borderId="0" xfId="0" applyFont="1" applyAlignment="1">
      <alignment horizontal="center"/>
    </xf>
    <xf numFmtId="0" fontId="0" fillId="0" borderId="10" xfId="0" applyBorder="1"/>
    <xf numFmtId="0" fontId="0" fillId="0" borderId="9" xfId="0" applyBorder="1"/>
    <xf numFmtId="0" fontId="2" fillId="3" borderId="13" xfId="0" applyFont="1" applyFill="1" applyBorder="1"/>
    <xf numFmtId="0" fontId="2" fillId="3" borderId="14" xfId="0" applyFont="1" applyFill="1" applyBorder="1" applyAlignment="1">
      <alignment horizontal="center"/>
    </xf>
    <xf numFmtId="165" fontId="0" fillId="0" borderId="12" xfId="1" applyNumberFormat="1" applyFont="1" applyBorder="1"/>
    <xf numFmtId="165" fontId="0" fillId="0" borderId="14" xfId="1" applyNumberFormat="1" applyFont="1" applyBorder="1"/>
    <xf numFmtId="165" fontId="0" fillId="0" borderId="14" xfId="1" applyNumberFormat="1" applyFont="1" applyFill="1" applyBorder="1"/>
    <xf numFmtId="0" fontId="0" fillId="0" borderId="11" xfId="0" applyBorder="1"/>
    <xf numFmtId="0" fontId="0" fillId="0" borderId="8" xfId="0" applyBorder="1"/>
    <xf numFmtId="0" fontId="5" fillId="0" borderId="6" xfId="0" applyFont="1" applyBorder="1"/>
    <xf numFmtId="0" fontId="2" fillId="3" borderId="16" xfId="0" applyFont="1" applyFill="1" applyBorder="1"/>
    <xf numFmtId="0" fontId="2" fillId="3" borderId="20" xfId="0" applyFont="1" applyFill="1" applyBorder="1"/>
    <xf numFmtId="0" fontId="2" fillId="3" borderId="23" xfId="0" applyFont="1" applyFill="1" applyBorder="1" applyAlignment="1">
      <alignment horizontal="center" vertical="center"/>
    </xf>
    <xf numFmtId="165" fontId="0" fillId="0" borderId="23" xfId="1" applyNumberFormat="1" applyFont="1" applyFill="1" applyBorder="1"/>
    <xf numFmtId="0" fontId="0" fillId="0" borderId="12" xfId="0" applyBorder="1"/>
    <xf numFmtId="0" fontId="3" fillId="2" borderId="13" xfId="0" applyFont="1" applyFill="1" applyBorder="1" applyAlignment="1">
      <alignment horizontal="left" indent="2"/>
    </xf>
    <xf numFmtId="165" fontId="1" fillId="0" borderId="23" xfId="1" applyNumberFormat="1" applyFont="1" applyFill="1" applyBorder="1"/>
    <xf numFmtId="165" fontId="0" fillId="0" borderId="24" xfId="1" applyNumberFormat="1" applyFont="1" applyBorder="1"/>
    <xf numFmtId="0" fontId="0" fillId="0" borderId="24" xfId="0" applyBorder="1"/>
    <xf numFmtId="166" fontId="0" fillId="0" borderId="23" xfId="1" applyNumberFormat="1" applyFont="1" applyBorder="1"/>
    <xf numFmtId="166" fontId="2" fillId="0" borderId="17" xfId="1" applyNumberFormat="1" applyFont="1" applyBorder="1"/>
    <xf numFmtId="166" fontId="2" fillId="0" borderId="18" xfId="1" applyNumberFormat="1" applyFont="1" applyBorder="1"/>
    <xf numFmtId="166" fontId="2" fillId="0" borderId="19" xfId="1" applyNumberFormat="1" applyFont="1" applyBorder="1"/>
    <xf numFmtId="166" fontId="2" fillId="0" borderId="21" xfId="1" applyNumberFormat="1" applyFont="1" applyBorder="1"/>
    <xf numFmtId="1" fontId="0" fillId="0" borderId="0" xfId="0" applyNumberFormat="1"/>
    <xf numFmtId="165" fontId="0" fillId="0" borderId="10" xfId="1" applyNumberFormat="1" applyFont="1" applyBorder="1"/>
    <xf numFmtId="165" fontId="0" fillId="0" borderId="19" xfId="1" applyNumberFormat="1" applyFont="1" applyFill="1" applyBorder="1"/>
    <xf numFmtId="165" fontId="1" fillId="0" borderId="19" xfId="1" applyNumberFormat="1" applyFont="1" applyFill="1" applyBorder="1"/>
    <xf numFmtId="166" fontId="2" fillId="0" borderId="6" xfId="1" applyNumberFormat="1" applyFont="1" applyBorder="1"/>
    <xf numFmtId="166" fontId="2" fillId="0" borderId="26" xfId="1" applyNumberFormat="1" applyFont="1" applyFill="1" applyBorder="1"/>
    <xf numFmtId="166" fontId="2" fillId="0" borderId="21" xfId="1" applyNumberFormat="1" applyFont="1" applyFill="1" applyBorder="1"/>
    <xf numFmtId="166" fontId="2" fillId="0" borderId="25" xfId="1" applyNumberFormat="1" applyFont="1" applyBorder="1"/>
    <xf numFmtId="166" fontId="2" fillId="0" borderId="26" xfId="1" applyNumberFormat="1" applyFont="1" applyBorder="1"/>
    <xf numFmtId="0" fontId="2" fillId="2" borderId="4" xfId="0" applyFont="1" applyFill="1" applyBorder="1"/>
    <xf numFmtId="166" fontId="2" fillId="0" borderId="8" xfId="1" applyNumberFormat="1" applyFont="1" applyBorder="1"/>
    <xf numFmtId="0" fontId="0" fillId="0" borderId="5" xfId="0" applyBorder="1"/>
    <xf numFmtId="0" fontId="2" fillId="2" borderId="13" xfId="0" applyFont="1" applyFill="1" applyBorder="1" applyAlignment="1">
      <alignment horizontal="left"/>
    </xf>
    <xf numFmtId="165" fontId="2" fillId="0" borderId="28" xfId="1" applyNumberFormat="1" applyFont="1" applyBorder="1"/>
    <xf numFmtId="0" fontId="2" fillId="2" borderId="29" xfId="0" applyFont="1" applyFill="1" applyBorder="1"/>
    <xf numFmtId="0" fontId="0" fillId="0" borderId="30" xfId="0" applyBorder="1"/>
    <xf numFmtId="0" fontId="2" fillId="3" borderId="31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/>
    </xf>
    <xf numFmtId="0" fontId="0" fillId="0" borderId="2" xfId="0" applyBorder="1"/>
    <xf numFmtId="0" fontId="0" fillId="0" borderId="32" xfId="0" applyBorder="1"/>
    <xf numFmtId="9" fontId="0" fillId="0" borderId="32" xfId="0" applyNumberFormat="1" applyBorder="1"/>
    <xf numFmtId="0" fontId="0" fillId="0" borderId="33" xfId="0" applyBorder="1"/>
    <xf numFmtId="9" fontId="0" fillId="0" borderId="33" xfId="0" applyNumberFormat="1" applyBorder="1"/>
    <xf numFmtId="0" fontId="0" fillId="0" borderId="34" xfId="0" applyBorder="1"/>
    <xf numFmtId="166" fontId="0" fillId="0" borderId="0" xfId="0" applyNumberFormat="1"/>
    <xf numFmtId="165" fontId="0" fillId="0" borderId="35" xfId="1" applyNumberFormat="1" applyFont="1" applyBorder="1"/>
    <xf numFmtId="166" fontId="2" fillId="0" borderId="8" xfId="1" applyNumberFormat="1" applyFont="1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2" fillId="2" borderId="36" xfId="0" applyFont="1" applyFill="1" applyBorder="1" applyAlignment="1">
      <alignment horizontal="left"/>
    </xf>
    <xf numFmtId="0" fontId="0" fillId="0" borderId="37" xfId="0" applyBorder="1"/>
    <xf numFmtId="0" fontId="0" fillId="0" borderId="38" xfId="0" applyBorder="1"/>
    <xf numFmtId="0" fontId="2" fillId="2" borderId="20" xfId="0" applyFont="1" applyFill="1" applyBorder="1" applyAlignment="1">
      <alignment horizontal="left"/>
    </xf>
    <xf numFmtId="164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12" xfId="0" applyFill="1" applyBorder="1"/>
    <xf numFmtId="0" fontId="0" fillId="7" borderId="12" xfId="0" applyFill="1" applyBorder="1"/>
    <xf numFmtId="165" fontId="0" fillId="7" borderId="12" xfId="1" applyNumberFormat="1" applyFont="1" applyFill="1" applyBorder="1"/>
    <xf numFmtId="164" fontId="0" fillId="0" borderId="15" xfId="1" applyFont="1" applyBorder="1"/>
    <xf numFmtId="1" fontId="6" fillId="0" borderId="0" xfId="1" applyNumberFormat="1" applyFont="1" applyAlignment="1">
      <alignment horizontal="left"/>
    </xf>
    <xf numFmtId="9" fontId="0" fillId="0" borderId="0" xfId="2" applyFont="1"/>
    <xf numFmtId="0" fontId="5" fillId="0" borderId="0" xfId="0" applyFont="1"/>
    <xf numFmtId="0" fontId="0" fillId="2" borderId="20" xfId="0" applyFill="1" applyBorder="1"/>
    <xf numFmtId="0" fontId="0" fillId="0" borderId="1" xfId="0" applyBorder="1"/>
    <xf numFmtId="0" fontId="2" fillId="3" borderId="39" xfId="0" applyFont="1" applyFill="1" applyBorder="1" applyAlignment="1">
      <alignment horizontal="center" vertical="center"/>
    </xf>
    <xf numFmtId="166" fontId="0" fillId="0" borderId="40" xfId="1" applyNumberFormat="1" applyFont="1" applyBorder="1"/>
    <xf numFmtId="165" fontId="0" fillId="0" borderId="40" xfId="1" applyNumberFormat="1" applyFont="1" applyBorder="1"/>
    <xf numFmtId="0" fontId="7" fillId="0" borderId="0" xfId="3"/>
    <xf numFmtId="0" fontId="3" fillId="0" borderId="0" xfId="0" applyFont="1"/>
    <xf numFmtId="0" fontId="0" fillId="0" borderId="15" xfId="0" applyBorder="1"/>
    <xf numFmtId="165" fontId="0" fillId="0" borderId="41" xfId="1" applyNumberFormat="1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1" xfId="0" applyFont="1" applyFill="1" applyBorder="1"/>
    <xf numFmtId="43" fontId="0" fillId="0" borderId="0" xfId="0" applyNumberFormat="1"/>
    <xf numFmtId="165" fontId="2" fillId="0" borderId="10" xfId="1" applyNumberFormat="1" applyFont="1" applyBorder="1"/>
    <xf numFmtId="0" fontId="3" fillId="2" borderId="12" xfId="0" applyFont="1" applyFill="1" applyBorder="1" applyAlignment="1">
      <alignment horizontal="left" indent="2"/>
    </xf>
    <xf numFmtId="0" fontId="2" fillId="2" borderId="12" xfId="0" applyFont="1" applyFill="1" applyBorder="1" applyAlignment="1">
      <alignment horizontal="left" indent="1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3" borderId="3" xfId="0" applyFont="1" applyFill="1" applyBorder="1" applyAlignment="1">
      <alignment horizontal="center"/>
    </xf>
    <xf numFmtId="0" fontId="0" fillId="0" borderId="14" xfId="0" applyBorder="1"/>
    <xf numFmtId="9" fontId="0" fillId="0" borderId="14" xfId="0" applyNumberFormat="1" applyBorder="1"/>
    <xf numFmtId="0" fontId="0" fillId="0" borderId="40" xfId="0" applyBorder="1"/>
    <xf numFmtId="1" fontId="6" fillId="0" borderId="1" xfId="1" applyNumberFormat="1" applyFont="1" applyBorder="1" applyAlignment="1">
      <alignment horizontal="left"/>
    </xf>
    <xf numFmtId="166" fontId="0" fillId="0" borderId="41" xfId="1" applyNumberFormat="1" applyFont="1" applyBorder="1"/>
    <xf numFmtId="165" fontId="0" fillId="0" borderId="41" xfId="1" applyNumberFormat="1" applyFont="1" applyBorder="1"/>
    <xf numFmtId="0" fontId="0" fillId="2" borderId="42" xfId="0" applyFill="1" applyBorder="1"/>
    <xf numFmtId="166" fontId="0" fillId="0" borderId="41" xfId="1" applyNumberFormat="1" applyFont="1" applyFill="1" applyBorder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0" fillId="10" borderId="0" xfId="0" applyFill="1" applyAlignment="1">
      <alignment horizontal="left"/>
    </xf>
    <xf numFmtId="166" fontId="0" fillId="4" borderId="10" xfId="0" applyNumberFormat="1" applyFill="1" applyBorder="1" applyAlignment="1">
      <alignment horizontal="right" vertical="center"/>
    </xf>
    <xf numFmtId="166" fontId="0" fillId="9" borderId="10" xfId="0" applyNumberFormat="1" applyFill="1" applyBorder="1" applyAlignment="1">
      <alignment horizontal="right" vertical="center" wrapText="1"/>
    </xf>
    <xf numFmtId="0" fontId="2" fillId="0" borderId="0" xfId="0" applyFont="1"/>
    <xf numFmtId="167" fontId="0" fillId="0" borderId="0" xfId="0" applyNumberFormat="1"/>
    <xf numFmtId="167" fontId="8" fillId="0" borderId="0" xfId="1" applyNumberFormat="1" applyFont="1" applyFill="1" applyBorder="1"/>
    <xf numFmtId="167" fontId="0" fillId="0" borderId="0" xfId="1" applyNumberFormat="1" applyFont="1" applyFill="1" applyBorder="1"/>
    <xf numFmtId="168" fontId="0" fillId="0" borderId="0" xfId="0" applyNumberFormat="1"/>
    <xf numFmtId="0" fontId="10" fillId="11" borderId="43" xfId="0" applyFont="1" applyFill="1" applyBorder="1" applyAlignment="1">
      <alignment vertical="center"/>
    </xf>
    <xf numFmtId="0" fontId="10" fillId="11" borderId="6" xfId="0" applyFont="1" applyFill="1" applyBorder="1" applyAlignment="1">
      <alignment vertical="center"/>
    </xf>
    <xf numFmtId="0" fontId="11" fillId="11" borderId="44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44" fontId="13" fillId="0" borderId="8" xfId="0" applyNumberFormat="1" applyFont="1" applyBorder="1" applyAlignment="1">
      <alignment vertical="center"/>
    </xf>
    <xf numFmtId="43" fontId="0" fillId="0" borderId="12" xfId="1" applyNumberFormat="1" applyFont="1" applyBorder="1"/>
    <xf numFmtId="43" fontId="3" fillId="0" borderId="12" xfId="1" applyNumberFormat="1" applyFont="1" applyFill="1" applyBorder="1"/>
    <xf numFmtId="164" fontId="0" fillId="0" borderId="0" xfId="1" applyFont="1" applyFill="1" applyBorder="1"/>
    <xf numFmtId="44" fontId="7" fillId="0" borderId="0" xfId="3" applyNumberFormat="1"/>
    <xf numFmtId="0" fontId="7" fillId="3" borderId="12" xfId="3" applyFill="1" applyBorder="1"/>
    <xf numFmtId="49" fontId="15" fillId="12" borderId="46" xfId="6" applyNumberFormat="1" applyFont="1" applyFill="1" applyBorder="1"/>
    <xf numFmtId="49" fontId="16" fillId="13" borderId="46" xfId="6" applyNumberFormat="1" applyFont="1" applyFill="1" applyBorder="1"/>
    <xf numFmtId="49" fontId="16" fillId="14" borderId="46" xfId="6" applyNumberFormat="1" applyFont="1" applyFill="1" applyBorder="1"/>
    <xf numFmtId="49" fontId="15" fillId="4" borderId="46" xfId="6" applyNumberFormat="1" applyFont="1" applyFill="1" applyBorder="1"/>
    <xf numFmtId="4" fontId="16" fillId="4" borderId="46" xfId="6" applyNumberFormat="1" applyFont="1" applyFill="1" applyBorder="1"/>
    <xf numFmtId="49" fontId="18" fillId="13" borderId="46" xfId="6" applyNumberFormat="1" applyFont="1" applyFill="1" applyBorder="1"/>
    <xf numFmtId="49" fontId="15" fillId="0" borderId="0" xfId="6" applyNumberFormat="1" applyFont="1"/>
    <xf numFmtId="49" fontId="16" fillId="0" borderId="0" xfId="6" applyNumberFormat="1" applyFont="1"/>
    <xf numFmtId="0" fontId="16" fillId="0" borderId="0" xfId="6" applyFont="1"/>
    <xf numFmtId="169" fontId="16" fillId="0" borderId="0" xfId="6" applyNumberFormat="1" applyFont="1"/>
    <xf numFmtId="4" fontId="16" fillId="0" borderId="0" xfId="6" applyNumberFormat="1" applyFont="1"/>
    <xf numFmtId="43" fontId="0" fillId="0" borderId="12" xfId="8" applyFont="1" applyBorder="1"/>
    <xf numFmtId="43" fontId="7" fillId="0" borderId="12" xfId="3" applyNumberFormat="1" applyBorder="1"/>
    <xf numFmtId="43" fontId="7" fillId="0" borderId="0" xfId="3" applyNumberFormat="1"/>
    <xf numFmtId="43" fontId="14" fillId="0" borderId="45" xfId="3" applyNumberFormat="1" applyFont="1" applyBorder="1"/>
    <xf numFmtId="0" fontId="0" fillId="2" borderId="0" xfId="0" applyFill="1" applyAlignment="1">
      <alignment horizontal="left"/>
    </xf>
    <xf numFmtId="165" fontId="0" fillId="0" borderId="0" xfId="1" applyNumberFormat="1" applyFont="1" applyBorder="1"/>
    <xf numFmtId="165" fontId="2" fillId="0" borderId="0" xfId="1" applyNumberFormat="1" applyFont="1" applyFill="1" applyBorder="1"/>
    <xf numFmtId="0" fontId="0" fillId="2" borderId="12" xfId="0" applyFill="1" applyBorder="1" applyAlignment="1">
      <alignment horizontal="left"/>
    </xf>
    <xf numFmtId="165" fontId="2" fillId="0" borderId="12" xfId="1" applyNumberFormat="1" applyFont="1" applyFill="1" applyBorder="1"/>
    <xf numFmtId="0" fontId="2" fillId="0" borderId="0" xfId="3" applyFont="1" applyAlignment="1">
      <alignment horizontal="center"/>
    </xf>
    <xf numFmtId="0" fontId="19" fillId="0" borderId="47" xfId="3" applyFont="1" applyBorder="1" applyAlignment="1">
      <alignment horizontal="left"/>
    </xf>
    <xf numFmtId="0" fontId="19" fillId="0" borderId="25" xfId="3" applyFont="1" applyBorder="1" applyAlignment="1">
      <alignment horizontal="center"/>
    </xf>
    <xf numFmtId="0" fontId="7" fillId="0" borderId="48" xfId="3" applyBorder="1" applyAlignment="1">
      <alignment horizontal="left"/>
    </xf>
    <xf numFmtId="0" fontId="7" fillId="0" borderId="18" xfId="3" applyBorder="1" applyAlignment="1">
      <alignment horizontal="center"/>
    </xf>
    <xf numFmtId="0" fontId="2" fillId="0" borderId="0" xfId="3" applyFont="1" applyAlignment="1">
      <alignment horizontal="center" vertical="top"/>
    </xf>
    <xf numFmtId="0" fontId="19" fillId="0" borderId="48" xfId="3" applyFont="1" applyBorder="1" applyAlignment="1">
      <alignment horizontal="left" vertical="top"/>
    </xf>
    <xf numFmtId="166" fontId="2" fillId="0" borderId="18" xfId="3" applyNumberFormat="1" applyFont="1" applyBorder="1" applyAlignment="1">
      <alignment horizontal="center" vertical="top"/>
    </xf>
    <xf numFmtId="0" fontId="7" fillId="0" borderId="0" xfId="3" applyAlignment="1">
      <alignment horizontal="center" vertical="top"/>
    </xf>
    <xf numFmtId="0" fontId="7" fillId="0" borderId="48" xfId="3" applyBorder="1" applyAlignment="1">
      <alignment horizontal="left" vertical="top"/>
    </xf>
    <xf numFmtId="166" fontId="7" fillId="0" borderId="18" xfId="3" applyNumberFormat="1" applyBorder="1" applyAlignment="1">
      <alignment horizontal="center" vertical="top"/>
    </xf>
    <xf numFmtId="43" fontId="0" fillId="0" borderId="0" xfId="1" applyNumberFormat="1" applyFont="1"/>
    <xf numFmtId="0" fontId="21" fillId="0" borderId="47" xfId="3" applyFont="1" applyBorder="1" applyAlignment="1">
      <alignment horizontal="left"/>
    </xf>
    <xf numFmtId="0" fontId="21" fillId="0" borderId="25" xfId="3" applyFont="1" applyBorder="1" applyAlignment="1">
      <alignment horizontal="center"/>
    </xf>
    <xf numFmtId="0" fontId="22" fillId="0" borderId="48" xfId="3" applyFont="1" applyBorder="1" applyAlignment="1">
      <alignment horizontal="left"/>
    </xf>
    <xf numFmtId="0" fontId="22" fillId="0" borderId="18" xfId="3" applyFont="1" applyBorder="1" applyAlignment="1">
      <alignment horizontal="center"/>
    </xf>
    <xf numFmtId="0" fontId="21" fillId="0" borderId="48" xfId="3" applyFont="1" applyBorder="1" applyAlignment="1">
      <alignment horizontal="left" vertical="top"/>
    </xf>
    <xf numFmtId="166" fontId="20" fillId="0" borderId="18" xfId="3" applyNumberFormat="1" applyFont="1" applyBorder="1" applyAlignment="1">
      <alignment horizontal="center" vertical="top"/>
    </xf>
    <xf numFmtId="0" fontId="22" fillId="0" borderId="48" xfId="3" applyFont="1" applyBorder="1" applyAlignment="1">
      <alignment horizontal="left" vertical="top"/>
    </xf>
    <xf numFmtId="166" fontId="22" fillId="0" borderId="18" xfId="3" applyNumberFormat="1" applyFont="1" applyBorder="1" applyAlignment="1">
      <alignment horizontal="center" vertical="top"/>
    </xf>
    <xf numFmtId="0" fontId="22" fillId="0" borderId="48" xfId="3" applyFont="1" applyBorder="1" applyAlignment="1">
      <alignment horizontal="left" vertical="top" wrapText="1"/>
    </xf>
    <xf numFmtId="0" fontId="20" fillId="0" borderId="1" xfId="3" applyFont="1" applyBorder="1" applyAlignment="1">
      <alignment horizontal="center"/>
    </xf>
    <xf numFmtId="0" fontId="20" fillId="0" borderId="9" xfId="3" applyFont="1" applyBorder="1" applyAlignment="1">
      <alignment horizontal="center"/>
    </xf>
    <xf numFmtId="0" fontId="20" fillId="0" borderId="9" xfId="3" applyFont="1" applyBorder="1" applyAlignment="1">
      <alignment horizontal="center" vertical="top"/>
    </xf>
    <xf numFmtId="0" fontId="22" fillId="0" borderId="9" xfId="3" applyFont="1" applyBorder="1" applyAlignment="1">
      <alignment horizontal="center" vertical="top"/>
    </xf>
    <xf numFmtId="0" fontId="20" fillId="0" borderId="11" xfId="3" applyFont="1" applyBorder="1" applyAlignment="1">
      <alignment horizontal="center" vertical="top"/>
    </xf>
    <xf numFmtId="0" fontId="22" fillId="0" borderId="49" xfId="3" applyFont="1" applyBorder="1" applyAlignment="1">
      <alignment horizontal="left" vertical="top"/>
    </xf>
    <xf numFmtId="166" fontId="22" fillId="0" borderId="26" xfId="3" applyNumberFormat="1" applyFont="1" applyBorder="1" applyAlignment="1">
      <alignment horizontal="center" vertical="top"/>
    </xf>
    <xf numFmtId="166" fontId="0" fillId="0" borderId="21" xfId="0" applyNumberFormat="1" applyBorder="1"/>
    <xf numFmtId="166" fontId="0" fillId="0" borderId="23" xfId="1" applyNumberFormat="1" applyFont="1" applyFill="1" applyBorder="1"/>
    <xf numFmtId="0" fontId="23" fillId="0" borderId="0" xfId="11"/>
    <xf numFmtId="0" fontId="20" fillId="0" borderId="0" xfId="14" applyFont="1" applyAlignment="1">
      <alignment horizontal="center" vertical="top"/>
    </xf>
    <xf numFmtId="0" fontId="21" fillId="0" borderId="47" xfId="14" applyFont="1" applyBorder="1" applyAlignment="1">
      <alignment horizontal="left"/>
    </xf>
    <xf numFmtId="0" fontId="21" fillId="0" borderId="25" xfId="14" applyFont="1" applyBorder="1" applyAlignment="1">
      <alignment horizontal="center"/>
    </xf>
    <xf numFmtId="0" fontId="22" fillId="0" borderId="48" xfId="14" applyFont="1" applyBorder="1" applyAlignment="1">
      <alignment horizontal="left"/>
    </xf>
    <xf numFmtId="0" fontId="22" fillId="0" borderId="18" xfId="14" applyFont="1" applyBorder="1" applyAlignment="1">
      <alignment horizontal="center"/>
    </xf>
    <xf numFmtId="0" fontId="21" fillId="0" borderId="48" xfId="14" applyFont="1" applyBorder="1" applyAlignment="1">
      <alignment horizontal="left" vertical="top"/>
    </xf>
    <xf numFmtId="166" fontId="20" fillId="0" borderId="18" xfId="14" applyNumberFormat="1" applyFont="1" applyBorder="1" applyAlignment="1">
      <alignment horizontal="center" vertical="top"/>
    </xf>
    <xf numFmtId="0" fontId="22" fillId="0" borderId="0" xfId="14" applyFont="1" applyAlignment="1">
      <alignment horizontal="center" vertical="top"/>
    </xf>
    <xf numFmtId="0" fontId="22" fillId="0" borderId="48" xfId="14" applyFont="1" applyBorder="1" applyAlignment="1">
      <alignment horizontal="left" vertical="top"/>
    </xf>
    <xf numFmtId="166" fontId="22" fillId="0" borderId="18" xfId="14" applyNumberFormat="1" applyFont="1" applyBorder="1" applyAlignment="1">
      <alignment horizontal="center" vertical="top"/>
    </xf>
    <xf numFmtId="0" fontId="25" fillId="0" borderId="0" xfId="11" applyFont="1" applyAlignment="1">
      <alignment vertical="top"/>
    </xf>
    <xf numFmtId="0" fontId="26" fillId="0" borderId="0" xfId="11" applyFont="1" applyAlignment="1">
      <alignment horizontal="left" vertical="top"/>
    </xf>
    <xf numFmtId="0" fontId="25" fillId="0" borderId="0" xfId="11" applyFont="1" applyAlignment="1">
      <alignment horizontal="left" vertical="top"/>
    </xf>
    <xf numFmtId="15" fontId="25" fillId="0" borderId="0" xfId="11" applyNumberFormat="1" applyFont="1" applyAlignment="1">
      <alignment horizontal="left" vertical="top"/>
    </xf>
    <xf numFmtId="0" fontId="7" fillId="0" borderId="0" xfId="11" applyFont="1" applyAlignment="1">
      <alignment vertical="top"/>
    </xf>
    <xf numFmtId="0" fontId="27" fillId="0" borderId="0" xfId="11" applyFont="1" applyAlignment="1">
      <alignment horizontal="left" vertical="top"/>
    </xf>
    <xf numFmtId="0" fontId="7" fillId="0" borderId="0" xfId="11" applyFont="1" applyAlignment="1">
      <alignment horizontal="left" vertical="top"/>
    </xf>
    <xf numFmtId="0" fontId="27" fillId="16" borderId="4" xfId="11" applyFont="1" applyFill="1" applyBorder="1" applyAlignment="1">
      <alignment horizontal="left" vertical="top"/>
    </xf>
    <xf numFmtId="0" fontId="7" fillId="16" borderId="50" xfId="11" applyFont="1" applyFill="1" applyBorder="1" applyAlignment="1">
      <alignment vertical="top"/>
    </xf>
    <xf numFmtId="0" fontId="14" fillId="16" borderId="5" xfId="11" applyFont="1" applyFill="1" applyBorder="1" applyAlignment="1">
      <alignment horizontal="left" vertical="top"/>
    </xf>
    <xf numFmtId="0" fontId="14" fillId="16" borderId="38" xfId="11" applyFont="1" applyFill="1" applyBorder="1" applyAlignment="1">
      <alignment horizontal="left" vertical="top"/>
    </xf>
    <xf numFmtId="0" fontId="14" fillId="16" borderId="25" xfId="11" applyFont="1" applyFill="1" applyBorder="1" applyAlignment="1">
      <alignment horizontal="left" vertical="top"/>
    </xf>
    <xf numFmtId="0" fontId="27" fillId="0" borderId="9" xfId="11" applyFont="1" applyBorder="1" applyAlignment="1">
      <alignment horizontal="left" vertical="top"/>
    </xf>
    <xf numFmtId="0" fontId="7" fillId="0" borderId="51" xfId="11" applyFont="1" applyBorder="1" applyAlignment="1">
      <alignment vertical="top"/>
    </xf>
    <xf numFmtId="0" fontId="7" fillId="0" borderId="52" xfId="11" applyFont="1" applyBorder="1" applyAlignment="1">
      <alignment horizontal="left" vertical="top"/>
    </xf>
    <xf numFmtId="0" fontId="7" fillId="0" borderId="18" xfId="11" applyFont="1" applyBorder="1" applyAlignment="1">
      <alignment horizontal="left" vertical="top"/>
    </xf>
    <xf numFmtId="0" fontId="7" fillId="0" borderId="9" xfId="11" applyFont="1" applyBorder="1" applyAlignment="1">
      <alignment vertical="top"/>
    </xf>
    <xf numFmtId="0" fontId="7" fillId="0" borderId="0" xfId="11" applyFont="1" applyAlignment="1">
      <alignment horizontal="right" vertical="top"/>
    </xf>
    <xf numFmtId="0" fontId="7" fillId="0" borderId="0" xfId="11" applyFont="1" applyAlignment="1">
      <alignment vertical="top" wrapText="1"/>
    </xf>
    <xf numFmtId="0" fontId="7" fillId="0" borderId="13" xfId="11" applyFont="1" applyBorder="1" applyAlignment="1">
      <alignment vertical="top" wrapText="1"/>
    </xf>
    <xf numFmtId="0" fontId="7" fillId="0" borderId="53" xfId="11" applyFont="1" applyBorder="1" applyAlignment="1">
      <alignment vertical="top" wrapText="1"/>
    </xf>
    <xf numFmtId="0" fontId="7" fillId="0" borderId="54" xfId="11" applyFont="1" applyBorder="1" applyAlignment="1">
      <alignment horizontal="left" vertical="top" wrapText="1"/>
    </xf>
    <xf numFmtId="0" fontId="7" fillId="0" borderId="55" xfId="11" applyFont="1" applyBorder="1" applyAlignment="1">
      <alignment horizontal="left" vertical="top" wrapText="1"/>
    </xf>
    <xf numFmtId="0" fontId="27" fillId="0" borderId="23" xfId="11" applyFont="1" applyBorder="1" applyAlignment="1">
      <alignment horizontal="left" vertical="top" wrapText="1"/>
    </xf>
    <xf numFmtId="0" fontId="7" fillId="15" borderId="48" xfId="11" applyFont="1" applyFill="1" applyBorder="1" applyAlignment="1">
      <alignment vertical="top" wrapText="1"/>
    </xf>
    <xf numFmtId="0" fontId="7" fillId="15" borderId="51" xfId="11" applyFont="1" applyFill="1" applyBorder="1" applyAlignment="1">
      <alignment vertical="top" wrapText="1"/>
    </xf>
    <xf numFmtId="0" fontId="7" fillId="15" borderId="0" xfId="11" applyFont="1" applyFill="1" applyAlignment="1">
      <alignment horizontal="left" vertical="top" wrapText="1"/>
    </xf>
    <xf numFmtId="0" fontId="7" fillId="15" borderId="52" xfId="11" applyFont="1" applyFill="1" applyBorder="1" applyAlignment="1">
      <alignment horizontal="left" vertical="top" wrapText="1"/>
    </xf>
    <xf numFmtId="0" fontId="7" fillId="15" borderId="18" xfId="11" applyFont="1" applyFill="1" applyBorder="1" applyAlignment="1">
      <alignment horizontal="left" vertical="top" wrapText="1"/>
    </xf>
    <xf numFmtId="49" fontId="7" fillId="0" borderId="48" xfId="11" applyNumberFormat="1" applyFont="1" applyBorder="1" applyAlignment="1">
      <alignment horizontal="left" vertical="top" wrapText="1"/>
    </xf>
    <xf numFmtId="0" fontId="7" fillId="0" borderId="51" xfId="11" applyFont="1" applyBorder="1" applyAlignment="1">
      <alignment vertical="top" wrapText="1"/>
    </xf>
    <xf numFmtId="0" fontId="7" fillId="0" borderId="0" xfId="11" applyFont="1" applyAlignment="1">
      <alignment horizontal="left" vertical="top" wrapText="1"/>
    </xf>
    <xf numFmtId="0" fontId="7" fillId="0" borderId="52" xfId="11" applyFont="1" applyBorder="1" applyAlignment="1">
      <alignment horizontal="left" vertical="top" wrapText="1"/>
    </xf>
    <xf numFmtId="0" fontId="7" fillId="0" borderId="18" xfId="11" applyFont="1" applyBorder="1" applyAlignment="1">
      <alignment horizontal="left" vertical="top" wrapText="1"/>
    </xf>
    <xf numFmtId="170" fontId="7" fillId="0" borderId="51" xfId="17" applyFont="1" applyBorder="1" applyAlignment="1">
      <alignment vertical="top" wrapText="1"/>
    </xf>
    <xf numFmtId="0" fontId="7" fillId="0" borderId="48" xfId="11" applyFont="1" applyBorder="1" applyAlignment="1">
      <alignment vertical="top" wrapText="1"/>
    </xf>
    <xf numFmtId="49" fontId="7" fillId="0" borderId="36" xfId="11" applyNumberFormat="1" applyFont="1" applyBorder="1" applyAlignment="1">
      <alignment horizontal="left" vertical="top" wrapText="1"/>
    </xf>
    <xf numFmtId="0" fontId="7" fillId="0" borderId="56" xfId="11" applyFont="1" applyBorder="1" applyAlignment="1">
      <alignment vertical="top" wrapText="1"/>
    </xf>
    <xf numFmtId="0" fontId="7" fillId="0" borderId="57" xfId="11" applyFont="1" applyBorder="1" applyAlignment="1">
      <alignment horizontal="left" vertical="top" wrapText="1"/>
    </xf>
    <xf numFmtId="0" fontId="7" fillId="0" borderId="37" xfId="11" applyFont="1" applyBorder="1" applyAlignment="1">
      <alignment horizontal="left" vertical="top" wrapText="1"/>
    </xf>
    <xf numFmtId="0" fontId="7" fillId="0" borderId="19" xfId="11" applyFont="1" applyBorder="1" applyAlignment="1">
      <alignment horizontal="left" vertical="top" wrapText="1"/>
    </xf>
    <xf numFmtId="170" fontId="7" fillId="0" borderId="56" xfId="17" applyFont="1" applyBorder="1" applyAlignment="1">
      <alignment vertical="top" wrapText="1"/>
    </xf>
    <xf numFmtId="170" fontId="7" fillId="0" borderId="37" xfId="17" applyFont="1" applyBorder="1" applyAlignment="1">
      <alignment vertical="top" wrapText="1"/>
    </xf>
    <xf numFmtId="0" fontId="7" fillId="0" borderId="9" xfId="11" applyFont="1" applyBorder="1" applyAlignment="1">
      <alignment vertical="top" wrapText="1"/>
    </xf>
    <xf numFmtId="170" fontId="14" fillId="0" borderId="53" xfId="17" applyFont="1" applyBorder="1" applyAlignment="1">
      <alignment vertical="top" wrapText="1"/>
    </xf>
    <xf numFmtId="0" fontId="7" fillId="0" borderId="23" xfId="11" applyFont="1" applyBorder="1" applyAlignment="1">
      <alignment horizontal="left" vertical="top" wrapText="1"/>
    </xf>
    <xf numFmtId="170" fontId="7" fillId="0" borderId="53" xfId="17" applyFont="1" applyBorder="1" applyAlignment="1">
      <alignment vertical="top" wrapText="1"/>
    </xf>
    <xf numFmtId="0" fontId="7" fillId="0" borderId="36" xfId="11" applyFont="1" applyBorder="1" applyAlignment="1">
      <alignment vertical="top" wrapText="1"/>
    </xf>
    <xf numFmtId="0" fontId="7" fillId="0" borderId="55" xfId="11" applyFont="1" applyBorder="1" applyAlignment="1">
      <alignment vertical="top" wrapText="1"/>
    </xf>
    <xf numFmtId="170" fontId="7" fillId="0" borderId="53" xfId="11" applyNumberFormat="1" applyFont="1" applyBorder="1" applyAlignment="1">
      <alignment vertical="top" wrapText="1"/>
    </xf>
    <xf numFmtId="44" fontId="7" fillId="0" borderId="51" xfId="11" applyNumberFormat="1" applyFont="1" applyBorder="1" applyAlignment="1">
      <alignment vertical="top" wrapText="1"/>
    </xf>
    <xf numFmtId="4" fontId="7" fillId="0" borderId="0" xfId="11" applyNumberFormat="1" applyFont="1" applyAlignment="1">
      <alignment horizontal="left" vertical="top" wrapText="1"/>
    </xf>
    <xf numFmtId="4" fontId="7" fillId="0" borderId="52" xfId="11" applyNumberFormat="1" applyFont="1" applyBorder="1" applyAlignment="1">
      <alignment horizontal="left" vertical="top" wrapText="1"/>
    </xf>
    <xf numFmtId="4" fontId="7" fillId="0" borderId="18" xfId="11" applyNumberFormat="1" applyFont="1" applyBorder="1" applyAlignment="1">
      <alignment horizontal="left" vertical="top" wrapText="1"/>
    </xf>
    <xf numFmtId="44" fontId="7" fillId="0" borderId="52" xfId="11" applyNumberFormat="1" applyFont="1" applyBorder="1" applyAlignment="1">
      <alignment horizontal="left" vertical="top" wrapText="1"/>
    </xf>
    <xf numFmtId="44" fontId="7" fillId="0" borderId="18" xfId="11" applyNumberFormat="1" applyFont="1" applyBorder="1" applyAlignment="1">
      <alignment horizontal="left" vertical="top" wrapText="1"/>
    </xf>
    <xf numFmtId="43" fontId="7" fillId="0" borderId="0" xfId="11" applyNumberFormat="1" applyFont="1" applyAlignment="1">
      <alignment vertical="top" wrapText="1"/>
    </xf>
    <xf numFmtId="44" fontId="7" fillId="0" borderId="0" xfId="11" applyNumberFormat="1" applyFont="1" applyAlignment="1">
      <alignment vertical="top" wrapText="1"/>
    </xf>
    <xf numFmtId="0" fontId="14" fillId="0" borderId="4" xfId="11" applyFont="1" applyBorder="1" applyAlignment="1">
      <alignment vertical="top" wrapText="1"/>
    </xf>
    <xf numFmtId="0" fontId="14" fillId="0" borderId="5" xfId="11" applyFont="1" applyBorder="1" applyAlignment="1">
      <alignment vertical="top" wrapText="1"/>
    </xf>
    <xf numFmtId="0" fontId="14" fillId="0" borderId="5" xfId="11" applyFont="1" applyBorder="1" applyAlignment="1">
      <alignment horizontal="left" vertical="top" wrapText="1"/>
    </xf>
    <xf numFmtId="44" fontId="14" fillId="0" borderId="5" xfId="11" applyNumberFormat="1" applyFont="1" applyBorder="1" applyAlignment="1">
      <alignment horizontal="left" vertical="top" wrapText="1"/>
    </xf>
    <xf numFmtId="44" fontId="14" fillId="0" borderId="6" xfId="11" applyNumberFormat="1" applyFont="1" applyBorder="1" applyAlignment="1">
      <alignment horizontal="left" vertical="top" wrapText="1"/>
    </xf>
    <xf numFmtId="0" fontId="14" fillId="0" borderId="0" xfId="11" applyFont="1" applyAlignment="1">
      <alignment vertical="top" wrapText="1"/>
    </xf>
    <xf numFmtId="44" fontId="14" fillId="0" borderId="0" xfId="11" applyNumberFormat="1" applyFont="1" applyAlignment="1">
      <alignment vertical="top" wrapText="1"/>
    </xf>
    <xf numFmtId="44" fontId="7" fillId="0" borderId="0" xfId="11" applyNumberFormat="1" applyFont="1" applyAlignment="1">
      <alignment horizontal="left" vertical="top" wrapText="1"/>
    </xf>
    <xf numFmtId="0" fontId="14" fillId="17" borderId="4" xfId="11" applyFont="1" applyFill="1" applyBorder="1" applyAlignment="1">
      <alignment vertical="top" wrapText="1"/>
    </xf>
    <xf numFmtId="0" fontId="14" fillId="17" borderId="38" xfId="11" applyFont="1" applyFill="1" applyBorder="1" applyAlignment="1">
      <alignment horizontal="left" vertical="top"/>
    </xf>
    <xf numFmtId="44" fontId="14" fillId="17" borderId="38" xfId="11" applyNumberFormat="1" applyFont="1" applyFill="1" applyBorder="1" applyAlignment="1">
      <alignment horizontal="left" vertical="top"/>
    </xf>
    <xf numFmtId="44" fontId="14" fillId="17" borderId="6" xfId="11" applyNumberFormat="1" applyFont="1" applyFill="1" applyBorder="1" applyAlignment="1">
      <alignment horizontal="left" vertical="top"/>
    </xf>
    <xf numFmtId="0" fontId="14" fillId="17" borderId="9" xfId="11" applyFont="1" applyFill="1" applyBorder="1" applyAlignment="1">
      <alignment vertical="top" wrapText="1"/>
    </xf>
    <xf numFmtId="0" fontId="23" fillId="17" borderId="51" xfId="11" applyFill="1" applyBorder="1" applyAlignment="1">
      <alignment vertical="top" wrapText="1"/>
    </xf>
    <xf numFmtId="0" fontId="14" fillId="17" borderId="52" xfId="11" applyFont="1" applyFill="1" applyBorder="1" applyAlignment="1">
      <alignment horizontal="left" vertical="top"/>
    </xf>
    <xf numFmtId="44" fontId="14" fillId="17" borderId="52" xfId="11" applyNumberFormat="1" applyFont="1" applyFill="1" applyBorder="1" applyAlignment="1">
      <alignment horizontal="left" vertical="top"/>
    </xf>
    <xf numFmtId="44" fontId="14" fillId="17" borderId="10" xfId="11" applyNumberFormat="1" applyFont="1" applyFill="1" applyBorder="1" applyAlignment="1">
      <alignment horizontal="left" vertical="top"/>
    </xf>
    <xf numFmtId="0" fontId="7" fillId="17" borderId="9" xfId="11" applyFont="1" applyFill="1" applyBorder="1" applyAlignment="1">
      <alignment vertical="top" wrapText="1"/>
    </xf>
    <xf numFmtId="44" fontId="7" fillId="17" borderId="51" xfId="11" applyNumberFormat="1" applyFont="1" applyFill="1" applyBorder="1" applyAlignment="1">
      <alignment vertical="top" wrapText="1"/>
    </xf>
    <xf numFmtId="0" fontId="7" fillId="17" borderId="52" xfId="11" applyFont="1" applyFill="1" applyBorder="1" applyAlignment="1">
      <alignment horizontal="left" vertical="top" wrapText="1"/>
    </xf>
    <xf numFmtId="44" fontId="7" fillId="17" borderId="52" xfId="11" applyNumberFormat="1" applyFont="1" applyFill="1" applyBorder="1" applyAlignment="1">
      <alignment horizontal="left" vertical="top" wrapText="1"/>
    </xf>
    <xf numFmtId="44" fontId="7" fillId="17" borderId="10" xfId="11" applyNumberFormat="1" applyFont="1" applyFill="1" applyBorder="1" applyAlignment="1">
      <alignment horizontal="left" vertical="top" wrapText="1"/>
    </xf>
    <xf numFmtId="0" fontId="27" fillId="17" borderId="9" xfId="11" applyFont="1" applyFill="1" applyBorder="1" applyAlignment="1">
      <alignment vertical="top" wrapText="1"/>
    </xf>
    <xf numFmtId="0" fontId="14" fillId="17" borderId="51" xfId="11" applyFont="1" applyFill="1" applyBorder="1" applyAlignment="1">
      <alignment vertical="top" wrapText="1"/>
    </xf>
    <xf numFmtId="0" fontId="14" fillId="17" borderId="52" xfId="11" applyFont="1" applyFill="1" applyBorder="1" applyAlignment="1">
      <alignment vertical="top" wrapText="1"/>
    </xf>
    <xf numFmtId="44" fontId="14" fillId="17" borderId="52" xfId="11" applyNumberFormat="1" applyFont="1" applyFill="1" applyBorder="1" applyAlignment="1">
      <alignment vertical="top" wrapText="1"/>
    </xf>
    <xf numFmtId="44" fontId="14" fillId="17" borderId="10" xfId="11" applyNumberFormat="1" applyFont="1" applyFill="1" applyBorder="1" applyAlignment="1">
      <alignment vertical="top" wrapText="1"/>
    </xf>
    <xf numFmtId="0" fontId="28" fillId="0" borderId="16" xfId="11" applyFont="1" applyBorder="1" applyAlignment="1">
      <alignment horizontal="center" vertical="center"/>
    </xf>
    <xf numFmtId="0" fontId="28" fillId="0" borderId="39" xfId="11" applyFont="1" applyBorder="1" applyAlignment="1">
      <alignment horizontal="center" vertical="center"/>
    </xf>
    <xf numFmtId="49" fontId="28" fillId="0" borderId="29" xfId="11" applyNumberFormat="1" applyFont="1" applyBorder="1" applyAlignment="1">
      <alignment horizontal="center" vertical="center"/>
    </xf>
    <xf numFmtId="49" fontId="28" fillId="0" borderId="30" xfId="11" applyNumberFormat="1" applyFont="1" applyBorder="1" applyAlignment="1">
      <alignment horizontal="center" vertical="center"/>
    </xf>
    <xf numFmtId="49" fontId="28" fillId="0" borderId="28" xfId="11" applyNumberFormat="1" applyFont="1" applyBorder="1" applyAlignment="1">
      <alignment horizontal="center" vertical="center"/>
    </xf>
    <xf numFmtId="0" fontId="7" fillId="17" borderId="51" xfId="11" applyFont="1" applyFill="1" applyBorder="1" applyAlignment="1">
      <alignment vertical="top" wrapText="1"/>
    </xf>
    <xf numFmtId="0" fontId="23" fillId="0" borderId="55" xfId="11" applyBorder="1" applyAlignment="1">
      <alignment horizontal="center" vertical="center" wrapText="1"/>
    </xf>
    <xf numFmtId="44" fontId="14" fillId="17" borderId="10" xfId="11" applyNumberFormat="1" applyFont="1" applyFill="1" applyBorder="1" applyAlignment="1">
      <alignment horizontal="left" vertical="top" wrapText="1"/>
    </xf>
    <xf numFmtId="0" fontId="23" fillId="0" borderId="20" xfId="11" applyBorder="1" applyAlignment="1">
      <alignment horizontal="center"/>
    </xf>
    <xf numFmtId="0" fontId="23" fillId="0" borderId="24" xfId="11" applyBorder="1" applyAlignment="1">
      <alignment horizontal="center"/>
    </xf>
    <xf numFmtId="0" fontId="23" fillId="0" borderId="21" xfId="11" applyBorder="1" applyAlignment="1">
      <alignment horizontal="center"/>
    </xf>
    <xf numFmtId="44" fontId="0" fillId="0" borderId="61" xfId="18" applyFont="1" applyBorder="1"/>
    <xf numFmtId="44" fontId="0" fillId="0" borderId="62" xfId="18" applyFont="1" applyBorder="1"/>
    <xf numFmtId="171" fontId="23" fillId="0" borderId="61" xfId="11" applyNumberFormat="1" applyBorder="1" applyAlignment="1">
      <alignment horizontal="center"/>
    </xf>
    <xf numFmtId="172" fontId="0" fillId="0" borderId="63" xfId="13" applyNumberFormat="1" applyFont="1" applyBorder="1" applyAlignment="1">
      <alignment horizontal="center"/>
    </xf>
    <xf numFmtId="171" fontId="23" fillId="0" borderId="63" xfId="11" applyNumberFormat="1" applyBorder="1" applyAlignment="1">
      <alignment horizontal="center"/>
    </xf>
    <xf numFmtId="172" fontId="0" fillId="0" borderId="62" xfId="13" applyNumberFormat="1" applyFont="1" applyBorder="1" applyAlignment="1">
      <alignment horizontal="center"/>
    </xf>
    <xf numFmtId="44" fontId="0" fillId="0" borderId="64" xfId="18" applyFont="1" applyBorder="1"/>
    <xf numFmtId="44" fontId="0" fillId="0" borderId="65" xfId="18" applyFont="1" applyBorder="1"/>
    <xf numFmtId="172" fontId="0" fillId="0" borderId="66" xfId="13" applyNumberFormat="1" applyFont="1" applyBorder="1" applyAlignment="1">
      <alignment horizontal="center"/>
    </xf>
    <xf numFmtId="44" fontId="0" fillId="0" borderId="66" xfId="18" applyFont="1" applyBorder="1"/>
    <xf numFmtId="172" fontId="0" fillId="0" borderId="65" xfId="13" applyNumberFormat="1" applyFont="1" applyBorder="1" applyAlignment="1">
      <alignment horizontal="center"/>
    </xf>
    <xf numFmtId="0" fontId="14" fillId="17" borderId="52" xfId="11" applyFont="1" applyFill="1" applyBorder="1" applyAlignment="1">
      <alignment horizontal="left" vertical="top" wrapText="1"/>
    </xf>
    <xf numFmtId="44" fontId="14" fillId="17" borderId="52" xfId="11" applyNumberFormat="1" applyFont="1" applyFill="1" applyBorder="1" applyAlignment="1">
      <alignment horizontal="left" vertical="top" wrapText="1"/>
    </xf>
    <xf numFmtId="44" fontId="0" fillId="0" borderId="67" xfId="18" applyFont="1" applyBorder="1"/>
    <xf numFmtId="44" fontId="0" fillId="0" borderId="68" xfId="18" applyFont="1" applyBorder="1"/>
    <xf numFmtId="172" fontId="0" fillId="0" borderId="69" xfId="13" applyNumberFormat="1" applyFont="1" applyBorder="1" applyAlignment="1">
      <alignment horizontal="center"/>
    </xf>
    <xf numFmtId="44" fontId="0" fillId="0" borderId="69" xfId="18" applyFont="1" applyBorder="1"/>
    <xf numFmtId="172" fontId="0" fillId="0" borderId="68" xfId="13" applyNumberFormat="1" applyFont="1" applyBorder="1" applyAlignment="1">
      <alignment horizontal="center"/>
    </xf>
    <xf numFmtId="0" fontId="23" fillId="0" borderId="70" xfId="11" applyBorder="1" applyAlignment="1">
      <alignment vertical="center" wrapText="1"/>
    </xf>
    <xf numFmtId="9" fontId="0" fillId="0" borderId="70" xfId="13" applyFont="1" applyBorder="1" applyAlignment="1">
      <alignment horizontal="center" vertical="center"/>
    </xf>
    <xf numFmtId="0" fontId="23" fillId="0" borderId="66" xfId="11" applyBorder="1" applyAlignment="1">
      <alignment vertical="center" wrapText="1"/>
    </xf>
    <xf numFmtId="9" fontId="0" fillId="0" borderId="66" xfId="13" applyFont="1" applyBorder="1" applyAlignment="1">
      <alignment horizontal="center" vertical="center"/>
    </xf>
    <xf numFmtId="0" fontId="14" fillId="17" borderId="50" xfId="11" applyFont="1" applyFill="1" applyBorder="1" applyAlignment="1">
      <alignment vertical="top" wrapText="1"/>
    </xf>
    <xf numFmtId="0" fontId="14" fillId="17" borderId="38" xfId="11" applyFont="1" applyFill="1" applyBorder="1" applyAlignment="1">
      <alignment horizontal="left" vertical="top" wrapText="1"/>
    </xf>
    <xf numFmtId="44" fontId="14" fillId="17" borderId="38" xfId="11" applyNumberFormat="1" applyFont="1" applyFill="1" applyBorder="1" applyAlignment="1">
      <alignment horizontal="left" vertical="top" wrapText="1"/>
    </xf>
    <xf numFmtId="44" fontId="14" fillId="17" borderId="6" xfId="11" applyNumberFormat="1" applyFont="1" applyFill="1" applyBorder="1" applyAlignment="1">
      <alignment horizontal="left" vertical="top" wrapText="1"/>
    </xf>
    <xf numFmtId="0" fontId="7" fillId="17" borderId="0" xfId="11" applyFont="1" applyFill="1" applyAlignment="1">
      <alignment vertical="top" wrapText="1"/>
    </xf>
    <xf numFmtId="0" fontId="7" fillId="17" borderId="0" xfId="11" applyFont="1" applyFill="1" applyAlignment="1">
      <alignment horizontal="left" vertical="top" wrapText="1"/>
    </xf>
    <xf numFmtId="0" fontId="23" fillId="0" borderId="71" xfId="11" applyBorder="1" applyAlignment="1">
      <alignment vertical="center" wrapText="1"/>
    </xf>
    <xf numFmtId="9" fontId="0" fillId="0" borderId="71" xfId="13" applyFont="1" applyBorder="1" applyAlignment="1">
      <alignment horizontal="center" vertical="center"/>
    </xf>
    <xf numFmtId="0" fontId="14" fillId="17" borderId="0" xfId="11" applyFont="1" applyFill="1" applyAlignment="1">
      <alignment vertical="top"/>
    </xf>
    <xf numFmtId="0" fontId="7" fillId="17" borderId="0" xfId="11" applyFont="1" applyFill="1" applyAlignment="1">
      <alignment vertical="top"/>
    </xf>
    <xf numFmtId="0" fontId="7" fillId="17" borderId="0" xfId="11" applyFont="1" applyFill="1" applyAlignment="1">
      <alignment horizontal="left" vertical="top"/>
    </xf>
    <xf numFmtId="4" fontId="7" fillId="17" borderId="0" xfId="11" applyNumberFormat="1" applyFont="1" applyFill="1" applyAlignment="1">
      <alignment horizontal="left" vertical="top"/>
    </xf>
    <xf numFmtId="9" fontId="23" fillId="0" borderId="72" xfId="11" applyNumberFormat="1" applyBorder="1" applyAlignment="1">
      <alignment horizontal="center" vertical="center"/>
    </xf>
    <xf numFmtId="0" fontId="2" fillId="9" borderId="13" xfId="0" applyFont="1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4" borderId="10" xfId="0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 wrapText="1"/>
    </xf>
    <xf numFmtId="0" fontId="0" fillId="6" borderId="12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23" fillId="0" borderId="55" xfId="11" applyBorder="1" applyAlignment="1">
      <alignment horizontal="center"/>
    </xf>
    <xf numFmtId="0" fontId="23" fillId="0" borderId="23" xfId="11" applyBorder="1" applyAlignment="1">
      <alignment horizontal="center"/>
    </xf>
    <xf numFmtId="0" fontId="29" fillId="0" borderId="55" xfId="11" applyFont="1" applyBorder="1" applyAlignment="1">
      <alignment horizontal="center" vertical="center"/>
    </xf>
    <xf numFmtId="49" fontId="29" fillId="0" borderId="59" xfId="11" applyNumberFormat="1" applyFont="1" applyBorder="1" applyAlignment="1">
      <alignment horizontal="center" vertical="center"/>
    </xf>
    <xf numFmtId="49" fontId="29" fillId="0" borderId="54" xfId="11" applyNumberFormat="1" applyFont="1" applyBorder="1" applyAlignment="1">
      <alignment horizontal="center" vertical="center"/>
    </xf>
    <xf numFmtId="49" fontId="29" fillId="0" borderId="53" xfId="11" applyNumberFormat="1" applyFont="1" applyBorder="1" applyAlignment="1">
      <alignment horizontal="center" vertical="center"/>
    </xf>
    <xf numFmtId="0" fontId="23" fillId="0" borderId="55" xfId="11" applyBorder="1" applyAlignment="1">
      <alignment horizontal="center" vertical="center" wrapText="1"/>
    </xf>
    <xf numFmtId="0" fontId="23" fillId="0" borderId="55" xfId="11" applyBorder="1" applyAlignment="1">
      <alignment horizontal="center" vertical="center"/>
    </xf>
    <xf numFmtId="0" fontId="23" fillId="0" borderId="23" xfId="11" applyBorder="1" applyAlignment="1">
      <alignment horizontal="center" vertical="center"/>
    </xf>
    <xf numFmtId="0" fontId="23" fillId="0" borderId="58" xfId="11" applyBorder="1" applyAlignment="1">
      <alignment horizontal="center" vertical="center" wrapText="1"/>
    </xf>
    <xf numFmtId="0" fontId="23" fillId="0" borderId="53" xfId="11" applyBorder="1" applyAlignment="1">
      <alignment horizontal="center" vertical="center" wrapText="1"/>
    </xf>
    <xf numFmtId="0" fontId="23" fillId="0" borderId="59" xfId="11" applyBorder="1" applyAlignment="1">
      <alignment horizontal="center" vertical="center" wrapText="1"/>
    </xf>
    <xf numFmtId="0" fontId="23" fillId="0" borderId="60" xfId="11" applyBorder="1" applyAlignment="1">
      <alignment horizontal="center" vertical="center" wrapText="1"/>
    </xf>
    <xf numFmtId="0" fontId="14" fillId="17" borderId="4" xfId="11" applyFont="1" applyFill="1" applyBorder="1" applyAlignment="1">
      <alignment vertical="top" wrapText="1"/>
    </xf>
    <xf numFmtId="0" fontId="23" fillId="17" borderId="50" xfId="11" applyFill="1" applyBorder="1" applyAlignment="1">
      <alignment vertical="top" wrapText="1"/>
    </xf>
    <xf numFmtId="0" fontId="23" fillId="0" borderId="13" xfId="11" applyBorder="1" applyAlignment="1">
      <alignment horizontal="center" vertical="center"/>
    </xf>
    <xf numFmtId="0" fontId="23" fillId="0" borderId="20" xfId="11" applyBorder="1" applyAlignment="1">
      <alignment horizontal="center" vertical="center"/>
    </xf>
    <xf numFmtId="0" fontId="23" fillId="0" borderId="21" xfId="11" applyBorder="1" applyAlignment="1">
      <alignment horizontal="center" vertical="center"/>
    </xf>
    <xf numFmtId="0" fontId="23" fillId="0" borderId="13" xfId="11" applyBorder="1" applyAlignment="1">
      <alignment horizontal="center" vertical="center" wrapText="1"/>
    </xf>
    <xf numFmtId="0" fontId="23" fillId="0" borderId="13" xfId="1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9">
    <cellStyle name="Comma" xfId="1" builtinId="3"/>
    <cellStyle name="Comma 2" xfId="4" xr:uid="{00000000-0005-0000-0000-000001000000}"/>
    <cellStyle name="Comma 2 2" xfId="8" xr:uid="{ABDC2CFC-A9F6-46D5-807C-81CD66B9A8F3}"/>
    <cellStyle name="Comma 3" xfId="5" xr:uid="{00000000-0005-0000-0000-000002000000}"/>
    <cellStyle name="Comma 3 2" xfId="9" xr:uid="{77E3B574-5F72-423A-8ACC-417E3D257833}"/>
    <cellStyle name="Comma 4" xfId="7" xr:uid="{00000000-0005-0000-0000-000003000000}"/>
    <cellStyle name="Comma 4 2" xfId="10" xr:uid="{EAF5BB22-E3BC-48B0-AC00-F2E6CA0CB758}"/>
    <cellStyle name="Comma 5" xfId="12" xr:uid="{A7182C31-554F-4BBC-A969-205AA8BF61E8}"/>
    <cellStyle name="Comma 6" xfId="17" xr:uid="{5218DC57-32A9-4BD2-A1E5-2F79AC4CAE34}"/>
    <cellStyle name="Currency 2" xfId="15" xr:uid="{487F4A40-1FFE-4D86-BBB7-EB51959BC06E}"/>
    <cellStyle name="Currency 3" xfId="18" xr:uid="{B7909731-F62C-4782-8A0C-F3F521966D1B}"/>
    <cellStyle name="Normal" xfId="0" builtinId="0"/>
    <cellStyle name="Normal 2" xfId="3" xr:uid="{00000000-0005-0000-0000-000005000000}"/>
    <cellStyle name="Normal 2 2" xfId="14" xr:uid="{743E8709-1334-402B-8B2F-FC7148734C55}"/>
    <cellStyle name="Normal 3" xfId="6" xr:uid="{00000000-0005-0000-0000-000006000000}"/>
    <cellStyle name="Normal 3 2" xfId="16" xr:uid="{D08D8E9F-1B33-461A-A8FE-291A16BD5704}"/>
    <cellStyle name="Normal 4" xfId="11" xr:uid="{CBCA2734-28A8-40FC-A594-5F61EE04A24D}"/>
    <cellStyle name="Percent" xfId="2" builtinId="5"/>
    <cellStyle name="Percent 2" xfId="13" xr:uid="{2C5EA635-977A-4BDC-90BE-ABE7A1689C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819548</xdr:colOff>
      <xdr:row>78</xdr:row>
      <xdr:rowOff>34925</xdr:rowOff>
    </xdr:from>
    <xdr:to>
      <xdr:col>15</xdr:col>
      <xdr:colOff>90092</xdr:colOff>
      <xdr:row>81</xdr:row>
      <xdr:rowOff>14686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A22082-E5C7-427E-A9F9-B5CBCF043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823" y="7959725"/>
          <a:ext cx="5080794" cy="465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768350</xdr:colOff>
      <xdr:row>81</xdr:row>
      <xdr:rowOff>146447</xdr:rowOff>
    </xdr:from>
    <xdr:to>
      <xdr:col>17</xdr:col>
      <xdr:colOff>146603</xdr:colOff>
      <xdr:row>96</xdr:row>
      <xdr:rowOff>119002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752ADF-0D30-48BF-809A-524F910C0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1250" y="8557022"/>
          <a:ext cx="6779178" cy="24014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6</xdr:col>
      <xdr:colOff>22465</xdr:colOff>
      <xdr:row>91</xdr:row>
      <xdr:rowOff>141179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3D049C-668F-423F-BEA4-EFE1A058C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762875"/>
          <a:ext cx="6813790" cy="2408129"/>
        </a:xfrm>
        <a:prstGeom prst="rect">
          <a:avLst/>
        </a:prstGeom>
      </xdr:spPr>
    </xdr:pic>
    <xdr:clientData/>
  </xdr:twoCellAnchor>
  <xdr:twoCellAnchor editAs="oneCell">
    <xdr:from>
      <xdr:col>14</xdr:col>
      <xdr:colOff>327420</xdr:colOff>
      <xdr:row>3</xdr:row>
      <xdr:rowOff>1</xdr:rowOff>
    </xdr:from>
    <xdr:to>
      <xdr:col>24</xdr:col>
      <xdr:colOff>536276</xdr:colOff>
      <xdr:row>41</xdr:row>
      <xdr:rowOff>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B3AA6F-FF45-462B-82FA-2E8E6EB47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0920" y="533401"/>
          <a:ext cx="7914581" cy="174466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14</xdr:col>
      <xdr:colOff>50570</xdr:colOff>
      <xdr:row>38</xdr:row>
      <xdr:rowOff>135657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E2F732-6B9E-492B-9BD6-642CEDABB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533400"/>
          <a:ext cx="4079645" cy="138343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36</xdr:row>
      <xdr:rowOff>113940</xdr:rowOff>
    </xdr:from>
    <xdr:to>
      <xdr:col>14</xdr:col>
      <xdr:colOff>35207</xdr:colOff>
      <xdr:row>41</xdr:row>
      <xdr:rowOff>97441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239C79-D5C7-4624-BF73-7A346EF13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34425" y="1590315"/>
          <a:ext cx="4064282" cy="74550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14</xdr:col>
      <xdr:colOff>27525</xdr:colOff>
      <xdr:row>52</xdr:row>
      <xdr:rowOff>22833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B9CC10-C1E4-443F-831C-B88D3C43D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34425" y="2390775"/>
          <a:ext cx="4056600" cy="15468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466725</xdr:colOff>
      <xdr:row>1</xdr:row>
      <xdr:rowOff>161925</xdr:rowOff>
    </xdr:from>
    <xdr:to>
      <xdr:col>19</xdr:col>
      <xdr:colOff>429641</xdr:colOff>
      <xdr:row>48</xdr:row>
      <xdr:rowOff>153650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D6E8F8-CE42-E909-FEA2-C26E3142F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352425"/>
          <a:ext cx="7278116" cy="8954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26</xdr:col>
      <xdr:colOff>401722</xdr:colOff>
      <xdr:row>32</xdr:row>
      <xdr:rowOff>57905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A9627D-1B23-CD46-2C0E-8DB926F2D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781050"/>
          <a:ext cx="11984122" cy="541095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19</xdr:col>
      <xdr:colOff>235338</xdr:colOff>
      <xdr:row>62</xdr:row>
      <xdr:rowOff>25657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D4B6EB-5565-3AE1-379F-9C122BF74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02250" y="6286500"/>
          <a:ext cx="7550538" cy="4997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1724025</xdr:colOff>
      <xdr:row>0</xdr:row>
      <xdr:rowOff>85725</xdr:rowOff>
    </xdr:from>
    <xdr:to>
      <xdr:col>14</xdr:col>
      <xdr:colOff>515459</xdr:colOff>
      <xdr:row>39</xdr:row>
      <xdr:rowOff>162975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766A1-81BF-7E07-6329-F8C596D3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0825" y="85725"/>
          <a:ext cx="7944959" cy="7525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496439</xdr:colOff>
      <xdr:row>60</xdr:row>
      <xdr:rowOff>124724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5D9BE5-0DF0-4881-999D-A036394B2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86200"/>
          <a:ext cx="8164064" cy="643979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17</xdr:col>
      <xdr:colOff>191613</xdr:colOff>
      <xdr:row>61</xdr:row>
      <xdr:rowOff>77092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106A01-B220-F8E4-50BA-C99906514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0025" y="4076700"/>
          <a:ext cx="7973538" cy="63921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0063444\Documents\Production\Capital\New%2022%2023\BEV%202%20N3\November%20Application%202024\Nchwaning%203%20Underground%20Charging%20Bay%20No%202%20-%20Estimate%207%20November%202024.xlsx" TargetMode="External"/><Relationship Id="rId1" Type="http://schemas.openxmlformats.org/officeDocument/2006/relationships/externalLinkPath" Target="file:///C:\Users\10063444\Documents\Production\Capital\New%2022%2023\BEV%202%20N3\November%20Application%202024\Nchwaning%203%20Underground%20Charging%20Bay%20No%202%20-%20Estimate%207%20November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0063444\AppData\Local\Microsoft\Windows\INetCache\Content.Outlook\NNHIWP09\Nchwaning%203%20Underground%20Charging%20Bay%20No%202%20-%20Estimate%204%20April%202024.xlsx" TargetMode="External"/><Relationship Id="rId1" Type="http://schemas.openxmlformats.org/officeDocument/2006/relationships/externalLinkPath" Target="file:///C:\Users\10063444\AppData\Local\Microsoft\Windows\INetCache\Content.Outlook\NNHIWP09\Nchwaning%203%20Underground%20Charging%20Bay%20No%202%20-%20Estimate%204%20April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dget Breakdown"/>
      <sheetName val="Construction Estimate"/>
      <sheetName val="Fee Estimate"/>
      <sheetName val="P &amp; G Estimate"/>
      <sheetName val="Rate Estimator"/>
    </sheetNames>
    <sheetDataSet>
      <sheetData sheetId="0">
        <row r="5">
          <cell r="D5">
            <v>45603</v>
          </cell>
        </row>
      </sheetData>
      <sheetData sheetId="1">
        <row r="1494">
          <cell r="H1494">
            <v>31454356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dget Breakdown"/>
      <sheetName val="Construction Estimate"/>
      <sheetName val="Fee Estimate"/>
      <sheetName val="P &amp; G Estimate"/>
      <sheetName val="Rate Estimator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0"/>
  <sheetViews>
    <sheetView showGridLines="0" zoomScaleNormal="100" workbookViewId="0">
      <selection activeCell="C9" sqref="C9"/>
    </sheetView>
  </sheetViews>
  <sheetFormatPr defaultRowHeight="14.4" x14ac:dyDescent="0.3"/>
  <cols>
    <col min="2" max="2" width="22.5546875" bestFit="1" customWidth="1"/>
    <col min="3" max="3" width="14" customWidth="1"/>
    <col min="4" max="4" width="36.21875" bestFit="1" customWidth="1"/>
    <col min="5" max="5" width="51.77734375" bestFit="1" customWidth="1"/>
    <col min="6" max="6" width="10.44140625" hidden="1" customWidth="1"/>
    <col min="7" max="8" width="11.44140625" hidden="1" customWidth="1"/>
    <col min="9" max="9" width="11.21875" bestFit="1" customWidth="1"/>
  </cols>
  <sheetData>
    <row r="1" spans="2:9" ht="15" thickBot="1" x14ac:dyDescent="0.35"/>
    <row r="2" spans="2:9" ht="18.600000000000001" thickBot="1" x14ac:dyDescent="0.4">
      <c r="B2" s="103"/>
      <c r="C2" s="51"/>
      <c r="D2" s="7"/>
    </row>
    <row r="3" spans="2:9" ht="25.8" x14ac:dyDescent="0.5">
      <c r="B3" s="322" t="s">
        <v>14</v>
      </c>
      <c r="C3" s="323"/>
      <c r="D3" s="95"/>
      <c r="E3" s="7"/>
    </row>
    <row r="4" spans="2:9" ht="25.8" x14ac:dyDescent="0.5">
      <c r="B4" s="324" t="s">
        <v>5</v>
      </c>
      <c r="C4" s="325"/>
      <c r="D4" s="96"/>
      <c r="E4" s="9"/>
    </row>
    <row r="5" spans="2:9" ht="15" thickBot="1" x14ac:dyDescent="0.35">
      <c r="B5" s="10"/>
      <c r="C5" s="9"/>
      <c r="D5" s="9"/>
      <c r="E5" s="9"/>
    </row>
    <row r="6" spans="2:9" x14ac:dyDescent="0.3">
      <c r="B6" s="80"/>
      <c r="C6" s="81" t="s">
        <v>15</v>
      </c>
      <c r="D6" s="7"/>
      <c r="E6" s="9"/>
    </row>
    <row r="7" spans="2:9" x14ac:dyDescent="0.3">
      <c r="B7" s="11"/>
      <c r="C7" s="21" t="s">
        <v>0</v>
      </c>
      <c r="D7" s="12" t="s">
        <v>4</v>
      </c>
      <c r="E7" s="9"/>
    </row>
    <row r="8" spans="2:9" x14ac:dyDescent="0.3">
      <c r="B8" s="11" t="s">
        <v>78</v>
      </c>
      <c r="C8" s="28">
        <f>'Mining works'!H26+'Mining works'!H33</f>
        <v>0</v>
      </c>
      <c r="D8" s="14" t="s">
        <v>64</v>
      </c>
      <c r="E8" s="9"/>
    </row>
    <row r="9" spans="2:9" x14ac:dyDescent="0.3">
      <c r="B9" s="11" t="s">
        <v>31</v>
      </c>
      <c r="C9" s="104">
        <f>'Consulting Design '!E9</f>
        <v>0</v>
      </c>
      <c r="D9" s="105" t="s">
        <v>92</v>
      </c>
      <c r="E9" s="9"/>
    </row>
    <row r="10" spans="2:9" ht="15" thickBot="1" x14ac:dyDescent="0.35">
      <c r="B10" s="16"/>
      <c r="C10" s="82">
        <f>SUM(C8:C9)</f>
        <v>0</v>
      </c>
      <c r="D10" s="83"/>
      <c r="E10" s="9"/>
      <c r="H10" s="57"/>
    </row>
    <row r="11" spans="2:9" ht="15" thickBot="1" x14ac:dyDescent="0.35">
      <c r="B11" s="16"/>
      <c r="C11" s="17"/>
      <c r="D11" s="17"/>
      <c r="E11" s="17"/>
    </row>
    <row r="12" spans="2:9" ht="15" thickBot="1" x14ac:dyDescent="0.35">
      <c r="B12" s="10"/>
      <c r="D12" s="9"/>
      <c r="I12" s="57"/>
    </row>
    <row r="13" spans="2:9" ht="21.6" thickBot="1" x14ac:dyDescent="0.45">
      <c r="B13" s="326" t="s">
        <v>15</v>
      </c>
      <c r="C13" s="327"/>
      <c r="D13" s="18"/>
    </row>
    <row r="14" spans="2:9" x14ac:dyDescent="0.3">
      <c r="B14" s="19"/>
      <c r="C14" s="49" t="s">
        <v>16</v>
      </c>
      <c r="D14" s="7"/>
      <c r="E14" s="99" t="s">
        <v>4</v>
      </c>
      <c r="G14" t="e">
        <f>#REF!/G16</f>
        <v>#REF!</v>
      </c>
    </row>
    <row r="15" spans="2:9" x14ac:dyDescent="0.3">
      <c r="B15" s="11" t="s">
        <v>17</v>
      </c>
      <c r="C15" s="29">
        <f>C10</f>
        <v>0</v>
      </c>
      <c r="D15" s="100"/>
      <c r="E15" s="100"/>
      <c r="G15" t="e">
        <f>#REF!/C17</f>
        <v>#REF!</v>
      </c>
    </row>
    <row r="16" spans="2:9" x14ac:dyDescent="0.3">
      <c r="B16" s="11" t="s">
        <v>18</v>
      </c>
      <c r="C16" s="30">
        <f>C15*0.05</f>
        <v>0</v>
      </c>
      <c r="D16" s="101">
        <v>0.05</v>
      </c>
      <c r="E16" s="101">
        <v>0.05</v>
      </c>
      <c r="G16" s="57" t="e">
        <f>C10+#REF!</f>
        <v>#REF!</v>
      </c>
    </row>
    <row r="17" spans="2:8" x14ac:dyDescent="0.3">
      <c r="B17" s="11" t="s">
        <v>19</v>
      </c>
      <c r="C17" s="31">
        <f>(C15+C16)*0.1</f>
        <v>0</v>
      </c>
      <c r="D17" s="101">
        <v>0.1</v>
      </c>
      <c r="E17" s="101">
        <v>0.1</v>
      </c>
      <c r="F17" s="57" t="e">
        <f>C17-#REF!</f>
        <v>#REF!</v>
      </c>
      <c r="G17" s="57">
        <f>C15+C17</f>
        <v>0</v>
      </c>
      <c r="H17" s="77" t="e">
        <f>C17/C15</f>
        <v>#DIV/0!</v>
      </c>
    </row>
    <row r="18" spans="2:8" x14ac:dyDescent="0.3">
      <c r="B18" s="11" t="s">
        <v>20</v>
      </c>
      <c r="C18" s="29">
        <f>SUM(C15:C17)</f>
        <v>0</v>
      </c>
      <c r="D18" s="100"/>
      <c r="E18" s="100"/>
    </row>
    <row r="19" spans="2:8" x14ac:dyDescent="0.3">
      <c r="B19" s="11" t="s">
        <v>21</v>
      </c>
      <c r="C19" s="31">
        <f>0.05*C18</f>
        <v>0</v>
      </c>
      <c r="D19" s="101">
        <v>0.05</v>
      </c>
      <c r="E19" s="101">
        <v>0.05</v>
      </c>
    </row>
    <row r="20" spans="2:8" ht="15" thickBot="1" x14ac:dyDescent="0.35">
      <c r="B20" s="20" t="s">
        <v>22</v>
      </c>
      <c r="C20" s="32">
        <f>C18+C19</f>
        <v>0</v>
      </c>
      <c r="D20" s="102"/>
      <c r="E20" s="102"/>
    </row>
  </sheetData>
  <mergeCells count="3">
    <mergeCell ref="B3:C3"/>
    <mergeCell ref="B4:C4"/>
    <mergeCell ref="B13:C13"/>
  </mergeCells>
  <pageMargins left="0.7" right="0.7" top="0.75" bottom="0.75" header="0.3" footer="0.3"/>
  <pageSetup paperSize="9" scale="8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2"/>
  <sheetViews>
    <sheetView tabSelected="1" workbookViewId="0">
      <selection activeCell="E15" sqref="E15"/>
    </sheetView>
  </sheetViews>
  <sheetFormatPr defaultRowHeight="14.4" x14ac:dyDescent="0.3"/>
  <cols>
    <col min="2" max="2" width="22.21875" bestFit="1" customWidth="1"/>
    <col min="3" max="3" width="12.21875" bestFit="1" customWidth="1"/>
    <col min="4" max="4" width="9.21875" bestFit="1" customWidth="1"/>
    <col min="5" max="5" width="13.44140625" bestFit="1" customWidth="1"/>
  </cols>
  <sheetData>
    <row r="3" spans="2:5" ht="15" thickBot="1" x14ac:dyDescent="0.35"/>
    <row r="4" spans="2:5" ht="15" thickBot="1" x14ac:dyDescent="0.35">
      <c r="B4" s="42" t="s">
        <v>87</v>
      </c>
      <c r="C4" s="88" t="s">
        <v>1</v>
      </c>
      <c r="D4" s="88" t="s">
        <v>2</v>
      </c>
      <c r="E4" s="89" t="s">
        <v>3</v>
      </c>
    </row>
    <row r="5" spans="2:5" x14ac:dyDescent="0.3">
      <c r="B5" t="s">
        <v>88</v>
      </c>
      <c r="C5" s="67">
        <v>2680456</v>
      </c>
      <c r="D5" s="67">
        <v>6</v>
      </c>
      <c r="E5" s="67">
        <f t="shared" ref="E5:E10" si="0">D5*C5</f>
        <v>16082736</v>
      </c>
    </row>
    <row r="6" spans="2:5" x14ac:dyDescent="0.3">
      <c r="B6" t="s">
        <v>89</v>
      </c>
      <c r="C6" s="67">
        <v>346300.54</v>
      </c>
      <c r="D6" s="67">
        <v>6</v>
      </c>
      <c r="E6" s="67">
        <f t="shared" si="0"/>
        <v>2077803.2399999998</v>
      </c>
    </row>
    <row r="7" spans="2:5" x14ac:dyDescent="0.3">
      <c r="B7" t="s">
        <v>109</v>
      </c>
      <c r="C7" s="67">
        <v>107748.29</v>
      </c>
      <c r="D7" s="67">
        <v>6</v>
      </c>
      <c r="E7" s="67">
        <f t="shared" si="0"/>
        <v>646489.74</v>
      </c>
    </row>
    <row r="8" spans="2:5" x14ac:dyDescent="0.3">
      <c r="B8" t="s">
        <v>99</v>
      </c>
      <c r="C8" s="67">
        <v>617376</v>
      </c>
      <c r="D8" s="67">
        <v>6</v>
      </c>
      <c r="E8" s="67">
        <f t="shared" si="0"/>
        <v>3704256</v>
      </c>
    </row>
    <row r="9" spans="2:5" x14ac:dyDescent="0.3">
      <c r="B9" t="s">
        <v>213</v>
      </c>
      <c r="C9" s="67">
        <v>827322.24</v>
      </c>
      <c r="D9" s="67">
        <v>1</v>
      </c>
      <c r="E9" s="67">
        <f t="shared" si="0"/>
        <v>827322.24</v>
      </c>
    </row>
    <row r="10" spans="2:5" x14ac:dyDescent="0.3">
      <c r="B10" t="s">
        <v>214</v>
      </c>
      <c r="C10" s="67">
        <v>1500000</v>
      </c>
      <c r="D10" s="67">
        <v>1</v>
      </c>
      <c r="E10" s="67">
        <f t="shared" si="0"/>
        <v>1500000</v>
      </c>
    </row>
    <row r="11" spans="2:5" ht="15" thickBot="1" x14ac:dyDescent="0.35">
      <c r="C11" s="67"/>
      <c r="D11" s="67"/>
      <c r="E11" s="75">
        <f>SUM(E5:E10)</f>
        <v>24838607.219999995</v>
      </c>
    </row>
    <row r="12" spans="2:5" ht="15" thickTop="1" x14ac:dyDescent="0.3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19"/>
  <sheetViews>
    <sheetView workbookViewId="0">
      <selection activeCell="E8" sqref="E8"/>
    </sheetView>
  </sheetViews>
  <sheetFormatPr defaultRowHeight="14.4" x14ac:dyDescent="0.3"/>
  <cols>
    <col min="2" max="2" width="28.44140625" bestFit="1" customWidth="1"/>
    <col min="3" max="3" width="12.77734375" bestFit="1" customWidth="1"/>
    <col min="5" max="5" width="13.5546875" bestFit="1" customWidth="1"/>
    <col min="6" max="6" width="64.21875" customWidth="1"/>
  </cols>
  <sheetData>
    <row r="2" spans="2:5" ht="15" thickBot="1" x14ac:dyDescent="0.35"/>
    <row r="3" spans="2:5" ht="15" thickBot="1" x14ac:dyDescent="0.35">
      <c r="B3" s="1"/>
      <c r="C3" s="2" t="s">
        <v>1</v>
      </c>
      <c r="D3" s="2" t="s">
        <v>2</v>
      </c>
      <c r="E3" s="3" t="s">
        <v>3</v>
      </c>
    </row>
    <row r="4" spans="2:5" x14ac:dyDescent="0.3">
      <c r="B4" s="90" t="s">
        <v>29</v>
      </c>
      <c r="E4" s="92"/>
    </row>
    <row r="5" spans="2:5" x14ac:dyDescent="0.3">
      <c r="B5" s="93" t="s">
        <v>30</v>
      </c>
      <c r="C5" s="124">
        <v>1141790</v>
      </c>
      <c r="D5" s="23">
        <v>2</v>
      </c>
      <c r="E5" s="125">
        <f>D5*C5</f>
        <v>2283580</v>
      </c>
    </row>
    <row r="6" spans="2:5" x14ac:dyDescent="0.3">
      <c r="B6" s="93"/>
      <c r="C6" s="13"/>
      <c r="D6" s="23"/>
      <c r="E6" s="125"/>
    </row>
    <row r="7" spans="2:5" x14ac:dyDescent="0.3">
      <c r="B7" s="94"/>
      <c r="C7" s="23"/>
      <c r="D7" s="23"/>
      <c r="E7" s="125">
        <f>SUM(E5:E6)</f>
        <v>2283580</v>
      </c>
    </row>
    <row r="19" spans="2:2" x14ac:dyDescent="0.3">
      <c r="B19" t="s">
        <v>91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P32"/>
  <sheetViews>
    <sheetView topLeftCell="A3" workbookViewId="0">
      <selection activeCell="E15" sqref="E15"/>
    </sheetView>
  </sheetViews>
  <sheetFormatPr defaultColWidth="9.21875" defaultRowHeight="13.2" x14ac:dyDescent="0.25"/>
  <cols>
    <col min="1" max="1" width="23" style="84" bestFit="1" customWidth="1"/>
    <col min="2" max="2" width="19.44140625" style="84" bestFit="1" customWidth="1"/>
    <col min="3" max="3" width="27.21875" style="84" customWidth="1"/>
    <col min="4" max="4" width="25.77734375" style="84" customWidth="1"/>
    <col min="5" max="5" width="19.5546875" style="84" customWidth="1"/>
    <col min="6" max="6" width="9.21875" style="84"/>
    <col min="7" max="7" width="13.44140625" style="84" bestFit="1" customWidth="1"/>
    <col min="8" max="8" width="30" style="84" bestFit="1" customWidth="1"/>
    <col min="9" max="9" width="6.77734375" style="84" bestFit="1" customWidth="1"/>
    <col min="10" max="10" width="20.44140625" style="84" bestFit="1" customWidth="1"/>
    <col min="11" max="11" width="23" style="84" bestFit="1" customWidth="1"/>
    <col min="12" max="12" width="27.5546875" style="84" bestFit="1" customWidth="1"/>
    <col min="13" max="16384" width="9.21875" style="84"/>
  </cols>
  <sheetData>
    <row r="3" spans="1:16" ht="13.8" thickBot="1" x14ac:dyDescent="0.3"/>
    <row r="4" spans="1:16" ht="16.2" thickBot="1" x14ac:dyDescent="0.3">
      <c r="A4" s="118" t="s">
        <v>12</v>
      </c>
      <c r="B4" s="119" t="s">
        <v>101</v>
      </c>
      <c r="C4" s="119" t="s">
        <v>108</v>
      </c>
      <c r="D4" s="119" t="s">
        <v>106</v>
      </c>
      <c r="E4" s="119" t="s">
        <v>3</v>
      </c>
    </row>
    <row r="5" spans="1:16" ht="15" thickBot="1" x14ac:dyDescent="0.3">
      <c r="A5" s="120" t="s">
        <v>70</v>
      </c>
      <c r="B5" s="121" t="s">
        <v>103</v>
      </c>
      <c r="C5" s="122">
        <v>600</v>
      </c>
      <c r="D5" s="123">
        <v>644.22</v>
      </c>
      <c r="E5" s="123">
        <f t="shared" ref="E5:E10" si="0">D5*C5</f>
        <v>386532</v>
      </c>
    </row>
    <row r="6" spans="1:16" ht="15" thickBot="1" x14ac:dyDescent="0.3">
      <c r="A6" s="120" t="s">
        <v>69</v>
      </c>
      <c r="B6" s="121" t="s">
        <v>103</v>
      </c>
      <c r="C6" s="122">
        <v>600</v>
      </c>
      <c r="D6" s="123">
        <v>52.39</v>
      </c>
      <c r="E6" s="123">
        <f t="shared" si="0"/>
        <v>31434</v>
      </c>
    </row>
    <row r="7" spans="1:16" ht="15" thickBot="1" x14ac:dyDescent="0.3">
      <c r="A7" s="120" t="s">
        <v>68</v>
      </c>
      <c r="B7" s="121" t="s">
        <v>103</v>
      </c>
      <c r="C7" s="122">
        <v>1500</v>
      </c>
      <c r="D7" s="123">
        <v>72.849999999999994</v>
      </c>
      <c r="E7" s="123">
        <f t="shared" si="0"/>
        <v>109274.99999999999</v>
      </c>
    </row>
    <row r="8" spans="1:16" ht="15" thickBot="1" x14ac:dyDescent="0.3">
      <c r="A8" s="120" t="s">
        <v>104</v>
      </c>
      <c r="B8" s="121" t="s">
        <v>103</v>
      </c>
      <c r="C8" s="122">
        <v>1500</v>
      </c>
      <c r="D8" s="123">
        <v>1028</v>
      </c>
      <c r="E8" s="123">
        <f t="shared" si="0"/>
        <v>1542000</v>
      </c>
    </row>
    <row r="9" spans="1:16" ht="15" thickBot="1" x14ac:dyDescent="0.3">
      <c r="A9" s="120" t="s">
        <v>67</v>
      </c>
      <c r="B9" s="121" t="s">
        <v>105</v>
      </c>
      <c r="C9" s="122">
        <v>1000</v>
      </c>
      <c r="D9" s="123">
        <v>20.691000000000003</v>
      </c>
      <c r="E9" s="123">
        <f t="shared" si="0"/>
        <v>20691.000000000004</v>
      </c>
    </row>
    <row r="10" spans="1:16" ht="15" thickBot="1" x14ac:dyDescent="0.3">
      <c r="A10" s="120" t="s">
        <v>107</v>
      </c>
      <c r="B10" s="121" t="s">
        <v>102</v>
      </c>
      <c r="C10" s="122">
        <v>600</v>
      </c>
      <c r="D10" s="123">
        <v>654.1191</v>
      </c>
      <c r="E10" s="123">
        <f t="shared" si="0"/>
        <v>392471.46</v>
      </c>
      <c r="G10" s="127"/>
    </row>
    <row r="11" spans="1:16" ht="15" thickBot="1" x14ac:dyDescent="0.35">
      <c r="A11" s="42" t="s">
        <v>12</v>
      </c>
      <c r="B11" s="88" t="s">
        <v>110</v>
      </c>
      <c r="C11" s="88" t="s">
        <v>1</v>
      </c>
      <c r="D11" s="88" t="s">
        <v>2</v>
      </c>
      <c r="E11" s="89" t="s">
        <v>3</v>
      </c>
    </row>
    <row r="12" spans="1:16" ht="14.4" x14ac:dyDescent="0.3">
      <c r="A12" s="128" t="s">
        <v>125</v>
      </c>
      <c r="B12" s="128" t="s">
        <v>127</v>
      </c>
      <c r="C12" s="140">
        <v>19950</v>
      </c>
      <c r="D12" s="140">
        <v>29</v>
      </c>
      <c r="E12" s="141">
        <f>D12*C12</f>
        <v>578550</v>
      </c>
    </row>
    <row r="13" spans="1:16" ht="14.4" x14ac:dyDescent="0.3">
      <c r="A13" s="128" t="s">
        <v>111</v>
      </c>
      <c r="B13" s="128" t="s">
        <v>112</v>
      </c>
      <c r="C13" s="140">
        <v>4850</v>
      </c>
      <c r="D13" s="140">
        <v>30</v>
      </c>
      <c r="E13" s="141">
        <f>D13*C13</f>
        <v>145500</v>
      </c>
    </row>
    <row r="14" spans="1:16" ht="15" thickBot="1" x14ac:dyDescent="0.35">
      <c r="C14" s="142"/>
      <c r="D14" s="91"/>
      <c r="E14" s="143">
        <f>SUM(E5:E13)</f>
        <v>3206453.46</v>
      </c>
    </row>
    <row r="15" spans="1:16" ht="15" thickTop="1" x14ac:dyDescent="0.3">
      <c r="E15" s="142"/>
      <c r="G15" s="129" t="s">
        <v>113</v>
      </c>
      <c r="H15" s="129" t="s">
        <v>114</v>
      </c>
      <c r="I15" s="129" t="s">
        <v>115</v>
      </c>
      <c r="J15" s="129" t="s">
        <v>116</v>
      </c>
      <c r="K15" s="129" t="s">
        <v>117</v>
      </c>
      <c r="L15" s="129" t="s">
        <v>118</v>
      </c>
      <c r="M15" s="132" t="s">
        <v>119</v>
      </c>
      <c r="N15"/>
      <c r="O15"/>
      <c r="P15"/>
    </row>
    <row r="16" spans="1:16" ht="14.4" x14ac:dyDescent="0.3">
      <c r="G16" s="130" t="s">
        <v>120</v>
      </c>
      <c r="H16" s="130" t="s">
        <v>121</v>
      </c>
      <c r="I16" s="131" t="s">
        <v>122</v>
      </c>
      <c r="J16" s="131" t="s">
        <v>123</v>
      </c>
      <c r="K16" s="130" t="s">
        <v>112</v>
      </c>
      <c r="L16" s="134" t="s">
        <v>124</v>
      </c>
      <c r="M16" s="133">
        <v>4850</v>
      </c>
      <c r="N16"/>
      <c r="O16"/>
      <c r="P16"/>
    </row>
    <row r="17" spans="7:16" ht="14.4" x14ac:dyDescent="0.3">
      <c r="G17"/>
      <c r="H17"/>
      <c r="I17"/>
      <c r="J17"/>
      <c r="K17"/>
      <c r="L17"/>
      <c r="M17"/>
      <c r="N17"/>
      <c r="O17"/>
      <c r="P17"/>
    </row>
    <row r="18" spans="7:16" x14ac:dyDescent="0.25">
      <c r="G18" s="135"/>
      <c r="H18" s="135"/>
      <c r="I18" s="135"/>
      <c r="J18" s="135"/>
      <c r="K18" s="135"/>
      <c r="L18" s="135"/>
      <c r="M18" s="135"/>
      <c r="N18" s="135"/>
      <c r="O18" s="135"/>
      <c r="P18" s="135"/>
    </row>
    <row r="19" spans="7:16" x14ac:dyDescent="0.25">
      <c r="G19" s="136"/>
      <c r="H19" s="136"/>
      <c r="I19" s="136"/>
      <c r="J19" s="137"/>
      <c r="K19" s="136"/>
      <c r="L19" s="138"/>
      <c r="M19" s="138"/>
      <c r="N19" s="138"/>
      <c r="O19" s="139"/>
      <c r="P19" s="139"/>
    </row>
    <row r="32" spans="7:16" x14ac:dyDescent="0.25">
      <c r="H32" s="84" t="s">
        <v>126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4:F6"/>
  <sheetViews>
    <sheetView workbookViewId="0">
      <selection activeCell="K3" sqref="K3"/>
    </sheetView>
  </sheetViews>
  <sheetFormatPr defaultRowHeight="14.4" x14ac:dyDescent="0.3"/>
  <cols>
    <col min="3" max="3" width="12.21875" bestFit="1" customWidth="1"/>
    <col min="4" max="4" width="10.77734375" bestFit="1" customWidth="1"/>
    <col min="6" max="6" width="10.77734375" bestFit="1" customWidth="1"/>
  </cols>
  <sheetData>
    <row r="4" spans="3:6" ht="15" thickBot="1" x14ac:dyDescent="0.35"/>
    <row r="5" spans="3:6" ht="15" thickBot="1" x14ac:dyDescent="0.35">
      <c r="C5" s="42" t="s">
        <v>83</v>
      </c>
      <c r="D5" s="88" t="s">
        <v>1</v>
      </c>
      <c r="E5" s="88" t="s">
        <v>2</v>
      </c>
      <c r="F5" s="89" t="s">
        <v>3</v>
      </c>
    </row>
    <row r="6" spans="3:6" x14ac:dyDescent="0.3">
      <c r="C6" t="s">
        <v>84</v>
      </c>
      <c r="D6" s="67">
        <v>500000</v>
      </c>
      <c r="E6">
        <v>1</v>
      </c>
      <c r="F6" s="67">
        <f>D6*E6</f>
        <v>500000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6:L22"/>
  <sheetViews>
    <sheetView workbookViewId="0">
      <selection activeCell="P22" sqref="P22"/>
    </sheetView>
  </sheetViews>
  <sheetFormatPr defaultRowHeight="14.4" x14ac:dyDescent="0.3"/>
  <cols>
    <col min="5" max="5" width="18.77734375" bestFit="1" customWidth="1"/>
    <col min="6" max="6" width="15.21875" bestFit="1" customWidth="1"/>
    <col min="10" max="10" width="4.44140625" bestFit="1" customWidth="1"/>
    <col min="11" max="11" width="29.21875" bestFit="1" customWidth="1"/>
    <col min="12" max="12" width="17" bestFit="1" customWidth="1"/>
  </cols>
  <sheetData>
    <row r="6" spans="5:12" ht="21" x14ac:dyDescent="0.4">
      <c r="E6" s="78" t="s">
        <v>63</v>
      </c>
    </row>
    <row r="7" spans="5:12" ht="15" thickBot="1" x14ac:dyDescent="0.35"/>
    <row r="8" spans="5:12" ht="15" thickBot="1" x14ac:dyDescent="0.35">
      <c r="E8" s="79" t="s">
        <v>61</v>
      </c>
      <c r="F8" s="177">
        <v>3180792</v>
      </c>
      <c r="J8" s="170"/>
      <c r="K8" s="161"/>
      <c r="L8" s="162"/>
    </row>
    <row r="9" spans="5:12" x14ac:dyDescent="0.3">
      <c r="J9" s="171"/>
      <c r="K9" s="163"/>
      <c r="L9" s="164"/>
    </row>
    <row r="10" spans="5:12" x14ac:dyDescent="0.3">
      <c r="J10" s="172"/>
      <c r="K10" s="165"/>
      <c r="L10" s="166"/>
    </row>
    <row r="11" spans="5:12" x14ac:dyDescent="0.3">
      <c r="J11" s="173"/>
      <c r="K11" s="167"/>
      <c r="L11" s="168"/>
    </row>
    <row r="12" spans="5:12" x14ac:dyDescent="0.3">
      <c r="J12" s="173"/>
      <c r="K12" s="167"/>
      <c r="L12" s="168"/>
    </row>
    <row r="13" spans="5:12" x14ac:dyDescent="0.3">
      <c r="J13" s="173"/>
      <c r="K13" s="167"/>
      <c r="L13" s="168"/>
    </row>
    <row r="14" spans="5:12" x14ac:dyDescent="0.3">
      <c r="J14" s="173"/>
      <c r="K14" s="169"/>
      <c r="L14" s="168"/>
    </row>
    <row r="15" spans="5:12" ht="15" thickBot="1" x14ac:dyDescent="0.35">
      <c r="J15" s="174"/>
      <c r="K15" s="175"/>
      <c r="L15" s="176"/>
    </row>
    <row r="16" spans="5:12" ht="15" thickBot="1" x14ac:dyDescent="0.35"/>
    <row r="17" spans="10:12" ht="15" thickBot="1" x14ac:dyDescent="0.35">
      <c r="J17" s="179"/>
      <c r="K17" s="181" t="s">
        <v>134</v>
      </c>
      <c r="L17" s="182" t="s">
        <v>135</v>
      </c>
    </row>
    <row r="18" spans="10:12" x14ac:dyDescent="0.3">
      <c r="J18" s="179"/>
      <c r="K18" s="183"/>
      <c r="L18" s="184"/>
    </row>
    <row r="19" spans="10:12" x14ac:dyDescent="0.3">
      <c r="J19" s="180">
        <v>1</v>
      </c>
      <c r="K19" s="185" t="s">
        <v>136</v>
      </c>
      <c r="L19" s="186"/>
    </row>
    <row r="20" spans="10:12" x14ac:dyDescent="0.3">
      <c r="J20" s="187">
        <v>1.1000000000000001</v>
      </c>
      <c r="K20" s="188" t="s">
        <v>137</v>
      </c>
      <c r="L20" s="189">
        <v>38492150</v>
      </c>
    </row>
    <row r="21" spans="10:12" x14ac:dyDescent="0.3">
      <c r="J21" s="187">
        <v>1.2</v>
      </c>
      <c r="K21" s="188" t="s">
        <v>138</v>
      </c>
      <c r="L21" s="189">
        <v>3918412</v>
      </c>
    </row>
    <row r="22" spans="10:12" x14ac:dyDescent="0.3">
      <c r="J22" s="187">
        <v>1.3</v>
      </c>
      <c r="K22" s="188" t="s">
        <v>139</v>
      </c>
      <c r="L22" s="189">
        <v>3180792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4:F6"/>
  <sheetViews>
    <sheetView workbookViewId="0">
      <selection activeCell="K31" sqref="K31"/>
    </sheetView>
  </sheetViews>
  <sheetFormatPr defaultRowHeight="14.4" x14ac:dyDescent="0.3"/>
  <cols>
    <col min="3" max="3" width="18.5546875" bestFit="1" customWidth="1"/>
    <col min="4" max="4" width="12.5546875" bestFit="1" customWidth="1"/>
  </cols>
  <sheetData>
    <row r="4" spans="3:6" ht="15" thickBot="1" x14ac:dyDescent="0.35"/>
    <row r="5" spans="3:6" x14ac:dyDescent="0.3">
      <c r="C5" s="106" t="s">
        <v>80</v>
      </c>
      <c r="D5" s="97" t="s">
        <v>1</v>
      </c>
      <c r="E5" s="97" t="s">
        <v>2</v>
      </c>
      <c r="F5" s="98" t="s">
        <v>3</v>
      </c>
    </row>
    <row r="6" spans="3:6" x14ac:dyDescent="0.3">
      <c r="C6" s="23" t="s">
        <v>93</v>
      </c>
      <c r="D6" s="23">
        <f>700000*1.2</f>
        <v>840000</v>
      </c>
      <c r="E6" s="23"/>
      <c r="F6" s="23">
        <v>3850000.0000000005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F34"/>
  <sheetViews>
    <sheetView workbookViewId="0">
      <selection activeCell="D10" sqref="D10"/>
    </sheetView>
  </sheetViews>
  <sheetFormatPr defaultRowHeight="14.4" x14ac:dyDescent="0.3"/>
  <cols>
    <col min="2" max="2" width="28.44140625" bestFit="1" customWidth="1"/>
    <col min="3" max="3" width="10.77734375" bestFit="1" customWidth="1"/>
    <col min="5" max="5" width="14.21875" bestFit="1" customWidth="1"/>
    <col min="6" max="6" width="23.77734375" customWidth="1"/>
    <col min="15" max="15" width="26.44140625" bestFit="1" customWidth="1"/>
    <col min="18" max="18" width="10.21875" bestFit="1" customWidth="1"/>
  </cols>
  <sheetData>
    <row r="1" spans="2:6" ht="25.8" x14ac:dyDescent="0.5">
      <c r="B1" s="322" t="s">
        <v>25</v>
      </c>
      <c r="C1" s="354"/>
      <c r="D1" s="354"/>
      <c r="E1" s="323"/>
    </row>
    <row r="2" spans="2:6" ht="26.4" thickBot="1" x14ac:dyDescent="0.55000000000000004">
      <c r="B2" s="355" t="s">
        <v>5</v>
      </c>
      <c r="C2" s="356"/>
      <c r="D2" s="356"/>
      <c r="E2" s="357"/>
    </row>
    <row r="3" spans="2:6" ht="15" thickBot="1" x14ac:dyDescent="0.35">
      <c r="B3" s="61"/>
      <c r="C3" s="60" t="s">
        <v>1</v>
      </c>
      <c r="D3" s="60" t="s">
        <v>2</v>
      </c>
      <c r="E3" s="62" t="s">
        <v>3</v>
      </c>
      <c r="F3" s="4" t="s">
        <v>4</v>
      </c>
    </row>
    <row r="4" spans="2:6" ht="15" thickBot="1" x14ac:dyDescent="0.35">
      <c r="B4" s="42" t="s">
        <v>5</v>
      </c>
      <c r="C4" s="44"/>
      <c r="D4" s="65"/>
      <c r="E4" s="37" t="e">
        <f>+E5+E8++E12+E15+E14+E13</f>
        <v>#REF!</v>
      </c>
    </row>
    <row r="5" spans="2:6" ht="15" thickBot="1" x14ac:dyDescent="0.35">
      <c r="B5" s="45" t="s">
        <v>32</v>
      </c>
      <c r="C5" s="58">
        <f>TSL!E6</f>
        <v>2466240</v>
      </c>
      <c r="D5" s="23">
        <v>1</v>
      </c>
      <c r="E5" s="59">
        <f t="shared" ref="E5:E15" si="0">C5*D5</f>
        <v>2466240</v>
      </c>
      <c r="F5" t="s">
        <v>34</v>
      </c>
    </row>
    <row r="6" spans="2:6" ht="15" thickBot="1" x14ac:dyDescent="0.35">
      <c r="B6" s="24" t="s">
        <v>73</v>
      </c>
      <c r="C6" s="58"/>
      <c r="D6" s="23"/>
      <c r="E6" s="59"/>
    </row>
    <row r="7" spans="2:6" ht="15" thickBot="1" x14ac:dyDescent="0.35">
      <c r="B7" s="24" t="s">
        <v>74</v>
      </c>
      <c r="C7" s="58"/>
      <c r="D7" s="23"/>
      <c r="E7" s="59"/>
    </row>
    <row r="8" spans="2:6" ht="15" thickBot="1" x14ac:dyDescent="0.35">
      <c r="B8" s="45" t="s">
        <v>6</v>
      </c>
      <c r="C8" s="13"/>
      <c r="D8" s="23"/>
      <c r="E8" s="38">
        <f>+E9+E10+E11</f>
        <v>2043548</v>
      </c>
      <c r="F8" t="s">
        <v>35</v>
      </c>
    </row>
    <row r="9" spans="2:6" x14ac:dyDescent="0.3">
      <c r="B9" s="24" t="s">
        <v>7</v>
      </c>
      <c r="C9" s="13">
        <v>338</v>
      </c>
      <c r="D9" s="23">
        <v>1890</v>
      </c>
      <c r="E9" s="35">
        <f>C9*D9</f>
        <v>638820</v>
      </c>
    </row>
    <row r="10" spans="2:6" x14ac:dyDescent="0.3">
      <c r="B10" s="24" t="s">
        <v>27</v>
      </c>
      <c r="C10" s="13">
        <v>338</v>
      </c>
      <c r="D10" s="23">
        <v>2656</v>
      </c>
      <c r="E10" s="22">
        <f>C10*D10</f>
        <v>897728</v>
      </c>
    </row>
    <row r="11" spans="2:6" x14ac:dyDescent="0.3">
      <c r="B11" s="24" t="s">
        <v>8</v>
      </c>
      <c r="C11" s="13">
        <v>338</v>
      </c>
      <c r="D11" s="23">
        <v>1500</v>
      </c>
      <c r="E11" s="22">
        <f>C11*D11</f>
        <v>507000</v>
      </c>
    </row>
    <row r="12" spans="2:6" ht="15" thickBot="1" x14ac:dyDescent="0.35">
      <c r="B12" s="45" t="s">
        <v>10</v>
      </c>
      <c r="C12" s="13" t="e">
        <f>'Overhead crane'!#REF!</f>
        <v>#REF!</v>
      </c>
      <c r="D12" s="23">
        <v>1</v>
      </c>
      <c r="E12" s="32" t="e">
        <f t="shared" si="0"/>
        <v>#REF!</v>
      </c>
      <c r="F12" t="s">
        <v>11</v>
      </c>
    </row>
    <row r="13" spans="2:6" ht="15" thickBot="1" x14ac:dyDescent="0.35">
      <c r="B13" s="45" t="s">
        <v>29</v>
      </c>
      <c r="C13" s="13">
        <f>Transformers!E4</f>
        <v>0</v>
      </c>
      <c r="D13" s="23">
        <v>1</v>
      </c>
      <c r="E13" s="41">
        <f t="shared" si="0"/>
        <v>0</v>
      </c>
    </row>
    <row r="14" spans="2:6" ht="15" thickBot="1" x14ac:dyDescent="0.35">
      <c r="B14" s="45" t="s">
        <v>12</v>
      </c>
      <c r="C14" s="13">
        <v>1000000</v>
      </c>
      <c r="D14" s="23">
        <v>1</v>
      </c>
      <c r="E14" s="40">
        <f t="shared" si="0"/>
        <v>1000000</v>
      </c>
    </row>
    <row r="15" spans="2:6" ht="15" thickBot="1" x14ac:dyDescent="0.35">
      <c r="B15" s="66" t="s">
        <v>13</v>
      </c>
      <c r="C15" s="26">
        <v>200000</v>
      </c>
      <c r="D15" s="27">
        <v>1</v>
      </c>
      <c r="E15" s="41">
        <f t="shared" si="0"/>
        <v>200000</v>
      </c>
    </row>
    <row r="17" spans="2:6" ht="15" thickBot="1" x14ac:dyDescent="0.35"/>
    <row r="18" spans="2:6" ht="26.4" thickBot="1" x14ac:dyDescent="0.55000000000000004">
      <c r="B18" s="358" t="s">
        <v>58</v>
      </c>
      <c r="C18" s="359"/>
      <c r="D18" s="359"/>
      <c r="E18" s="360"/>
    </row>
    <row r="19" spans="2:6" ht="15" thickBot="1" x14ac:dyDescent="0.35">
      <c r="B19" s="61"/>
      <c r="C19" s="60" t="s">
        <v>1</v>
      </c>
      <c r="D19" s="60" t="s">
        <v>2</v>
      </c>
      <c r="E19" s="62" t="s">
        <v>3</v>
      </c>
      <c r="F19" s="4" t="s">
        <v>4</v>
      </c>
    </row>
    <row r="20" spans="2:6" ht="15" thickBot="1" x14ac:dyDescent="0.35">
      <c r="B20" s="42" t="s">
        <v>5</v>
      </c>
      <c r="C20" s="44"/>
      <c r="D20" s="65"/>
      <c r="E20" s="37">
        <f>E21+E22+E23+E27+E31+E34+E33+E32</f>
        <v>2011914.27</v>
      </c>
      <c r="F20" s="85"/>
    </row>
    <row r="21" spans="2:6" ht="15" thickBot="1" x14ac:dyDescent="0.35">
      <c r="B21" s="63" t="s">
        <v>31</v>
      </c>
      <c r="C21">
        <f>(492500+36960)</f>
        <v>529460</v>
      </c>
      <c r="D21" s="64">
        <v>1</v>
      </c>
      <c r="E21" s="43">
        <f>C21*D21</f>
        <v>529460</v>
      </c>
      <c r="F21" s="85" t="s">
        <v>33</v>
      </c>
    </row>
    <row r="22" spans="2:6" ht="15" thickBot="1" x14ac:dyDescent="0.35">
      <c r="B22" s="45" t="s">
        <v>32</v>
      </c>
      <c r="C22" s="58">
        <f>TSL!E22</f>
        <v>0</v>
      </c>
      <c r="D22" s="23">
        <v>1</v>
      </c>
      <c r="E22" s="59">
        <f>C22*D22</f>
        <v>0</v>
      </c>
      <c r="F22" s="85"/>
    </row>
    <row r="23" spans="2:6" ht="15" thickBot="1" x14ac:dyDescent="0.35">
      <c r="B23" s="45" t="s">
        <v>6</v>
      </c>
      <c r="C23" s="13"/>
      <c r="D23" s="23"/>
      <c r="E23" s="38">
        <f>+E24+E25+E26</f>
        <v>882454.27</v>
      </c>
      <c r="F23" s="85" t="s">
        <v>35</v>
      </c>
    </row>
    <row r="24" spans="2:6" ht="14.55" x14ac:dyDescent="0.35">
      <c r="B24" s="24" t="s">
        <v>59</v>
      </c>
      <c r="C24">
        <v>584079.55000000005</v>
      </c>
      <c r="D24" s="23">
        <v>1</v>
      </c>
      <c r="E24" s="35">
        <f>C24*D24</f>
        <v>584079.55000000005</v>
      </c>
      <c r="F24" s="85" t="s">
        <v>71</v>
      </c>
    </row>
    <row r="25" spans="2:6" ht="14.55" x14ac:dyDescent="0.35">
      <c r="B25" s="24" t="s">
        <v>60</v>
      </c>
      <c r="C25">
        <v>298374.71999999997</v>
      </c>
      <c r="D25" s="23">
        <v>1</v>
      </c>
      <c r="E25" s="22">
        <f>C25*D25</f>
        <v>298374.71999999997</v>
      </c>
      <c r="F25" s="85" t="s">
        <v>71</v>
      </c>
    </row>
    <row r="26" spans="2:6" ht="14.55" x14ac:dyDescent="0.35">
      <c r="B26" s="24"/>
      <c r="C26" s="13"/>
      <c r="D26" s="23"/>
      <c r="E26" s="22">
        <f>C26*D26</f>
        <v>0</v>
      </c>
      <c r="F26" s="85"/>
    </row>
    <row r="27" spans="2:6" ht="15" thickBot="1" x14ac:dyDescent="0.4">
      <c r="B27" s="45" t="s">
        <v>9</v>
      </c>
      <c r="C27" s="13"/>
      <c r="D27" s="23"/>
      <c r="E27" s="39">
        <f>SUM(E28:E30)</f>
        <v>0</v>
      </c>
      <c r="F27" s="85" t="s">
        <v>38</v>
      </c>
    </row>
    <row r="28" spans="2:6" ht="14.55" x14ac:dyDescent="0.35">
      <c r="B28" s="24" t="s">
        <v>40</v>
      </c>
      <c r="C28" s="13"/>
      <c r="D28" s="23">
        <v>1</v>
      </c>
      <c r="E28" s="36">
        <f t="shared" ref="E28:E34" si="1">C28*D28</f>
        <v>0</v>
      </c>
      <c r="F28" s="85"/>
    </row>
    <row r="29" spans="2:6" ht="14.55" x14ac:dyDescent="0.35">
      <c r="B29" s="24" t="s">
        <v>23</v>
      </c>
      <c r="C29" s="13"/>
      <c r="D29" s="23">
        <v>1</v>
      </c>
      <c r="E29" s="25">
        <f t="shared" si="1"/>
        <v>0</v>
      </c>
      <c r="F29" s="85"/>
    </row>
    <row r="30" spans="2:6" ht="14.55" x14ac:dyDescent="0.35">
      <c r="B30" s="24" t="s">
        <v>24</v>
      </c>
      <c r="C30" s="13"/>
      <c r="D30" s="23">
        <v>1</v>
      </c>
      <c r="E30" s="25">
        <f t="shared" si="1"/>
        <v>0</v>
      </c>
      <c r="F30" s="85"/>
    </row>
    <row r="31" spans="2:6" ht="15" thickBot="1" x14ac:dyDescent="0.4">
      <c r="B31" s="45" t="s">
        <v>10</v>
      </c>
      <c r="C31" s="13">
        <f>'Overhead crane'!F17</f>
        <v>0</v>
      </c>
      <c r="D31" s="23">
        <v>1</v>
      </c>
      <c r="E31" s="32">
        <f t="shared" si="1"/>
        <v>0</v>
      </c>
      <c r="F31" s="85" t="s">
        <v>11</v>
      </c>
    </row>
    <row r="32" spans="2:6" ht="15" thickBot="1" x14ac:dyDescent="0.4">
      <c r="B32" s="45" t="s">
        <v>29</v>
      </c>
      <c r="C32" s="13">
        <f>Transformers!E19</f>
        <v>0</v>
      </c>
      <c r="D32" s="23">
        <v>1</v>
      </c>
      <c r="E32" s="41">
        <f t="shared" si="1"/>
        <v>0</v>
      </c>
      <c r="F32" s="85"/>
    </row>
    <row r="33" spans="2:6" ht="15" thickBot="1" x14ac:dyDescent="0.4">
      <c r="B33" s="45" t="s">
        <v>12</v>
      </c>
      <c r="C33" s="13">
        <v>500000</v>
      </c>
      <c r="D33" s="23">
        <v>1</v>
      </c>
      <c r="E33" s="40">
        <f t="shared" si="1"/>
        <v>500000</v>
      </c>
      <c r="F33" s="85" t="s">
        <v>72</v>
      </c>
    </row>
    <row r="34" spans="2:6" ht="15" thickBot="1" x14ac:dyDescent="0.4">
      <c r="B34" s="66" t="s">
        <v>13</v>
      </c>
      <c r="C34" s="26">
        <v>100000</v>
      </c>
      <c r="D34" s="27">
        <v>1</v>
      </c>
      <c r="E34" s="41">
        <f t="shared" si="1"/>
        <v>100000</v>
      </c>
    </row>
  </sheetData>
  <mergeCells count="3">
    <mergeCell ref="B1:E1"/>
    <mergeCell ref="B2:E2"/>
    <mergeCell ref="B18:E18"/>
  </mergeCells>
  <pageMargins left="0.7" right="0.7" top="0.75" bottom="0.75" header="0.3" footer="0.3"/>
  <pageSetup paperSize="9" scale="9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32"/>
  <sheetViews>
    <sheetView showGridLines="0" topLeftCell="A14" zoomScaleNormal="100" workbookViewId="0">
      <selection activeCell="C29" sqref="C29"/>
    </sheetView>
  </sheetViews>
  <sheetFormatPr defaultRowHeight="14.4" x14ac:dyDescent="0.3"/>
  <cols>
    <col min="1" max="1" width="18.44140625" style="108" customWidth="1"/>
    <col min="2" max="2" width="22.5546875" bestFit="1" customWidth="1"/>
    <col min="3" max="3" width="14" customWidth="1"/>
    <col min="4" max="5" width="51.77734375" bestFit="1" customWidth="1"/>
    <col min="6" max="6" width="10.44140625" hidden="1" customWidth="1"/>
    <col min="7" max="8" width="11.44140625" hidden="1" customWidth="1"/>
    <col min="9" max="9" width="11.21875" bestFit="1" customWidth="1"/>
  </cols>
  <sheetData>
    <row r="2" spans="1:8" ht="18.600000000000001" thickBot="1" x14ac:dyDescent="0.4">
      <c r="B2" s="76"/>
    </row>
    <row r="3" spans="1:8" ht="25.8" x14ac:dyDescent="0.5">
      <c r="B3" s="322" t="s">
        <v>14</v>
      </c>
      <c r="C3" s="323"/>
      <c r="D3" s="6"/>
      <c r="E3" s="7"/>
    </row>
    <row r="4" spans="1:8" ht="25.8" x14ac:dyDescent="0.5">
      <c r="B4" s="324" t="s">
        <v>5</v>
      </c>
      <c r="C4" s="325"/>
      <c r="D4" s="8"/>
      <c r="E4" s="9"/>
    </row>
    <row r="5" spans="1:8" ht="15" thickBot="1" x14ac:dyDescent="0.35">
      <c r="B5" s="10"/>
      <c r="C5" s="9"/>
      <c r="E5" s="9"/>
    </row>
    <row r="6" spans="1:8" x14ac:dyDescent="0.3">
      <c r="B6" s="80"/>
      <c r="C6" s="81" t="s">
        <v>15</v>
      </c>
      <c r="D6" s="7"/>
      <c r="E6" s="9"/>
    </row>
    <row r="7" spans="1:8" x14ac:dyDescent="0.3">
      <c r="B7" s="11" t="s">
        <v>98</v>
      </c>
      <c r="C7" s="21" t="s">
        <v>0</v>
      </c>
      <c r="D7" s="12" t="s">
        <v>4</v>
      </c>
      <c r="E7" s="9"/>
    </row>
    <row r="8" spans="1:8" x14ac:dyDescent="0.3">
      <c r="A8" s="328" t="s">
        <v>94</v>
      </c>
      <c r="B8" s="321" t="s">
        <v>133</v>
      </c>
      <c r="C8" s="178">
        <v>3902519</v>
      </c>
      <c r="D8" s="15" t="s">
        <v>86</v>
      </c>
      <c r="E8" s="9"/>
      <c r="H8" s="57"/>
    </row>
    <row r="9" spans="1:8" x14ac:dyDescent="0.3">
      <c r="A9" s="328"/>
      <c r="B9" s="321" t="s">
        <v>78</v>
      </c>
      <c r="C9" s="178">
        <f>'Mining works'!H10</f>
        <v>0</v>
      </c>
      <c r="D9" s="14"/>
      <c r="E9" s="9"/>
    </row>
    <row r="10" spans="1:8" x14ac:dyDescent="0.3">
      <c r="A10" s="328"/>
      <c r="B10" s="321" t="str">
        <f>'Charging Bay'!B8</f>
        <v>TSL - Fibrecrete</v>
      </c>
      <c r="C10" s="178">
        <f>TSL!E6</f>
        <v>2466240</v>
      </c>
      <c r="D10" s="15" t="s">
        <v>65</v>
      </c>
      <c r="E10" s="9"/>
      <c r="H10" s="57"/>
    </row>
    <row r="11" spans="1:8" x14ac:dyDescent="0.3">
      <c r="A11" s="328"/>
      <c r="B11" s="321" t="s">
        <v>79</v>
      </c>
      <c r="C11" s="178">
        <v>38029979</v>
      </c>
      <c r="D11" s="15" t="s">
        <v>100</v>
      </c>
      <c r="E11" s="9"/>
    </row>
    <row r="12" spans="1:8" x14ac:dyDescent="0.3">
      <c r="A12" s="111">
        <f>SUM(C8:C12)</f>
        <v>47276470</v>
      </c>
      <c r="B12" s="321" t="str">
        <f>'Charging Bay'!B12</f>
        <v>Overhead crane</v>
      </c>
      <c r="C12" s="178">
        <f>'Overhead crane'!F11</f>
        <v>2877732</v>
      </c>
      <c r="D12" s="15" t="s">
        <v>36</v>
      </c>
      <c r="E12" s="9"/>
      <c r="H12" s="57"/>
    </row>
    <row r="13" spans="1:8" x14ac:dyDescent="0.3">
      <c r="A13" s="109" t="s">
        <v>95</v>
      </c>
      <c r="B13" s="321" t="s">
        <v>90</v>
      </c>
      <c r="C13" s="178">
        <f>'Chargers &amp; Posts'!E11</f>
        <v>24838607.219999995</v>
      </c>
      <c r="D13" s="15" t="s">
        <v>215</v>
      </c>
      <c r="E13" s="9"/>
    </row>
    <row r="14" spans="1:8" x14ac:dyDescent="0.3">
      <c r="A14" s="329" t="s">
        <v>13</v>
      </c>
      <c r="B14" s="321" t="s">
        <v>29</v>
      </c>
      <c r="C14" s="178">
        <f>Transformers!E7</f>
        <v>2283580</v>
      </c>
      <c r="D14" s="15" t="s">
        <v>66</v>
      </c>
      <c r="E14" s="9"/>
    </row>
    <row r="15" spans="1:8" x14ac:dyDescent="0.3">
      <c r="A15" s="329"/>
      <c r="B15" s="321" t="str">
        <f>'Charging Bay'!B14</f>
        <v>Cabling</v>
      </c>
      <c r="C15" s="178">
        <f>Cabling!E14</f>
        <v>3206453.46</v>
      </c>
      <c r="D15" s="15" t="s">
        <v>28</v>
      </c>
      <c r="E15" s="9"/>
      <c r="H15" s="57"/>
    </row>
    <row r="16" spans="1:8" x14ac:dyDescent="0.3">
      <c r="A16" s="329"/>
      <c r="B16" s="321" t="str">
        <f>'Charging Bay'!B15</f>
        <v>Equipping</v>
      </c>
      <c r="C16" s="178">
        <f>Equipment!F6</f>
        <v>500000</v>
      </c>
      <c r="D16" s="15" t="s">
        <v>37</v>
      </c>
      <c r="E16" s="9"/>
    </row>
    <row r="17" spans="1:9" x14ac:dyDescent="0.3">
      <c r="A17" s="112">
        <f>SUM(C14:C17)</f>
        <v>9840033.4600000009</v>
      </c>
      <c r="B17" s="321" t="s">
        <v>80</v>
      </c>
      <c r="C17" s="107">
        <f>'Lubrication system'!F6</f>
        <v>3850000.0000000005</v>
      </c>
      <c r="D17" s="87" t="s">
        <v>82</v>
      </c>
      <c r="E17" s="9"/>
    </row>
    <row r="18" spans="1:9" x14ac:dyDescent="0.3">
      <c r="A18" s="110" t="s">
        <v>96</v>
      </c>
      <c r="B18" s="321" t="s">
        <v>62</v>
      </c>
      <c r="C18" s="178">
        <v>3144937</v>
      </c>
      <c r="D18" s="15" t="s">
        <v>62</v>
      </c>
      <c r="E18" s="9"/>
    </row>
    <row r="19" spans="1:9" ht="15" thickBot="1" x14ac:dyDescent="0.35">
      <c r="B19" s="16"/>
      <c r="C19" s="82">
        <f>SUM(C8:C18)</f>
        <v>85100047.679999992</v>
      </c>
      <c r="D19" s="83"/>
      <c r="E19" s="9"/>
      <c r="H19" s="57"/>
    </row>
    <row r="20" spans="1:9" ht="15" thickBot="1" x14ac:dyDescent="0.35">
      <c r="B20" s="16"/>
      <c r="C20" s="17"/>
      <c r="D20" s="5"/>
      <c r="E20" s="17"/>
    </row>
    <row r="21" spans="1:9" ht="15" thickBot="1" x14ac:dyDescent="0.35">
      <c r="I21" s="57"/>
    </row>
    <row r="22" spans="1:9" ht="21.6" thickBot="1" x14ac:dyDescent="0.45">
      <c r="B22" s="326" t="s">
        <v>15</v>
      </c>
      <c r="C22" s="327"/>
      <c r="D22" s="18"/>
    </row>
    <row r="23" spans="1:9" x14ac:dyDescent="0.3">
      <c r="B23" s="19"/>
      <c r="C23" s="49" t="s">
        <v>16</v>
      </c>
      <c r="D23" s="51"/>
      <c r="E23" s="50" t="s">
        <v>4</v>
      </c>
      <c r="G23" t="e">
        <f>#REF!/G25</f>
        <v>#REF!</v>
      </c>
    </row>
    <row r="24" spans="1:9" x14ac:dyDescent="0.3">
      <c r="B24" s="11" t="s">
        <v>17</v>
      </c>
      <c r="C24" s="29">
        <f>C19</f>
        <v>85100047.679999992</v>
      </c>
      <c r="D24" s="52"/>
      <c r="E24" s="54"/>
      <c r="G24" t="e">
        <f>#REF!/C26</f>
        <v>#REF!</v>
      </c>
    </row>
    <row r="25" spans="1:9" x14ac:dyDescent="0.3">
      <c r="B25" s="11" t="s">
        <v>18</v>
      </c>
      <c r="C25" s="30">
        <f>C24*0.08</f>
        <v>6808003.8143999996</v>
      </c>
      <c r="D25" s="53">
        <v>0.08</v>
      </c>
      <c r="E25" s="55"/>
      <c r="G25" s="57" t="e">
        <f>C19+#REF!</f>
        <v>#REF!</v>
      </c>
    </row>
    <row r="26" spans="1:9" x14ac:dyDescent="0.3">
      <c r="B26" s="11" t="s">
        <v>19</v>
      </c>
      <c r="C26" s="31">
        <f>(C24+C25)*0.1</f>
        <v>9190805.1494399998</v>
      </c>
      <c r="D26" s="53">
        <v>0.1</v>
      </c>
      <c r="E26" s="55"/>
      <c r="F26" s="57" t="e">
        <f>C26-#REF!</f>
        <v>#REF!</v>
      </c>
      <c r="G26" s="57">
        <f>C24+C26</f>
        <v>94290852.829439998</v>
      </c>
      <c r="H26" s="77">
        <f>C26/C24</f>
        <v>0.10800000000000001</v>
      </c>
    </row>
    <row r="27" spans="1:9" x14ac:dyDescent="0.3">
      <c r="B27" s="11" t="s">
        <v>20</v>
      </c>
      <c r="C27" s="29">
        <f>SUM(C24:C26)</f>
        <v>101098856.64384</v>
      </c>
      <c r="D27" s="52"/>
      <c r="E27" s="54"/>
    </row>
    <row r="28" spans="1:9" x14ac:dyDescent="0.3">
      <c r="B28" s="11" t="s">
        <v>21</v>
      </c>
      <c r="C28" s="31">
        <f>0.05*C27</f>
        <v>5054942.832192</v>
      </c>
      <c r="D28" s="53">
        <v>0.05</v>
      </c>
      <c r="E28" s="55"/>
    </row>
    <row r="29" spans="1:9" ht="15" thickBot="1" x14ac:dyDescent="0.35">
      <c r="B29" s="20" t="s">
        <v>22</v>
      </c>
      <c r="C29" s="32">
        <f>C27+C28</f>
        <v>106153799.476032</v>
      </c>
      <c r="D29" s="52"/>
      <c r="E29" s="56"/>
    </row>
    <row r="32" spans="1:9" x14ac:dyDescent="0.3">
      <c r="D32" s="57"/>
    </row>
  </sheetData>
  <mergeCells count="5">
    <mergeCell ref="B3:C3"/>
    <mergeCell ref="B4:C4"/>
    <mergeCell ref="B22:C22"/>
    <mergeCell ref="A8:A11"/>
    <mergeCell ref="A14:A16"/>
  </mergeCells>
  <pageMargins left="0.7" right="0.7" top="0.75" bottom="0.75" header="0.3" footer="0.3"/>
  <pageSetup paperSize="9"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E9"/>
  <sheetViews>
    <sheetView workbookViewId="0">
      <selection activeCell="H23" sqref="H23"/>
    </sheetView>
  </sheetViews>
  <sheetFormatPr defaultRowHeight="14.4" x14ac:dyDescent="0.3"/>
  <cols>
    <col min="2" max="2" width="14" bestFit="1" customWidth="1"/>
    <col min="3" max="3" width="14" customWidth="1"/>
    <col min="5" max="5" width="12.21875" bestFit="1" customWidth="1"/>
  </cols>
  <sheetData>
    <row r="3" spans="2:5" ht="15" thickBot="1" x14ac:dyDescent="0.35"/>
    <row r="4" spans="2:5" ht="15" thickBot="1" x14ac:dyDescent="0.35">
      <c r="B4" s="42" t="s">
        <v>33</v>
      </c>
      <c r="C4" s="88" t="s">
        <v>1</v>
      </c>
      <c r="D4" s="88" t="s">
        <v>2</v>
      </c>
      <c r="E4" s="89" t="s">
        <v>3</v>
      </c>
    </row>
    <row r="5" spans="2:5" ht="15" thickBot="1" x14ac:dyDescent="0.35">
      <c r="B5" t="s">
        <v>97</v>
      </c>
      <c r="C5">
        <v>3918411.77</v>
      </c>
      <c r="D5">
        <v>1</v>
      </c>
      <c r="E5" s="75">
        <f>'Fee Estimate'!G74</f>
        <v>3902518.27</v>
      </c>
    </row>
    <row r="6" spans="2:5" ht="15" thickTop="1" x14ac:dyDescent="0.3"/>
    <row r="8" spans="2:5" x14ac:dyDescent="0.3">
      <c r="B8" s="113"/>
      <c r="C8" s="113"/>
      <c r="D8" s="113"/>
      <c r="E8" s="113"/>
    </row>
    <row r="9" spans="2:5" x14ac:dyDescent="0.3">
      <c r="E9" s="12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19"/>
  <sheetViews>
    <sheetView workbookViewId="0">
      <selection activeCell="I20" sqref="I20"/>
    </sheetView>
  </sheetViews>
  <sheetFormatPr defaultRowHeight="14.4" x14ac:dyDescent="0.3"/>
  <cols>
    <col min="1" max="1" width="22.44140625" bestFit="1" customWidth="1"/>
    <col min="2" max="2" width="22.44140625" customWidth="1"/>
    <col min="3" max="3" width="9.77734375" bestFit="1" customWidth="1"/>
    <col min="6" max="7" width="9.77734375" bestFit="1" customWidth="1"/>
    <col min="8" max="8" width="12.21875" bestFit="1" customWidth="1"/>
    <col min="9" max="15" width="9.77734375" bestFit="1" customWidth="1"/>
    <col min="23" max="23" width="10.77734375" bestFit="1" customWidth="1"/>
    <col min="25" max="25" width="10.44140625" bestFit="1" customWidth="1"/>
  </cols>
  <sheetData>
    <row r="2" spans="1:26" x14ac:dyDescent="0.3">
      <c r="C2" t="s">
        <v>41</v>
      </c>
    </row>
    <row r="3" spans="1:26" x14ac:dyDescent="0.3">
      <c r="B3" s="72"/>
      <c r="C3" s="330">
        <v>2021</v>
      </c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1">
        <v>2022</v>
      </c>
      <c r="P3" s="332"/>
      <c r="Q3" s="332"/>
      <c r="R3" s="332"/>
      <c r="S3" s="332"/>
      <c r="T3" s="333"/>
    </row>
    <row r="4" spans="1:26" x14ac:dyDescent="0.3">
      <c r="A4" s="72"/>
      <c r="B4" s="73" t="s">
        <v>54</v>
      </c>
      <c r="C4" s="72" t="s">
        <v>42</v>
      </c>
      <c r="D4" s="72" t="s">
        <v>43</v>
      </c>
      <c r="E4" s="72" t="s">
        <v>44</v>
      </c>
      <c r="F4" s="72" t="s">
        <v>45</v>
      </c>
      <c r="G4" s="72" t="s">
        <v>46</v>
      </c>
      <c r="H4" s="72" t="s">
        <v>47</v>
      </c>
      <c r="I4" s="72" t="s">
        <v>48</v>
      </c>
      <c r="J4" s="72" t="s">
        <v>49</v>
      </c>
      <c r="K4" s="72" t="s">
        <v>50</v>
      </c>
      <c r="L4" s="72" t="s">
        <v>51</v>
      </c>
      <c r="M4" s="72" t="s">
        <v>52</v>
      </c>
      <c r="N4" s="72" t="s">
        <v>53</v>
      </c>
      <c r="O4" s="72" t="s">
        <v>42</v>
      </c>
      <c r="P4" s="72" t="s">
        <v>43</v>
      </c>
      <c r="Q4" s="72" t="s">
        <v>44</v>
      </c>
      <c r="R4" s="72" t="s">
        <v>45</v>
      </c>
      <c r="S4" s="72" t="s">
        <v>46</v>
      </c>
      <c r="T4" s="72" t="s">
        <v>47</v>
      </c>
    </row>
    <row r="5" spans="1:26" x14ac:dyDescent="0.3">
      <c r="A5" s="72" t="s">
        <v>31</v>
      </c>
      <c r="B5" s="74">
        <v>485690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>
        <f>Summary!C8-'Cash flow'!B5</f>
        <v>3416829</v>
      </c>
      <c r="O5" s="13"/>
      <c r="P5" s="13"/>
      <c r="Q5" s="13"/>
      <c r="R5" s="13"/>
      <c r="S5" s="13"/>
      <c r="T5" s="13"/>
    </row>
    <row r="6" spans="1:26" x14ac:dyDescent="0.3">
      <c r="A6" s="72" t="s">
        <v>32</v>
      </c>
      <c r="B6" s="74"/>
      <c r="C6" s="13"/>
      <c r="D6" s="13"/>
      <c r="E6" s="13"/>
      <c r="F6" s="13">
        <f>'Charging Bay'!E5</f>
        <v>2466240</v>
      </c>
      <c r="G6" s="13"/>
      <c r="H6" s="2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68"/>
      <c r="V6" s="68"/>
      <c r="W6" s="68"/>
      <c r="X6" s="68"/>
      <c r="Y6" s="68"/>
      <c r="Z6" s="68"/>
    </row>
    <row r="7" spans="1:26" x14ac:dyDescent="0.3">
      <c r="A7" s="72" t="s">
        <v>6</v>
      </c>
      <c r="B7" s="74">
        <v>311998</v>
      </c>
      <c r="C7" s="13"/>
      <c r="D7" s="13"/>
      <c r="E7" s="13"/>
      <c r="F7" s="13"/>
      <c r="G7" s="13"/>
      <c r="H7" s="13">
        <f>'Charging Bay'!E8-'Cash flow'!B7</f>
        <v>1731550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68"/>
      <c r="V7" s="68"/>
      <c r="W7" s="68"/>
      <c r="X7" s="68"/>
      <c r="Y7" s="68"/>
      <c r="Z7" s="68"/>
    </row>
    <row r="8" spans="1:26" x14ac:dyDescent="0.3">
      <c r="A8" s="72" t="s">
        <v>9</v>
      </c>
      <c r="B8" s="74"/>
      <c r="C8" s="13"/>
      <c r="D8" s="13"/>
      <c r="E8" s="13"/>
      <c r="F8" s="13">
        <f>Summary!$C$11/9</f>
        <v>4225553.222222222</v>
      </c>
      <c r="G8" s="13">
        <f>Summary!$C$11/9</f>
        <v>4225553.222222222</v>
      </c>
      <c r="H8" s="13">
        <f>Summary!$C$11/9</f>
        <v>4225553.222222222</v>
      </c>
      <c r="I8" s="13">
        <f>Summary!$C$11/9</f>
        <v>4225553.222222222</v>
      </c>
      <c r="J8" s="13">
        <f>Summary!$C$11/9</f>
        <v>4225553.222222222</v>
      </c>
      <c r="K8" s="13">
        <f>Summary!$C$11/9</f>
        <v>4225553.222222222</v>
      </c>
      <c r="L8" s="13">
        <f>Summary!$C$11/9</f>
        <v>4225553.222222222</v>
      </c>
      <c r="M8" s="13">
        <f>Summary!$C$11/9</f>
        <v>4225553.222222222</v>
      </c>
      <c r="N8" s="13">
        <f>Summary!$C$11/9</f>
        <v>4225553.222222222</v>
      </c>
      <c r="O8" s="13"/>
      <c r="P8" s="13"/>
      <c r="Q8" s="13"/>
      <c r="R8" s="13"/>
      <c r="S8" s="13"/>
      <c r="T8" s="13"/>
      <c r="U8" s="68"/>
      <c r="V8" s="68"/>
      <c r="W8" s="68"/>
      <c r="X8" s="68"/>
      <c r="Y8" s="68"/>
      <c r="Z8" s="68"/>
    </row>
    <row r="9" spans="1:26" x14ac:dyDescent="0.3">
      <c r="A9" s="72" t="s">
        <v>10</v>
      </c>
      <c r="B9" s="74"/>
      <c r="C9" s="13"/>
      <c r="D9" s="13"/>
      <c r="E9" s="13"/>
      <c r="F9" s="13"/>
      <c r="G9" s="13" t="e">
        <f>'Overhead crane'!#REF!</f>
        <v>#REF!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68"/>
      <c r="V9" s="68"/>
      <c r="W9" s="68"/>
      <c r="X9" s="68"/>
      <c r="Y9" s="68"/>
      <c r="Z9" s="68"/>
    </row>
    <row r="10" spans="1:26" x14ac:dyDescent="0.3">
      <c r="A10" s="72" t="s">
        <v>29</v>
      </c>
      <c r="B10" s="74">
        <v>103180</v>
      </c>
      <c r="C10" s="13"/>
      <c r="D10" s="13"/>
      <c r="E10" s="13"/>
      <c r="F10" s="13"/>
      <c r="G10" s="13">
        <f>Transformers!E4-'Cash flow'!B10</f>
        <v>-103180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68"/>
      <c r="V10" s="68"/>
      <c r="W10" s="68"/>
      <c r="X10" s="68"/>
      <c r="Y10" s="68"/>
      <c r="Z10" s="68"/>
    </row>
    <row r="11" spans="1:26" x14ac:dyDescent="0.3">
      <c r="A11" s="72" t="s">
        <v>12</v>
      </c>
      <c r="B11" s="7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>
        <f>'Charging Bay'!E14</f>
        <v>1000000</v>
      </c>
      <c r="O11" s="13"/>
      <c r="P11" s="13"/>
      <c r="Q11" s="13"/>
      <c r="R11" s="13"/>
      <c r="S11" s="13"/>
      <c r="T11" s="13"/>
      <c r="U11" s="68"/>
      <c r="V11" s="68"/>
      <c r="W11" s="68"/>
      <c r="X11" s="68"/>
      <c r="Y11" s="68"/>
      <c r="Z11" s="68"/>
    </row>
    <row r="12" spans="1:26" x14ac:dyDescent="0.3">
      <c r="A12" s="72" t="s">
        <v>13</v>
      </c>
      <c r="B12" s="7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>
        <f>'Charging Bay'!E15</f>
        <v>200000</v>
      </c>
      <c r="O12" s="13"/>
      <c r="P12" s="13"/>
      <c r="Q12" s="13"/>
      <c r="R12" s="13"/>
      <c r="S12" s="13"/>
      <c r="T12" s="13"/>
      <c r="U12" s="68"/>
      <c r="V12" s="68"/>
      <c r="W12" s="68"/>
      <c r="X12" s="68"/>
      <c r="Y12" s="68"/>
      <c r="Z12" s="68"/>
    </row>
    <row r="13" spans="1:26" x14ac:dyDescent="0.3">
      <c r="A13" s="72" t="s">
        <v>21</v>
      </c>
      <c r="B13" s="74">
        <v>15600</v>
      </c>
      <c r="C13" s="13"/>
      <c r="D13" s="13"/>
      <c r="E13" s="13"/>
      <c r="F13" s="13">
        <f>0.05*SUM(F5:F12)</f>
        <v>334589.66111111111</v>
      </c>
      <c r="G13" s="13" t="e">
        <f t="shared" ref="G13:N13" si="0">0.05*SUM(G5:G12)</f>
        <v>#REF!</v>
      </c>
      <c r="H13" s="13">
        <f t="shared" si="0"/>
        <v>297855.16111111111</v>
      </c>
      <c r="I13" s="13">
        <f t="shared" si="0"/>
        <v>211277.66111111111</v>
      </c>
      <c r="J13" s="13">
        <f t="shared" si="0"/>
        <v>211277.66111111111</v>
      </c>
      <c r="K13" s="13">
        <f t="shared" si="0"/>
        <v>211277.66111111111</v>
      </c>
      <c r="L13" s="13">
        <f t="shared" si="0"/>
        <v>211277.66111111111</v>
      </c>
      <c r="M13" s="13">
        <f t="shared" si="0"/>
        <v>211277.66111111111</v>
      </c>
      <c r="N13" s="13">
        <f t="shared" si="0"/>
        <v>442119.11111111112</v>
      </c>
      <c r="O13" s="13" t="e">
        <f>Summary!C28-SUM('Cash flow'!B13:N13)</f>
        <v>#REF!</v>
      </c>
      <c r="P13" s="13"/>
      <c r="Q13" s="13"/>
      <c r="R13" s="13"/>
      <c r="S13" s="13"/>
      <c r="T13" s="13"/>
      <c r="U13" s="68"/>
      <c r="V13" s="68"/>
      <c r="W13" s="68"/>
      <c r="X13" s="68"/>
      <c r="Y13" s="68"/>
      <c r="Z13" s="68"/>
    </row>
    <row r="18" spans="1:3" x14ac:dyDescent="0.3">
      <c r="A18" t="s">
        <v>55</v>
      </c>
      <c r="B18" s="70" t="s">
        <v>56</v>
      </c>
      <c r="C18" s="71" t="s">
        <v>57</v>
      </c>
    </row>
    <row r="19" spans="1:3" x14ac:dyDescent="0.3">
      <c r="B19" s="69" t="e">
        <f>SUM(B5:H13)</f>
        <v>#REF!</v>
      </c>
      <c r="C19" s="69" t="e">
        <f>SUM(I5:T15)</f>
        <v>#REF!</v>
      </c>
    </row>
  </sheetData>
  <mergeCells count="2">
    <mergeCell ref="C3:N3"/>
    <mergeCell ref="O3: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A09D-453C-45BA-9369-B46D0F1482C3}">
  <dimension ref="A1:V93"/>
  <sheetViews>
    <sheetView showGridLines="0" view="pageBreakPreview" topLeftCell="B49" zoomScale="96" zoomScaleNormal="124" zoomScaleSheetLayoutView="96" workbookViewId="0">
      <selection activeCell="K45" sqref="K45"/>
    </sheetView>
  </sheetViews>
  <sheetFormatPr defaultColWidth="9.21875" defaultRowHeight="13.2" x14ac:dyDescent="0.3"/>
  <cols>
    <col min="1" max="1" width="5.44140625" style="194" hidden="1" customWidth="1"/>
    <col min="2" max="2" width="57.21875" style="194" customWidth="1"/>
    <col min="3" max="3" width="16.77734375" style="194" bestFit="1" customWidth="1"/>
    <col min="4" max="4" width="6.77734375" style="196" bestFit="1" customWidth="1"/>
    <col min="5" max="5" width="5.5546875" style="196" customWidth="1"/>
    <col min="6" max="6" width="15.5546875" style="196" bestFit="1" customWidth="1"/>
    <col min="7" max="7" width="18.21875" style="196" customWidth="1"/>
    <col min="8" max="8" width="6.44140625" style="194" customWidth="1"/>
    <col min="9" max="9" width="13.5546875" style="194" hidden="1" customWidth="1"/>
    <col min="10" max="10" width="4.44140625" style="194" customWidth="1"/>
    <col min="11" max="11" width="16.5546875" style="194" bestFit="1" customWidth="1"/>
    <col min="12" max="12" width="19.21875" style="194" bestFit="1" customWidth="1"/>
    <col min="13" max="13" width="15.44140625" style="194" bestFit="1" customWidth="1"/>
    <col min="14" max="14" width="9.21875" style="194"/>
    <col min="15" max="15" width="14.44140625" style="194" bestFit="1" customWidth="1"/>
    <col min="16" max="16" width="9.21875" style="194"/>
    <col min="17" max="17" width="15.44140625" style="194" bestFit="1" customWidth="1"/>
    <col min="18" max="18" width="9.21875" style="194"/>
    <col min="19" max="19" width="15.44140625" style="194" bestFit="1" customWidth="1"/>
    <col min="20" max="20" width="9.21875" style="194"/>
    <col min="21" max="21" width="15.44140625" style="194" bestFit="1" customWidth="1"/>
    <col min="22" max="16384" width="9.21875" style="194"/>
  </cols>
  <sheetData>
    <row r="1" spans="1:11" s="190" customFormat="1" ht="13.8" x14ac:dyDescent="0.3">
      <c r="A1" s="190" t="s">
        <v>140</v>
      </c>
      <c r="B1" s="191" t="s">
        <v>141</v>
      </c>
      <c r="D1" s="192"/>
      <c r="E1" s="192"/>
      <c r="F1" s="192"/>
      <c r="G1" s="193">
        <f>'[1]Budget Breakdown'!D5</f>
        <v>45603</v>
      </c>
    </row>
    <row r="2" spans="1:11" ht="13.8" thickBot="1" x14ac:dyDescent="0.35">
      <c r="B2" s="195"/>
    </row>
    <row r="3" spans="1:11" ht="13.8" thickBot="1" x14ac:dyDescent="0.35">
      <c r="B3" s="197" t="s">
        <v>142</v>
      </c>
      <c r="C3" s="198"/>
      <c r="D3" s="199" t="s">
        <v>143</v>
      </c>
      <c r="E3" s="200" t="s">
        <v>144</v>
      </c>
      <c r="F3" s="200" t="s">
        <v>145</v>
      </c>
      <c r="G3" s="201" t="s">
        <v>146</v>
      </c>
    </row>
    <row r="4" spans="1:11" x14ac:dyDescent="0.3">
      <c r="B4" s="202"/>
      <c r="C4" s="203"/>
      <c r="E4" s="204"/>
      <c r="F4" s="204"/>
      <c r="G4" s="205"/>
    </row>
    <row r="5" spans="1:11" hidden="1" x14ac:dyDescent="0.3">
      <c r="B5" s="202" t="s">
        <v>147</v>
      </c>
      <c r="C5" s="203"/>
      <c r="E5" s="204"/>
      <c r="F5" s="204"/>
      <c r="G5" s="205"/>
    </row>
    <row r="6" spans="1:11" hidden="1" x14ac:dyDescent="0.3">
      <c r="B6" s="202"/>
      <c r="C6" s="203"/>
      <c r="E6" s="204"/>
      <c r="F6" s="204"/>
      <c r="G6" s="205"/>
    </row>
    <row r="7" spans="1:11" hidden="1" x14ac:dyDescent="0.3">
      <c r="A7" s="194" t="s">
        <v>148</v>
      </c>
      <c r="B7" s="206"/>
      <c r="C7" s="203"/>
      <c r="E7" s="204"/>
      <c r="F7" s="204"/>
      <c r="G7" s="205"/>
      <c r="K7" s="207"/>
    </row>
    <row r="8" spans="1:11" s="208" customFormat="1" ht="12" hidden="1" customHeight="1" x14ac:dyDescent="0.3">
      <c r="B8" s="209"/>
      <c r="C8" s="210"/>
      <c r="D8" s="211"/>
      <c r="E8" s="212"/>
      <c r="F8" s="212"/>
      <c r="G8" s="213" t="s">
        <v>149</v>
      </c>
      <c r="H8" s="210"/>
      <c r="I8" s="210"/>
      <c r="J8" s="210"/>
      <c r="K8" s="210"/>
    </row>
    <row r="9" spans="1:11" s="208" customFormat="1" ht="12" hidden="1" customHeight="1" x14ac:dyDescent="0.3">
      <c r="B9" s="214"/>
      <c r="C9" s="215"/>
      <c r="D9" s="216"/>
      <c r="E9" s="217"/>
      <c r="F9" s="217"/>
      <c r="G9" s="218"/>
      <c r="H9" s="215"/>
      <c r="I9" s="215"/>
      <c r="J9" s="215"/>
      <c r="K9" s="215"/>
    </row>
    <row r="10" spans="1:11" s="208" customFormat="1" ht="12" hidden="1" customHeight="1" x14ac:dyDescent="0.3">
      <c r="B10" s="219" t="s">
        <v>150</v>
      </c>
      <c r="C10" s="220"/>
      <c r="D10" s="221"/>
      <c r="E10" s="222"/>
      <c r="F10" s="222"/>
      <c r="G10" s="223" t="s">
        <v>151</v>
      </c>
      <c r="H10" s="220" t="s">
        <v>152</v>
      </c>
      <c r="I10" s="220">
        <v>1</v>
      </c>
      <c r="J10" s="224">
        <v>500000</v>
      </c>
      <c r="K10" s="220">
        <v>0</v>
      </c>
    </row>
    <row r="11" spans="1:11" s="208" customFormat="1" ht="12" hidden="1" customHeight="1" x14ac:dyDescent="0.3">
      <c r="B11" s="214"/>
      <c r="C11" s="215"/>
      <c r="D11" s="216"/>
      <c r="E11" s="217"/>
      <c r="F11" s="217"/>
      <c r="G11" s="218"/>
      <c r="H11" s="215"/>
      <c r="I11" s="215"/>
      <c r="J11" s="215"/>
      <c r="K11" s="215"/>
    </row>
    <row r="12" spans="1:11" s="208" customFormat="1" ht="12" hidden="1" customHeight="1" x14ac:dyDescent="0.3">
      <c r="B12" s="225" t="s">
        <v>153</v>
      </c>
      <c r="C12" s="220"/>
      <c r="D12" s="221"/>
      <c r="E12" s="222"/>
      <c r="F12" s="222"/>
      <c r="G12" s="223" t="s">
        <v>154</v>
      </c>
      <c r="H12" s="220" t="s">
        <v>152</v>
      </c>
      <c r="I12" s="220">
        <v>1</v>
      </c>
      <c r="J12" s="224">
        <v>500000</v>
      </c>
      <c r="K12" s="224">
        <f>J12*I12</f>
        <v>500000</v>
      </c>
    </row>
    <row r="13" spans="1:11" s="208" customFormat="1" ht="12" hidden="1" customHeight="1" x14ac:dyDescent="0.3">
      <c r="B13" s="214"/>
      <c r="C13" s="215"/>
      <c r="D13" s="216"/>
      <c r="E13" s="217"/>
      <c r="F13" s="217"/>
      <c r="G13" s="218"/>
      <c r="H13" s="215"/>
      <c r="I13" s="215"/>
      <c r="J13" s="215"/>
      <c r="K13" s="215"/>
    </row>
    <row r="14" spans="1:11" s="208" customFormat="1" ht="12" hidden="1" customHeight="1" x14ac:dyDescent="0.3">
      <c r="B14" s="225" t="s">
        <v>155</v>
      </c>
      <c r="C14" s="220"/>
      <c r="D14" s="221"/>
      <c r="E14" s="222"/>
      <c r="F14" s="222"/>
      <c r="G14" s="223" t="s">
        <v>156</v>
      </c>
      <c r="H14" s="220" t="s">
        <v>152</v>
      </c>
      <c r="I14" s="220">
        <v>1</v>
      </c>
      <c r="J14" s="224">
        <v>50000</v>
      </c>
      <c r="K14" s="224">
        <f>J14*I14</f>
        <v>50000</v>
      </c>
    </row>
    <row r="15" spans="1:11" s="208" customFormat="1" ht="12" hidden="1" customHeight="1" x14ac:dyDescent="0.3">
      <c r="B15" s="214"/>
      <c r="C15" s="215"/>
      <c r="D15" s="216"/>
      <c r="E15" s="217"/>
      <c r="F15" s="217"/>
      <c r="G15" s="218"/>
      <c r="H15" s="215"/>
      <c r="I15" s="215"/>
      <c r="J15" s="215"/>
      <c r="K15" s="215"/>
    </row>
    <row r="16" spans="1:11" s="208" customFormat="1" ht="12" hidden="1" customHeight="1" x14ac:dyDescent="0.3">
      <c r="B16" s="225" t="s">
        <v>157</v>
      </c>
      <c r="C16" s="220"/>
      <c r="D16" s="221"/>
      <c r="E16" s="222"/>
      <c r="F16" s="222"/>
      <c r="G16" s="223" t="s">
        <v>158</v>
      </c>
      <c r="H16" s="220" t="s">
        <v>152</v>
      </c>
      <c r="I16" s="220">
        <v>1</v>
      </c>
      <c r="J16" s="224">
        <v>740000</v>
      </c>
      <c r="K16" s="224">
        <f>J16*I16</f>
        <v>740000</v>
      </c>
    </row>
    <row r="17" spans="2:11" s="208" customFormat="1" ht="12" hidden="1" customHeight="1" x14ac:dyDescent="0.3">
      <c r="B17" s="214"/>
      <c r="C17" s="215"/>
      <c r="D17" s="216"/>
      <c r="E17" s="217"/>
      <c r="F17" s="217"/>
      <c r="G17" s="218"/>
      <c r="H17" s="215"/>
      <c r="I17" s="215"/>
      <c r="J17" s="215"/>
      <c r="K17" s="215"/>
    </row>
    <row r="18" spans="2:11" s="208" customFormat="1" ht="12" hidden="1" customHeight="1" x14ac:dyDescent="0.3">
      <c r="B18" s="225" t="s">
        <v>159</v>
      </c>
      <c r="C18" s="220"/>
      <c r="D18" s="221"/>
      <c r="E18" s="222"/>
      <c r="F18" s="222"/>
      <c r="G18" s="223" t="s">
        <v>160</v>
      </c>
      <c r="H18" s="220" t="s">
        <v>152</v>
      </c>
      <c r="I18" s="220">
        <v>1</v>
      </c>
      <c r="J18" s="224">
        <v>670000</v>
      </c>
      <c r="K18" s="224">
        <f>J18*I18</f>
        <v>670000</v>
      </c>
    </row>
    <row r="19" spans="2:11" s="208" customFormat="1" ht="12" hidden="1" customHeight="1" x14ac:dyDescent="0.3">
      <c r="B19" s="214"/>
      <c r="C19" s="215"/>
      <c r="D19" s="216"/>
      <c r="E19" s="217"/>
      <c r="F19" s="217"/>
      <c r="G19" s="218"/>
      <c r="H19" s="215"/>
      <c r="I19" s="215"/>
      <c r="J19" s="215"/>
      <c r="K19" s="215"/>
    </row>
    <row r="20" spans="2:11" s="208" customFormat="1" ht="12" hidden="1" customHeight="1" x14ac:dyDescent="0.3">
      <c r="B20" s="225" t="s">
        <v>161</v>
      </c>
      <c r="C20" s="220"/>
      <c r="D20" s="221"/>
      <c r="E20" s="222"/>
      <c r="F20" s="222"/>
      <c r="G20" s="223" t="s">
        <v>162</v>
      </c>
      <c r="H20" s="220" t="s">
        <v>152</v>
      </c>
      <c r="I20" s="220">
        <v>1</v>
      </c>
      <c r="J20" s="224">
        <v>85000</v>
      </c>
      <c r="K20" s="224">
        <f>J20*I20</f>
        <v>85000</v>
      </c>
    </row>
    <row r="21" spans="2:11" s="208" customFormat="1" ht="12" hidden="1" customHeight="1" x14ac:dyDescent="0.3">
      <c r="B21" s="214"/>
      <c r="C21" s="215"/>
      <c r="D21" s="216"/>
      <c r="E21" s="217"/>
      <c r="F21" s="217"/>
      <c r="G21" s="218"/>
      <c r="H21" s="215"/>
      <c r="I21" s="215"/>
      <c r="J21" s="215"/>
      <c r="K21" s="215"/>
    </row>
    <row r="22" spans="2:11" s="208" customFormat="1" ht="12" hidden="1" customHeight="1" x14ac:dyDescent="0.3">
      <c r="B22" s="225" t="s">
        <v>163</v>
      </c>
      <c r="C22" s="220"/>
      <c r="D22" s="221"/>
      <c r="E22" s="222"/>
      <c r="F22" s="222"/>
      <c r="G22" s="223" t="s">
        <v>162</v>
      </c>
      <c r="H22" s="220" t="s">
        <v>152</v>
      </c>
      <c r="I22" s="220">
        <v>1</v>
      </c>
      <c r="J22" s="224">
        <v>85000</v>
      </c>
      <c r="K22" s="224">
        <f>J22*I22</f>
        <v>85000</v>
      </c>
    </row>
    <row r="23" spans="2:11" s="208" customFormat="1" ht="12" hidden="1" customHeight="1" x14ac:dyDescent="0.3">
      <c r="B23" s="214"/>
      <c r="C23" s="215"/>
      <c r="D23" s="216"/>
      <c r="E23" s="217"/>
      <c r="F23" s="217"/>
      <c r="G23" s="218"/>
      <c r="H23" s="215"/>
      <c r="I23" s="215"/>
      <c r="J23" s="215"/>
      <c r="K23" s="215"/>
    </row>
    <row r="24" spans="2:11" s="208" customFormat="1" ht="12" hidden="1" customHeight="1" x14ac:dyDescent="0.3">
      <c r="B24" s="226"/>
      <c r="C24" s="227"/>
      <c r="D24" s="228"/>
      <c r="E24" s="229"/>
      <c r="F24" s="229"/>
      <c r="G24" s="230" t="s">
        <v>164</v>
      </c>
      <c r="H24" s="227" t="s">
        <v>165</v>
      </c>
      <c r="I24" s="227">
        <v>3</v>
      </c>
      <c r="J24" s="231">
        <v>762587</v>
      </c>
      <c r="K24" s="232">
        <f>J24*I24</f>
        <v>2287761</v>
      </c>
    </row>
    <row r="25" spans="2:11" s="208" customFormat="1" ht="12" hidden="1" customHeight="1" x14ac:dyDescent="0.3">
      <c r="B25" s="233"/>
      <c r="C25" s="220"/>
      <c r="D25" s="221"/>
      <c r="E25" s="222"/>
      <c r="F25" s="222"/>
      <c r="G25" s="223"/>
      <c r="J25" s="220"/>
      <c r="K25" s="234">
        <f>SUM(K10:K24)</f>
        <v>4417761</v>
      </c>
    </row>
    <row r="26" spans="2:11" s="208" customFormat="1" ht="12" hidden="1" customHeight="1" x14ac:dyDescent="0.3">
      <c r="B26" s="233"/>
      <c r="C26" s="220"/>
      <c r="D26" s="221"/>
      <c r="E26" s="222"/>
      <c r="F26" s="222"/>
      <c r="G26" s="223"/>
    </row>
    <row r="27" spans="2:11" s="208" customFormat="1" ht="12" hidden="1" customHeight="1" x14ac:dyDescent="0.3">
      <c r="B27" s="233"/>
      <c r="C27" s="220"/>
      <c r="D27" s="221"/>
      <c r="E27" s="222"/>
      <c r="F27" s="222"/>
      <c r="G27" s="223"/>
    </row>
    <row r="28" spans="2:11" s="208" customFormat="1" ht="12" hidden="1" customHeight="1" x14ac:dyDescent="0.3">
      <c r="B28" s="209"/>
      <c r="C28" s="210"/>
      <c r="D28" s="211"/>
      <c r="E28" s="212"/>
      <c r="F28" s="212"/>
      <c r="G28" s="235" t="s">
        <v>166</v>
      </c>
      <c r="H28" s="210" t="s">
        <v>152</v>
      </c>
      <c r="I28" s="210">
        <v>0.25</v>
      </c>
      <c r="J28" s="236">
        <f>K25</f>
        <v>4417761</v>
      </c>
      <c r="K28" s="236">
        <f>J28*I28</f>
        <v>1104440.25</v>
      </c>
    </row>
    <row r="29" spans="2:11" s="208" customFormat="1" ht="12" hidden="1" customHeight="1" x14ac:dyDescent="0.3">
      <c r="B29" s="214"/>
      <c r="C29" s="215"/>
      <c r="D29" s="216"/>
      <c r="E29" s="217"/>
      <c r="F29" s="217"/>
      <c r="G29" s="218"/>
      <c r="H29" s="215"/>
      <c r="I29" s="215"/>
      <c r="J29" s="215"/>
      <c r="K29" s="215"/>
    </row>
    <row r="30" spans="2:11" s="208" customFormat="1" ht="12" hidden="1" customHeight="1" x14ac:dyDescent="0.3">
      <c r="B30" s="237"/>
      <c r="C30" s="227"/>
      <c r="D30" s="228"/>
      <c r="E30" s="229"/>
      <c r="F30" s="229"/>
      <c r="G30" s="230" t="s">
        <v>167</v>
      </c>
      <c r="H30" s="227"/>
      <c r="I30" s="227"/>
      <c r="J30" s="224"/>
      <c r="K30" s="224">
        <f>'[1]Construction Estimate'!H1494-K25+K24</f>
        <v>29324356</v>
      </c>
    </row>
    <row r="31" spans="2:11" s="208" customFormat="1" ht="12" hidden="1" customHeight="1" x14ac:dyDescent="0.3">
      <c r="B31" s="233"/>
      <c r="C31" s="220"/>
      <c r="D31" s="221"/>
      <c r="E31" s="222"/>
      <c r="F31" s="222"/>
      <c r="G31" s="223"/>
      <c r="J31" s="238" t="s">
        <v>0</v>
      </c>
      <c r="K31" s="239">
        <f>SUM(K28:K30)</f>
        <v>30428796.25</v>
      </c>
    </row>
    <row r="32" spans="2:11" s="208" customFormat="1" ht="12" hidden="1" customHeight="1" x14ac:dyDescent="0.3">
      <c r="B32" s="233"/>
      <c r="C32" s="220"/>
      <c r="D32" s="221"/>
      <c r="E32" s="222"/>
      <c r="F32" s="222"/>
      <c r="G32" s="223"/>
    </row>
    <row r="33" spans="2:11" s="208" customFormat="1" ht="12" customHeight="1" x14ac:dyDescent="0.3">
      <c r="B33" s="233" t="s">
        <v>168</v>
      </c>
      <c r="C33" s="240">
        <f>ROUNDUP(38029978.14,0)</f>
        <v>38029979</v>
      </c>
      <c r="D33" s="241"/>
      <c r="E33" s="242"/>
      <c r="F33" s="242"/>
      <c r="G33" s="243"/>
    </row>
    <row r="34" spans="2:11" s="208" customFormat="1" ht="12" customHeight="1" x14ac:dyDescent="0.3">
      <c r="B34" s="233"/>
      <c r="C34" s="220"/>
      <c r="D34" s="221"/>
      <c r="E34" s="222"/>
      <c r="F34" s="244"/>
      <c r="G34" s="245"/>
    </row>
    <row r="35" spans="2:11" s="208" customFormat="1" ht="26.4" x14ac:dyDescent="0.3">
      <c r="B35" s="233" t="s">
        <v>169</v>
      </c>
      <c r="C35" s="220"/>
      <c r="D35" s="221" t="s">
        <v>170</v>
      </c>
      <c r="E35" s="222">
        <v>1</v>
      </c>
      <c r="F35" s="244">
        <f>1857000+(9.5%*(C33-19066000))</f>
        <v>3658578.0049999999</v>
      </c>
      <c r="G35" s="245">
        <f>ROUND(E35*F35,2)</f>
        <v>3658578.01</v>
      </c>
      <c r="K35" s="246"/>
    </row>
    <row r="36" spans="2:11" s="208" customFormat="1" ht="12" customHeight="1" x14ac:dyDescent="0.3">
      <c r="B36" s="233"/>
      <c r="C36" s="220"/>
      <c r="D36" s="221"/>
      <c r="E36" s="222"/>
      <c r="F36" s="244"/>
      <c r="G36" s="245"/>
      <c r="K36" s="246"/>
    </row>
    <row r="37" spans="2:11" s="208" customFormat="1" ht="12" customHeight="1" x14ac:dyDescent="0.3">
      <c r="B37" s="233" t="s">
        <v>171</v>
      </c>
      <c r="C37" s="220"/>
      <c r="D37" s="221" t="s">
        <v>172</v>
      </c>
      <c r="E37" s="222">
        <v>14</v>
      </c>
      <c r="F37" s="244">
        <f>ROUND(98500*1.05,0)</f>
        <v>103425</v>
      </c>
      <c r="G37" s="245">
        <f>ROUND(E37*F37,2)</f>
        <v>1447950</v>
      </c>
    </row>
    <row r="38" spans="2:11" s="208" customFormat="1" ht="12" customHeight="1" x14ac:dyDescent="0.3">
      <c r="B38" s="233"/>
      <c r="C38" s="220"/>
      <c r="D38" s="221"/>
      <c r="E38" s="222"/>
      <c r="F38" s="244"/>
      <c r="G38" s="245"/>
    </row>
    <row r="39" spans="2:11" s="208" customFormat="1" ht="12" customHeight="1" x14ac:dyDescent="0.3">
      <c r="B39" s="233" t="s">
        <v>173</v>
      </c>
      <c r="C39" s="220"/>
      <c r="D39" s="221" t="s">
        <v>165</v>
      </c>
      <c r="E39" s="222">
        <v>28</v>
      </c>
      <c r="F39" s="244">
        <v>9900</v>
      </c>
      <c r="G39" s="245">
        <f>ROUND(E39*F39,2)</f>
        <v>277200</v>
      </c>
    </row>
    <row r="40" spans="2:11" s="208" customFormat="1" ht="12" customHeight="1" x14ac:dyDescent="0.3">
      <c r="B40" s="233"/>
      <c r="C40" s="220"/>
      <c r="D40" s="221"/>
      <c r="E40" s="222"/>
      <c r="F40" s="244"/>
      <c r="G40" s="245"/>
    </row>
    <row r="41" spans="2:11" s="208" customFormat="1" ht="12" customHeight="1" x14ac:dyDescent="0.3">
      <c r="B41" s="233" t="s">
        <v>174</v>
      </c>
      <c r="C41" s="220"/>
      <c r="D41" s="221" t="s">
        <v>165</v>
      </c>
      <c r="E41" s="222">
        <v>4</v>
      </c>
      <c r="F41" s="244">
        <v>14600</v>
      </c>
      <c r="G41" s="245">
        <f t="shared" ref="G41" si="0">ROUND(E41*F41,2)</f>
        <v>58400</v>
      </c>
    </row>
    <row r="42" spans="2:11" s="208" customFormat="1" ht="12" customHeight="1" x14ac:dyDescent="0.3">
      <c r="B42" s="233"/>
      <c r="C42" s="220"/>
      <c r="D42" s="221"/>
      <c r="E42" s="222"/>
      <c r="F42" s="244"/>
      <c r="G42" s="245"/>
    </row>
    <row r="43" spans="2:11" s="208" customFormat="1" ht="12" customHeight="1" x14ac:dyDescent="0.3">
      <c r="B43" s="233" t="s">
        <v>175</v>
      </c>
      <c r="C43" s="220"/>
      <c r="D43" s="221" t="s">
        <v>165</v>
      </c>
      <c r="E43" s="222">
        <f>15+5</f>
        <v>20</v>
      </c>
      <c r="F43" s="244">
        <v>13762</v>
      </c>
      <c r="G43" s="245">
        <f>ROUND(E43*F43,2)</f>
        <v>275240</v>
      </c>
      <c r="I43" s="247">
        <f>SUM(G35:G43)</f>
        <v>5717368.0099999998</v>
      </c>
    </row>
    <row r="44" spans="2:11" s="208" customFormat="1" ht="12" customHeight="1" x14ac:dyDescent="0.3">
      <c r="B44" s="233"/>
      <c r="C44" s="220"/>
      <c r="D44" s="221"/>
      <c r="E44" s="222"/>
      <c r="F44" s="244"/>
      <c r="G44" s="245"/>
    </row>
    <row r="45" spans="2:11" s="208" customFormat="1" ht="12" customHeight="1" x14ac:dyDescent="0.3">
      <c r="B45" s="233" t="s">
        <v>176</v>
      </c>
      <c r="C45" s="220"/>
      <c r="D45" s="221" t="s">
        <v>152</v>
      </c>
      <c r="E45" s="222">
        <v>-1</v>
      </c>
      <c r="F45" s="244">
        <f>1555585.49+259264.25</f>
        <v>1814849.74</v>
      </c>
      <c r="G45" s="245">
        <f t="shared" ref="G45" si="1">ROUND(E45*F45,2)</f>
        <v>-1814849.74</v>
      </c>
    </row>
    <row r="46" spans="2:11" s="208" customFormat="1" ht="12" customHeight="1" thickBot="1" x14ac:dyDescent="0.35">
      <c r="B46" s="233"/>
      <c r="C46" s="220"/>
      <c r="D46" s="221"/>
      <c r="E46" s="222"/>
      <c r="F46" s="244"/>
      <c r="G46" s="245"/>
    </row>
    <row r="47" spans="2:11" s="253" customFormat="1" ht="12" customHeight="1" thickBot="1" x14ac:dyDescent="0.35">
      <c r="B47" s="248" t="s">
        <v>177</v>
      </c>
      <c r="C47" s="249"/>
      <c r="D47" s="250"/>
      <c r="E47" s="250"/>
      <c r="F47" s="251"/>
      <c r="G47" s="252">
        <f>ROUND(SUM(G35:G46),2)</f>
        <v>3902518.27</v>
      </c>
      <c r="I47" s="254">
        <f>I43+G45</f>
        <v>3902518.2699999996</v>
      </c>
    </row>
    <row r="48" spans="2:11" s="208" customFormat="1" ht="12" customHeight="1" thickBot="1" x14ac:dyDescent="0.35">
      <c r="D48" s="221"/>
      <c r="E48" s="221"/>
      <c r="F48" s="255"/>
      <c r="G48" s="255"/>
    </row>
    <row r="49" spans="2:22" s="208" customFormat="1" ht="12" customHeight="1" thickBot="1" x14ac:dyDescent="0.35">
      <c r="B49" s="347" t="s">
        <v>178</v>
      </c>
      <c r="C49" s="348"/>
      <c r="D49" s="257" t="s">
        <v>143</v>
      </c>
      <c r="E49" s="257" t="s">
        <v>144</v>
      </c>
      <c r="F49" s="258" t="s">
        <v>145</v>
      </c>
      <c r="G49" s="259" t="s">
        <v>146</v>
      </c>
    </row>
    <row r="50" spans="2:22" s="208" customFormat="1" ht="12" customHeight="1" x14ac:dyDescent="0.3">
      <c r="B50" s="260"/>
      <c r="C50" s="261"/>
      <c r="D50" s="262"/>
      <c r="E50" s="262"/>
      <c r="F50" s="263"/>
      <c r="G50" s="264"/>
    </row>
    <row r="51" spans="2:22" s="208" customFormat="1" ht="12" customHeight="1" x14ac:dyDescent="0.3">
      <c r="B51" s="265" t="s">
        <v>168</v>
      </c>
      <c r="C51" s="266">
        <f>C33</f>
        <v>38029979</v>
      </c>
      <c r="D51" s="267"/>
      <c r="E51" s="267"/>
      <c r="F51" s="268"/>
      <c r="G51" s="269"/>
    </row>
    <row r="52" spans="2:22" s="208" customFormat="1" ht="12" customHeight="1" x14ac:dyDescent="0.3">
      <c r="B52" s="265" t="s">
        <v>179</v>
      </c>
      <c r="C52" s="266">
        <v>26809605</v>
      </c>
      <c r="D52" s="267"/>
      <c r="E52" s="267"/>
      <c r="F52" s="268"/>
      <c r="G52" s="269"/>
    </row>
    <row r="53" spans="2:22" s="208" customFormat="1" ht="12" customHeight="1" thickBot="1" x14ac:dyDescent="0.35">
      <c r="B53" s="265"/>
      <c r="C53" s="266"/>
      <c r="D53" s="267"/>
      <c r="E53" s="267"/>
      <c r="F53" s="268"/>
      <c r="G53" s="269"/>
    </row>
    <row r="54" spans="2:22" s="208" customFormat="1" ht="12" customHeight="1" x14ac:dyDescent="0.3">
      <c r="B54" s="270" t="s">
        <v>180</v>
      </c>
      <c r="C54" s="271"/>
      <c r="D54" s="272"/>
      <c r="E54" s="272"/>
      <c r="F54" s="273"/>
      <c r="G54" s="274">
        <f>SUM(G55:G56)</f>
        <v>639561.32000000007</v>
      </c>
      <c r="K54" s="275" t="s">
        <v>181</v>
      </c>
      <c r="L54" s="276"/>
      <c r="M54" s="277" t="s">
        <v>182</v>
      </c>
      <c r="N54" s="278"/>
      <c r="O54" s="278"/>
      <c r="P54" s="278"/>
      <c r="Q54" s="278"/>
      <c r="R54" s="278"/>
      <c r="S54" s="278"/>
      <c r="T54" s="278"/>
      <c r="U54" s="278"/>
      <c r="V54" s="279"/>
    </row>
    <row r="55" spans="2:22" s="208" customFormat="1" ht="12" customHeight="1" x14ac:dyDescent="0.3">
      <c r="B55" s="265" t="s">
        <v>183</v>
      </c>
      <c r="C55" s="280"/>
      <c r="D55" s="267" t="s">
        <v>184</v>
      </c>
      <c r="E55" s="267">
        <v>60</v>
      </c>
      <c r="F55" s="268">
        <f>G35</f>
        <v>3658578.01</v>
      </c>
      <c r="G55" s="269">
        <f>ROUND(G35*E55%,2)</f>
        <v>2195146.81</v>
      </c>
      <c r="J55" s="247"/>
      <c r="K55" s="349" t="s">
        <v>185</v>
      </c>
      <c r="L55" s="342" t="s">
        <v>186</v>
      </c>
      <c r="M55" s="352" t="s">
        <v>187</v>
      </c>
      <c r="N55" s="341"/>
      <c r="O55" s="340" t="s">
        <v>188</v>
      </c>
      <c r="P55" s="341"/>
      <c r="Q55" s="340" t="s">
        <v>189</v>
      </c>
      <c r="R55" s="341"/>
      <c r="S55" s="340" t="s">
        <v>190</v>
      </c>
      <c r="T55" s="341"/>
      <c r="U55" s="340" t="s">
        <v>191</v>
      </c>
      <c r="V55" s="342"/>
    </row>
    <row r="56" spans="2:22" s="208" customFormat="1" ht="12" customHeight="1" x14ac:dyDescent="0.3">
      <c r="B56" s="265" t="s">
        <v>192</v>
      </c>
      <c r="C56" s="280"/>
      <c r="D56" s="267"/>
      <c r="E56" s="267"/>
      <c r="F56" s="268"/>
      <c r="G56" s="269">
        <f>-1555585.49</f>
        <v>-1555585.49</v>
      </c>
      <c r="K56" s="349"/>
      <c r="L56" s="342"/>
      <c r="M56" s="343" t="s">
        <v>193</v>
      </c>
      <c r="N56" s="344"/>
      <c r="O56" s="345" t="s">
        <v>194</v>
      </c>
      <c r="P56" s="344"/>
      <c r="Q56" s="345" t="s">
        <v>195</v>
      </c>
      <c r="R56" s="344"/>
      <c r="S56" s="345" t="s">
        <v>196</v>
      </c>
      <c r="T56" s="344"/>
      <c r="U56" s="345" t="s">
        <v>197</v>
      </c>
      <c r="V56" s="346"/>
    </row>
    <row r="57" spans="2:22" s="208" customFormat="1" ht="12" customHeight="1" x14ac:dyDescent="0.3">
      <c r="B57" s="265"/>
      <c r="C57" s="280"/>
      <c r="D57" s="267"/>
      <c r="E57" s="267"/>
      <c r="F57" s="268"/>
      <c r="G57" s="269"/>
      <c r="K57" s="349"/>
      <c r="L57" s="342"/>
      <c r="M57" s="353" t="s">
        <v>170</v>
      </c>
      <c r="N57" s="334"/>
      <c r="O57" s="334" t="s">
        <v>170</v>
      </c>
      <c r="P57" s="334"/>
      <c r="Q57" s="334" t="s">
        <v>170</v>
      </c>
      <c r="R57" s="334"/>
      <c r="S57" s="334" t="s">
        <v>170</v>
      </c>
      <c r="T57" s="334"/>
      <c r="U57" s="334" t="s">
        <v>170</v>
      </c>
      <c r="V57" s="335"/>
    </row>
    <row r="58" spans="2:22" s="208" customFormat="1" ht="12" customHeight="1" thickBot="1" x14ac:dyDescent="0.35">
      <c r="B58" s="270" t="s">
        <v>198</v>
      </c>
      <c r="C58" s="280"/>
      <c r="D58" s="267"/>
      <c r="E58" s="267"/>
      <c r="F58" s="268"/>
      <c r="G58" s="282">
        <f>SUM(G59:G60)</f>
        <v>106593.54999999999</v>
      </c>
      <c r="K58" s="350"/>
      <c r="L58" s="351"/>
      <c r="M58" s="283" t="s">
        <v>199</v>
      </c>
      <c r="N58" s="284" t="s">
        <v>200</v>
      </c>
      <c r="O58" s="284" t="s">
        <v>199</v>
      </c>
      <c r="P58" s="284" t="s">
        <v>200</v>
      </c>
      <c r="Q58" s="284" t="s">
        <v>199</v>
      </c>
      <c r="R58" s="284" t="s">
        <v>200</v>
      </c>
      <c r="S58" s="284" t="s">
        <v>199</v>
      </c>
      <c r="T58" s="284" t="s">
        <v>200</v>
      </c>
      <c r="U58" s="284" t="s">
        <v>199</v>
      </c>
      <c r="V58" s="285" t="s">
        <v>200</v>
      </c>
    </row>
    <row r="59" spans="2:22" s="208" customFormat="1" ht="12" customHeight="1" x14ac:dyDescent="0.3">
      <c r="B59" s="265" t="s">
        <v>183</v>
      </c>
      <c r="C59" s="280"/>
      <c r="D59" s="267" t="s">
        <v>184</v>
      </c>
      <c r="E59" s="267">
        <v>10</v>
      </c>
      <c r="F59" s="268">
        <f>G35</f>
        <v>3658578.01</v>
      </c>
      <c r="G59" s="269">
        <f>ROUND(G35*E59%,2)</f>
        <v>365857.8</v>
      </c>
      <c r="K59" s="286">
        <v>0</v>
      </c>
      <c r="L59" s="287">
        <v>850000</v>
      </c>
      <c r="M59" s="288">
        <v>0</v>
      </c>
      <c r="N59" s="289">
        <v>0.15</v>
      </c>
      <c r="O59" s="290">
        <v>0</v>
      </c>
      <c r="P59" s="289">
        <v>0.06</v>
      </c>
      <c r="Q59" s="290">
        <v>0</v>
      </c>
      <c r="R59" s="289">
        <v>0.15</v>
      </c>
      <c r="S59" s="290">
        <v>0</v>
      </c>
      <c r="T59" s="289">
        <v>0.15</v>
      </c>
      <c r="U59" s="290">
        <v>0</v>
      </c>
      <c r="V59" s="291">
        <v>0.20499999999999999</v>
      </c>
    </row>
    <row r="60" spans="2:22" s="208" customFormat="1" ht="12" customHeight="1" x14ac:dyDescent="0.3">
      <c r="B60" s="265" t="s">
        <v>192</v>
      </c>
      <c r="C60" s="280"/>
      <c r="D60" s="267"/>
      <c r="E60" s="267"/>
      <c r="F60" s="268"/>
      <c r="G60" s="269">
        <f>-259264.25</f>
        <v>-259264.25</v>
      </c>
      <c r="J60" s="247"/>
      <c r="K60" s="292">
        <v>850000</v>
      </c>
      <c r="L60" s="293">
        <v>1899000</v>
      </c>
      <c r="M60" s="292">
        <v>106300</v>
      </c>
      <c r="N60" s="294">
        <v>0.15</v>
      </c>
      <c r="O60" s="295">
        <v>42500</v>
      </c>
      <c r="P60" s="294">
        <v>0.06</v>
      </c>
      <c r="Q60" s="295">
        <v>106300</v>
      </c>
      <c r="R60" s="294">
        <v>0.15</v>
      </c>
      <c r="S60" s="295">
        <v>106300</v>
      </c>
      <c r="T60" s="294">
        <v>0.15</v>
      </c>
      <c r="U60" s="295">
        <v>144500</v>
      </c>
      <c r="V60" s="296">
        <v>0.20499999999999999</v>
      </c>
    </row>
    <row r="61" spans="2:22" s="208" customFormat="1" ht="12" customHeight="1" x14ac:dyDescent="0.3">
      <c r="B61" s="265"/>
      <c r="C61" s="280"/>
      <c r="D61" s="267"/>
      <c r="E61" s="267"/>
      <c r="F61" s="268"/>
      <c r="G61" s="269"/>
      <c r="K61" s="292">
        <v>1899000</v>
      </c>
      <c r="L61" s="293">
        <v>9347000</v>
      </c>
      <c r="M61" s="292">
        <v>237400</v>
      </c>
      <c r="N61" s="294">
        <v>0.12</v>
      </c>
      <c r="O61" s="295">
        <v>95000</v>
      </c>
      <c r="P61" s="294">
        <v>5.5E-2</v>
      </c>
      <c r="Q61" s="295">
        <v>237400</v>
      </c>
      <c r="R61" s="294">
        <v>0.12</v>
      </c>
      <c r="S61" s="295">
        <v>237400</v>
      </c>
      <c r="T61" s="294">
        <v>0.12</v>
      </c>
      <c r="U61" s="295">
        <v>322800</v>
      </c>
      <c r="V61" s="296">
        <v>0.16</v>
      </c>
    </row>
    <row r="62" spans="2:22" s="208" customFormat="1" ht="12" customHeight="1" x14ac:dyDescent="0.3">
      <c r="B62" s="270" t="s">
        <v>201</v>
      </c>
      <c r="C62" s="280"/>
      <c r="D62" s="267"/>
      <c r="E62" s="267"/>
      <c r="F62" s="268"/>
      <c r="G62" s="282">
        <f>SUM(G63:G63)</f>
        <v>914644.5</v>
      </c>
      <c r="K62" s="292">
        <v>9347000</v>
      </c>
      <c r="L62" s="293">
        <v>19066000</v>
      </c>
      <c r="M62" s="292">
        <v>982400</v>
      </c>
      <c r="N62" s="294">
        <v>0.105</v>
      </c>
      <c r="O62" s="295">
        <v>430000</v>
      </c>
      <c r="P62" s="294">
        <v>0.05</v>
      </c>
      <c r="Q62" s="295">
        <v>982400</v>
      </c>
      <c r="R62" s="294">
        <v>9.5000000000000001E-2</v>
      </c>
      <c r="S62" s="295">
        <v>982400</v>
      </c>
      <c r="T62" s="294">
        <v>9.5000000000000001E-2</v>
      </c>
      <c r="U62" s="295">
        <v>1328200</v>
      </c>
      <c r="V62" s="296">
        <v>0.14000000000000001</v>
      </c>
    </row>
    <row r="63" spans="2:22" s="208" customFormat="1" ht="12" customHeight="1" x14ac:dyDescent="0.3">
      <c r="B63" s="265" t="s">
        <v>183</v>
      </c>
      <c r="C63" s="280"/>
      <c r="D63" s="267" t="s">
        <v>184</v>
      </c>
      <c r="E63" s="267">
        <v>25</v>
      </c>
      <c r="F63" s="268">
        <f>G35</f>
        <v>3658578.01</v>
      </c>
      <c r="G63" s="269">
        <f>ROUND(G35*E63%,2)</f>
        <v>914644.5</v>
      </c>
      <c r="K63" s="292">
        <v>19066000</v>
      </c>
      <c r="L63" s="293">
        <v>47372000</v>
      </c>
      <c r="M63" s="292">
        <v>1857000</v>
      </c>
      <c r="N63" s="294">
        <v>9.5000000000000001E-2</v>
      </c>
      <c r="O63" s="295">
        <v>818000</v>
      </c>
      <c r="P63" s="294">
        <v>3.5000000000000003E-2</v>
      </c>
      <c r="Q63" s="295">
        <v>1759800</v>
      </c>
      <c r="R63" s="294">
        <v>8.5000000000000006E-2</v>
      </c>
      <c r="S63" s="295">
        <v>1759800</v>
      </c>
      <c r="T63" s="294">
        <v>8.5000000000000006E-2</v>
      </c>
      <c r="U63" s="295">
        <v>2446200</v>
      </c>
      <c r="V63" s="296">
        <v>0.12</v>
      </c>
    </row>
    <row r="64" spans="2:22" s="208" customFormat="1" ht="12" customHeight="1" x14ac:dyDescent="0.3">
      <c r="B64" s="265"/>
      <c r="C64" s="280"/>
      <c r="D64" s="267"/>
      <c r="E64" s="267"/>
      <c r="F64" s="268"/>
      <c r="G64" s="269"/>
      <c r="K64" s="292">
        <v>47372000</v>
      </c>
      <c r="L64" s="293">
        <v>94960000</v>
      </c>
      <c r="M64" s="292">
        <v>4121400</v>
      </c>
      <c r="N64" s="294">
        <v>7.0000000000000007E-2</v>
      </c>
      <c r="O64" s="295">
        <v>1667500</v>
      </c>
      <c r="P64" s="294">
        <v>0.03</v>
      </c>
      <c r="Q64" s="295">
        <v>3742400</v>
      </c>
      <c r="R64" s="294">
        <v>7.0000000000000007E-2</v>
      </c>
      <c r="S64" s="295">
        <v>3742400</v>
      </c>
      <c r="T64" s="294">
        <v>7.0000000000000007E-2</v>
      </c>
      <c r="U64" s="295">
        <v>5277200</v>
      </c>
      <c r="V64" s="296">
        <v>0.115</v>
      </c>
    </row>
    <row r="65" spans="2:22" s="253" customFormat="1" ht="12" customHeight="1" x14ac:dyDescent="0.3">
      <c r="B65" s="270" t="s">
        <v>202</v>
      </c>
      <c r="C65" s="271"/>
      <c r="D65" s="297"/>
      <c r="E65" s="297"/>
      <c r="F65" s="298"/>
      <c r="G65" s="282">
        <f>SUM(G66:G66)</f>
        <v>182928.9</v>
      </c>
      <c r="K65" s="292">
        <v>94960000</v>
      </c>
      <c r="L65" s="293">
        <v>572000000</v>
      </c>
      <c r="M65" s="292">
        <v>7065000</v>
      </c>
      <c r="N65" s="294">
        <v>6.5000000000000002E-2</v>
      </c>
      <c r="O65" s="295">
        <v>2620900</v>
      </c>
      <c r="P65" s="294">
        <v>2.5000000000000001E-2</v>
      </c>
      <c r="Q65" s="295">
        <v>6590200</v>
      </c>
      <c r="R65" s="294">
        <v>6.5000000000000002E-2</v>
      </c>
      <c r="S65" s="295">
        <v>6590200</v>
      </c>
      <c r="T65" s="294">
        <v>6.5000000000000002E-2</v>
      </c>
      <c r="U65" s="295">
        <v>9790400</v>
      </c>
      <c r="V65" s="296">
        <v>0.1</v>
      </c>
    </row>
    <row r="66" spans="2:22" s="253" customFormat="1" ht="12" customHeight="1" thickBot="1" x14ac:dyDescent="0.35">
      <c r="B66" s="265" t="s">
        <v>183</v>
      </c>
      <c r="C66" s="271"/>
      <c r="D66" s="267" t="s">
        <v>184</v>
      </c>
      <c r="E66" s="267">
        <v>5</v>
      </c>
      <c r="F66" s="268">
        <f>G35</f>
        <v>3658578.01</v>
      </c>
      <c r="G66" s="269">
        <f>ROUND(G35*E66%,2)</f>
        <v>182928.9</v>
      </c>
      <c r="K66" s="299">
        <v>572000000</v>
      </c>
      <c r="L66" s="300">
        <v>1000000000</v>
      </c>
      <c r="M66" s="299">
        <v>33233200</v>
      </c>
      <c r="N66" s="301">
        <v>0.06</v>
      </c>
      <c r="O66" s="302">
        <v>9781200</v>
      </c>
      <c r="P66" s="301">
        <v>2.5000000000000001E-2</v>
      </c>
      <c r="Q66" s="302">
        <v>32832800</v>
      </c>
      <c r="R66" s="301">
        <v>6.5000000000000002E-2</v>
      </c>
      <c r="S66" s="302">
        <v>32832800</v>
      </c>
      <c r="T66" s="301">
        <v>6.5000000000000002E-2</v>
      </c>
      <c r="U66" s="302">
        <v>50336000</v>
      </c>
      <c r="V66" s="303">
        <v>0.1</v>
      </c>
    </row>
    <row r="67" spans="2:22" s="253" customFormat="1" ht="12.75" customHeight="1" x14ac:dyDescent="0.3">
      <c r="B67" s="265"/>
      <c r="C67" s="271"/>
      <c r="D67" s="267"/>
      <c r="E67" s="267"/>
      <c r="F67" s="268"/>
      <c r="G67" s="269"/>
    </row>
    <row r="68" spans="2:22" s="253" customFormat="1" ht="12.75" customHeight="1" x14ac:dyDescent="0.3">
      <c r="B68" s="270" t="s">
        <v>203</v>
      </c>
      <c r="C68" s="271"/>
      <c r="D68" s="267"/>
      <c r="E68" s="267"/>
      <c r="F68" s="268"/>
      <c r="G68" s="282">
        <f>SUM(G69:G72)</f>
        <v>2058790</v>
      </c>
      <c r="K68" s="336" t="s">
        <v>204</v>
      </c>
      <c r="L68" s="337" t="s">
        <v>182</v>
      </c>
      <c r="M68" s="338"/>
      <c r="N68" s="338"/>
      <c r="O68" s="338"/>
      <c r="P68" s="339"/>
    </row>
    <row r="69" spans="2:22" s="253" customFormat="1" ht="12" customHeight="1" x14ac:dyDescent="0.3">
      <c r="B69" s="265" t="s">
        <v>171</v>
      </c>
      <c r="C69" s="280"/>
      <c r="D69" s="267" t="s">
        <v>172</v>
      </c>
      <c r="E69" s="267">
        <f>11+3</f>
        <v>14</v>
      </c>
      <c r="F69" s="268">
        <f>F37</f>
        <v>103425</v>
      </c>
      <c r="G69" s="269">
        <f>ROUND(E69*F69,2)</f>
        <v>1447950</v>
      </c>
      <c r="K69" s="336"/>
      <c r="L69" s="281" t="s">
        <v>187</v>
      </c>
      <c r="M69" s="281" t="s">
        <v>188</v>
      </c>
      <c r="N69" s="281" t="s">
        <v>189</v>
      </c>
      <c r="O69" s="281" t="s">
        <v>190</v>
      </c>
      <c r="P69" s="281" t="s">
        <v>191</v>
      </c>
    </row>
    <row r="70" spans="2:22" s="253" customFormat="1" ht="12" customHeight="1" x14ac:dyDescent="0.3">
      <c r="B70" s="265" t="s">
        <v>173</v>
      </c>
      <c r="C70" s="280"/>
      <c r="D70" s="267" t="s">
        <v>165</v>
      </c>
      <c r="E70" s="267">
        <v>28</v>
      </c>
      <c r="F70" s="268">
        <v>9900</v>
      </c>
      <c r="G70" s="269">
        <f>ROUND(E70*F70,2)</f>
        <v>277200</v>
      </c>
      <c r="K70" s="304" t="s">
        <v>205</v>
      </c>
      <c r="L70" s="305">
        <v>0.05</v>
      </c>
      <c r="M70" s="305">
        <v>0.05</v>
      </c>
      <c r="N70" s="305">
        <v>0.05</v>
      </c>
      <c r="O70" s="305">
        <v>0.05</v>
      </c>
      <c r="P70" s="305">
        <v>0.05</v>
      </c>
    </row>
    <row r="71" spans="2:22" s="208" customFormat="1" ht="12" customHeight="1" x14ac:dyDescent="0.3">
      <c r="B71" s="265" t="s">
        <v>174</v>
      </c>
      <c r="C71" s="280"/>
      <c r="D71" s="267" t="s">
        <v>165</v>
      </c>
      <c r="E71" s="267">
        <v>4</v>
      </c>
      <c r="F71" s="268">
        <v>14600</v>
      </c>
      <c r="G71" s="269">
        <f t="shared" ref="G71" si="2">ROUND(E71*F71,2)</f>
        <v>58400</v>
      </c>
      <c r="K71" s="306" t="s">
        <v>206</v>
      </c>
      <c r="L71" s="307">
        <v>0.25</v>
      </c>
      <c r="M71" s="307">
        <v>0.25</v>
      </c>
      <c r="N71" s="307">
        <v>0.15</v>
      </c>
      <c r="O71" s="307">
        <v>0.15</v>
      </c>
      <c r="P71" s="307">
        <v>0.15</v>
      </c>
      <c r="Q71" s="253"/>
      <c r="R71" s="253"/>
      <c r="S71" s="253"/>
      <c r="T71" s="253"/>
      <c r="U71" s="253"/>
      <c r="V71" s="253"/>
    </row>
    <row r="72" spans="2:22" s="208" customFormat="1" ht="12" customHeight="1" x14ac:dyDescent="0.3">
      <c r="B72" s="265" t="s">
        <v>175</v>
      </c>
      <c r="C72" s="280"/>
      <c r="D72" s="267" t="s">
        <v>165</v>
      </c>
      <c r="E72" s="267">
        <f>15+5</f>
        <v>20</v>
      </c>
      <c r="F72" s="268">
        <v>13762</v>
      </c>
      <c r="G72" s="269">
        <f>ROUND(E72*F72,2)</f>
        <v>275240</v>
      </c>
      <c r="K72" s="306" t="s">
        <v>207</v>
      </c>
      <c r="L72" s="307">
        <v>0.25</v>
      </c>
      <c r="M72" s="307">
        <v>0.3</v>
      </c>
      <c r="N72" s="307">
        <v>0.2</v>
      </c>
      <c r="O72" s="307">
        <v>0.2</v>
      </c>
      <c r="P72" s="307">
        <v>0.2</v>
      </c>
      <c r="Q72" s="253"/>
      <c r="R72" s="253"/>
      <c r="S72" s="253"/>
      <c r="T72" s="253"/>
      <c r="U72" s="253"/>
      <c r="V72" s="253"/>
    </row>
    <row r="73" spans="2:22" s="208" customFormat="1" ht="12" customHeight="1" thickBot="1" x14ac:dyDescent="0.35">
      <c r="B73" s="265"/>
      <c r="C73" s="280"/>
      <c r="D73" s="267"/>
      <c r="E73" s="267"/>
      <c r="F73" s="268"/>
      <c r="G73" s="269"/>
      <c r="K73" s="306" t="s">
        <v>208</v>
      </c>
      <c r="L73" s="307">
        <v>0.25</v>
      </c>
      <c r="M73" s="307">
        <v>0.1</v>
      </c>
      <c r="N73" s="307">
        <v>0.2</v>
      </c>
      <c r="O73" s="307">
        <v>0.2</v>
      </c>
      <c r="P73" s="307">
        <v>0.2</v>
      </c>
    </row>
    <row r="74" spans="2:22" s="208" customFormat="1" ht="12" customHeight="1" thickBot="1" x14ac:dyDescent="0.35">
      <c r="B74" s="256" t="s">
        <v>177</v>
      </c>
      <c r="C74" s="308"/>
      <c r="D74" s="309"/>
      <c r="E74" s="309"/>
      <c r="F74" s="310"/>
      <c r="G74" s="311">
        <f>G54+G58+G62+G65+G68</f>
        <v>3902518.27</v>
      </c>
      <c r="K74" s="306" t="s">
        <v>209</v>
      </c>
      <c r="L74" s="307">
        <v>0.15</v>
      </c>
      <c r="M74" s="307">
        <v>0.25</v>
      </c>
      <c r="N74" s="307">
        <v>0.35</v>
      </c>
      <c r="O74" s="307">
        <v>0.35</v>
      </c>
      <c r="P74" s="307">
        <v>0.35</v>
      </c>
    </row>
    <row r="75" spans="2:22" s="208" customFormat="1" ht="12" customHeight="1" thickBot="1" x14ac:dyDescent="0.35">
      <c r="B75" s="312"/>
      <c r="C75" s="312"/>
      <c r="D75" s="313"/>
      <c r="E75" s="313"/>
      <c r="F75" s="310" t="s">
        <v>210</v>
      </c>
      <c r="G75" s="311">
        <f>ROUNDUP(G74,0)</f>
        <v>3902519</v>
      </c>
      <c r="K75" s="314" t="s">
        <v>211</v>
      </c>
      <c r="L75" s="315">
        <v>0.05</v>
      </c>
      <c r="M75" s="315">
        <v>0.05</v>
      </c>
      <c r="N75" s="315">
        <v>0.05</v>
      </c>
      <c r="O75" s="315">
        <v>0.05</v>
      </c>
      <c r="P75" s="315">
        <v>0.05</v>
      </c>
    </row>
    <row r="76" spans="2:22" ht="12" customHeight="1" thickBot="1" x14ac:dyDescent="0.35">
      <c r="B76" s="316" t="s">
        <v>212</v>
      </c>
      <c r="C76" s="317"/>
      <c r="D76" s="318"/>
      <c r="E76" s="318"/>
      <c r="F76" s="319"/>
      <c r="G76" s="319"/>
      <c r="K76" s="179"/>
      <c r="L76" s="320">
        <f>SUM(L70:L75)</f>
        <v>1</v>
      </c>
      <c r="M76" s="320">
        <f t="shared" ref="M76:P76" si="3">SUM(M70:M75)</f>
        <v>1</v>
      </c>
      <c r="N76" s="320">
        <f t="shared" si="3"/>
        <v>1</v>
      </c>
      <c r="O76" s="320">
        <f t="shared" si="3"/>
        <v>1</v>
      </c>
      <c r="P76" s="320">
        <f t="shared" si="3"/>
        <v>1</v>
      </c>
      <c r="Q76" s="208"/>
      <c r="R76" s="208"/>
      <c r="S76" s="208"/>
      <c r="T76" s="208"/>
      <c r="U76" s="208"/>
      <c r="V76" s="208"/>
    </row>
    <row r="77" spans="2:22" ht="13.8" thickTop="1" x14ac:dyDescent="0.3">
      <c r="B77" s="317"/>
      <c r="C77" s="317"/>
      <c r="D77" s="318"/>
      <c r="E77" s="318"/>
      <c r="F77" s="319"/>
      <c r="G77" s="319"/>
    </row>
    <row r="78" spans="2:22" x14ac:dyDescent="0.3">
      <c r="B78" s="317"/>
      <c r="C78" s="317"/>
      <c r="D78" s="318"/>
      <c r="E78" s="318"/>
      <c r="F78" s="319"/>
      <c r="G78" s="319"/>
    </row>
    <row r="79" spans="2:22" x14ac:dyDescent="0.3">
      <c r="B79" s="317"/>
      <c r="C79" s="317"/>
      <c r="D79" s="318"/>
      <c r="E79" s="318"/>
      <c r="F79" s="318"/>
      <c r="G79" s="318"/>
    </row>
    <row r="80" spans="2:22" x14ac:dyDescent="0.3">
      <c r="B80" s="317"/>
      <c r="C80" s="317"/>
      <c r="D80" s="318"/>
      <c r="E80" s="318"/>
      <c r="F80" s="318"/>
      <c r="G80" s="318"/>
    </row>
    <row r="81" spans="2:7" x14ac:dyDescent="0.3">
      <c r="B81" s="317"/>
      <c r="C81" s="317"/>
      <c r="D81" s="318"/>
      <c r="E81" s="318"/>
      <c r="F81" s="318"/>
      <c r="G81" s="318"/>
    </row>
    <row r="82" spans="2:7" x14ac:dyDescent="0.3">
      <c r="B82" s="317"/>
      <c r="C82" s="317"/>
      <c r="D82" s="318"/>
      <c r="E82" s="318"/>
      <c r="F82" s="318"/>
      <c r="G82" s="318"/>
    </row>
    <row r="83" spans="2:7" x14ac:dyDescent="0.3">
      <c r="B83" s="317"/>
      <c r="C83" s="317"/>
      <c r="D83" s="318"/>
      <c r="E83" s="318"/>
      <c r="F83" s="318"/>
      <c r="G83" s="318"/>
    </row>
    <row r="84" spans="2:7" x14ac:dyDescent="0.3">
      <c r="B84" s="317"/>
      <c r="C84" s="317"/>
      <c r="D84" s="318"/>
      <c r="E84" s="318"/>
      <c r="F84" s="318"/>
      <c r="G84" s="318"/>
    </row>
    <row r="85" spans="2:7" x14ac:dyDescent="0.3">
      <c r="B85" s="317"/>
      <c r="C85" s="317"/>
      <c r="D85" s="318"/>
      <c r="E85" s="318"/>
      <c r="F85" s="318"/>
      <c r="G85" s="318"/>
    </row>
    <row r="86" spans="2:7" x14ac:dyDescent="0.3">
      <c r="B86" s="317"/>
      <c r="C86" s="317"/>
      <c r="D86" s="318"/>
      <c r="E86" s="318"/>
      <c r="F86" s="318"/>
      <c r="G86" s="318"/>
    </row>
    <row r="87" spans="2:7" x14ac:dyDescent="0.3">
      <c r="B87" s="317"/>
      <c r="C87" s="317"/>
      <c r="D87" s="318"/>
      <c r="E87" s="318"/>
      <c r="F87" s="318"/>
      <c r="G87" s="318"/>
    </row>
    <row r="88" spans="2:7" x14ac:dyDescent="0.3">
      <c r="B88" s="317"/>
      <c r="C88" s="317"/>
      <c r="D88" s="318"/>
      <c r="E88" s="318"/>
      <c r="F88" s="318"/>
      <c r="G88" s="318"/>
    </row>
    <row r="89" spans="2:7" x14ac:dyDescent="0.3">
      <c r="B89" s="317"/>
      <c r="C89" s="317"/>
      <c r="D89" s="318"/>
      <c r="E89" s="318"/>
      <c r="F89" s="318"/>
      <c r="G89" s="318"/>
    </row>
    <row r="90" spans="2:7" x14ac:dyDescent="0.3">
      <c r="B90" s="317"/>
      <c r="C90" s="317"/>
      <c r="D90" s="318"/>
      <c r="E90" s="318"/>
      <c r="F90" s="318"/>
      <c r="G90" s="318"/>
    </row>
    <row r="91" spans="2:7" x14ac:dyDescent="0.3">
      <c r="B91" s="317"/>
      <c r="C91" s="317"/>
      <c r="D91" s="318"/>
      <c r="E91" s="318"/>
      <c r="F91" s="318"/>
      <c r="G91" s="318"/>
    </row>
    <row r="92" spans="2:7" x14ac:dyDescent="0.3">
      <c r="B92" s="317"/>
      <c r="C92" s="317"/>
      <c r="D92" s="318"/>
      <c r="E92" s="318"/>
      <c r="F92" s="318"/>
      <c r="G92" s="318"/>
    </row>
    <row r="93" spans="2:7" x14ac:dyDescent="0.3">
      <c r="B93" s="317"/>
      <c r="C93" s="317"/>
      <c r="D93" s="318"/>
      <c r="E93" s="318"/>
      <c r="F93" s="318"/>
      <c r="G93" s="318"/>
    </row>
  </sheetData>
  <mergeCells count="20">
    <mergeCell ref="B49:C49"/>
    <mergeCell ref="K55:K58"/>
    <mergeCell ref="L55:L58"/>
    <mergeCell ref="M55:N55"/>
    <mergeCell ref="O55:P55"/>
    <mergeCell ref="M57:N57"/>
    <mergeCell ref="O57:P57"/>
    <mergeCell ref="S57:T57"/>
    <mergeCell ref="U57:V57"/>
    <mergeCell ref="K68:K69"/>
    <mergeCell ref="L68:P68"/>
    <mergeCell ref="S55:T55"/>
    <mergeCell ref="U55:V55"/>
    <mergeCell ref="M56:N56"/>
    <mergeCell ref="O56:P56"/>
    <mergeCell ref="Q56:R56"/>
    <mergeCell ref="S56:T56"/>
    <mergeCell ref="U56:V56"/>
    <mergeCell ref="Q55:R55"/>
    <mergeCell ref="Q57:R57"/>
  </mergeCells>
  <pageMargins left="0.59027779999999996" right="0.27569440000000001" top="0.39374999999999999" bottom="0.39374999999999999" header="0.3" footer="0.3"/>
  <pageSetup paperSize="9" scale="78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T33"/>
  <sheetViews>
    <sheetView workbookViewId="0">
      <selection activeCell="D30" sqref="D30"/>
    </sheetView>
  </sheetViews>
  <sheetFormatPr defaultRowHeight="14.4" x14ac:dyDescent="0.3"/>
  <cols>
    <col min="3" max="3" width="21.77734375" bestFit="1" customWidth="1"/>
    <col min="8" max="8" width="12.5546875" bestFit="1" customWidth="1"/>
    <col min="10" max="10" width="18.77734375" bestFit="1" customWidth="1"/>
    <col min="16" max="16" width="14.77734375" bestFit="1" customWidth="1"/>
    <col min="18" max="18" width="11.21875" bestFit="1" customWidth="1"/>
  </cols>
  <sheetData>
    <row r="4" spans="3:20" x14ac:dyDescent="0.3">
      <c r="C4" s="113"/>
      <c r="D4" s="113"/>
      <c r="E4" s="113"/>
      <c r="F4" s="113"/>
      <c r="G4" s="113"/>
      <c r="H4" s="113"/>
      <c r="J4" s="113"/>
      <c r="K4" s="113"/>
      <c r="L4" s="113"/>
      <c r="P4" s="113"/>
      <c r="Q4" s="113"/>
      <c r="R4" s="113"/>
      <c r="S4" s="113"/>
      <c r="T4" s="113"/>
    </row>
    <row r="5" spans="3:20" x14ac:dyDescent="0.3">
      <c r="D5" s="114"/>
      <c r="E5" s="114"/>
      <c r="F5" s="114"/>
      <c r="G5" s="114"/>
      <c r="H5" s="114"/>
      <c r="K5" s="114"/>
      <c r="L5" s="114"/>
      <c r="P5" s="113"/>
      <c r="Q5" s="113"/>
      <c r="R5" s="115"/>
      <c r="S5" s="116"/>
      <c r="T5" s="116"/>
    </row>
    <row r="6" spans="3:20" x14ac:dyDescent="0.3">
      <c r="D6" s="114"/>
      <c r="E6" s="114"/>
      <c r="F6" s="114"/>
      <c r="G6" s="114"/>
      <c r="H6" s="114"/>
      <c r="K6" s="114"/>
      <c r="L6" s="114"/>
      <c r="P6" s="113"/>
      <c r="Q6" s="113"/>
      <c r="R6" s="116"/>
      <c r="S6" s="116"/>
      <c r="T6" s="116"/>
    </row>
    <row r="7" spans="3:20" x14ac:dyDescent="0.3">
      <c r="D7" s="114"/>
      <c r="E7" s="114"/>
      <c r="F7" s="114"/>
      <c r="G7" s="114"/>
      <c r="H7" s="114"/>
      <c r="K7" s="114"/>
      <c r="L7" s="114"/>
      <c r="P7" s="113"/>
      <c r="Q7" s="113"/>
      <c r="R7" s="116"/>
      <c r="S7" s="116"/>
      <c r="T7" s="116"/>
    </row>
    <row r="8" spans="3:20" x14ac:dyDescent="0.3">
      <c r="D8" s="114"/>
      <c r="E8" s="114"/>
      <c r="F8" s="114"/>
      <c r="G8" s="114"/>
      <c r="H8" s="114"/>
      <c r="K8" s="114"/>
      <c r="L8" s="114"/>
      <c r="P8" s="113"/>
      <c r="Q8" s="113"/>
      <c r="R8" s="116"/>
      <c r="S8" s="116"/>
      <c r="T8" s="116"/>
    </row>
    <row r="9" spans="3:20" x14ac:dyDescent="0.3">
      <c r="D9" s="114"/>
      <c r="E9" s="114"/>
      <c r="F9" s="114"/>
      <c r="G9" s="114"/>
      <c r="H9" s="114"/>
      <c r="K9" s="114"/>
      <c r="L9" s="114"/>
      <c r="P9" s="113"/>
      <c r="Q9" s="113"/>
      <c r="R9" s="116"/>
      <c r="S9" s="116"/>
      <c r="T9" s="116"/>
    </row>
    <row r="10" spans="3:20" x14ac:dyDescent="0.3">
      <c r="H10" s="117"/>
    </row>
    <row r="12" spans="3:20" x14ac:dyDescent="0.3">
      <c r="C12" s="113"/>
      <c r="D12" s="113"/>
      <c r="E12" s="113"/>
      <c r="F12" s="113"/>
      <c r="G12" s="113"/>
      <c r="H12" s="113"/>
    </row>
    <row r="13" spans="3:20" x14ac:dyDescent="0.3">
      <c r="D13" s="114"/>
      <c r="E13" s="114"/>
      <c r="F13" s="114"/>
      <c r="G13" s="114"/>
      <c r="H13" s="114"/>
    </row>
    <row r="14" spans="3:20" x14ac:dyDescent="0.3">
      <c r="D14" s="114"/>
      <c r="E14" s="114"/>
      <c r="F14" s="114"/>
      <c r="G14" s="114"/>
      <c r="H14" s="114"/>
    </row>
    <row r="15" spans="3:20" x14ac:dyDescent="0.3">
      <c r="D15" s="114"/>
      <c r="E15" s="114"/>
      <c r="F15" s="114"/>
      <c r="G15" s="114"/>
      <c r="H15" s="114"/>
    </row>
    <row r="16" spans="3:20" x14ac:dyDescent="0.3">
      <c r="D16" s="114"/>
      <c r="E16" s="114"/>
      <c r="F16" s="114"/>
      <c r="G16" s="114"/>
      <c r="H16" s="117"/>
    </row>
    <row r="17" spans="3:8" x14ac:dyDescent="0.3">
      <c r="D17" s="114"/>
      <c r="E17" s="114"/>
      <c r="F17" s="114"/>
      <c r="G17" s="114"/>
      <c r="H17" s="117"/>
    </row>
    <row r="20" spans="3:8" x14ac:dyDescent="0.3">
      <c r="C20" s="113"/>
      <c r="D20" s="113"/>
      <c r="E20" s="113"/>
      <c r="F20" s="113"/>
      <c r="G20" s="113"/>
      <c r="H20" s="113"/>
    </row>
    <row r="21" spans="3:8" x14ac:dyDescent="0.3">
      <c r="D21" s="114"/>
      <c r="E21" s="114"/>
      <c r="F21" s="114"/>
      <c r="G21" s="114"/>
      <c r="H21" s="114"/>
    </row>
    <row r="22" spans="3:8" x14ac:dyDescent="0.3">
      <c r="D22" s="114"/>
      <c r="E22" s="114"/>
      <c r="F22" s="114"/>
      <c r="G22" s="114"/>
      <c r="H22" s="114"/>
    </row>
    <row r="23" spans="3:8" x14ac:dyDescent="0.3">
      <c r="D23" s="114"/>
      <c r="E23" s="114"/>
      <c r="F23" s="114"/>
      <c r="G23" s="114"/>
      <c r="H23" s="114"/>
    </row>
    <row r="24" spans="3:8" x14ac:dyDescent="0.3">
      <c r="D24" s="114"/>
      <c r="E24" s="114"/>
      <c r="F24" s="114"/>
      <c r="G24" s="114"/>
      <c r="H24" s="114"/>
    </row>
    <row r="25" spans="3:8" x14ac:dyDescent="0.3">
      <c r="D25" s="114"/>
      <c r="E25" s="114"/>
      <c r="F25" s="114"/>
      <c r="G25" s="114"/>
      <c r="H25" s="114"/>
    </row>
    <row r="26" spans="3:8" x14ac:dyDescent="0.3">
      <c r="H26" s="117"/>
    </row>
    <row r="28" spans="3:8" ht="14.55" x14ac:dyDescent="0.35">
      <c r="C28" s="113"/>
      <c r="D28" s="113"/>
      <c r="E28" s="113"/>
      <c r="F28" s="113"/>
      <c r="G28" s="113"/>
      <c r="H28" s="113"/>
    </row>
    <row r="29" spans="3:8" ht="14.55" x14ac:dyDescent="0.35">
      <c r="D29" s="114"/>
      <c r="E29" s="114"/>
      <c r="F29" s="114"/>
      <c r="G29" s="114"/>
      <c r="H29" s="114"/>
    </row>
    <row r="30" spans="3:8" ht="14.55" x14ac:dyDescent="0.35">
      <c r="D30" s="114"/>
      <c r="E30" s="114"/>
      <c r="F30" s="114"/>
      <c r="G30" s="114"/>
      <c r="H30" s="114"/>
    </row>
    <row r="31" spans="3:8" ht="14.55" x14ac:dyDescent="0.35">
      <c r="D31" s="114"/>
      <c r="E31" s="114"/>
      <c r="F31" s="114"/>
      <c r="G31" s="114"/>
      <c r="H31" s="114"/>
    </row>
    <row r="32" spans="3:8" ht="14.55" x14ac:dyDescent="0.35">
      <c r="D32" s="114"/>
      <c r="E32" s="114"/>
      <c r="F32" s="114"/>
      <c r="G32" s="114"/>
      <c r="H32" s="117"/>
    </row>
    <row r="33" spans="4:8" ht="14.55" x14ac:dyDescent="0.35">
      <c r="D33" s="114"/>
      <c r="E33" s="114"/>
      <c r="F33" s="114"/>
      <c r="G33" s="114"/>
      <c r="H33" s="1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4:J9"/>
  <sheetViews>
    <sheetView zoomScaleNormal="100" workbookViewId="0">
      <selection activeCell="E14" sqref="E14"/>
    </sheetView>
  </sheetViews>
  <sheetFormatPr defaultRowHeight="14.4" x14ac:dyDescent="0.3"/>
  <cols>
    <col min="2" max="2" width="22.5546875" bestFit="1" customWidth="1"/>
    <col min="3" max="3" width="12.21875" bestFit="1" customWidth="1"/>
    <col min="4" max="4" width="14.21875" bestFit="1" customWidth="1"/>
    <col min="5" max="5" width="12.21875" bestFit="1" customWidth="1"/>
    <col min="7" max="7" width="17" bestFit="1" customWidth="1"/>
    <col min="10" max="10" width="13.21875" bestFit="1" customWidth="1"/>
  </cols>
  <sheetData>
    <row r="4" spans="2:10" ht="15" thickBot="1" x14ac:dyDescent="0.35"/>
    <row r="5" spans="2:10" ht="15" thickBot="1" x14ac:dyDescent="0.35">
      <c r="B5" s="1"/>
      <c r="C5" s="2" t="s">
        <v>1</v>
      </c>
      <c r="D5" s="2" t="s">
        <v>2</v>
      </c>
      <c r="E5" s="3" t="s">
        <v>3</v>
      </c>
      <c r="G5" s="4" t="s">
        <v>26</v>
      </c>
    </row>
    <row r="6" spans="2:10" x14ac:dyDescent="0.3">
      <c r="B6" s="47" t="s">
        <v>32</v>
      </c>
      <c r="C6" s="48"/>
      <c r="D6" s="48"/>
      <c r="E6" s="46">
        <f>SUM(E7:E8)</f>
        <v>2466240</v>
      </c>
      <c r="G6" t="s">
        <v>76</v>
      </c>
      <c r="H6">
        <v>30</v>
      </c>
      <c r="I6">
        <f>8*8*H6</f>
        <v>1920</v>
      </c>
    </row>
    <row r="7" spans="2:10" x14ac:dyDescent="0.3">
      <c r="B7" s="10" t="s">
        <v>77</v>
      </c>
      <c r="C7">
        <v>324</v>
      </c>
      <c r="D7" s="33">
        <f>I8</f>
        <v>5760</v>
      </c>
      <c r="E7" s="34">
        <f>C7*D7</f>
        <v>1866240</v>
      </c>
      <c r="G7" t="s">
        <v>7</v>
      </c>
      <c r="H7">
        <v>15</v>
      </c>
      <c r="I7">
        <f>H7*8*8*4</f>
        <v>3840</v>
      </c>
    </row>
    <row r="8" spans="2:10" ht="15" thickBot="1" x14ac:dyDescent="0.35">
      <c r="B8" s="10" t="s">
        <v>85</v>
      </c>
      <c r="C8">
        <v>600000</v>
      </c>
      <c r="D8" s="33">
        <v>1</v>
      </c>
      <c r="E8" s="34">
        <f>C8*D8</f>
        <v>600000</v>
      </c>
      <c r="I8" s="86">
        <f>SUM(I6:I7)</f>
        <v>5760</v>
      </c>
      <c r="J8" t="s">
        <v>75</v>
      </c>
    </row>
    <row r="9" spans="2:10" ht="15" thickTop="1" x14ac:dyDescent="0.3"/>
  </sheetData>
  <pageMargins left="0.7" right="0.7" top="0.75" bottom="0.75" header="0.3" footer="0.3"/>
  <pageSetup paperSize="9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L9"/>
  <sheetViews>
    <sheetView workbookViewId="0">
      <selection activeCell="H20" sqref="H20:H21"/>
    </sheetView>
  </sheetViews>
  <sheetFormatPr defaultRowHeight="14.4" x14ac:dyDescent="0.3"/>
  <cols>
    <col min="3" max="3" width="12.21875" bestFit="1" customWidth="1"/>
    <col min="4" max="4" width="14" bestFit="1" customWidth="1"/>
    <col min="6" max="6" width="14" bestFit="1" customWidth="1"/>
    <col min="11" max="11" width="16" bestFit="1" customWidth="1"/>
    <col min="12" max="12" width="14.5546875" bestFit="1" customWidth="1"/>
  </cols>
  <sheetData>
    <row r="2" spans="3:12" ht="15" thickBot="1" x14ac:dyDescent="0.35"/>
    <row r="3" spans="3:12" ht="15" thickBot="1" x14ac:dyDescent="0.35">
      <c r="J3" s="149"/>
      <c r="K3" s="150" t="s">
        <v>134</v>
      </c>
      <c r="L3" s="151" t="s">
        <v>135</v>
      </c>
    </row>
    <row r="4" spans="3:12" ht="15" thickBot="1" x14ac:dyDescent="0.35">
      <c r="C4" s="42" t="s">
        <v>79</v>
      </c>
      <c r="D4" s="88" t="s">
        <v>1</v>
      </c>
      <c r="E4" s="88" t="s">
        <v>2</v>
      </c>
      <c r="F4" s="89" t="s">
        <v>3</v>
      </c>
      <c r="J4" s="149"/>
      <c r="K4" s="152"/>
      <c r="L4" s="153"/>
    </row>
    <row r="5" spans="3:12" x14ac:dyDescent="0.3">
      <c r="C5" t="s">
        <v>136</v>
      </c>
      <c r="D5" s="160">
        <v>38492150</v>
      </c>
      <c r="E5">
        <v>1</v>
      </c>
      <c r="F5" s="67">
        <f>E5*D5</f>
        <v>38492150</v>
      </c>
      <c r="J5" s="154">
        <v>1</v>
      </c>
      <c r="K5" s="155" t="s">
        <v>136</v>
      </c>
      <c r="L5" s="156"/>
    </row>
    <row r="6" spans="3:12" x14ac:dyDescent="0.3">
      <c r="D6" s="67"/>
      <c r="F6" s="67"/>
      <c r="J6" s="157">
        <v>1.1000000000000001</v>
      </c>
      <c r="K6" s="158" t="s">
        <v>137</v>
      </c>
      <c r="L6" s="159">
        <f>'[2]Construction Estimate'!P1491+1</f>
        <v>1</v>
      </c>
    </row>
    <row r="7" spans="3:12" ht="15" thickBot="1" x14ac:dyDescent="0.35">
      <c r="F7" s="75">
        <f>SUM(F5:F6)</f>
        <v>38492150</v>
      </c>
    </row>
    <row r="8" spans="3:12" ht="15" thickTop="1" x14ac:dyDescent="0.3"/>
    <row r="9" spans="3:12" x14ac:dyDescent="0.3">
      <c r="F9" s="9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F11"/>
  <sheetViews>
    <sheetView workbookViewId="0">
      <selection activeCell="F5" sqref="F5:F10"/>
    </sheetView>
  </sheetViews>
  <sheetFormatPr defaultRowHeight="14.4" x14ac:dyDescent="0.3"/>
  <cols>
    <col min="3" max="3" width="32.5546875" bestFit="1" customWidth="1"/>
    <col min="4" max="4" width="10.77734375" bestFit="1" customWidth="1"/>
    <col min="5" max="5" width="5.5546875" bestFit="1" customWidth="1"/>
    <col min="6" max="6" width="12.21875" bestFit="1" customWidth="1"/>
  </cols>
  <sheetData>
    <row r="3" spans="3:6" ht="15" thickBot="1" x14ac:dyDescent="0.35"/>
    <row r="4" spans="3:6" x14ac:dyDescent="0.3">
      <c r="C4" s="90" t="s">
        <v>39</v>
      </c>
      <c r="D4" s="60" t="s">
        <v>1</v>
      </c>
      <c r="E4" s="60" t="s">
        <v>2</v>
      </c>
      <c r="F4" s="62" t="s">
        <v>3</v>
      </c>
    </row>
    <row r="5" spans="3:6" x14ac:dyDescent="0.3">
      <c r="C5" s="147" t="s">
        <v>81</v>
      </c>
      <c r="D5" s="13">
        <v>703308</v>
      </c>
      <c r="E5" s="23">
        <v>3</v>
      </c>
      <c r="F5" s="148">
        <f t="shared" ref="F5:F10" si="0">E5*D5</f>
        <v>2109924</v>
      </c>
    </row>
    <row r="6" spans="3:6" x14ac:dyDescent="0.3">
      <c r="C6" s="147" t="s">
        <v>128</v>
      </c>
      <c r="D6" s="13">
        <v>102819</v>
      </c>
      <c r="E6" s="23">
        <v>3</v>
      </c>
      <c r="F6" s="148">
        <f t="shared" si="0"/>
        <v>308457</v>
      </c>
    </row>
    <row r="7" spans="3:6" x14ac:dyDescent="0.3">
      <c r="C7" s="147" t="s">
        <v>129</v>
      </c>
      <c r="D7" s="13">
        <v>74375</v>
      </c>
      <c r="E7" s="23">
        <v>3</v>
      </c>
      <c r="F7" s="148">
        <f t="shared" si="0"/>
        <v>223125</v>
      </c>
    </row>
    <row r="8" spans="3:6" x14ac:dyDescent="0.3">
      <c r="C8" s="147" t="s">
        <v>130</v>
      </c>
      <c r="D8" s="13">
        <v>11850</v>
      </c>
      <c r="E8" s="23">
        <v>10</v>
      </c>
      <c r="F8" s="148">
        <f t="shared" si="0"/>
        <v>118500</v>
      </c>
    </row>
    <row r="9" spans="3:6" x14ac:dyDescent="0.3">
      <c r="C9" s="147" t="s">
        <v>131</v>
      </c>
      <c r="D9" s="13">
        <v>17342</v>
      </c>
      <c r="E9" s="23">
        <v>3</v>
      </c>
      <c r="F9" s="148">
        <f t="shared" si="0"/>
        <v>52026</v>
      </c>
    </row>
    <row r="10" spans="3:6" x14ac:dyDescent="0.3">
      <c r="C10" s="147" t="s">
        <v>132</v>
      </c>
      <c r="D10" s="13">
        <v>21900</v>
      </c>
      <c r="E10" s="23">
        <v>3</v>
      </c>
      <c r="F10" s="148">
        <f t="shared" si="0"/>
        <v>65700</v>
      </c>
    </row>
    <row r="11" spans="3:6" x14ac:dyDescent="0.3">
      <c r="C11" s="144"/>
      <c r="D11" s="145"/>
      <c r="F11" s="146">
        <f>SUM(F5:F10)</f>
        <v>2877732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Mining works capex</vt:lpstr>
      <vt:lpstr>Summary</vt:lpstr>
      <vt:lpstr>Consulting Design </vt:lpstr>
      <vt:lpstr>Cash flow</vt:lpstr>
      <vt:lpstr>Fee Estimate</vt:lpstr>
      <vt:lpstr>Mining works</vt:lpstr>
      <vt:lpstr>TSL</vt:lpstr>
      <vt:lpstr>Civil works</vt:lpstr>
      <vt:lpstr>Overhead crane</vt:lpstr>
      <vt:lpstr>Chargers &amp; Posts</vt:lpstr>
      <vt:lpstr>Transformers</vt:lpstr>
      <vt:lpstr>Cabling</vt:lpstr>
      <vt:lpstr>Equipment</vt:lpstr>
      <vt:lpstr>Project team</vt:lpstr>
      <vt:lpstr>Lubrication system</vt:lpstr>
      <vt:lpstr>Charging Bay</vt:lpstr>
      <vt:lpstr>'Fee Estimate'!Print_Area</vt:lpstr>
      <vt:lpstr>'Mining works capex'!Print_Area</vt:lpstr>
      <vt:lpstr>Summary!Print_Area</vt:lpstr>
      <vt:lpstr>TSL!Print_Area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Ross</dc:creator>
  <cp:lastModifiedBy>Roelie Prinsloo</cp:lastModifiedBy>
  <cp:lastPrinted>2022-01-31T10:35:06Z</cp:lastPrinted>
  <dcterms:created xsi:type="dcterms:W3CDTF">2020-09-25T09:24:02Z</dcterms:created>
  <dcterms:modified xsi:type="dcterms:W3CDTF">2025-10-08T13:35:26Z</dcterms:modified>
</cp:coreProperties>
</file>