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1E0C2F5-5051-4E85-850A-B12938A72B8C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Refun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F25" i="2" l="1"/>
  <c r="F28" i="2"/>
  <c r="F16" i="2" l="1"/>
  <c r="F30" i="2"/>
  <c r="F12" i="2"/>
  <c r="F11" i="2"/>
  <c r="F32" i="2" s="1"/>
  <c r="E15" i="1" l="1"/>
  <c r="F15" i="1"/>
  <c r="G15" i="1"/>
  <c r="H15" i="1"/>
  <c r="I15" i="1"/>
  <c r="J15" i="1"/>
  <c r="D15" i="1"/>
  <c r="K14" i="1"/>
  <c r="E13" i="1"/>
  <c r="F13" i="1"/>
  <c r="G13" i="1"/>
  <c r="H13" i="1"/>
  <c r="I13" i="1"/>
  <c r="J13" i="1"/>
  <c r="D13" i="1"/>
  <c r="K12" i="1"/>
  <c r="K13" i="1" l="1"/>
  <c r="K15" i="1"/>
  <c r="H21" i="1"/>
  <c r="I21" i="1"/>
  <c r="J21" i="1"/>
  <c r="K11" i="1"/>
  <c r="E10" i="1"/>
  <c r="E21" i="1" s="1"/>
  <c r="G10" i="1"/>
  <c r="F10" i="1"/>
  <c r="F21" i="1" s="1"/>
  <c r="J9" i="1"/>
  <c r="I9" i="1"/>
  <c r="G9" i="1"/>
  <c r="F9" i="1"/>
  <c r="E9" i="1"/>
  <c r="D9" i="1"/>
  <c r="D8" i="1"/>
  <c r="E8" i="1"/>
  <c r="F8" i="1"/>
  <c r="G8" i="1"/>
  <c r="H8" i="1"/>
  <c r="I8" i="1"/>
  <c r="J8" i="1"/>
  <c r="M7" i="1"/>
  <c r="M6" i="1"/>
  <c r="M5" i="1"/>
  <c r="I4" i="1"/>
  <c r="J4" i="1"/>
  <c r="H4" i="1"/>
  <c r="H20" i="1" s="1"/>
  <c r="G4" i="1"/>
  <c r="F4" i="1"/>
  <c r="E4" i="1"/>
  <c r="D4" i="1"/>
  <c r="I3" i="1"/>
  <c r="F3" i="1"/>
  <c r="F19" i="1" s="1"/>
  <c r="J3" i="1"/>
  <c r="J19" i="1" s="1"/>
  <c r="H3" i="1"/>
  <c r="G3" i="1"/>
  <c r="D3" i="1"/>
  <c r="E3" i="1"/>
  <c r="I20" i="1" l="1"/>
  <c r="G20" i="1"/>
  <c r="F20" i="1"/>
  <c r="I19" i="1"/>
  <c r="E19" i="1"/>
  <c r="J20" i="1"/>
  <c r="G19" i="1"/>
  <c r="K10" i="1"/>
  <c r="K21" i="1"/>
  <c r="K9" i="1"/>
  <c r="K8" i="1"/>
  <c r="K3" i="1"/>
  <c r="K4" i="1"/>
  <c r="K20" i="1" l="1"/>
  <c r="K19" i="1"/>
</calcChain>
</file>

<file path=xl/sharedStrings.xml><?xml version="1.0" encoding="utf-8"?>
<sst xmlns="http://schemas.openxmlformats.org/spreadsheetml/2006/main" count="167" uniqueCount="81">
  <si>
    <t>Description</t>
  </si>
  <si>
    <t>Amount</t>
  </si>
  <si>
    <t>Karthik</t>
  </si>
  <si>
    <t>Vishwas</t>
  </si>
  <si>
    <t>Surya</t>
  </si>
  <si>
    <t>Shreyas</t>
  </si>
  <si>
    <t>Nanda</t>
  </si>
  <si>
    <t>Rahul</t>
  </si>
  <si>
    <t>Shubha</t>
  </si>
  <si>
    <t>Breakfast</t>
  </si>
  <si>
    <t>Paid By</t>
  </si>
  <si>
    <t>Lunch</t>
  </si>
  <si>
    <t>Dinner</t>
  </si>
  <si>
    <t>Date</t>
  </si>
  <si>
    <t>Money to Repay</t>
  </si>
  <si>
    <t>From
To</t>
  </si>
  <si>
    <t>Room</t>
  </si>
  <si>
    <t>VadaPav</t>
  </si>
  <si>
    <t>Taxi</t>
  </si>
  <si>
    <t>Sl. No.</t>
  </si>
  <si>
    <t>Team</t>
  </si>
  <si>
    <t>Remarks</t>
  </si>
  <si>
    <t>Team #1</t>
  </si>
  <si>
    <t>Karthik K Bhat</t>
  </si>
  <si>
    <t>Vishwas N S</t>
  </si>
  <si>
    <t>Suryanarayan N</t>
  </si>
  <si>
    <t>Shreyas R</t>
  </si>
  <si>
    <t>Team #2</t>
  </si>
  <si>
    <t>Nandakrishna</t>
  </si>
  <si>
    <t>Rahul G</t>
  </si>
  <si>
    <t>Shubha M</t>
  </si>
  <si>
    <t>Reference No.</t>
  </si>
  <si>
    <t>To Bengaluru Airport</t>
  </si>
  <si>
    <t>Bengaluru to Mumbai and back</t>
  </si>
  <si>
    <t>27th March 2019</t>
  </si>
  <si>
    <t>Ref #3</t>
  </si>
  <si>
    <t>Ref #2</t>
  </si>
  <si>
    <t>Ref #1</t>
  </si>
  <si>
    <t>Ref #4</t>
  </si>
  <si>
    <t>Ref #5</t>
  </si>
  <si>
    <t>Ref #6</t>
  </si>
  <si>
    <t>Ref #7</t>
  </si>
  <si>
    <t>Ref #8</t>
  </si>
  <si>
    <t>Ref #9</t>
  </si>
  <si>
    <t>Ref #10</t>
  </si>
  <si>
    <t>Ref #11</t>
  </si>
  <si>
    <t>Ref #12</t>
  </si>
  <si>
    <t>To IITB from Mumbai Airport</t>
  </si>
  <si>
    <t>27th March 2019 &amp; 31st March 2019</t>
  </si>
  <si>
    <t>Meals</t>
  </si>
  <si>
    <t>27th March 2019, 28th March, 2019 &amp; 31st March 2019</t>
  </si>
  <si>
    <t>2 Breakfasts,
3 Lunch,
3 Dinner</t>
  </si>
  <si>
    <t>Flight Tickets</t>
  </si>
  <si>
    <t>31st March 2019</t>
  </si>
  <si>
    <t>To Lodge from IITB</t>
  </si>
  <si>
    <t>Accomodation Room</t>
  </si>
  <si>
    <t>One day accomodation</t>
  </si>
  <si>
    <t>From Bengaluru Airport</t>
  </si>
  <si>
    <t>Ref #13</t>
  </si>
  <si>
    <r>
      <rPr>
        <b/>
        <sz val="11"/>
        <color theme="1"/>
        <rFont val="Calibri"/>
        <family val="2"/>
        <scheme val="minor"/>
      </rPr>
      <t>PES University, Ring Road Campus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Expenses Reimbursement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Reason:</t>
    </r>
    <r>
      <rPr>
        <sz val="11"/>
        <color theme="1"/>
        <rFont val="Calibri"/>
        <family val="2"/>
        <scheme val="minor"/>
      </rPr>
      <t xml:space="preserve">e-Yantra National-level Robotics Competition, organized by IIT Bombay
</t>
    </r>
    <r>
      <rPr>
        <b/>
        <sz val="11"/>
        <color theme="1"/>
        <rFont val="Calibri"/>
        <family val="2"/>
        <scheme val="minor"/>
      </rPr>
      <t>Date of Travel:</t>
    </r>
    <r>
      <rPr>
        <sz val="11"/>
        <color theme="1"/>
        <rFont val="Calibri"/>
        <family val="2"/>
        <scheme val="minor"/>
      </rPr>
      <t xml:space="preserve"> 27th March 2019 to 31st March 2019</t>
    </r>
  </si>
  <si>
    <t>Servo Motors</t>
  </si>
  <si>
    <t>-</t>
  </si>
  <si>
    <t>PCB Fabrication</t>
  </si>
  <si>
    <t>Ref #14</t>
  </si>
  <si>
    <t>For Robot Building</t>
  </si>
  <si>
    <t>Total</t>
  </si>
  <si>
    <t>Reimbursement from e-Yantra</t>
  </si>
  <si>
    <t>Rs. 3000 per person</t>
  </si>
  <si>
    <t>Total Amount to be refunded</t>
  </si>
  <si>
    <t>Total Amount</t>
  </si>
  <si>
    <t>Flex Printouts</t>
  </si>
  <si>
    <t>Ref #15</t>
  </si>
  <si>
    <t>Individuals</t>
  </si>
  <si>
    <t>Karthik &amp; Nandakrishna</t>
  </si>
  <si>
    <t>Team #1 &amp;
Team #2</t>
  </si>
  <si>
    <t>Team #1 &amp;
 Team #2</t>
  </si>
  <si>
    <t>For Competition</t>
  </si>
  <si>
    <t>PVC Pipes</t>
  </si>
  <si>
    <t>Ref #18</t>
  </si>
  <si>
    <t>Ref #16,
Ref #17</t>
  </si>
  <si>
    <t>For Competition
Dated on 3/Mar/2019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</si>
</sst>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6" fontId="0" fillId="0" borderId="8" xfId="0" applyNumberFormat="1" applyBorder="1" applyAlignment="1">
      <alignment horizontal="center" vertical="center" wrapText="1"/>
    </xf>
    <xf numFmtId="16" fontId="0" fillId="0" borderId="1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16" fontId="0" fillId="0" borderId="5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16" fontId="0" fillId="0" borderId="3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 vertical="center" wrapText="1"/>
    </xf>
    <xf numFmtId="1" fontId="0" fillId="0" borderId="21" xfId="0" applyNumberForma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16" fontId="0" fillId="0" borderId="22" xfId="0" applyNumberFormat="1" applyBorder="1" applyAlignment="1">
      <alignment horizontal="center" vertical="center" wrapText="1"/>
    </xf>
    <xf numFmtId="1" fontId="0" fillId="0" borderId="22" xfId="0" applyNumberFormat="1" applyBorder="1" applyAlignment="1">
      <alignment horizontal="center" vertical="center" wrapText="1"/>
    </xf>
    <xf numFmtId="1" fontId="0" fillId="0" borderId="23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1" fontId="0" fillId="0" borderId="22" xfId="0" applyNumberForma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1" fontId="0" fillId="0" borderId="26" xfId="0" applyNumberForma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" fontId="1" fillId="0" borderId="22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vertical="center" wrapText="1"/>
    </xf>
    <xf numFmtId="0" fontId="0" fillId="0" borderId="33" xfId="0" applyBorder="1" applyAlignment="1">
      <alignment horizontal="center" vertical="center" wrapText="1"/>
    </xf>
    <xf numFmtId="1" fontId="0" fillId="0" borderId="33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vertical="center" wrapText="1"/>
    </xf>
    <xf numFmtId="0" fontId="0" fillId="0" borderId="35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6" xfId="0" applyBorder="1" applyAlignment="1">
      <alignment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16" fontId="0" fillId="0" borderId="8" xfId="0" applyNumberForma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16" fontId="0" fillId="0" borderId="13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1"/>
  <sheetViews>
    <sheetView topLeftCell="A5" workbookViewId="0">
      <selection activeCell="F14" sqref="F14"/>
    </sheetView>
  </sheetViews>
  <sheetFormatPr defaultRowHeight="14.4" x14ac:dyDescent="0.3"/>
  <cols>
    <col min="1" max="1" width="8.88671875" style="2"/>
    <col min="2" max="2" width="10.21875" style="3" bestFit="1" customWidth="1"/>
    <col min="3" max="3" width="10.21875" style="1" customWidth="1"/>
    <col min="4" max="4" width="11.5546875" style="1" bestFit="1" customWidth="1"/>
    <col min="5" max="13" width="8.88671875" style="1"/>
    <col min="14" max="16384" width="8.88671875" style="2"/>
  </cols>
  <sheetData>
    <row r="1" spans="2:13" ht="15" thickBot="1" x14ac:dyDescent="0.35"/>
    <row r="2" spans="2:13" s="1" customFormat="1" ht="29.4" thickBot="1" x14ac:dyDescent="0.35">
      <c r="B2" s="9" t="s">
        <v>0</v>
      </c>
      <c r="C2" s="10" t="s">
        <v>13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1</v>
      </c>
      <c r="L2" s="10" t="s">
        <v>10</v>
      </c>
      <c r="M2" s="11" t="s">
        <v>14</v>
      </c>
    </row>
    <row r="3" spans="2:13" ht="15" thickBot="1" x14ac:dyDescent="0.35">
      <c r="B3" s="6" t="s">
        <v>11</v>
      </c>
      <c r="C3" s="12">
        <v>43551</v>
      </c>
      <c r="D3" s="18">
        <f>(38+63)*1.05</f>
        <v>106.05000000000001</v>
      </c>
      <c r="E3" s="18">
        <f>(40+63)*1.05</f>
        <v>108.15</v>
      </c>
      <c r="F3" s="18">
        <f>(90)*1.05</f>
        <v>94.5</v>
      </c>
      <c r="G3" s="18">
        <f>(63)*1.05</f>
        <v>66.150000000000006</v>
      </c>
      <c r="H3" s="18">
        <f>(90+38)*1.05</f>
        <v>134.4</v>
      </c>
      <c r="I3" s="18">
        <f>(40+38)*1.05</f>
        <v>81.900000000000006</v>
      </c>
      <c r="J3" s="18">
        <f>(90+38)*1.05</f>
        <v>134.4</v>
      </c>
      <c r="K3" s="18">
        <f>SUM(D3:J3)</f>
        <v>725.55</v>
      </c>
      <c r="L3" s="18" t="s">
        <v>2</v>
      </c>
      <c r="M3" s="19"/>
    </row>
    <row r="4" spans="2:13" ht="15" thickBot="1" x14ac:dyDescent="0.35">
      <c r="B4" s="6" t="s">
        <v>12</v>
      </c>
      <c r="C4" s="12">
        <v>43551</v>
      </c>
      <c r="D4" s="18">
        <f>(40+21*2+37+(140+160+95)/6)*1.05</f>
        <v>194.07499999999999</v>
      </c>
      <c r="E4" s="18">
        <f>(37*2+(140+160+95)/6)*1.05</f>
        <v>146.82499999999999</v>
      </c>
      <c r="F4" s="18">
        <f>125*1.05</f>
        <v>131.25</v>
      </c>
      <c r="G4" s="18">
        <f>(13*3+(140+160+95)/6)*1.05</f>
        <v>110.075</v>
      </c>
      <c r="H4" s="18">
        <f>(13*2+37+(140+160+95)/6)*1.05</f>
        <v>135.27499999999998</v>
      </c>
      <c r="I4" s="18">
        <f>(40+17*2+13+(140+160+95)/6)*1.05</f>
        <v>160.47499999999999</v>
      </c>
      <c r="J4" s="18">
        <f>(21+17+(140+160+95)/6)*1.05</f>
        <v>109.02500000000001</v>
      </c>
      <c r="K4" s="18">
        <f>SUM(D4:J4)</f>
        <v>987</v>
      </c>
      <c r="L4" s="18" t="s">
        <v>3</v>
      </c>
      <c r="M4" s="19"/>
    </row>
    <row r="5" spans="2:13" x14ac:dyDescent="0.3">
      <c r="B5" s="81" t="s">
        <v>9</v>
      </c>
      <c r="C5" s="84">
        <v>43552</v>
      </c>
      <c r="D5" s="20">
        <v>40</v>
      </c>
      <c r="E5" s="20"/>
      <c r="F5" s="20"/>
      <c r="G5" s="20">
        <v>40</v>
      </c>
      <c r="H5" s="20"/>
      <c r="I5" s="20"/>
      <c r="J5" s="20"/>
      <c r="K5" s="20"/>
      <c r="L5" s="20" t="s">
        <v>5</v>
      </c>
      <c r="M5" s="21">
        <f>100-20-40</f>
        <v>40</v>
      </c>
    </row>
    <row r="6" spans="2:13" x14ac:dyDescent="0.3">
      <c r="B6" s="82"/>
      <c r="C6" s="85"/>
      <c r="D6" s="22"/>
      <c r="E6" s="22">
        <v>40</v>
      </c>
      <c r="F6" s="22">
        <v>40</v>
      </c>
      <c r="G6" s="22"/>
      <c r="H6" s="22"/>
      <c r="I6" s="22"/>
      <c r="J6" s="22"/>
      <c r="K6" s="22"/>
      <c r="L6" s="22" t="s">
        <v>4</v>
      </c>
      <c r="M6" s="23">
        <f>100-40</f>
        <v>60</v>
      </c>
    </row>
    <row r="7" spans="2:13" ht="15" thickBot="1" x14ac:dyDescent="0.35">
      <c r="B7" s="83"/>
      <c r="C7" s="86"/>
      <c r="D7" s="24"/>
      <c r="E7" s="24"/>
      <c r="F7" s="24"/>
      <c r="G7" s="24"/>
      <c r="H7" s="24">
        <v>40</v>
      </c>
      <c r="I7" s="24">
        <v>40</v>
      </c>
      <c r="J7" s="24"/>
      <c r="K7" s="24"/>
      <c r="L7" s="24" t="s">
        <v>7</v>
      </c>
      <c r="M7" s="25">
        <f>100-20-40</f>
        <v>40</v>
      </c>
    </row>
    <row r="8" spans="2:13" x14ac:dyDescent="0.3">
      <c r="B8" s="81" t="s">
        <v>11</v>
      </c>
      <c r="C8" s="84">
        <v>43552</v>
      </c>
      <c r="D8" s="20">
        <f>(70)*1</f>
        <v>70</v>
      </c>
      <c r="E8" s="20">
        <f>(95)*1</f>
        <v>95</v>
      </c>
      <c r="F8" s="20">
        <f>(40)*1</f>
        <v>40</v>
      </c>
      <c r="G8" s="20">
        <f>(40)*1</f>
        <v>40</v>
      </c>
      <c r="H8" s="20">
        <f>(40)*1</f>
        <v>40</v>
      </c>
      <c r="I8" s="20">
        <f>(40)*1</f>
        <v>40</v>
      </c>
      <c r="J8" s="20">
        <f>(55)*1</f>
        <v>55</v>
      </c>
      <c r="K8" s="20">
        <f t="shared" ref="K8:K15" si="0">SUM(D8:J8)</f>
        <v>380</v>
      </c>
      <c r="L8" s="20" t="s">
        <v>2</v>
      </c>
      <c r="M8" s="21"/>
    </row>
    <row r="9" spans="2:13" ht="15" thickBot="1" x14ac:dyDescent="0.35">
      <c r="B9" s="83"/>
      <c r="C9" s="86"/>
      <c r="D9" s="24">
        <f>30*1</f>
        <v>30</v>
      </c>
      <c r="E9" s="24">
        <f>40*1</f>
        <v>40</v>
      </c>
      <c r="F9" s="24">
        <f>30*1</f>
        <v>30</v>
      </c>
      <c r="G9" s="24">
        <f>35*1</f>
        <v>35</v>
      </c>
      <c r="H9" s="24">
        <v>40</v>
      </c>
      <c r="I9" s="24">
        <f>30*1</f>
        <v>30</v>
      </c>
      <c r="J9" s="24">
        <f>30*1</f>
        <v>30</v>
      </c>
      <c r="K9" s="24">
        <f t="shared" si="0"/>
        <v>235</v>
      </c>
      <c r="L9" s="24" t="s">
        <v>3</v>
      </c>
      <c r="M9" s="25"/>
    </row>
    <row r="10" spans="2:13" x14ac:dyDescent="0.3">
      <c r="B10" s="87" t="s">
        <v>12</v>
      </c>
      <c r="C10" s="4">
        <v>43552</v>
      </c>
      <c r="D10" s="20"/>
      <c r="E10" s="20">
        <f>55+50</f>
        <v>105</v>
      </c>
      <c r="F10" s="20">
        <f>50+25</f>
        <v>75</v>
      </c>
      <c r="G10" s="20">
        <f>50+40</f>
        <v>90</v>
      </c>
      <c r="H10" s="20"/>
      <c r="I10" s="20"/>
      <c r="J10" s="20"/>
      <c r="K10" s="20">
        <f t="shared" si="0"/>
        <v>270</v>
      </c>
      <c r="L10" s="20" t="s">
        <v>5</v>
      </c>
      <c r="M10" s="21"/>
    </row>
    <row r="11" spans="2:13" ht="15" thickBot="1" x14ac:dyDescent="0.35">
      <c r="B11" s="88"/>
      <c r="C11" s="5"/>
      <c r="D11" s="24"/>
      <c r="E11" s="24">
        <v>8</v>
      </c>
      <c r="F11" s="24">
        <v>16</v>
      </c>
      <c r="G11" s="24"/>
      <c r="H11" s="24"/>
      <c r="I11" s="24">
        <v>16</v>
      </c>
      <c r="J11" s="24"/>
      <c r="K11" s="24">
        <f t="shared" si="0"/>
        <v>40</v>
      </c>
      <c r="L11" s="24" t="s">
        <v>3</v>
      </c>
      <c r="M11" s="25"/>
    </row>
    <row r="12" spans="2:13" ht="15" thickBot="1" x14ac:dyDescent="0.35">
      <c r="B12" s="6" t="s">
        <v>9</v>
      </c>
      <c r="C12" s="12">
        <v>43555</v>
      </c>
      <c r="D12" s="18">
        <v>40</v>
      </c>
      <c r="E12" s="18">
        <v>40</v>
      </c>
      <c r="F12" s="18">
        <v>40</v>
      </c>
      <c r="G12" s="18">
        <v>40</v>
      </c>
      <c r="H12" s="18">
        <v>0</v>
      </c>
      <c r="I12" s="18">
        <v>20</v>
      </c>
      <c r="J12" s="18">
        <v>40</v>
      </c>
      <c r="K12" s="18">
        <f t="shared" si="0"/>
        <v>220</v>
      </c>
      <c r="L12" s="18" t="s">
        <v>2</v>
      </c>
      <c r="M12" s="19">
        <v>220</v>
      </c>
    </row>
    <row r="13" spans="2:13" ht="15" thickBot="1" x14ac:dyDescent="0.35">
      <c r="B13" s="6" t="s">
        <v>16</v>
      </c>
      <c r="C13" s="12">
        <v>43555</v>
      </c>
      <c r="D13" s="18">
        <f>822/7</f>
        <v>117.42857142857143</v>
      </c>
      <c r="E13" s="18">
        <f t="shared" ref="E13:J13" si="1">822/7</f>
        <v>117.42857142857143</v>
      </c>
      <c r="F13" s="18">
        <f t="shared" si="1"/>
        <v>117.42857142857143</v>
      </c>
      <c r="G13" s="18">
        <f t="shared" si="1"/>
        <v>117.42857142857143</v>
      </c>
      <c r="H13" s="18">
        <f t="shared" si="1"/>
        <v>117.42857142857143</v>
      </c>
      <c r="I13" s="18">
        <f t="shared" si="1"/>
        <v>117.42857142857143</v>
      </c>
      <c r="J13" s="18">
        <f t="shared" si="1"/>
        <v>117.42857142857143</v>
      </c>
      <c r="K13" s="18">
        <f t="shared" si="0"/>
        <v>822</v>
      </c>
      <c r="L13" s="18" t="s">
        <v>2</v>
      </c>
      <c r="M13" s="19"/>
    </row>
    <row r="14" spans="2:13" ht="15" thickBot="1" x14ac:dyDescent="0.35">
      <c r="B14" s="6" t="s">
        <v>17</v>
      </c>
      <c r="C14" s="12">
        <v>43555</v>
      </c>
      <c r="D14" s="18">
        <v>15</v>
      </c>
      <c r="E14" s="18">
        <v>15</v>
      </c>
      <c r="F14" s="18">
        <v>0</v>
      </c>
      <c r="G14" s="18">
        <v>15</v>
      </c>
      <c r="H14" s="18">
        <v>15</v>
      </c>
      <c r="I14" s="18">
        <v>15</v>
      </c>
      <c r="J14" s="18">
        <v>15</v>
      </c>
      <c r="K14" s="18">
        <f t="shared" si="0"/>
        <v>90</v>
      </c>
      <c r="L14" s="18" t="s">
        <v>2</v>
      </c>
      <c r="M14" s="19"/>
    </row>
    <row r="15" spans="2:13" ht="15" thickBot="1" x14ac:dyDescent="0.35">
      <c r="B15" s="7" t="s">
        <v>18</v>
      </c>
      <c r="C15" s="32">
        <v>43555</v>
      </c>
      <c r="D15" s="33">
        <f>3200/7</f>
        <v>457.14285714285717</v>
      </c>
      <c r="E15" s="33">
        <f t="shared" ref="E15:J15" si="2">3200/7</f>
        <v>457.14285714285717</v>
      </c>
      <c r="F15" s="33">
        <f t="shared" si="2"/>
        <v>457.14285714285717</v>
      </c>
      <c r="G15" s="33">
        <f t="shared" si="2"/>
        <v>457.14285714285717</v>
      </c>
      <c r="H15" s="33">
        <f t="shared" si="2"/>
        <v>457.14285714285717</v>
      </c>
      <c r="I15" s="33">
        <f t="shared" si="2"/>
        <v>457.14285714285717</v>
      </c>
      <c r="J15" s="33">
        <f t="shared" si="2"/>
        <v>457.14285714285717</v>
      </c>
      <c r="K15" s="33">
        <f t="shared" si="0"/>
        <v>3200.0000000000005</v>
      </c>
      <c r="L15" s="33" t="s">
        <v>2</v>
      </c>
      <c r="M15" s="34"/>
    </row>
    <row r="16" spans="2:13" x14ac:dyDescent="0.3">
      <c r="B16" s="8"/>
      <c r="C16" s="17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 spans="3:11" ht="15" thickBot="1" x14ac:dyDescent="0.35"/>
    <row r="18" spans="3:11" ht="29.4" thickBot="1" x14ac:dyDescent="0.35">
      <c r="C18" s="15" t="s">
        <v>15</v>
      </c>
      <c r="D18" s="16" t="s">
        <v>2</v>
      </c>
      <c r="E18" s="10" t="s">
        <v>3</v>
      </c>
      <c r="F18" s="10" t="s">
        <v>4</v>
      </c>
      <c r="G18" s="10" t="s">
        <v>5</v>
      </c>
      <c r="H18" s="10" t="s">
        <v>6</v>
      </c>
      <c r="I18" s="10" t="s">
        <v>7</v>
      </c>
      <c r="J18" s="11" t="s">
        <v>8</v>
      </c>
    </row>
    <row r="19" spans="3:11" x14ac:dyDescent="0.3">
      <c r="C19" s="36" t="s">
        <v>2</v>
      </c>
      <c r="D19" s="27">
        <v>0</v>
      </c>
      <c r="E19" s="20">
        <f>E3+E8+E12+E13+E14+E15-20</f>
        <v>812.72142857142853</v>
      </c>
      <c r="F19" s="20">
        <f>F3+F8+F12+F13+F14+F15</f>
        <v>749.07142857142867</v>
      </c>
      <c r="G19" s="20">
        <f>G3+G8+G12+G13+G14+G15-40</f>
        <v>695.72142857142853</v>
      </c>
      <c r="H19" s="20">
        <v>0</v>
      </c>
      <c r="I19" s="20">
        <f>I3+I8+I12+I13+I14+I15</f>
        <v>731.47142857142853</v>
      </c>
      <c r="J19" s="21">
        <f>J3+J8+J12+J13+J14+J15</f>
        <v>818.97142857142853</v>
      </c>
      <c r="K19" s="35">
        <f>SUM(D19:J19)-175</f>
        <v>3632.9571428571426</v>
      </c>
    </row>
    <row r="20" spans="3:11" x14ac:dyDescent="0.3">
      <c r="C20" s="13" t="s">
        <v>3</v>
      </c>
      <c r="D20" s="28">
        <v>0</v>
      </c>
      <c r="E20" s="29">
        <v>0</v>
      </c>
      <c r="F20" s="29">
        <f>F4+F9+F11-40</f>
        <v>137.25</v>
      </c>
      <c r="G20" s="29">
        <f>G4+G9+G11-145</f>
        <v>7.4999999999988631E-2</v>
      </c>
      <c r="H20" s="29">
        <f>H4+H9+H11-175</f>
        <v>0.27499999999997726</v>
      </c>
      <c r="I20" s="29">
        <f>I4+I9+I11</f>
        <v>206.47499999999999</v>
      </c>
      <c r="J20" s="30">
        <f>J4+J9+J11-139</f>
        <v>2.5000000000005684E-2</v>
      </c>
      <c r="K20" s="35">
        <f t="shared" ref="K20:K21" si="3">SUM(D20:J20)</f>
        <v>344.09999999999991</v>
      </c>
    </row>
    <row r="21" spans="3:11" ht="15" thickBot="1" x14ac:dyDescent="0.35">
      <c r="C21" s="14" t="s">
        <v>5</v>
      </c>
      <c r="D21" s="31">
        <v>0</v>
      </c>
      <c r="E21" s="24">
        <f>E10-105</f>
        <v>0</v>
      </c>
      <c r="F21" s="24">
        <f t="shared" ref="F21:J21" si="4">F10</f>
        <v>75</v>
      </c>
      <c r="G21" s="24">
        <v>0</v>
      </c>
      <c r="H21" s="24">
        <f t="shared" si="4"/>
        <v>0</v>
      </c>
      <c r="I21" s="24">
        <f t="shared" si="4"/>
        <v>0</v>
      </c>
      <c r="J21" s="25">
        <f t="shared" si="4"/>
        <v>0</v>
      </c>
      <c r="K21" s="35">
        <f t="shared" si="3"/>
        <v>75</v>
      </c>
    </row>
  </sheetData>
  <mergeCells count="5">
    <mergeCell ref="B5:B7"/>
    <mergeCell ref="C5:C7"/>
    <mergeCell ref="C8:C9"/>
    <mergeCell ref="B8:B9"/>
    <mergeCell ref="B10:B11"/>
  </mergeCells>
  <pageMargins left="0.7" right="0.7" top="0.75" bottom="0.75" header="0.3" footer="0.3"/>
  <pageSetup paperSize="9" orientation="portrait" r:id="rId1"/>
  <ignoredErrors>
    <ignoredError sqref="I3 M6 E9 H20 G19" formula="1"/>
    <ignoredError sqref="K12 K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2262-9844-4918-AA6C-069F0CE6A4C0}">
  <dimension ref="A1:L32"/>
  <sheetViews>
    <sheetView tabSelected="1" topLeftCell="A9" zoomScale="89" zoomScaleNormal="81" workbookViewId="0">
      <selection activeCell="L13" sqref="L13"/>
    </sheetView>
  </sheetViews>
  <sheetFormatPr defaultRowHeight="14.4" x14ac:dyDescent="0.3"/>
  <cols>
    <col min="1" max="1" width="8.109375" style="1" bestFit="1" customWidth="1"/>
    <col min="2" max="2" width="14.77734375" style="2" bestFit="1" customWidth="1"/>
    <col min="3" max="3" width="12.77734375" style="2" customWidth="1"/>
    <col min="4" max="4" width="16.44140625" style="1" bestFit="1" customWidth="1"/>
    <col min="5" max="5" width="13.33203125" style="1" bestFit="1" customWidth="1"/>
    <col min="6" max="6" width="7.88671875" style="35" bestFit="1" customWidth="1"/>
    <col min="7" max="7" width="21.21875" style="2" bestFit="1" customWidth="1"/>
    <col min="8" max="8" width="8.88671875" style="2"/>
    <col min="9" max="9" width="20.21875" style="2" bestFit="1" customWidth="1"/>
    <col min="10" max="16384" width="8.88671875" style="2"/>
  </cols>
  <sheetData>
    <row r="1" spans="1:12" ht="15" thickBot="1" x14ac:dyDescent="0.35"/>
    <row r="2" spans="1:12" x14ac:dyDescent="0.3">
      <c r="A2" s="81" t="s">
        <v>59</v>
      </c>
      <c r="B2" s="91"/>
      <c r="C2" s="91"/>
      <c r="D2" s="91"/>
      <c r="E2" s="91"/>
      <c r="F2" s="91"/>
      <c r="G2" s="92"/>
    </row>
    <row r="3" spans="1:12" x14ac:dyDescent="0.3">
      <c r="A3" s="82"/>
      <c r="B3" s="93"/>
      <c r="C3" s="93"/>
      <c r="D3" s="93"/>
      <c r="E3" s="93"/>
      <c r="F3" s="93"/>
      <c r="G3" s="94"/>
    </row>
    <row r="4" spans="1:12" x14ac:dyDescent="0.3">
      <c r="A4" s="82"/>
      <c r="B4" s="93"/>
      <c r="C4" s="93"/>
      <c r="D4" s="93"/>
      <c r="E4" s="93"/>
      <c r="F4" s="93"/>
      <c r="G4" s="94"/>
    </row>
    <row r="5" spans="1:12" ht="15" thickBot="1" x14ac:dyDescent="0.35">
      <c r="A5" s="95"/>
      <c r="B5" s="96"/>
      <c r="C5" s="96"/>
      <c r="D5" s="96"/>
      <c r="E5" s="96"/>
      <c r="F5" s="96"/>
      <c r="G5" s="97"/>
    </row>
    <row r="6" spans="1:12" ht="15" thickBot="1" x14ac:dyDescent="0.35">
      <c r="A6" s="59"/>
      <c r="B6" s="61"/>
      <c r="C6" s="61"/>
      <c r="D6" s="61"/>
      <c r="E6" s="61"/>
      <c r="F6" s="62"/>
      <c r="G6" s="63"/>
    </row>
    <row r="7" spans="1:12" ht="15" thickBot="1" x14ac:dyDescent="0.35">
      <c r="A7" s="46" t="s">
        <v>22</v>
      </c>
      <c r="B7" s="47" t="s">
        <v>23</v>
      </c>
      <c r="C7" s="47" t="s">
        <v>24</v>
      </c>
      <c r="D7" s="47" t="s">
        <v>25</v>
      </c>
      <c r="E7" s="47" t="s">
        <v>26</v>
      </c>
      <c r="F7" s="48"/>
      <c r="G7" s="49"/>
    </row>
    <row r="8" spans="1:12" ht="15" thickBot="1" x14ac:dyDescent="0.35">
      <c r="A8" s="53" t="s">
        <v>27</v>
      </c>
      <c r="B8" s="50" t="s">
        <v>28</v>
      </c>
      <c r="C8" s="50" t="s">
        <v>29</v>
      </c>
      <c r="D8" s="50" t="s">
        <v>30</v>
      </c>
      <c r="E8" s="50"/>
      <c r="F8" s="54"/>
      <c r="G8" s="51"/>
    </row>
    <row r="9" spans="1:12" ht="15" thickBot="1" x14ac:dyDescent="0.35">
      <c r="A9" s="59"/>
      <c r="B9" s="60"/>
      <c r="C9" s="60"/>
      <c r="D9" s="61"/>
      <c r="E9" s="61"/>
      <c r="F9" s="62"/>
      <c r="G9" s="52"/>
    </row>
    <row r="10" spans="1:12" s="1" customFormat="1" ht="15" thickBot="1" x14ac:dyDescent="0.35">
      <c r="A10" s="55" t="s">
        <v>19</v>
      </c>
      <c r="B10" s="56" t="s">
        <v>0</v>
      </c>
      <c r="C10" s="56" t="s">
        <v>20</v>
      </c>
      <c r="D10" s="56" t="s">
        <v>13</v>
      </c>
      <c r="E10" s="56" t="s">
        <v>31</v>
      </c>
      <c r="F10" s="57" t="s">
        <v>1</v>
      </c>
      <c r="G10" s="58" t="s">
        <v>21</v>
      </c>
      <c r="I10" s="38" t="s">
        <v>10</v>
      </c>
    </row>
    <row r="11" spans="1:12" ht="28.8" x14ac:dyDescent="0.3">
      <c r="A11" s="73">
        <v>1</v>
      </c>
      <c r="B11" s="74" t="s">
        <v>52</v>
      </c>
      <c r="C11" s="74" t="s">
        <v>22</v>
      </c>
      <c r="D11" s="75" t="s">
        <v>48</v>
      </c>
      <c r="E11" s="75" t="s">
        <v>37</v>
      </c>
      <c r="F11" s="20">
        <f>4291+4762+4463+4441</f>
        <v>17957</v>
      </c>
      <c r="G11" s="76" t="s">
        <v>33</v>
      </c>
      <c r="I11" s="2" t="s">
        <v>72</v>
      </c>
    </row>
    <row r="12" spans="1:12" ht="28.8" x14ac:dyDescent="0.3">
      <c r="A12" s="42">
        <v>2</v>
      </c>
      <c r="B12" s="40" t="s">
        <v>52</v>
      </c>
      <c r="C12" s="40" t="s">
        <v>27</v>
      </c>
      <c r="D12" s="39" t="s">
        <v>48</v>
      </c>
      <c r="E12" s="39" t="s">
        <v>36</v>
      </c>
      <c r="F12" s="22">
        <f>4590+4240+4647</f>
        <v>13477</v>
      </c>
      <c r="G12" s="41" t="s">
        <v>33</v>
      </c>
      <c r="I12" s="2" t="s">
        <v>72</v>
      </c>
      <c r="L12" s="37">
        <f>F15+F19+F21+F23+F24+750-850</f>
        <v>7075</v>
      </c>
    </row>
    <row r="13" spans="1:12" x14ac:dyDescent="0.3">
      <c r="A13" s="42">
        <v>3</v>
      </c>
      <c r="B13" s="40" t="s">
        <v>18</v>
      </c>
      <c r="C13" s="40" t="s">
        <v>27</v>
      </c>
      <c r="D13" s="39" t="s">
        <v>34</v>
      </c>
      <c r="E13" s="39" t="s">
        <v>35</v>
      </c>
      <c r="F13" s="22">
        <v>1100</v>
      </c>
      <c r="G13" s="41" t="s">
        <v>32</v>
      </c>
      <c r="I13" s="2" t="s">
        <v>28</v>
      </c>
    </row>
    <row r="14" spans="1:12" ht="28.8" x14ac:dyDescent="0.3">
      <c r="A14" s="42">
        <v>4</v>
      </c>
      <c r="B14" s="40" t="s">
        <v>18</v>
      </c>
      <c r="C14" s="40" t="s">
        <v>22</v>
      </c>
      <c r="D14" s="39" t="s">
        <v>34</v>
      </c>
      <c r="E14" s="39" t="s">
        <v>38</v>
      </c>
      <c r="F14" s="22">
        <v>498</v>
      </c>
      <c r="G14" s="41" t="s">
        <v>47</v>
      </c>
      <c r="I14" s="2" t="s">
        <v>3</v>
      </c>
    </row>
    <row r="15" spans="1:12" ht="28.8" x14ac:dyDescent="0.3">
      <c r="A15" s="42">
        <v>5</v>
      </c>
      <c r="B15" s="40" t="s">
        <v>18</v>
      </c>
      <c r="C15" s="40" t="s">
        <v>27</v>
      </c>
      <c r="D15" s="39" t="s">
        <v>34</v>
      </c>
      <c r="E15" s="39" t="s">
        <v>39</v>
      </c>
      <c r="F15" s="22">
        <v>586</v>
      </c>
      <c r="G15" s="41" t="s">
        <v>47</v>
      </c>
      <c r="I15" s="2" t="s">
        <v>2</v>
      </c>
    </row>
    <row r="16" spans="1:12" ht="43.2" x14ac:dyDescent="0.3">
      <c r="A16" s="42">
        <v>6</v>
      </c>
      <c r="B16" s="40" t="s">
        <v>49</v>
      </c>
      <c r="C16" s="40" t="s">
        <v>74</v>
      </c>
      <c r="D16" s="39" t="s">
        <v>50</v>
      </c>
      <c r="E16" s="39" t="s">
        <v>40</v>
      </c>
      <c r="F16" s="22">
        <f>68+160+209+140+150+120+235+380+987+726</f>
        <v>3175</v>
      </c>
      <c r="G16" s="41" t="s">
        <v>51</v>
      </c>
      <c r="I16" s="2" t="s">
        <v>72</v>
      </c>
      <c r="J16" s="37"/>
    </row>
    <row r="17" spans="1:9" x14ac:dyDescent="0.3">
      <c r="A17" s="42">
        <v>7</v>
      </c>
      <c r="B17" s="40" t="s">
        <v>18</v>
      </c>
      <c r="C17" s="40" t="s">
        <v>22</v>
      </c>
      <c r="D17" s="39" t="s">
        <v>53</v>
      </c>
      <c r="E17" s="39" t="s">
        <v>41</v>
      </c>
      <c r="F17" s="22">
        <v>166</v>
      </c>
      <c r="G17" s="41" t="s">
        <v>54</v>
      </c>
      <c r="I17" s="2" t="s">
        <v>28</v>
      </c>
    </row>
    <row r="18" spans="1:9" x14ac:dyDescent="0.3">
      <c r="A18" s="42">
        <v>8</v>
      </c>
      <c r="B18" s="40" t="s">
        <v>18</v>
      </c>
      <c r="C18" s="40" t="s">
        <v>27</v>
      </c>
      <c r="D18" s="39" t="s">
        <v>53</v>
      </c>
      <c r="E18" s="39" t="s">
        <v>42</v>
      </c>
      <c r="F18" s="22">
        <v>130</v>
      </c>
      <c r="G18" s="41" t="s">
        <v>54</v>
      </c>
      <c r="I18" s="2" t="s">
        <v>3</v>
      </c>
    </row>
    <row r="19" spans="1:9" ht="28.8" x14ac:dyDescent="0.3">
      <c r="A19" s="42">
        <v>9</v>
      </c>
      <c r="B19" s="40" t="s">
        <v>55</v>
      </c>
      <c r="C19" s="40" t="s">
        <v>75</v>
      </c>
      <c r="D19" s="39" t="s">
        <v>53</v>
      </c>
      <c r="E19" s="39" t="s">
        <v>43</v>
      </c>
      <c r="F19" s="22">
        <v>1122</v>
      </c>
      <c r="G19" s="41" t="s">
        <v>56</v>
      </c>
      <c r="I19" s="2" t="s">
        <v>2</v>
      </c>
    </row>
    <row r="20" spans="1:9" x14ac:dyDescent="0.3">
      <c r="A20" s="42">
        <v>10</v>
      </c>
      <c r="B20" s="40" t="s">
        <v>18</v>
      </c>
      <c r="C20" s="40" t="s">
        <v>22</v>
      </c>
      <c r="D20" s="39" t="s">
        <v>53</v>
      </c>
      <c r="E20" s="39" t="s">
        <v>44</v>
      </c>
      <c r="F20" s="22">
        <v>961</v>
      </c>
      <c r="G20" s="41" t="s">
        <v>57</v>
      </c>
      <c r="I20" s="2" t="s">
        <v>3</v>
      </c>
    </row>
    <row r="21" spans="1:9" x14ac:dyDescent="0.3">
      <c r="A21" s="42">
        <v>11</v>
      </c>
      <c r="B21" s="40" t="s">
        <v>18</v>
      </c>
      <c r="C21" s="40" t="s">
        <v>22</v>
      </c>
      <c r="D21" s="39" t="s">
        <v>53</v>
      </c>
      <c r="E21" s="39" t="s">
        <v>45</v>
      </c>
      <c r="F21" s="22">
        <v>1269</v>
      </c>
      <c r="G21" s="41" t="s">
        <v>57</v>
      </c>
      <c r="I21" s="2" t="s">
        <v>2</v>
      </c>
    </row>
    <row r="22" spans="1:9" x14ac:dyDescent="0.3">
      <c r="A22" s="42">
        <v>12</v>
      </c>
      <c r="B22" s="40" t="s">
        <v>18</v>
      </c>
      <c r="C22" s="40" t="s">
        <v>27</v>
      </c>
      <c r="D22" s="39" t="s">
        <v>53</v>
      </c>
      <c r="E22" s="39" t="s">
        <v>46</v>
      </c>
      <c r="F22" s="22">
        <v>1100</v>
      </c>
      <c r="G22" s="41" t="s">
        <v>57</v>
      </c>
      <c r="I22" s="2" t="s">
        <v>28</v>
      </c>
    </row>
    <row r="23" spans="1:9" x14ac:dyDescent="0.3">
      <c r="A23" s="42">
        <v>13</v>
      </c>
      <c r="B23" s="40" t="s">
        <v>60</v>
      </c>
      <c r="C23" s="40" t="s">
        <v>22</v>
      </c>
      <c r="D23" s="39" t="s">
        <v>61</v>
      </c>
      <c r="E23" s="39" t="s">
        <v>58</v>
      </c>
      <c r="F23" s="22">
        <v>658</v>
      </c>
      <c r="G23" s="41" t="s">
        <v>64</v>
      </c>
      <c r="I23" s="2" t="s">
        <v>2</v>
      </c>
    </row>
    <row r="24" spans="1:9" x14ac:dyDescent="0.3">
      <c r="A24" s="42">
        <v>14</v>
      </c>
      <c r="B24" s="40" t="s">
        <v>62</v>
      </c>
      <c r="C24" s="40" t="s">
        <v>22</v>
      </c>
      <c r="D24" s="39" t="s">
        <v>61</v>
      </c>
      <c r="E24" s="39" t="s">
        <v>63</v>
      </c>
      <c r="F24" s="22">
        <v>3540</v>
      </c>
      <c r="G24" s="41" t="s">
        <v>64</v>
      </c>
      <c r="I24" s="2" t="s">
        <v>2</v>
      </c>
    </row>
    <row r="25" spans="1:9" ht="28.8" x14ac:dyDescent="0.3">
      <c r="A25" s="42">
        <v>15</v>
      </c>
      <c r="B25" s="40" t="s">
        <v>70</v>
      </c>
      <c r="C25" s="40" t="s">
        <v>74</v>
      </c>
      <c r="D25" s="39" t="s">
        <v>61</v>
      </c>
      <c r="E25" s="39" t="s">
        <v>71</v>
      </c>
      <c r="F25" s="22">
        <f>1152+756</f>
        <v>1908</v>
      </c>
      <c r="G25" s="41" t="s">
        <v>76</v>
      </c>
      <c r="I25" s="2" t="s">
        <v>73</v>
      </c>
    </row>
    <row r="26" spans="1:9" ht="29.4" thickBot="1" x14ac:dyDescent="0.35">
      <c r="A26" s="77">
        <v>16</v>
      </c>
      <c r="B26" s="78" t="s">
        <v>77</v>
      </c>
      <c r="C26" s="78" t="s">
        <v>22</v>
      </c>
      <c r="D26" s="79" t="s">
        <v>61</v>
      </c>
      <c r="E26" s="79" t="s">
        <v>78</v>
      </c>
      <c r="F26" s="24">
        <v>527</v>
      </c>
      <c r="G26" s="80" t="s">
        <v>80</v>
      </c>
      <c r="I26" s="2" t="s">
        <v>28</v>
      </c>
    </row>
    <row r="27" spans="1:9" ht="15" thickBot="1" x14ac:dyDescent="0.35">
      <c r="A27" s="59"/>
      <c r="B27" s="60"/>
      <c r="C27" s="60"/>
      <c r="D27" s="61"/>
      <c r="E27" s="61"/>
      <c r="F27" s="62"/>
      <c r="G27" s="52"/>
    </row>
    <row r="28" spans="1:9" ht="15" thickBot="1" x14ac:dyDescent="0.35">
      <c r="A28" s="59"/>
      <c r="B28" s="60"/>
      <c r="C28" s="52"/>
      <c r="D28" s="89" t="s">
        <v>69</v>
      </c>
      <c r="E28" s="90" t="s">
        <v>65</v>
      </c>
      <c r="F28" s="69">
        <f>SUM(F11:F27)</f>
        <v>48174</v>
      </c>
      <c r="G28" s="68"/>
    </row>
    <row r="29" spans="1:9" ht="15" thickBot="1" x14ac:dyDescent="0.35">
      <c r="A29" s="64"/>
      <c r="B29" s="65"/>
      <c r="C29" s="65"/>
      <c r="D29" s="66"/>
      <c r="E29" s="66"/>
      <c r="F29" s="67"/>
      <c r="G29" s="68"/>
    </row>
    <row r="30" spans="1:9" ht="29.4" thickBot="1" x14ac:dyDescent="0.35">
      <c r="A30" s="43"/>
      <c r="B30" s="50" t="s">
        <v>66</v>
      </c>
      <c r="C30" s="50" t="s">
        <v>74</v>
      </c>
      <c r="D30" s="44" t="s">
        <v>61</v>
      </c>
      <c r="E30" s="44" t="s">
        <v>79</v>
      </c>
      <c r="F30" s="45">
        <f>3000*7</f>
        <v>21000</v>
      </c>
      <c r="G30" s="51" t="s">
        <v>67</v>
      </c>
    </row>
    <row r="31" spans="1:9" ht="15" thickBot="1" x14ac:dyDescent="0.35">
      <c r="A31" s="70"/>
      <c r="B31" s="71"/>
      <c r="C31" s="71"/>
      <c r="D31" s="61"/>
      <c r="E31" s="61"/>
      <c r="F31" s="62"/>
      <c r="G31" s="52"/>
    </row>
    <row r="32" spans="1:9" ht="15" thickBot="1" x14ac:dyDescent="0.35">
      <c r="A32" s="59"/>
      <c r="B32" s="60"/>
      <c r="C32" s="72"/>
      <c r="D32" s="89" t="s">
        <v>68</v>
      </c>
      <c r="E32" s="90"/>
      <c r="F32" s="69">
        <f>F28-F30</f>
        <v>27174</v>
      </c>
      <c r="G32" s="68"/>
    </row>
  </sheetData>
  <mergeCells count="3">
    <mergeCell ref="D32:E32"/>
    <mergeCell ref="D28:E28"/>
    <mergeCell ref="A2:G5"/>
  </mergeCells>
  <pageMargins left="0.7" right="0.7" top="0.75" bottom="0.75" header="0.3" footer="0.3"/>
  <pageSetup paperSize="9" scale="92" orientation="portrait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2019-04-08T11:18:11Z</dcterms:modified>
</cp:coreProperties>
</file>