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ank1\Git\prototype-building-electrical-models\design\Commercial\Medium Office\ASHRAE 90.1-2019\"/>
    </mc:Choice>
  </mc:AlternateContent>
  <xr:revisionPtr revIDLastSave="0" documentId="13_ncr:1_{BCAC5179-EDEB-408A-92A0-1B8A106425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B - Great Falls, M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15" i="1"/>
  <c r="C35" i="1" a="1"/>
  <c r="C35" i="1" s="1"/>
  <c r="C24" i="1" a="1"/>
  <c r="C2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" i="1"/>
  <c r="C13" i="1"/>
  <c r="C12" i="1"/>
  <c r="C11" i="1"/>
  <c r="C36" i="1" l="1"/>
  <c r="C37" i="1" l="1"/>
  <c r="C38" i="1"/>
  <c r="J5" i="1"/>
  <c r="J13" i="1"/>
  <c r="J21" i="1"/>
  <c r="J29" i="1"/>
  <c r="J37" i="1"/>
  <c r="J33" i="1"/>
  <c r="J10" i="1"/>
  <c r="J19" i="1"/>
  <c r="J12" i="1"/>
  <c r="C25" i="1" s="1" a="1"/>
  <c r="C25" i="1" s="1"/>
  <c r="C26" i="1" s="1"/>
  <c r="J6" i="1"/>
  <c r="J14" i="1"/>
  <c r="J22" i="1"/>
  <c r="J30" i="1"/>
  <c r="J38" i="1"/>
  <c r="J25" i="1"/>
  <c r="J34" i="1"/>
  <c r="J35" i="1"/>
  <c r="J20" i="1"/>
  <c r="J7" i="1"/>
  <c r="J15" i="1"/>
  <c r="J23" i="1"/>
  <c r="J31" i="1"/>
  <c r="J39" i="1"/>
  <c r="J17" i="1"/>
  <c r="J26" i="1"/>
  <c r="J27" i="1"/>
  <c r="J36" i="1"/>
  <c r="J8" i="1"/>
  <c r="J16" i="1"/>
  <c r="J24" i="1"/>
  <c r="J32" i="1"/>
  <c r="J4" i="1"/>
  <c r="K4" i="1" s="1"/>
  <c r="J9" i="1"/>
  <c r="J18" i="1"/>
  <c r="J11" i="1"/>
  <c r="J28" i="1"/>
  <c r="K8" i="1"/>
  <c r="K16" i="1"/>
  <c r="K24" i="1"/>
  <c r="K32" i="1"/>
  <c r="K20" i="1"/>
  <c r="K36" i="1"/>
  <c r="K7" i="1"/>
  <c r="K23" i="1"/>
  <c r="K9" i="1"/>
  <c r="K17" i="1"/>
  <c r="K25" i="1"/>
  <c r="K33" i="1"/>
  <c r="K5" i="1"/>
  <c r="K29" i="1"/>
  <c r="K30" i="1"/>
  <c r="K10" i="1"/>
  <c r="K18" i="1"/>
  <c r="K26" i="1"/>
  <c r="K34" i="1"/>
  <c r="K12" i="1"/>
  <c r="K28" i="1"/>
  <c r="K21" i="1"/>
  <c r="K37" i="1"/>
  <c r="K6" i="1"/>
  <c r="K14" i="1"/>
  <c r="K22" i="1"/>
  <c r="K38" i="1"/>
  <c r="K15" i="1"/>
  <c r="K31" i="1"/>
  <c r="K11" i="1"/>
  <c r="K19" i="1"/>
  <c r="K27" i="1"/>
  <c r="K35" i="1"/>
  <c r="K13" i="1"/>
  <c r="K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Frank</author>
  </authors>
  <commentList>
    <comment ref="F2" authorId="0" shapeId="0" xr:uid="{390B5476-BAFA-43B8-8F1A-F596F411A7E2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Generated from PVWatts simulation of a 1 kW array at GCR 0.1-0.9 (by 0.1) and tilt angles 10%-40% (by 10%).
- For rooftop system, goal is to maximize production within roof area =&gt; higher GCR
- For zero energy system, goal is to maximize production overall =&gt; lower GCR</t>
        </r>
      </text>
    </comment>
    <comment ref="H3" authorId="0" shapeId="0" xr:uid="{ABD92FB9-0831-4C6B-A68F-503DDE838EDE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From PVWatts parametric analysis</t>
        </r>
      </text>
    </comment>
    <comment ref="C18" authorId="0" shapeId="0" xr:uid="{A91A9908-0548-409D-935F-4C7ED8BC2E54}">
      <text>
        <r>
          <rPr>
            <b/>
            <sz val="9"/>
            <color indexed="81"/>
            <rFont val="Tahoma"/>
            <charset val="1"/>
          </rPr>
          <t>Stephen Frank:</t>
        </r>
        <r>
          <rPr>
            <sz val="9"/>
            <color indexed="81"/>
            <rFont val="Tahoma"/>
            <charset val="1"/>
          </rPr>
          <t xml:space="preserve">
"Premium" efficiency panels in PVWatts v7</t>
        </r>
      </text>
    </comment>
    <comment ref="C29" authorId="0" shapeId="0" xr:uid="{AD76CC42-15F8-4815-8C73-A27EFF62759D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Total source energy from EnergyPlus simulation annual summary report</t>
        </r>
      </text>
    </comment>
    <comment ref="C30" authorId="0" shapeId="0" xr:uid="{71C3D0D5-0274-4465-8DD7-B2D4485E5CEE}">
      <text>
        <r>
          <rPr>
            <b/>
            <sz val="9"/>
            <color indexed="81"/>
            <rFont val="Tahoma"/>
            <family val="2"/>
          </rPr>
          <t>Stephen Frank:</t>
        </r>
        <r>
          <rPr>
            <sz val="9"/>
            <color indexed="81"/>
            <rFont val="Tahoma"/>
            <family val="2"/>
          </rPr>
          <t xml:space="preserve">
Use electricity value from EnergyPlus simulation annual summary report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<sst xmlns="http://schemas.openxmlformats.org/spreadsheetml/2006/main" count="60" uniqueCount="49">
  <si>
    <t>Roof Length</t>
  </si>
  <si>
    <t>m</t>
  </si>
  <si>
    <t>Roof Width</t>
  </si>
  <si>
    <t>Required Setback</t>
  </si>
  <si>
    <t>Reserve for HVAC</t>
  </si>
  <si>
    <t>fraction</t>
  </si>
  <si>
    <r>
      <t>m</t>
    </r>
    <r>
      <rPr>
        <sz val="11"/>
        <color theme="1"/>
        <rFont val="Calibri"/>
        <family val="2"/>
      </rPr>
      <t>²</t>
    </r>
  </si>
  <si>
    <t>Roof Area for PV</t>
  </si>
  <si>
    <t>Building Roof Constraints</t>
  </si>
  <si>
    <t>GCR</t>
  </si>
  <si>
    <t>kWh/kW</t>
  </si>
  <si>
    <t>Roof Array Production (kWh)</t>
  </si>
  <si>
    <t>Performance (kWh/kW)</t>
  </si>
  <si>
    <t>PV Parameters</t>
  </si>
  <si>
    <t>W/m²</t>
  </si>
  <si>
    <t>GCR Losses (%)</t>
  </si>
  <si>
    <t>GCR Tradeoffs</t>
  </si>
  <si>
    <t>Title Angle</t>
  </si>
  <si>
    <t>Roof Array Size (kW)</t>
  </si>
  <si>
    <t>Roof Array Design</t>
  </si>
  <si>
    <t>Selected Tilt</t>
  </si>
  <si>
    <t>Performance</t>
  </si>
  <si>
    <t>Annual Production</t>
  </si>
  <si>
    <t>Selected GCR</t>
  </si>
  <si>
    <t>Array Size</t>
  </si>
  <si>
    <t>kW</t>
  </si>
  <si>
    <t>MWh</t>
  </si>
  <si>
    <t>Zero Energy Array Design</t>
  </si>
  <si>
    <t>Oversize By</t>
  </si>
  <si>
    <t>GJ</t>
  </si>
  <si>
    <t>Building Category</t>
  </si>
  <si>
    <t>Building Type</t>
  </si>
  <si>
    <t>Versioning Information</t>
  </si>
  <si>
    <t>Commercial</t>
  </si>
  <si>
    <t>Medium Office</t>
  </si>
  <si>
    <t>ASHRAE 90.1-2019</t>
  </si>
  <si>
    <t>Location</t>
  </si>
  <si>
    <t>Great Falls, MT</t>
  </si>
  <si>
    <t>Code/Year</t>
  </si>
  <si>
    <t>EnergyPlus Version</t>
  </si>
  <si>
    <t>SAM Version</t>
  </si>
  <si>
    <t>9.5.0</t>
  </si>
  <si>
    <t>2020.11.29 r2</t>
  </si>
  <si>
    <t>Needed Site Energy</t>
  </si>
  <si>
    <t>Building Source Energy</t>
  </si>
  <si>
    <t>Site-to-Source Conversion</t>
  </si>
  <si>
    <t>Fits on rooftop?</t>
  </si>
  <si>
    <t>Nominal Efficiency</t>
  </si>
  <si>
    <t>Nominal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</si>
</sst>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3" borderId="1" xfId="0" applyNumberFormat="1" applyFill="1" applyBorder="1"/>
    <xf numFmtId="164" fontId="0" fillId="3" borderId="2" xfId="0" applyNumberFormat="1" applyFill="1" applyBorder="1"/>
    <xf numFmtId="0" fontId="3" fillId="0" borderId="6" xfId="0" applyFont="1" applyBorder="1"/>
    <xf numFmtId="0" fontId="0" fillId="0" borderId="7" xfId="0" applyBorder="1"/>
    <xf numFmtId="0" fontId="3" fillId="2" borderId="6" xfId="0" applyFont="1" applyFill="1" applyBorder="1"/>
    <xf numFmtId="0" fontId="3" fillId="0" borderId="8" xfId="0" applyFont="1" applyBorder="1"/>
    <xf numFmtId="0" fontId="0" fillId="0" borderId="9" xfId="0" applyBorder="1"/>
    <xf numFmtId="9" fontId="0" fillId="3" borderId="2" xfId="1" applyFont="1" applyFill="1" applyBorder="1"/>
    <xf numFmtId="165" fontId="0" fillId="3" borderId="2" xfId="1" applyNumberFormat="1" applyFont="1" applyFill="1" applyBorder="1"/>
    <xf numFmtId="0" fontId="0" fillId="0" borderId="6" xfId="0" applyBorder="1"/>
    <xf numFmtId="0" fontId="0" fillId="0" borderId="8" xfId="0" applyBorder="1"/>
    <xf numFmtId="1" fontId="0" fillId="0" borderId="7" xfId="0" applyNumberFormat="1" applyBorder="1"/>
    <xf numFmtId="1" fontId="0" fillId="0" borderId="9" xfId="0" applyNumberFormat="1" applyBorder="1"/>
    <xf numFmtId="165" fontId="0" fillId="0" borderId="0" xfId="1" applyNumberFormat="1" applyFont="1" applyBorder="1"/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9" fontId="0" fillId="0" borderId="0" xfId="1" applyFont="1" applyBorder="1"/>
    <xf numFmtId="9" fontId="0" fillId="0" borderId="10" xfId="1" applyFont="1" applyBorder="1"/>
    <xf numFmtId="165" fontId="0" fillId="0" borderId="10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0" fontId="2" fillId="0" borderId="12" xfId="0" applyFont="1" applyBorder="1" applyAlignment="1">
      <alignment horizontal="right"/>
    </xf>
    <xf numFmtId="0" fontId="7" fillId="0" borderId="0" xfId="0" applyFont="1" applyBorder="1"/>
    <xf numFmtId="0" fontId="7" fillId="0" borderId="10" xfId="0" applyFont="1" applyBorder="1"/>
    <xf numFmtId="0" fontId="0" fillId="0" borderId="6" xfId="0" applyFill="1" applyBorder="1"/>
    <xf numFmtId="9" fontId="0" fillId="0" borderId="0" xfId="1" applyFont="1" applyFill="1" applyBorder="1"/>
    <xf numFmtId="164" fontId="0" fillId="5" borderId="1" xfId="0" applyNumberFormat="1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0" borderId="11" xfId="0" applyFont="1" applyBorder="1"/>
    <xf numFmtId="0" fontId="0" fillId="0" borderId="12" xfId="0" applyNumberFormat="1" applyFill="1" applyBorder="1" applyAlignment="1">
      <alignment horizontal="left"/>
    </xf>
    <xf numFmtId="0" fontId="0" fillId="0" borderId="13" xfId="0" applyNumberFormat="1" applyFill="1" applyBorder="1" applyAlignment="1">
      <alignment horizontal="left"/>
    </xf>
    <xf numFmtId="0" fontId="0" fillId="0" borderId="7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0" fillId="0" borderId="9" xfId="0" applyNumberFormat="1" applyFill="1" applyBorder="1" applyAlignment="1">
      <alignment horizontal="left"/>
    </xf>
    <xf numFmtId="166" fontId="0" fillId="3" borderId="1" xfId="0" applyNumberFormat="1" applyFill="1" applyBorder="1"/>
    <xf numFmtId="164" fontId="0" fillId="5" borderId="14" xfId="0" applyNumberFormat="1" applyFill="1" applyBorder="1"/>
    <xf numFmtId="0" fontId="0" fillId="0" borderId="13" xfId="0" applyBorder="1"/>
    <xf numFmtId="0" fontId="0" fillId="0" borderId="8" xfId="0" applyFill="1" applyBorder="1"/>
    <xf numFmtId="0" fontId="0" fillId="0" borderId="11" xfId="0" applyBorder="1"/>
  </cellXfs>
  <cellStyles count="2">
    <cellStyle name="Normal" xfId="0" builtinId="0"/>
    <cellStyle name="Percent" xfId="1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GCR</a:t>
            </a:r>
            <a:r>
              <a:rPr lang="en-US" baseline="0"/>
              <a:t> Tradeoffs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Tilt = 10%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 - Great Falls, MT'!$F$4:$F$12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MT'!$H$4:$H$12</c:f>
              <c:numCache>
                <c:formatCode>General</c:formatCode>
                <c:ptCount val="9"/>
                <c:pt idx="0">
                  <c:v>1272.56</c:v>
                </c:pt>
                <c:pt idx="1">
                  <c:v>1272.06</c:v>
                </c:pt>
                <c:pt idx="2">
                  <c:v>1271.42</c:v>
                </c:pt>
                <c:pt idx="3">
                  <c:v>1270.57</c:v>
                </c:pt>
                <c:pt idx="4">
                  <c:v>1269.28</c:v>
                </c:pt>
                <c:pt idx="5">
                  <c:v>1267.1300000000001</c:v>
                </c:pt>
                <c:pt idx="6">
                  <c:v>1262.18</c:v>
                </c:pt>
                <c:pt idx="7">
                  <c:v>1248.26</c:v>
                </c:pt>
                <c:pt idx="8">
                  <c:v>1219.4100000000001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46-43CE-9E41-1478A1F20AD7}"/>
            </c:ext>
          </c:extLst>
        </c:ser>
        <c:ser>
          <c:idx val="1"/>
          <c:order val="1"/>
          <c:tx>
            <c:v>Tilt = 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 - Great Falls, MT'!$F$13:$F$21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MT'!$H$13:$H$21</c:f>
              <c:numCache>
                <c:formatCode>General</c:formatCode>
                <c:ptCount val="9"/>
                <c:pt idx="0">
                  <c:v>1360.77</c:v>
                </c:pt>
                <c:pt idx="1">
                  <c:v>1358.74</c:v>
                </c:pt>
                <c:pt idx="2">
                  <c:v>1356.18</c:v>
                </c:pt>
                <c:pt idx="3">
                  <c:v>1352.08</c:v>
                </c:pt>
                <c:pt idx="4">
                  <c:v>1345.88</c:v>
                </c:pt>
                <c:pt idx="5">
                  <c:v>1332.38</c:v>
                </c:pt>
                <c:pt idx="6">
                  <c:v>1309.5</c:v>
                </c:pt>
                <c:pt idx="7">
                  <c:v>1276.8699999999999</c:v>
                </c:pt>
                <c:pt idx="8">
                  <c:v>1230.8599999999999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46-43CE-9E41-1478A1F20AD7}"/>
            </c:ext>
          </c:extLst>
        </c:ser>
        <c:ser>
          <c:idx val="2"/>
          <c:order val="2"/>
          <c:tx>
            <c:v>Tilt = 30%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 - Great Falls, MT'!$F$22:$F$30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MT'!$H$22:$H$30</c:f>
              <c:numCache>
                <c:formatCode>General</c:formatCode>
                <c:ptCount val="9"/>
                <c:pt idx="0">
                  <c:v>1411.67</c:v>
                </c:pt>
                <c:pt idx="1">
                  <c:v>1407.24</c:v>
                </c:pt>
                <c:pt idx="2">
                  <c:v>1400.8</c:v>
                </c:pt>
                <c:pt idx="3">
                  <c:v>1391.58</c:v>
                </c:pt>
                <c:pt idx="4">
                  <c:v>1374.37</c:v>
                </c:pt>
                <c:pt idx="5">
                  <c:v>1347.43</c:v>
                </c:pt>
                <c:pt idx="6">
                  <c:v>1313.16</c:v>
                </c:pt>
                <c:pt idx="7">
                  <c:v>1271.6300000000001</c:v>
                </c:pt>
                <c:pt idx="8">
                  <c:v>1222.29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46-43CE-9E41-1478A1F20AD7}"/>
            </c:ext>
          </c:extLst>
        </c:ser>
        <c:ser>
          <c:idx val="3"/>
          <c:order val="3"/>
          <c:tx>
            <c:v>Tilt = 40%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'6B - Great Falls, MT'!$F$31:$F$39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MT'!$H$31:$H$39</c:f>
              <c:numCache>
                <c:formatCode>General</c:formatCode>
                <c:ptCount val="9"/>
                <c:pt idx="0">
                  <c:v>1425.64</c:v>
                </c:pt>
                <c:pt idx="1">
                  <c:v>1418.04</c:v>
                </c:pt>
                <c:pt idx="2">
                  <c:v>1406.95</c:v>
                </c:pt>
                <c:pt idx="3">
                  <c:v>1390.16</c:v>
                </c:pt>
                <c:pt idx="4">
                  <c:v>1362.29</c:v>
                </c:pt>
                <c:pt idx="5">
                  <c:v>1326.86</c:v>
                </c:pt>
                <c:pt idx="6">
                  <c:v>1286.68</c:v>
                </c:pt>
                <c:pt idx="7">
                  <c:v>1243.02</c:v>
                </c:pt>
                <c:pt idx="8">
                  <c:v>1202.68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46-43CE-9E41-1478A1F2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Production Performance (kWh/kW)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Maximizing Rooftop Array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Production (Tilt = 10%)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 - Great Falls, MT'!$F$4:$F$12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MT'!$K$4:$K$12</c:f>
              <c:numCache>
                <c:formatCode>0</c:formatCode>
                <c:ptCount val="9"/>
                <c:pt idx="0">
                  <c:v>28049.961809854994</c:v>
                </c:pt>
                <c:pt idx="1">
                  <c:v>56077.881467033607</c:v>
                </c:pt>
                <c:pt idx="2">
                  <c:v>84074.501267411746</c:v>
                </c:pt>
                <c:pt idx="3">
                  <c:v>112024.39170411599</c:v>
                </c:pt>
                <c:pt idx="4">
                  <c:v>139888.31774538232</c:v>
                </c:pt>
                <c:pt idx="5">
                  <c:v>167581.63752493347</c:v>
                </c:pt>
                <c:pt idx="6">
                  <c:v>194748.14985551912</c:v>
                </c:pt>
                <c:pt idx="7">
                  <c:v>220114.69999855154</c:v>
                </c:pt>
                <c:pt idx="8">
                  <c:v>241905.79255594825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5-4620-98C3-BE884BBA00C7}"/>
            </c:ext>
          </c:extLst>
        </c:ser>
        <c:ser>
          <c:idx val="1"/>
          <c:order val="1"/>
          <c:tx>
            <c:v>Production (Tilt = 20%)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 - Great Falls, MT'!$F$13:$F$21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MT'!$K$13:$K$21</c:f>
              <c:numCache>
                <c:formatCode>0</c:formatCode>
                <c:ptCount val="9"/>
                <c:pt idx="0">
                  <c:v>29994.300097438532</c:v>
                </c:pt>
                <c:pt idx="1">
                  <c:v>59899.109055010966</c:v>
                </c:pt>
                <c:pt idx="2">
                  <c:v>89679.379849961828</c:v>
                </c:pt>
                <c:pt idx="3">
                  <c:v>119211.01516272314</c:v>
                </c:pt>
                <c:pt idx="4">
                  <c:v>148330.46222043614</c:v>
                </c:pt>
                <c:pt idx="5">
                  <c:v>176211.14029773648</c:v>
                </c:pt>
                <c:pt idx="6">
                  <c:v>202049.39250804344</c:v>
                </c:pt>
                <c:pt idx="7">
                  <c:v>225159.70790312154</c:v>
                </c:pt>
                <c:pt idx="8">
                  <c:v>244177.23638924924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15-4620-98C3-BE884BBA00C7}"/>
            </c:ext>
          </c:extLst>
        </c:ser>
        <c:ser>
          <c:idx val="2"/>
          <c:order val="2"/>
          <c:tx>
            <c:v>Production (Tilt = 30%)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 - Great Falls, MT'!$F$22:$F$30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MT'!$K$22:$K$30</c:f>
              <c:numCache>
                <c:formatCode>0</c:formatCode>
                <c:ptCount val="9"/>
                <c:pt idx="0">
                  <c:v>31116.245668666314</c:v>
                </c:pt>
                <c:pt idx="1">
                  <c:v>62037.197864619891</c:v>
                </c:pt>
                <c:pt idx="2">
                  <c:v>92629.94240722213</c:v>
                </c:pt>
                <c:pt idx="3">
                  <c:v>122693.67528559129</c:v>
                </c:pt>
                <c:pt idx="4">
                  <c:v>151470.36686918655</c:v>
                </c:pt>
                <c:pt idx="5">
                  <c:v>178201.54668441365</c:v>
                </c:pt>
                <c:pt idx="6">
                  <c:v>202614.11245961231</c:v>
                </c:pt>
                <c:pt idx="7">
                  <c:v>224235.70086292771</c:v>
                </c:pt>
                <c:pt idx="8">
                  <c:v>242477.12515332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5-4620-98C3-BE884BBA00C7}"/>
            </c:ext>
          </c:extLst>
        </c:ser>
        <c:ser>
          <c:idx val="3"/>
          <c:order val="3"/>
          <c:tx>
            <c:v>Production (Tilt = 40%)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'6B - Great Falls, MT'!$F$31:$F$39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MT'!$K$31:$K$39</c:f>
              <c:numCache>
                <c:formatCode>0</c:formatCode>
                <c:ptCount val="9"/>
                <c:pt idx="0">
                  <c:v>31424.174541555352</c:v>
                </c:pt>
                <c:pt idx="1">
                  <c:v>62513.308362429707</c:v>
                </c:pt>
                <c:pt idx="2">
                  <c:v>93036.620124101362</c:v>
                </c:pt>
                <c:pt idx="3">
                  <c:v>122568.47585838946</c:v>
                </c:pt>
                <c:pt idx="4">
                  <c:v>150139.02084753316</c:v>
                </c:pt>
                <c:pt idx="5">
                  <c:v>175481.10420109474</c:v>
                </c:pt>
                <c:pt idx="6">
                  <c:v>198528.37903951839</c:v>
                </c:pt>
                <c:pt idx="7">
                  <c:v>219190.69295835769</c:v>
                </c:pt>
                <c:pt idx="8">
                  <c:v>238586.9056274656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15-4620-98C3-BE884BBA0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13256"/>
        <c:axId val="935414568"/>
      </c:scatterChart>
      <c:scatterChart>
        <c:scatterStyle val="lineMarker"/>
        <c:varyColors val="0"/>
        <c:ser>
          <c:idx val="4"/>
          <c:order val="4"/>
          <c:tx>
            <c:v>GCR Losses (Tilt = 10%)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'6B - Great Falls, MT'!$F$4:$F$12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MT'!$I$4:$I$12</c:f>
              <c:numCache>
                <c:formatCode>0.0%</c:formatCode>
                <c:ptCount val="9"/>
                <c:pt idx="0">
                  <c:v>0</c:v>
                </c:pt>
                <c:pt idx="1">
                  <c:v>3.929087822971411E-4</c:v>
                </c:pt>
                <c:pt idx="2">
                  <c:v>8.9583202363729963E-4</c:v>
                </c:pt>
                <c:pt idx="3">
                  <c:v>1.5637769535424839E-3</c:v>
                </c:pt>
                <c:pt idx="4">
                  <c:v>2.5774816118689925E-3</c:v>
                </c:pt>
                <c:pt idx="5">
                  <c:v>4.2669893757464328E-3</c:v>
                </c:pt>
                <c:pt idx="6">
                  <c:v>8.1567863204877744E-3</c:v>
                </c:pt>
                <c:pt idx="7">
                  <c:v>1.9095366819639081E-2</c:v>
                </c:pt>
                <c:pt idx="8">
                  <c:v>4.1766203558181836E-2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15-4620-98C3-BE884BBA00C7}"/>
            </c:ext>
          </c:extLst>
        </c:ser>
        <c:ser>
          <c:idx val="5"/>
          <c:order val="5"/>
          <c:tx>
            <c:v>GCR Losses (Tilt = 20%)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'6B - Great Falls, MT'!$F$13:$F$21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MT'!$I$13:$I$21</c:f>
              <c:numCache>
                <c:formatCode>0.0%</c:formatCode>
                <c:ptCount val="9"/>
                <c:pt idx="0">
                  <c:v>0</c:v>
                </c:pt>
                <c:pt idx="1">
                  <c:v>1.491802435385825E-3</c:v>
                </c:pt>
                <c:pt idx="2">
                  <c:v>3.3730902356753356E-3</c:v>
                </c:pt>
                <c:pt idx="3">
                  <c:v>6.3860902283267018E-3</c:v>
                </c:pt>
                <c:pt idx="4">
                  <c:v>1.094233411965273E-2</c:v>
                </c:pt>
                <c:pt idx="5">
                  <c:v>2.0863187753992096E-2</c:v>
                </c:pt>
                <c:pt idx="6">
                  <c:v>3.7677197469080048E-2</c:v>
                </c:pt>
                <c:pt idx="7">
                  <c:v>6.1656268142301851E-2</c:v>
                </c:pt>
                <c:pt idx="8">
                  <c:v>9.5468007084224427E-2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15-4620-98C3-BE884BBA00C7}"/>
            </c:ext>
          </c:extLst>
        </c:ser>
        <c:ser>
          <c:idx val="6"/>
          <c:order val="6"/>
          <c:tx>
            <c:v>GCR Losses (Tilt = 30%)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'6B - Great Falls, MT'!$F$22:$F$30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MT'!$I$22:$I$30</c:f>
              <c:numCache>
                <c:formatCode>0.0%</c:formatCode>
                <c:ptCount val="9"/>
                <c:pt idx="0">
                  <c:v>0</c:v>
                </c:pt>
                <c:pt idx="1">
                  <c:v>3.1381271826985691E-3</c:v>
                </c:pt>
                <c:pt idx="2">
                  <c:v>7.7000998817005062E-3</c:v>
                </c:pt>
                <c:pt idx="3">
                  <c:v>1.4231371354495148E-2</c:v>
                </c:pt>
                <c:pt idx="4">
                  <c:v>2.6422605849809266E-2</c:v>
                </c:pt>
                <c:pt idx="5">
                  <c:v>4.550638605339774E-2</c:v>
                </c:pt>
                <c:pt idx="6">
                  <c:v>6.9782597915943545E-2</c:v>
                </c:pt>
                <c:pt idx="7">
                  <c:v>9.9201654777674619E-2</c:v>
                </c:pt>
                <c:pt idx="8">
                  <c:v>0.13415316610822647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15-4620-98C3-BE884BBA00C7}"/>
            </c:ext>
          </c:extLst>
        </c:ser>
        <c:ser>
          <c:idx val="7"/>
          <c:order val="7"/>
          <c:tx>
            <c:v>GCR Losses (Tilt = 40%)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'6B - Great Falls, MT'!$F$31:$F$39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'6B - Great Falls, MT'!$I$31:$I$39</c:f>
              <c:numCache>
                <c:formatCode>0.0%</c:formatCode>
                <c:ptCount val="9"/>
                <c:pt idx="0">
                  <c:v>0</c:v>
                </c:pt>
                <c:pt idx="1">
                  <c:v>5.3309390870066586E-3</c:v>
                </c:pt>
                <c:pt idx="2">
                  <c:v>1.3109901517914802E-2</c:v>
                </c:pt>
                <c:pt idx="3">
                  <c:v>2.4887068264077938E-2</c:v>
                </c:pt>
                <c:pt idx="4">
                  <c:v>4.4436183047613764E-2</c:v>
                </c:pt>
                <c:pt idx="5">
                  <c:v>6.92881793440141E-2</c:v>
                </c:pt>
                <c:pt idx="6">
                  <c:v>9.7472012569793209E-2</c:v>
                </c:pt>
                <c:pt idx="7">
                  <c:v>0.12809685474593879</c:v>
                </c:pt>
                <c:pt idx="8">
                  <c:v>0.1563929182682865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15-4620-98C3-BE884BBA0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901792"/>
        <c:axId val="1021900808"/>
      </c:scatterChart>
      <c:valAx>
        <c:axId val="93541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4568"/>
        <c:crosses val="autoZero"/>
        <c:crossBetween val="midCat"/>
      </c:valAx>
      <c:valAx>
        <c:axId val="9354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Rooftop Array Production (kWh)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13256"/>
        <c:crosses val="autoZero"/>
        <c:crossBetween val="midCat"/>
      </c:valAx>
      <c:valAx>
        <c:axId val="102190080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901792"/>
        <c:crosses val="max"/>
        <c:crossBetween val="midCat"/>
      </c:valAx>
      <c:valAx>
        <c:axId val="102190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190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242887</xdr:colOff>
      <xdr:row>1</xdr:row>
      <xdr:rowOff>119062</xdr:rowOff>
    </xdr:from>
    <xdr:to>
      <xdr:col>21</xdr:col>
      <xdr:colOff>547687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9D38E-85EF-4F39-B137-738E60F13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26</xdr:row>
      <xdr:rowOff>0</xdr:rowOff>
    </xdr:from>
    <xdr:to>
      <xdr:col>21</xdr:col>
      <xdr:colOff>542925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E108D-BBC2-4111-9E99-D372F84F9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workbookViewId="0">
      <selection activeCell="C20" sqref="C20"/>
    </sheetView>
  </sheetViews>
  <sheetFormatPr defaultRowHeight="15" x14ac:dyDescent="0.25"/>
  <cols>
    <col min="1" max="1" width="2.28515625" customWidth="1"/>
    <col min="2" max="2" width="24.5703125" customWidth="1"/>
    <col min="3" max="3" width="11.140625" customWidth="1"/>
    <col min="5" max="5" width="3.7109375" customWidth="1"/>
    <col min="6" max="6" width="4.5703125" bestFit="1" customWidth="1"/>
    <col min="7" max="7" width="10.5703125" bestFit="1" customWidth="1"/>
    <col min="8" max="8" width="22.42578125" bestFit="1" customWidth="1"/>
    <col min="9" max="9" width="14.42578125" bestFit="1" customWidth="1"/>
    <col min="10" max="10" width="19.42578125" bestFit="1" customWidth="1"/>
    <col min="11" max="11" width="27" bestFit="1" customWidth="1"/>
  </cols>
  <sheetData>
    <row r="2" spans="2:11" x14ac:dyDescent="0.25">
      <c r="B2" s="32" t="s">
        <v>32</v>
      </c>
      <c r="C2" s="33"/>
      <c r="D2" s="34"/>
      <c r="F2" s="29" t="s">
        <v>16</v>
      </c>
      <c r="G2" s="30"/>
      <c r="H2" s="30"/>
      <c r="I2" s="30"/>
      <c r="J2" s="30"/>
      <c r="K2" s="31"/>
    </row>
    <row r="3" spans="2:11" x14ac:dyDescent="0.25">
      <c r="B3" s="36" t="s">
        <v>30</v>
      </c>
      <c r="C3" s="37" t="s">
        <v>33</v>
      </c>
      <c r="D3" s="38"/>
      <c r="F3" s="15" t="s">
        <v>9</v>
      </c>
      <c r="G3" s="16" t="s">
        <v>17</v>
      </c>
      <c r="H3" s="23" t="s">
        <v>12</v>
      </c>
      <c r="I3" s="16" t="s">
        <v>15</v>
      </c>
      <c r="J3" s="16" t="s">
        <v>18</v>
      </c>
      <c r="K3" s="17" t="s">
        <v>11</v>
      </c>
    </row>
    <row r="4" spans="2:11" x14ac:dyDescent="0.25">
      <c r="B4" s="3" t="s">
        <v>31</v>
      </c>
      <c r="C4" s="35" t="s">
        <v>34</v>
      </c>
      <c r="D4" s="39"/>
      <c r="F4" s="10">
        <v>0.1</v>
      </c>
      <c r="G4" s="18">
        <v>0.1</v>
      </c>
      <c r="H4" s="24">
        <v>1272.56</v>
      </c>
      <c r="I4" s="14">
        <f>1-H4/_xlfn.MAXIFS($H$4:$H$39,$G$4:$G$39,G4)</f>
        <v>0</v>
      </c>
      <c r="J4" s="21">
        <f>($C$18*$C$19/1000)*$C$15*F4</f>
        <v>22.042152676380677</v>
      </c>
      <c r="K4" s="12">
        <f>J4*H4</f>
        <v>28049.961809854994</v>
      </c>
    </row>
    <row r="5" spans="2:11" x14ac:dyDescent="0.25">
      <c r="B5" s="3" t="s">
        <v>38</v>
      </c>
      <c r="C5" s="35" t="s">
        <v>35</v>
      </c>
      <c r="D5" s="39"/>
      <c r="F5" s="10">
        <v>0.2</v>
      </c>
      <c r="G5" s="18">
        <v>0.1</v>
      </c>
      <c r="H5" s="24">
        <v>1272.06</v>
      </c>
      <c r="I5" s="14">
        <f t="shared" ref="I5:I39" si="0">1-H5/_xlfn.MAXIFS($H$4:$H$39,$G$4:$G$39,G5)</f>
        <v>3.929087822971411E-4</v>
      </c>
      <c r="J5" s="21">
        <f>($C$18*$C$19/1000)*$C$15*F5</f>
        <v>44.084305352761355</v>
      </c>
      <c r="K5" s="12">
        <f>($C$18*$C$19/1000)*F5*$C$15*H5</f>
        <v>56077.881467033607</v>
      </c>
    </row>
    <row r="6" spans="2:11" x14ac:dyDescent="0.25">
      <c r="B6" s="3" t="s">
        <v>36</v>
      </c>
      <c r="C6" s="35" t="s">
        <v>37</v>
      </c>
      <c r="D6" s="39"/>
      <c r="F6" s="10">
        <v>0.3</v>
      </c>
      <c r="G6" s="18">
        <v>0.1</v>
      </c>
      <c r="H6" s="24">
        <v>1271.42</v>
      </c>
      <c r="I6" s="14">
        <f t="shared" si="0"/>
        <v>8.9583202363729963E-4</v>
      </c>
      <c r="J6" s="21">
        <f>($C$18*$C$19/1000)*$C$15*F6</f>
        <v>66.126458029142029</v>
      </c>
      <c r="K6" s="12">
        <f>($C$18*$C$19/1000)*F6*$C$15*H6</f>
        <v>84074.501267411746</v>
      </c>
    </row>
    <row r="7" spans="2:11" x14ac:dyDescent="0.25">
      <c r="B7" s="3" t="s">
        <v>39</v>
      </c>
      <c r="C7" s="35" t="s">
        <v>41</v>
      </c>
      <c r="D7" s="39"/>
      <c r="F7" s="10">
        <v>0.4</v>
      </c>
      <c r="G7" s="18">
        <v>0.1</v>
      </c>
      <c r="H7" s="24">
        <v>1270.57</v>
      </c>
      <c r="I7" s="14">
        <f t="shared" si="0"/>
        <v>1.5637769535424839E-3</v>
      </c>
      <c r="J7" s="21">
        <f>($C$18*$C$19/1000)*$C$15*F7</f>
        <v>88.16861070552271</v>
      </c>
      <c r="K7" s="12">
        <f>($C$18*$C$19/1000)*F7*$C$15*H7</f>
        <v>112024.39170411599</v>
      </c>
    </row>
    <row r="8" spans="2:11" x14ac:dyDescent="0.25">
      <c r="B8" s="6" t="s">
        <v>40</v>
      </c>
      <c r="C8" s="40" t="s">
        <v>42</v>
      </c>
      <c r="D8" s="41"/>
      <c r="F8" s="10">
        <v>0.5</v>
      </c>
      <c r="G8" s="18">
        <v>0.1</v>
      </c>
      <c r="H8" s="24">
        <v>1269.28</v>
      </c>
      <c r="I8" s="14">
        <f t="shared" si="0"/>
        <v>2.5774816118689925E-3</v>
      </c>
      <c r="J8" s="21">
        <f>($C$18*$C$19/1000)*$C$15*F8</f>
        <v>110.21076338190338</v>
      </c>
      <c r="K8" s="12">
        <f>($C$18*$C$19/1000)*F8*$C$15*H8</f>
        <v>139888.31774538232</v>
      </c>
    </row>
    <row r="9" spans="2:11" x14ac:dyDescent="0.25">
      <c r="F9" s="10">
        <v>0.6</v>
      </c>
      <c r="G9" s="18">
        <v>0.1</v>
      </c>
      <c r="H9" s="24">
        <v>1267.1300000000001</v>
      </c>
      <c r="I9" s="14">
        <f t="shared" si="0"/>
        <v>4.2669893757464328E-3</v>
      </c>
      <c r="J9" s="21">
        <f>($C$18*$C$19/1000)*$C$15*F9</f>
        <v>132.25291605828406</v>
      </c>
      <c r="K9" s="12">
        <f>($C$18*$C$19/1000)*F9*$C$15*H9</f>
        <v>167581.63752493347</v>
      </c>
    </row>
    <row r="10" spans="2:11" x14ac:dyDescent="0.25">
      <c r="B10" s="29" t="s">
        <v>8</v>
      </c>
      <c r="C10" s="30"/>
      <c r="D10" s="31"/>
      <c r="F10" s="10">
        <v>0.7</v>
      </c>
      <c r="G10" s="18">
        <v>0.1</v>
      </c>
      <c r="H10" s="24">
        <v>1262.18</v>
      </c>
      <c r="I10" s="14">
        <f t="shared" si="0"/>
        <v>8.1567863204877744E-3</v>
      </c>
      <c r="J10" s="21">
        <f>($C$18*$C$19/1000)*$C$15*F10</f>
        <v>154.29506873466471</v>
      </c>
      <c r="K10" s="12">
        <f>($C$18*$C$19/1000)*F10*$C$15*H10</f>
        <v>194748.14985551912</v>
      </c>
    </row>
    <row r="11" spans="2:11" x14ac:dyDescent="0.25">
      <c r="B11" s="3" t="s">
        <v>2</v>
      </c>
      <c r="C11" s="2">
        <f>163.8*0.3048</f>
        <v>49.926240000000007</v>
      </c>
      <c r="D11" s="4" t="s">
        <v>1</v>
      </c>
      <c r="F11" s="10">
        <v>0.8</v>
      </c>
      <c r="G11" s="18">
        <v>0.1</v>
      </c>
      <c r="H11" s="24">
        <v>1248.26</v>
      </c>
      <c r="I11" s="14">
        <f t="shared" si="0"/>
        <v>1.9095366819639081E-2</v>
      </c>
      <c r="J11" s="21">
        <f>($C$18*$C$19/1000)*$C$15*F11</f>
        <v>176.33722141104542</v>
      </c>
      <c r="K11" s="12">
        <f>($C$18*$C$19/1000)*F11*$C$15*H11</f>
        <v>220114.69999855154</v>
      </c>
    </row>
    <row r="12" spans="2:11" x14ac:dyDescent="0.25">
      <c r="B12" s="3" t="s">
        <v>0</v>
      </c>
      <c r="C12" s="1">
        <f>109.2*0.3048</f>
        <v>33.28416</v>
      </c>
      <c r="D12" s="4" t="s">
        <v>1</v>
      </c>
      <c r="F12" s="26">
        <v>0.9</v>
      </c>
      <c r="G12" s="27">
        <v>0.1</v>
      </c>
      <c r="H12" s="24">
        <v>1219.4100000000001</v>
      </c>
      <c r="I12" s="14">
        <f t="shared" si="0"/>
        <v>4.1766203558181836E-2</v>
      </c>
      <c r="J12" s="21">
        <f>($C$18*$C$19/1000)*$C$15*F12</f>
        <v>198.37937408742607</v>
      </c>
      <c r="K12" s="12">
        <f>($C$18*$C$19/1000)*F12*$C$15*H12</f>
        <v>241905.79255594825</v>
      </c>
    </row>
    <row r="13" spans="2:11" x14ac:dyDescent="0.25">
      <c r="B13" s="5" t="s">
        <v>3</v>
      </c>
      <c r="C13" s="1">
        <f>6*0.3048</f>
        <v>1.8288000000000002</v>
      </c>
      <c r="D13" s="4" t="s">
        <v>1</v>
      </c>
      <c r="F13" s="10">
        <v>0.1</v>
      </c>
      <c r="G13" s="18">
        <v>0.2</v>
      </c>
      <c r="H13" s="24">
        <v>1360.77</v>
      </c>
      <c r="I13" s="14">
        <f t="shared" si="0"/>
        <v>0</v>
      </c>
      <c r="J13" s="21">
        <f>($C$18*$C$19/1000)*$C$15*F13</f>
        <v>22.042152676380677</v>
      </c>
      <c r="K13" s="12">
        <f>($C$18*$C$19/1000)*F13*$C$15*H13</f>
        <v>29994.300097438532</v>
      </c>
    </row>
    <row r="14" spans="2:11" x14ac:dyDescent="0.25">
      <c r="B14" s="5" t="s">
        <v>4</v>
      </c>
      <c r="C14" s="1">
        <v>0.2</v>
      </c>
      <c r="D14" s="4" t="s">
        <v>5</v>
      </c>
      <c r="F14" s="10">
        <v>0.2</v>
      </c>
      <c r="G14" s="18">
        <v>0.2</v>
      </c>
      <c r="H14" s="24">
        <v>1358.74</v>
      </c>
      <c r="I14" s="14">
        <f t="shared" si="0"/>
        <v>1.491802435385825E-3</v>
      </c>
      <c r="J14" s="21">
        <f>($C$18*$C$19/1000)*$C$15*F14</f>
        <v>44.084305352761355</v>
      </c>
      <c r="K14" s="12">
        <f>($C$18*$C$19/1000)*F14*$C$15*H14</f>
        <v>59899.109055010966</v>
      </c>
    </row>
    <row r="15" spans="2:11" x14ac:dyDescent="0.25">
      <c r="B15" s="6" t="s">
        <v>7</v>
      </c>
      <c r="C15" s="28">
        <f>(C11-2*C13)*(C12-2*C13)*(1-C14)</f>
        <v>1096.62451126272</v>
      </c>
      <c r="D15" s="7" t="s">
        <v>6</v>
      </c>
      <c r="F15" s="10">
        <v>0.3</v>
      </c>
      <c r="G15" s="18">
        <v>0.2</v>
      </c>
      <c r="H15" s="24">
        <v>1356.18</v>
      </c>
      <c r="I15" s="14">
        <f t="shared" si="0"/>
        <v>3.3730902356753356E-3</v>
      </c>
      <c r="J15" s="21">
        <f>($C$18*$C$19/1000)*$C$15*F15</f>
        <v>66.126458029142029</v>
      </c>
      <c r="K15" s="12">
        <f>($C$18*$C$19/1000)*F15*$C$15*H15</f>
        <v>89679.379849961828</v>
      </c>
    </row>
    <row r="16" spans="2:11" x14ac:dyDescent="0.25">
      <c r="F16" s="10">
        <v>0.4</v>
      </c>
      <c r="G16" s="18">
        <v>0.2</v>
      </c>
      <c r="H16" s="24">
        <v>1352.08</v>
      </c>
      <c r="I16" s="14">
        <f t="shared" si="0"/>
        <v>6.3860902283267018E-3</v>
      </c>
      <c r="J16" s="21">
        <f>($C$18*$C$19/1000)*$C$15*F16</f>
        <v>88.16861070552271</v>
      </c>
      <c r="K16" s="12">
        <f>($C$18*$C$19/1000)*F16*$C$15*H16</f>
        <v>119211.01516272314</v>
      </c>
    </row>
    <row r="17" spans="2:11" x14ac:dyDescent="0.25">
      <c r="B17" s="29" t="s">
        <v>13</v>
      </c>
      <c r="C17" s="30"/>
      <c r="D17" s="31"/>
      <c r="F17" s="10">
        <v>0.5</v>
      </c>
      <c r="G17" s="18">
        <v>0.2</v>
      </c>
      <c r="H17" s="24">
        <v>1345.88</v>
      </c>
      <c r="I17" s="14">
        <f t="shared" si="0"/>
        <v>1.094233411965273E-2</v>
      </c>
      <c r="J17" s="21">
        <f>($C$18*$C$19/1000)*$C$15*F17</f>
        <v>110.21076338190338</v>
      </c>
      <c r="K17" s="12">
        <f>($C$18*$C$19/1000)*F17*$C$15*H17</f>
        <v>148330.46222043614</v>
      </c>
    </row>
    <row r="18" spans="2:11" x14ac:dyDescent="0.25">
      <c r="B18" s="3" t="s">
        <v>47</v>
      </c>
      <c r="C18" s="9">
        <v>0.20100000000000001</v>
      </c>
      <c r="D18" s="4"/>
      <c r="F18" s="10">
        <v>0.6</v>
      </c>
      <c r="G18" s="18">
        <v>0.2</v>
      </c>
      <c r="H18" s="24">
        <v>1332.38</v>
      </c>
      <c r="I18" s="14">
        <f t="shared" si="0"/>
        <v>2.0863187753992096E-2</v>
      </c>
      <c r="J18" s="21">
        <f>($C$18*$C$19/1000)*$C$15*F18</f>
        <v>132.25291605828406</v>
      </c>
      <c r="K18" s="12">
        <f>($C$18*$C$19/1000)*F18*$C$15*H18</f>
        <v>176211.14029773648</v>
      </c>
    </row>
    <row r="19" spans="2:11" x14ac:dyDescent="0.25">
      <c r="B19" s="6" t="s">
        <v>48</v>
      </c>
      <c r="C19" s="1">
        <v>1000</v>
      </c>
      <c r="D19" s="7" t="s">
        <v>14</v>
      </c>
      <c r="F19" s="10">
        <v>0.7</v>
      </c>
      <c r="G19" s="18">
        <v>0.2</v>
      </c>
      <c r="H19" s="24">
        <v>1309.5</v>
      </c>
      <c r="I19" s="14">
        <f t="shared" si="0"/>
        <v>3.7677197469080048E-2</v>
      </c>
      <c r="J19" s="21">
        <f>($C$18*$C$19/1000)*$C$15*F19</f>
        <v>154.29506873466471</v>
      </c>
      <c r="K19" s="12">
        <f>($C$18*$C$19/1000)*F19*$C$15*H19</f>
        <v>202049.39250804344</v>
      </c>
    </row>
    <row r="20" spans="2:11" x14ac:dyDescent="0.25">
      <c r="F20" s="10">
        <v>0.8</v>
      </c>
      <c r="G20" s="18">
        <v>0.2</v>
      </c>
      <c r="H20" s="24">
        <v>1276.8699999999999</v>
      </c>
      <c r="I20" s="14">
        <f t="shared" si="0"/>
        <v>6.1656268142301851E-2</v>
      </c>
      <c r="J20" s="21">
        <f>($C$18*$C$19/1000)*$C$15*F20</f>
        <v>176.33722141104542</v>
      </c>
      <c r="K20" s="12">
        <f>($C$18*$C$19/1000)*F20*$C$15*H20</f>
        <v>225159.70790312154</v>
      </c>
    </row>
    <row r="21" spans="2:11" x14ac:dyDescent="0.25">
      <c r="B21" s="29" t="s">
        <v>19</v>
      </c>
      <c r="C21" s="30"/>
      <c r="D21" s="31"/>
      <c r="F21" s="10">
        <v>0.9</v>
      </c>
      <c r="G21" s="18">
        <v>0.2</v>
      </c>
      <c r="H21" s="24">
        <v>1230.8599999999999</v>
      </c>
      <c r="I21" s="14">
        <f t="shared" si="0"/>
        <v>9.5468007084224427E-2</v>
      </c>
      <c r="J21" s="21">
        <f>($C$18*$C$19/1000)*$C$15*F21</f>
        <v>198.37937408742607</v>
      </c>
      <c r="K21" s="12">
        <f>($C$18*$C$19/1000)*F21*$C$15*H21</f>
        <v>244177.23638924924</v>
      </c>
    </row>
    <row r="22" spans="2:11" x14ac:dyDescent="0.25">
      <c r="B22" s="10" t="s">
        <v>20</v>
      </c>
      <c r="C22" s="8">
        <v>0.1</v>
      </c>
      <c r="D22" s="4"/>
      <c r="F22" s="10">
        <v>0.1</v>
      </c>
      <c r="G22" s="18">
        <v>0.3</v>
      </c>
      <c r="H22" s="24">
        <v>1411.67</v>
      </c>
      <c r="I22" s="14">
        <f t="shared" si="0"/>
        <v>0</v>
      </c>
      <c r="J22" s="21">
        <f>($C$18*$C$19/1000)*$C$15*F22</f>
        <v>22.042152676380677</v>
      </c>
      <c r="K22" s="12">
        <f>($C$18*$C$19/1000)*F22*$C$15*H22</f>
        <v>31116.245668666314</v>
      </c>
    </row>
    <row r="23" spans="2:11" x14ac:dyDescent="0.25">
      <c r="B23" s="10" t="s">
        <v>23</v>
      </c>
      <c r="C23" s="1">
        <v>0.9</v>
      </c>
      <c r="D23" s="4"/>
      <c r="F23" s="10">
        <v>0.2</v>
      </c>
      <c r="G23" s="18">
        <v>0.3</v>
      </c>
      <c r="H23" s="24">
        <v>1407.24</v>
      </c>
      <c r="I23" s="14">
        <f t="shared" si="0"/>
        <v>3.1381271826985691E-3</v>
      </c>
      <c r="J23" s="21">
        <f>($C$18*$C$19/1000)*$C$15*F23</f>
        <v>44.084305352761355</v>
      </c>
      <c r="K23" s="12">
        <f>($C$18*$C$19/1000)*F23*$C$15*H23</f>
        <v>62037.197864619891</v>
      </c>
    </row>
    <row r="24" spans="2:11" x14ac:dyDescent="0.25">
      <c r="B24" s="10" t="s">
        <v>21</v>
      </c>
      <c r="C24" s="28" cm="1">
        <f t="array" ref="C24">INDEX($H$4:$H$39,MATCH(1,($C$22=$G$4:$G$39)*($C$23=$F$4:$F$39),0))</f>
        <v>1219.4100000000001</v>
      </c>
      <c r="D24" s="4" t="s">
        <v>10</v>
      </c>
      <c r="F24" s="10">
        <v>0.3</v>
      </c>
      <c r="G24" s="18">
        <v>0.3</v>
      </c>
      <c r="H24" s="24">
        <v>1400.8</v>
      </c>
      <c r="I24" s="14">
        <f t="shared" si="0"/>
        <v>7.7000998817005062E-3</v>
      </c>
      <c r="J24" s="21">
        <f>($C$18*$C$19/1000)*$C$15*F24</f>
        <v>66.126458029142029</v>
      </c>
      <c r="K24" s="12">
        <f>($C$18*$C$19/1000)*F24*$C$15*H24</f>
        <v>92629.94240722213</v>
      </c>
    </row>
    <row r="25" spans="2:11" x14ac:dyDescent="0.25">
      <c r="B25" s="10" t="s">
        <v>24</v>
      </c>
      <c r="C25" s="28" cm="1">
        <f t="array" ref="C25">ROUND(INDEX($J$4:$J$39,MATCH(1,($C$22=$G$4:$G$39)*($C$23=$F$4:$F$39),0)),0)</f>
        <v>198</v>
      </c>
      <c r="D25" s="4" t="s">
        <v>25</v>
      </c>
      <c r="F25" s="10">
        <v>0.4</v>
      </c>
      <c r="G25" s="18">
        <v>0.3</v>
      </c>
      <c r="H25" s="24">
        <v>1391.58</v>
      </c>
      <c r="I25" s="14">
        <f t="shared" si="0"/>
        <v>1.4231371354495148E-2</v>
      </c>
      <c r="J25" s="21">
        <f>($C$18*$C$19/1000)*$C$15*F25</f>
        <v>88.16861070552271</v>
      </c>
      <c r="K25" s="12">
        <f>($C$18*$C$19/1000)*F25*$C$15*H25</f>
        <v>122693.67528559129</v>
      </c>
    </row>
    <row r="26" spans="2:11" x14ac:dyDescent="0.25">
      <c r="B26" s="11" t="s">
        <v>22</v>
      </c>
      <c r="C26" s="28">
        <f>C25*C24/1000</f>
        <v>241.44318000000001</v>
      </c>
      <c r="D26" s="7" t="s">
        <v>26</v>
      </c>
      <c r="F26" s="10">
        <v>0.5</v>
      </c>
      <c r="G26" s="18">
        <v>0.3</v>
      </c>
      <c r="H26" s="24">
        <v>1374.37</v>
      </c>
      <c r="I26" s="14">
        <f t="shared" si="0"/>
        <v>2.6422605849809266E-2</v>
      </c>
      <c r="J26" s="21">
        <f>($C$18*$C$19/1000)*$C$15*F26</f>
        <v>110.21076338190338</v>
      </c>
      <c r="K26" s="12">
        <f>($C$18*$C$19/1000)*F26*$C$15*H26</f>
        <v>151470.36686918655</v>
      </c>
    </row>
    <row r="27" spans="2:11" x14ac:dyDescent="0.25">
      <c r="F27" s="10">
        <v>0.6</v>
      </c>
      <c r="G27" s="18">
        <v>0.3</v>
      </c>
      <c r="H27" s="24">
        <v>1347.43</v>
      </c>
      <c r="I27" s="14">
        <f t="shared" si="0"/>
        <v>4.550638605339774E-2</v>
      </c>
      <c r="J27" s="21">
        <f>($C$18*$C$19/1000)*$C$15*F27</f>
        <v>132.25291605828406</v>
      </c>
      <c r="K27" s="12">
        <f>($C$18*$C$19/1000)*F27*$C$15*H27</f>
        <v>178201.54668441365</v>
      </c>
    </row>
    <row r="28" spans="2:11" x14ac:dyDescent="0.25">
      <c r="B28" s="29" t="s">
        <v>27</v>
      </c>
      <c r="C28" s="30"/>
      <c r="D28" s="31"/>
      <c r="F28" s="10">
        <v>0.7</v>
      </c>
      <c r="G28" s="18">
        <v>0.3</v>
      </c>
      <c r="H28" s="24">
        <v>1313.16</v>
      </c>
      <c r="I28" s="14">
        <f t="shared" si="0"/>
        <v>6.9782597915943545E-2</v>
      </c>
      <c r="J28" s="21">
        <f>($C$18*$C$19/1000)*$C$15*F28</f>
        <v>154.29506873466471</v>
      </c>
      <c r="K28" s="12">
        <f>($C$18*$C$19/1000)*F28*$C$15*H28</f>
        <v>202614.11245961231</v>
      </c>
    </row>
    <row r="29" spans="2:11" x14ac:dyDescent="0.25">
      <c r="B29" s="46" t="s">
        <v>44</v>
      </c>
      <c r="C29" s="1">
        <v>4753.3</v>
      </c>
      <c r="D29" s="44" t="s">
        <v>29</v>
      </c>
      <c r="F29" s="10">
        <v>0.8</v>
      </c>
      <c r="G29" s="18">
        <v>0.3</v>
      </c>
      <c r="H29" s="24">
        <v>1271.6300000000001</v>
      </c>
      <c r="I29" s="14">
        <f t="shared" si="0"/>
        <v>9.9201654777674619E-2</v>
      </c>
      <c r="J29" s="21">
        <f>($C$18*$C$19/1000)*$C$15*F29</f>
        <v>176.33722141104542</v>
      </c>
      <c r="K29" s="12">
        <f>($C$18*$C$19/1000)*F29*$C$15*H29</f>
        <v>224235.70086292771</v>
      </c>
    </row>
    <row r="30" spans="2:11" x14ac:dyDescent="0.25">
      <c r="B30" s="26" t="s">
        <v>45</v>
      </c>
      <c r="C30" s="42">
        <v>3.1669999999999998</v>
      </c>
      <c r="D30" s="4"/>
      <c r="F30" s="10">
        <v>0.9</v>
      </c>
      <c r="G30" s="18">
        <v>0.3</v>
      </c>
      <c r="H30" s="24">
        <v>1222.29</v>
      </c>
      <c r="I30" s="14">
        <f t="shared" si="0"/>
        <v>0.13415316610822647</v>
      </c>
      <c r="J30" s="21">
        <f>($C$18*$C$19/1000)*$C$15*F30</f>
        <v>198.37937408742607</v>
      </c>
      <c r="K30" s="12">
        <f>($C$18*$C$19/1000)*F30*$C$15*H30</f>
        <v>242477.12515332</v>
      </c>
    </row>
    <row r="31" spans="2:11" x14ac:dyDescent="0.25">
      <c r="B31" s="10" t="s">
        <v>43</v>
      </c>
      <c r="C31" s="28">
        <f>(C29/C30)*0.277778</f>
        <v>416.91258838017063</v>
      </c>
      <c r="D31" s="4" t="s">
        <v>26</v>
      </c>
      <c r="F31" s="10">
        <v>0.1</v>
      </c>
      <c r="G31" s="18">
        <v>0.4</v>
      </c>
      <c r="H31" s="24">
        <v>1425.64</v>
      </c>
      <c r="I31" s="14">
        <f t="shared" si="0"/>
        <v>0</v>
      </c>
      <c r="J31" s="21">
        <f>($C$18*$C$19/1000)*$C$15*F31</f>
        <v>22.042152676380677</v>
      </c>
      <c r="K31" s="12">
        <f>($C$18*$C$19/1000)*F31*$C$15*H31</f>
        <v>31424.174541555352</v>
      </c>
    </row>
    <row r="32" spans="2:11" x14ac:dyDescent="0.25">
      <c r="B32" s="10" t="s">
        <v>20</v>
      </c>
      <c r="C32" s="8">
        <v>0.3</v>
      </c>
      <c r="D32" s="4"/>
      <c r="F32" s="10">
        <v>0.2</v>
      </c>
      <c r="G32" s="18">
        <v>0.4</v>
      </c>
      <c r="H32" s="24">
        <v>1418.04</v>
      </c>
      <c r="I32" s="14">
        <f t="shared" si="0"/>
        <v>5.3309390870066586E-3</v>
      </c>
      <c r="J32" s="21">
        <f>($C$18*$C$19/1000)*$C$15*F32</f>
        <v>44.084305352761355</v>
      </c>
      <c r="K32" s="12">
        <f>($C$18*$C$19/1000)*F32*$C$15*H32</f>
        <v>62513.308362429707</v>
      </c>
    </row>
    <row r="33" spans="2:11" x14ac:dyDescent="0.25">
      <c r="B33" s="10" t="s">
        <v>23</v>
      </c>
      <c r="C33" s="1">
        <v>0.4</v>
      </c>
      <c r="D33" s="4"/>
      <c r="F33" s="10">
        <v>0.3</v>
      </c>
      <c r="G33" s="18">
        <v>0.4</v>
      </c>
      <c r="H33" s="24">
        <v>1406.95</v>
      </c>
      <c r="I33" s="14">
        <f t="shared" si="0"/>
        <v>1.3109901517914802E-2</v>
      </c>
      <c r="J33" s="21">
        <f>($C$18*$C$19/1000)*$C$15*F33</f>
        <v>66.126458029142029</v>
      </c>
      <c r="K33" s="12">
        <f>($C$18*$C$19/1000)*F33*$C$15*H33</f>
        <v>93036.620124101362</v>
      </c>
    </row>
    <row r="34" spans="2:11" x14ac:dyDescent="0.25">
      <c r="B34" s="10" t="s">
        <v>28</v>
      </c>
      <c r="C34" s="8">
        <v>0.1</v>
      </c>
      <c r="D34" s="4"/>
      <c r="F34" s="10">
        <v>0.4</v>
      </c>
      <c r="G34" s="18">
        <v>0.4</v>
      </c>
      <c r="H34" s="24">
        <v>1390.16</v>
      </c>
      <c r="I34" s="14">
        <f t="shared" si="0"/>
        <v>2.4887068264077938E-2</v>
      </c>
      <c r="J34" s="21">
        <f>($C$18*$C$19/1000)*$C$15*F34</f>
        <v>88.16861070552271</v>
      </c>
      <c r="K34" s="12">
        <f>($C$18*$C$19/1000)*F34*$C$15*H34</f>
        <v>122568.47585838946</v>
      </c>
    </row>
    <row r="35" spans="2:11" x14ac:dyDescent="0.25">
      <c r="B35" s="10" t="s">
        <v>21</v>
      </c>
      <c r="C35" s="28" cm="1">
        <f t="array" ref="C35">INDEX($H$4:$H$39,MATCH(1,($C$32=$G$4:$G$39)*($C$33=$F$4:$F$39),0))</f>
        <v>1391.58</v>
      </c>
      <c r="D35" s="4" t="s">
        <v>10</v>
      </c>
      <c r="F35" s="10">
        <v>0.5</v>
      </c>
      <c r="G35" s="18">
        <v>0.4</v>
      </c>
      <c r="H35" s="24">
        <v>1362.29</v>
      </c>
      <c r="I35" s="14">
        <f t="shared" si="0"/>
        <v>4.4436183047613764E-2</v>
      </c>
      <c r="J35" s="21">
        <f>($C$18*$C$19/1000)*$C$15*F35</f>
        <v>110.21076338190338</v>
      </c>
      <c r="K35" s="12">
        <f>($C$18*$C$19/1000)*F35*$C$15*H35</f>
        <v>150139.02084753316</v>
      </c>
    </row>
    <row r="36" spans="2:11" x14ac:dyDescent="0.25">
      <c r="B36" s="10" t="s">
        <v>24</v>
      </c>
      <c r="C36" s="28">
        <f>CEILING((C31*(1+C34)*1000)/C35,1)</f>
        <v>330</v>
      </c>
      <c r="D36" s="4" t="s">
        <v>25</v>
      </c>
      <c r="F36" s="10">
        <v>0.6</v>
      </c>
      <c r="G36" s="18">
        <v>0.4</v>
      </c>
      <c r="H36" s="24">
        <v>1326.86</v>
      </c>
      <c r="I36" s="14">
        <f t="shared" si="0"/>
        <v>6.92881793440141E-2</v>
      </c>
      <c r="J36" s="21">
        <f>($C$18*$C$19/1000)*$C$15*F36</f>
        <v>132.25291605828406</v>
      </c>
      <c r="K36" s="12">
        <f>($C$18*$C$19/1000)*F36*$C$15*H36</f>
        <v>175481.10420109474</v>
      </c>
    </row>
    <row r="37" spans="2:11" x14ac:dyDescent="0.25">
      <c r="B37" s="10" t="s">
        <v>22</v>
      </c>
      <c r="C37" s="43">
        <f>C36*C35/1000</f>
        <v>459.22139999999996</v>
      </c>
      <c r="D37" s="4" t="s">
        <v>26</v>
      </c>
      <c r="F37" s="10">
        <v>0.7</v>
      </c>
      <c r="G37" s="18">
        <v>0.4</v>
      </c>
      <c r="H37" s="24">
        <v>1286.68</v>
      </c>
      <c r="I37" s="14">
        <f t="shared" si="0"/>
        <v>9.7472012569793209E-2</v>
      </c>
      <c r="J37" s="21">
        <f>($C$18*$C$19/1000)*$C$15*F37</f>
        <v>154.29506873466471</v>
      </c>
      <c r="K37" s="12">
        <f>($C$18*$C$19/1000)*F37*$C$15*H37</f>
        <v>198528.37903951839</v>
      </c>
    </row>
    <row r="38" spans="2:11" x14ac:dyDescent="0.25">
      <c r="B38" s="45" t="s">
        <v>46</v>
      </c>
      <c r="C38" s="28" t="b">
        <f>C36&lt;=C25</f>
        <v>0</v>
      </c>
      <c r="D38" s="7"/>
      <c r="F38" s="10">
        <v>0.8</v>
      </c>
      <c r="G38" s="18">
        <v>0.4</v>
      </c>
      <c r="H38" s="24">
        <v>1243.02</v>
      </c>
      <c r="I38" s="14">
        <f t="shared" si="0"/>
        <v>0.12809685474593879</v>
      </c>
      <c r="J38" s="21">
        <f>($C$18*$C$19/1000)*$C$15*F38</f>
        <v>176.33722141104542</v>
      </c>
      <c r="K38" s="12">
        <f>($C$18*$C$19/1000)*F38*$C$15*H38</f>
        <v>219190.69295835769</v>
      </c>
    </row>
    <row r="39" spans="2:11" x14ac:dyDescent="0.25">
      <c r="F39" s="11">
        <v>0.9</v>
      </c>
      <c r="G39" s="19">
        <v>0.4</v>
      </c>
      <c r="H39" s="25">
        <v>1202.68</v>
      </c>
      <c r="I39" s="20">
        <f t="shared" si="0"/>
        <v>0.1563929182682865</v>
      </c>
      <c r="J39" s="22">
        <f>($C$18*$C$19/1000)*$C$15*F39</f>
        <v>198.37937408742607</v>
      </c>
      <c r="K39" s="13">
        <f>($C$18*$C$19/1000)*F39*$C$15*H39</f>
        <v>238586.9056274656</v>
      </c>
    </row>
  </sheetData>
  <mergeCells count="12">
    <mergeCell ref="B10:D10"/>
    <mergeCell ref="F2:K2"/>
    <mergeCell ref="B17:D17"/>
    <mergeCell ref="B21:D21"/>
    <mergeCell ref="B28:D28"/>
    <mergeCell ref="B2:D2"/>
    <mergeCell ref="C3:D3"/>
    <mergeCell ref="C4:D4"/>
    <mergeCell ref="C5:D5"/>
    <mergeCell ref="C6:D6"/>
    <mergeCell ref="C7:D7"/>
    <mergeCell ref="C8:D8"/>
  </mergeCells>
  <conditionalFormatting sqref="K4:K39">
    <cfRule type="colorScale" priority="3">
      <colorScale>
        <cfvo type="min"/>
        <cfvo type="max"/>
        <color rgb="FFFCFCFF"/>
        <color rgb="FF63BE7B"/>
      </colorScale>
    </cfRule>
  </conditionalFormatting>
  <conditionalFormatting sqref="I4:I39">
    <cfRule type="cellIs" dxfId="1" priority="1" stopIfTrue="1" operator="greaterThan">
      <formula>0.05</formula>
    </cfRule>
    <cfRule type="cellIs" dxfId="0" priority="2" operator="greaterThan">
      <formula>0.02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6BA9AE1845A419BDD6AA9AE7EE038" ma:contentTypeVersion="8" ma:contentTypeDescription="Create a new document." ma:contentTypeScope="" ma:versionID="c527ba995d1d70f3fdcc8cac8dc6d44e">
  <xsd:schema xmlns:xsd="http://www.w3.org/2001/XMLSchema" xmlns:xs="http://www.w3.org/2001/XMLSchema" xmlns:p="http://schemas.microsoft.com/office/2006/metadata/properties" xmlns:ns2="03d0bf12-692f-4b18-94cd-f86a2fda4b9c" xmlns:ns3="2e41e273-c196-4969-8f6a-6a32bdd70051" targetNamespace="http://schemas.microsoft.com/office/2006/metadata/properties" ma:root="true" ma:fieldsID="7456d624c6821b5fa39735be0c3fdc05" ns2:_="" ns3:_="">
    <xsd:import namespace="03d0bf12-692f-4b18-94cd-f86a2fda4b9c"/>
    <xsd:import namespace="2e41e273-c196-4969-8f6a-6a32bdd70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0bf12-692f-4b18-94cd-f86a2fda4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1e273-c196-4969-8f6a-6a32bdd700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687A1-1279-415F-BD36-63285B7462F2}">
  <ds:schemaRefs>
    <ds:schemaRef ds:uri="http://schemas.openxmlformats.org/package/2006/metadata/core-properties"/>
    <ds:schemaRef ds:uri="2e41e273-c196-4969-8f6a-6a32bdd70051"/>
    <ds:schemaRef ds:uri="http://schemas.microsoft.com/office/2006/documentManagement/types"/>
    <ds:schemaRef ds:uri="03d0bf12-692f-4b18-94cd-f86a2fda4b9c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B418E7-705A-48C4-B7BA-2676DF820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45CEF-57B8-4E73-B152-E059A183C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0bf12-692f-4b18-94cd-f86a2fda4b9c"/>
    <ds:schemaRef ds:uri="2e41e273-c196-4969-8f6a-6a32bdd70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 - Great Falls, 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Frank</cp:lastModifiedBy>
  <cp:revision/>
  <dcterms:created xsi:type="dcterms:W3CDTF">2021-07-27T14:54:25Z</dcterms:created>
  <dcterms:modified xsi:type="dcterms:W3CDTF">2021-07-27T22:34:08Z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0x010100F8E6BA9AE1845A419BDD6AA9AE7EE038</vt:lpwstr>
  </property>
</Properties>
</file>