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sfrank1\Git\prototype-building-electrical-models\design\Commercial\"/>
    </mc:Choice>
  </mc:AlternateContent>
  <xr:revisionPtr revIDLastSave="0" documentId="13_ncr:1_{656FA241-69FE-4A81-9690-B98945B95589}" xr6:coauthVersionLast="47" xr6:coauthVersionMax="47" xr10:uidLastSave="{00000000-0000-0000-0000-000000000000}"/>
  <bookViews>
    <workbookView xWindow="-120" yWindow="-120" windowWidth="29040" windowHeight="15840" activeTab="2" xr2:uid="{00000000-000D-0000-FFFF-FFFF00000000}"/>
  </bookViews>
  <sheets>
    <sheet name="Sources" sheetId="6" r:id="rId1"/>
    <sheet name="MELs Density" sheetId="18" r:id="rId2"/>
    <sheet name="Office Buildings" sheetId="5" r:id="rId3"/>
    <sheet name="Data | Desktops" sheetId="8" r:id="rId4"/>
    <sheet name="Data | Laptops" sheetId="9" r:id="rId5"/>
    <sheet name="Data | Monitors" sheetId="10" r:id="rId6"/>
    <sheet name="Data | TVs" sheetId="16" r:id="rId7"/>
    <sheet name="Data | Copiers" sheetId="14" r:id="rId8"/>
    <sheet name="Data | Printers" sheetId="11" r:id="rId9"/>
    <sheet name="Data | MFDs" sheetId="15" r:id="rId10"/>
    <sheet name="Data | IT Equipment"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18" l="1"/>
  <c r="J23" i="18" s="1"/>
  <c r="J13" i="18"/>
  <c r="J24" i="18" s="1"/>
  <c r="J11" i="18"/>
  <c r="J14" i="18"/>
  <c r="M10" i="18"/>
  <c r="L10" i="18"/>
  <c r="L21" i="18" s="1"/>
  <c r="K10" i="18"/>
  <c r="K21" i="18" s="1"/>
  <c r="J10" i="18"/>
  <c r="J21" i="18" s="1"/>
  <c r="I10" i="18"/>
  <c r="H10" i="18"/>
  <c r="H21" i="18" s="1"/>
  <c r="G10" i="18"/>
  <c r="F10" i="18"/>
  <c r="E10" i="18"/>
  <c r="D10" i="18"/>
  <c r="G21" i="18"/>
  <c r="D21" i="18"/>
  <c r="J9" i="18"/>
  <c r="J20" i="18" s="1"/>
  <c r="J8" i="18"/>
  <c r="J19" i="18" s="1"/>
  <c r="D19" i="18"/>
  <c r="E19" i="18"/>
  <c r="F19" i="18"/>
  <c r="G19" i="18"/>
  <c r="H19" i="18"/>
  <c r="I19" i="18"/>
  <c r="K19" i="18"/>
  <c r="L19" i="18"/>
  <c r="M19" i="18"/>
  <c r="D20" i="18"/>
  <c r="E20" i="18"/>
  <c r="F20" i="18"/>
  <c r="G20" i="18"/>
  <c r="H20" i="18"/>
  <c r="I20" i="18"/>
  <c r="K20" i="18"/>
  <c r="L20" i="18"/>
  <c r="M20" i="18"/>
  <c r="E21" i="18"/>
  <c r="F21" i="18"/>
  <c r="I21" i="18"/>
  <c r="M21" i="18"/>
  <c r="D22" i="18"/>
  <c r="E22" i="18"/>
  <c r="F22" i="18"/>
  <c r="G22" i="18"/>
  <c r="H22" i="18"/>
  <c r="I22" i="18"/>
  <c r="J22" i="18"/>
  <c r="K22" i="18"/>
  <c r="L22" i="18"/>
  <c r="M22" i="18"/>
  <c r="D23" i="18"/>
  <c r="E23" i="18"/>
  <c r="F23" i="18"/>
  <c r="G23" i="18"/>
  <c r="H23" i="18"/>
  <c r="I23" i="18"/>
  <c r="K23" i="18"/>
  <c r="L23" i="18"/>
  <c r="M23" i="18"/>
  <c r="D24" i="18"/>
  <c r="E24" i="18"/>
  <c r="F24" i="18"/>
  <c r="G24" i="18"/>
  <c r="H24" i="18"/>
  <c r="I24" i="18"/>
  <c r="K24" i="18"/>
  <c r="L24" i="18"/>
  <c r="M24" i="18"/>
  <c r="D25" i="18"/>
  <c r="E25" i="18"/>
  <c r="F25" i="18"/>
  <c r="G25" i="18"/>
  <c r="H25" i="18"/>
  <c r="I25" i="18"/>
  <c r="J25" i="18"/>
  <c r="K25" i="18"/>
  <c r="L25" i="18"/>
  <c r="M25" i="18"/>
  <c r="E18" i="18"/>
  <c r="F18" i="18"/>
  <c r="G18" i="18"/>
  <c r="H18" i="18"/>
  <c r="I18" i="18"/>
  <c r="J18" i="18"/>
  <c r="K18" i="18"/>
  <c r="L18" i="18"/>
  <c r="M18" i="18"/>
  <c r="D18" i="18"/>
  <c r="J7" i="18"/>
  <c r="K3" i="18"/>
  <c r="M3" i="18"/>
  <c r="D3" i="18"/>
  <c r="H3" i="18"/>
  <c r="L3" i="18"/>
  <c r="G6" i="5"/>
  <c r="E6" i="5"/>
  <c r="D6" i="5"/>
  <c r="D7" i="5"/>
  <c r="H12" i="16"/>
  <c r="H11" i="16"/>
  <c r="H10" i="16"/>
  <c r="H9" i="16"/>
  <c r="H8" i="16"/>
  <c r="H7" i="16"/>
  <c r="H6" i="16"/>
  <c r="D12" i="16"/>
  <c r="D11" i="16"/>
  <c r="D10" i="16"/>
  <c r="D9" i="16"/>
  <c r="D8" i="16"/>
  <c r="D7" i="16"/>
  <c r="D6" i="16"/>
  <c r="D8" i="5"/>
  <c r="O11" i="11"/>
  <c r="O10" i="11"/>
  <c r="O9" i="11"/>
  <c r="O8" i="11"/>
  <c r="O7" i="11"/>
  <c r="O6" i="11"/>
  <c r="D9" i="5"/>
  <c r="I9" i="5" s="1"/>
  <c r="D11" i="15"/>
  <c r="D10" i="15"/>
  <c r="D9" i="15"/>
  <c r="D8" i="15"/>
  <c r="D7" i="15"/>
  <c r="D6" i="15"/>
  <c r="J9" i="5"/>
  <c r="K9" i="5" s="1"/>
  <c r="L9" i="5" s="1"/>
  <c r="D11" i="14"/>
  <c r="D10" i="14"/>
  <c r="D9" i="14"/>
  <c r="D8" i="14"/>
  <c r="D7" i="14"/>
  <c r="D6" i="14"/>
  <c r="D10" i="5" l="1"/>
  <c r="I10" i="5" s="1"/>
  <c r="G12" i="13"/>
  <c r="G11" i="13"/>
  <c r="G10" i="13"/>
  <c r="G9" i="13"/>
  <c r="G8" i="13"/>
  <c r="G7" i="13"/>
  <c r="G6" i="13"/>
  <c r="J6" i="5"/>
  <c r="K6" i="5" s="1"/>
  <c r="L6" i="5" s="1"/>
  <c r="J7" i="5"/>
  <c r="K7" i="5" s="1"/>
  <c r="L7" i="5" s="1"/>
  <c r="J8" i="5"/>
  <c r="K8" i="5" s="1"/>
  <c r="L8" i="5" s="1"/>
  <c r="J10" i="5"/>
  <c r="K10" i="5" s="1"/>
  <c r="L10" i="5" s="1"/>
  <c r="F4" i="5"/>
  <c r="F5" i="5"/>
  <c r="D5" i="5"/>
  <c r="I5" i="5" s="1"/>
  <c r="Q12" i="10"/>
  <c r="Q11" i="10"/>
  <c r="Q10" i="10"/>
  <c r="Q9" i="10"/>
  <c r="Q8" i="10"/>
  <c r="Q7" i="10"/>
  <c r="Q6" i="10"/>
  <c r="F3" i="5"/>
  <c r="D3" i="5"/>
  <c r="I3" i="5" s="1"/>
  <c r="D4" i="5"/>
  <c r="I4" i="5" s="1"/>
  <c r="K12" i="9"/>
  <c r="K11" i="9"/>
  <c r="K10" i="9"/>
  <c r="K9" i="9"/>
  <c r="K8" i="9"/>
  <c r="K7" i="9"/>
  <c r="K6" i="9"/>
  <c r="J4" i="5"/>
  <c r="J5" i="5"/>
  <c r="I6" i="5"/>
  <c r="I7" i="5"/>
  <c r="I8" i="5"/>
  <c r="J3" i="5"/>
  <c r="K7" i="8"/>
  <c r="K8" i="8"/>
  <c r="K9" i="8"/>
  <c r="K10" i="8"/>
  <c r="K11" i="8"/>
  <c r="K12" i="8"/>
  <c r="K6" i="8"/>
  <c r="C13" i="13"/>
  <c r="C12" i="13"/>
  <c r="K17" i="11"/>
  <c r="K16" i="11"/>
  <c r="K15" i="11"/>
  <c r="K14" i="11"/>
  <c r="K13" i="11"/>
  <c r="K12" i="11"/>
  <c r="K11" i="11"/>
  <c r="K10" i="11"/>
  <c r="K9" i="11"/>
  <c r="K8" i="11"/>
  <c r="K7" i="11"/>
  <c r="K6" i="11"/>
  <c r="M13" i="10"/>
  <c r="M12" i="10"/>
  <c r="G13" i="9"/>
  <c r="G12" i="9"/>
  <c r="G13" i="8"/>
  <c r="G12" i="8"/>
  <c r="J7" i="10"/>
  <c r="J8" i="10"/>
  <c r="J9" i="10"/>
  <c r="J10" i="10"/>
  <c r="J11" i="10"/>
  <c r="J12" i="10"/>
  <c r="J13" i="10"/>
  <c r="J14" i="10"/>
  <c r="J15" i="10"/>
  <c r="J16" i="10"/>
  <c r="J17" i="10"/>
  <c r="J6" i="10"/>
  <c r="J18" i="10" s="1"/>
  <c r="D54" i="11"/>
  <c r="C54" i="11"/>
  <c r="D54" i="10"/>
  <c r="C54" i="10"/>
  <c r="C55" i="10" s="1"/>
  <c r="D54" i="9"/>
  <c r="C54" i="9"/>
  <c r="D54" i="8"/>
  <c r="C54" i="8"/>
  <c r="C55" i="8" s="1"/>
  <c r="C55" i="9" l="1"/>
  <c r="K4" i="5"/>
  <c r="L4" i="5" s="1"/>
  <c r="K3" i="5"/>
  <c r="L3" i="5" s="1"/>
  <c r="K5" i="5"/>
  <c r="L5" i="5" s="1"/>
  <c r="C5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D2" authorId="0" shapeId="0" xr:uid="{42A320F8-5CD2-40B5-A45C-225D16EC8102}">
      <text>
        <r>
          <rPr>
            <sz val="9"/>
            <color indexed="81"/>
            <rFont val="Tahoma"/>
            <family val="2"/>
          </rPr>
          <t>Includes Public Assembly and Religious Worship</t>
        </r>
      </text>
    </comment>
    <comment ref="H2" authorId="0" shapeId="0" xr:uid="{D7C2B38C-9935-4CE6-8081-541FB534EA90}">
      <text>
        <r>
          <rPr>
            <sz val="9"/>
            <color indexed="81"/>
            <rFont val="Tahoma"/>
            <family val="2"/>
          </rPr>
          <t>Includes Inpatient Health Care, Outpatient Health Care, and Nursing</t>
        </r>
      </text>
    </comment>
    <comment ref="J2" authorId="0" shapeId="0" xr:uid="{2BE472A1-E2E9-4CCF-9C4F-D128FF694D34}">
      <text>
        <r>
          <rPr>
            <sz val="9"/>
            <color indexed="81"/>
            <rFont val="Tahoma"/>
            <family val="2"/>
          </rPr>
          <t>Includes all sizes of office building</t>
        </r>
      </text>
    </comment>
    <comment ref="K2" authorId="0" shapeId="0" xr:uid="{90B8F95F-AB97-467C-8808-77319C7A7A7E}">
      <text>
        <r>
          <rPr>
            <sz val="9"/>
            <color indexed="81"/>
            <rFont val="Tahoma"/>
            <family val="2"/>
          </rPr>
          <t>Includes Enclosed Mall, Strip Shopping Mall, Retail Other Than Mall, and Service</t>
        </r>
      </text>
    </comment>
    <comment ref="L2" authorId="0" shapeId="0" xr:uid="{F9D3B012-EBE4-4F95-BAA4-A55D3E364AF5}">
      <text>
        <r>
          <rPr>
            <sz val="9"/>
            <color indexed="81"/>
            <rFont val="Tahoma"/>
            <family val="2"/>
          </rPr>
          <t>Includes refrigerated and nonrefirgerated warehouses.</t>
        </r>
      </text>
    </comment>
    <comment ref="M2" authorId="0" shapeId="0" xr:uid="{8FF6FC7D-F807-4936-8E39-1808ABD6EE84}">
      <text>
        <r>
          <rPr>
            <sz val="9"/>
            <color indexed="81"/>
            <rFont val="Tahoma"/>
            <family val="2"/>
          </rPr>
          <t>Includes Laboratory, Public Order and Safety, Vacant, and "other"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Frank</author>
  </authors>
  <commentList>
    <comment ref="D2" authorId="0" shapeId="0" xr:uid="{CA26B75B-0CEF-4AEC-89DC-858B9DEEB3D0}">
      <text>
        <r>
          <rPr>
            <sz val="9"/>
            <color indexed="81"/>
            <rFont val="Tahoma"/>
            <family val="2"/>
          </rPr>
          <t>Office buildings only. Scaled from 2012 to 2020 using growth projections for all buildings.</t>
        </r>
      </text>
    </comment>
    <comment ref="E2" authorId="0" shapeId="0" xr:uid="{972FBB41-D65A-4647-B82E-8EBF15F58213}">
      <text>
        <r>
          <rPr>
            <b/>
            <sz val="9"/>
            <color indexed="81"/>
            <rFont val="Tahoma"/>
            <family val="2"/>
          </rPr>
          <t>Stephen Frank:</t>
        </r>
        <r>
          <rPr>
            <sz val="9"/>
            <color indexed="81"/>
            <rFont val="Tahoma"/>
            <family val="2"/>
          </rPr>
          <t xml:space="preserve">
UEC = Unit Energy Consumption</t>
        </r>
      </text>
    </comment>
    <comment ref="F2" authorId="0" shapeId="0" xr:uid="{54843C59-B717-41F2-A95F-4B70AC9F76FA}">
      <text>
        <r>
          <rPr>
            <sz val="9"/>
            <color indexed="81"/>
            <rFont val="Tahoma"/>
            <family val="2"/>
          </rPr>
          <t>Estimated hours the device is not off or disconnected.</t>
        </r>
      </text>
    </comment>
    <comment ref="G2" authorId="0" shapeId="0" xr:uid="{838BB4AF-0E92-4F0C-8F7D-D0471C28352E}">
      <text>
        <r>
          <rPr>
            <sz val="9"/>
            <color indexed="81"/>
            <rFont val="Tahoma"/>
            <family val="2"/>
          </rPr>
          <t>Assumed to apply only for hours where the device is not off or disconnected.</t>
        </r>
      </text>
    </comment>
    <comment ref="I2" authorId="0" shapeId="0" xr:uid="{65B8246B-C7D7-411D-B51A-03C0F80E0FA2}">
      <text>
        <r>
          <rPr>
            <sz val="9"/>
            <color indexed="81"/>
            <rFont val="Tahoma"/>
            <family val="2"/>
          </rPr>
          <t>AEC = Annual Energy Consumption
Calculated from UEC x Installed Base</t>
        </r>
      </text>
    </comment>
    <comment ref="J2" authorId="0" shapeId="0" xr:uid="{3035D6FC-4522-46E3-BABE-2C5C522A1D85}">
      <text>
        <r>
          <rPr>
            <sz val="9"/>
            <color indexed="81"/>
            <rFont val="Tahoma"/>
            <family val="2"/>
          </rPr>
          <t>Normalized Avg. Power = Load Factor x Demand Factor
This applies only to connected hours</t>
        </r>
      </text>
    </comment>
    <comment ref="K2" authorId="0" shapeId="0" xr:uid="{9DD1B4F5-9ADC-4F9E-989A-C4A0BA9B829C}">
      <text>
        <r>
          <rPr>
            <sz val="9"/>
            <color indexed="81"/>
            <rFont val="Tahoma"/>
            <family val="2"/>
          </rPr>
          <t>Calculated from the number of connected hours per year and the normalize average power.</t>
        </r>
      </text>
    </comment>
    <comment ref="L2" authorId="0" shapeId="0" xr:uid="{D7121495-0A52-453C-B4E8-4EC8A231C7D8}">
      <text>
        <r>
          <rPr>
            <sz val="9"/>
            <color indexed="81"/>
            <rFont val="Tahoma"/>
            <family val="2"/>
          </rPr>
          <t xml:space="preserve">This value is an </t>
        </r>
        <r>
          <rPr>
            <i/>
            <sz val="9"/>
            <color indexed="81"/>
            <rFont val="Tahoma"/>
            <family val="2"/>
          </rPr>
          <t>input</t>
        </r>
        <r>
          <rPr>
            <sz val="9"/>
            <color indexed="81"/>
            <rFont val="Tahoma"/>
            <family val="2"/>
          </rPr>
          <t xml:space="preserve"> power rating because it represents both the DC load and the load-packaged converter loss.</t>
        </r>
      </text>
    </comment>
  </commentList>
</comments>
</file>

<file path=xl/sharedStrings.xml><?xml version="1.0" encoding="utf-8"?>
<sst xmlns="http://schemas.openxmlformats.org/spreadsheetml/2006/main" count="614" uniqueCount="221">
  <si>
    <t>Notes</t>
  </si>
  <si>
    <t>CBECS 2012 Microdata</t>
  </si>
  <si>
    <t>Desktop computers</t>
  </si>
  <si>
    <t>Laptop computers</t>
  </si>
  <si>
    <t>Monitors</t>
  </si>
  <si>
    <t>TVs / displays</t>
  </si>
  <si>
    <t>Printers</t>
  </si>
  <si>
    <t>Copiers</t>
  </si>
  <si>
    <t>Description</t>
  </si>
  <si>
    <t>Group</t>
  </si>
  <si>
    <t>Universal Device Category</t>
  </si>
  <si>
    <t>UEC (kWh/yr)</t>
  </si>
  <si>
    <t>AEC (TWh)</t>
  </si>
  <si>
    <t>Installed Base Source</t>
  </si>
  <si>
    <t>UEC Source</t>
  </si>
  <si>
    <t>Load Factor Source</t>
  </si>
  <si>
    <t>Office Equipment</t>
  </si>
  <si>
    <t>Computer, desktop incl. integrated</t>
  </si>
  <si>
    <t>Navigant (2013)</t>
  </si>
  <si>
    <t>Small Portable Electronics</t>
  </si>
  <si>
    <t>Computer, notebook</t>
  </si>
  <si>
    <t>Displays, Entertainment, &amp; Audio</t>
  </si>
  <si>
    <t>Display incl. monitor, projectors, TVs, digital picture frame</t>
  </si>
  <si>
    <t>Imaging equipment fax, multi-function device, scanner, printer, label printer</t>
  </si>
  <si>
    <t>U.S. Energy Information Administration. 2012. “Commercial Buildings Energy Consumption Survey (CBECS).” 2012. https://www.eia.gov/consumption/commercial/.</t>
  </si>
  <si>
    <t>Source</t>
  </si>
  <si>
    <t>Citation</t>
  </si>
  <si>
    <t>Navigant Consulting and SAIC. 2013. “Analysis and Representation of Miscellaneous Electric Loads in NEMS.” 160750. Washington, D.C., USA: U.S. Energy Information Administration. https://www.eia.gov/analysis/studies/demand/miscelectric/.</t>
  </si>
  <si>
    <t>Kwatra et al. (2013)</t>
  </si>
  <si>
    <t>Kwatra, Sameer, Jennifer Amann, and Harvey Sachs. 2013. “Miscellaneous Energy Loads in Buildings.” Technical Report A133. Washington, D.C., USA: American Council for an Energy Efficient Economy.</t>
  </si>
  <si>
    <t>Classification</t>
  </si>
  <si>
    <t>Demand Factor Source</t>
  </si>
  <si>
    <t>Weekdays</t>
  </si>
  <si>
    <t>Weekends</t>
  </si>
  <si>
    <t>0:00–0:30</t>
  </si>
  <si>
    <t>0:30–1:00</t>
  </si>
  <si>
    <t>1:00–1:30</t>
  </si>
  <si>
    <t>1:30–2:00</t>
  </si>
  <si>
    <t>2:00–2:30</t>
  </si>
  <si>
    <t>2:30–3:00</t>
  </si>
  <si>
    <t>3:00–3:30</t>
  </si>
  <si>
    <t>3:30–4:00</t>
  </si>
  <si>
    <t>4:00–4:30</t>
  </si>
  <si>
    <t>4:30–5:00</t>
  </si>
  <si>
    <t>5:00–5:30</t>
  </si>
  <si>
    <t>5:30–6:00</t>
  </si>
  <si>
    <t>6:00–6:30</t>
  </si>
  <si>
    <t>6:30–7:00</t>
  </si>
  <si>
    <t>7:00–7:30</t>
  </si>
  <si>
    <t>7:30–8:00</t>
  </si>
  <si>
    <t>8:00–8:30</t>
  </si>
  <si>
    <t>8:30–9:00</t>
  </si>
  <si>
    <t>9:00–9:30</t>
  </si>
  <si>
    <t>9:30–10:00</t>
  </si>
  <si>
    <t>10:00–10:30</t>
  </si>
  <si>
    <t>10:30–11:00</t>
  </si>
  <si>
    <t>11:00–11:30</t>
  </si>
  <si>
    <t>11:30–12:00</t>
  </si>
  <si>
    <t>12:00–12:30</t>
  </si>
  <si>
    <t>12:30–13:00</t>
  </si>
  <si>
    <t>13:00–13:30</t>
  </si>
  <si>
    <t>13:30–14:00</t>
  </si>
  <si>
    <t>14:00–14:30</t>
  </si>
  <si>
    <t>14:30–15:00</t>
  </si>
  <si>
    <t>15:00–15:30</t>
  </si>
  <si>
    <t>15:30–16:00</t>
  </si>
  <si>
    <t>16:00–16:30</t>
  </si>
  <si>
    <t>16:30–17:00</t>
  </si>
  <si>
    <t>17:00–17:30</t>
  </si>
  <si>
    <t>17:30–18:00</t>
  </si>
  <si>
    <t>18:00–18:30</t>
  </si>
  <si>
    <t>18:30–19:00</t>
  </si>
  <si>
    <t>19:00–19:30</t>
  </si>
  <si>
    <t>19:30–20:00</t>
  </si>
  <si>
    <t>20:00–20:30</t>
  </si>
  <si>
    <t>20:30–21:00</t>
  </si>
  <si>
    <t>21:00–21:30</t>
  </si>
  <si>
    <t>21:30–22:00</t>
  </si>
  <si>
    <t>22:00–22:30</t>
  </si>
  <si>
    <t>22:30–23:00</t>
  </si>
  <si>
    <t>23:00–23:30</t>
  </si>
  <si>
    <t>23:30–24:00</t>
  </si>
  <si>
    <t>Time Interval</t>
  </si>
  <si>
    <t>Sarfraz, Omer, and Christian K. Bach. 2018. “Equipment Power Consumption and Load Factor Profiles for Buildings’ Energy Simulation (ASHRAE 1742-RP).” Science and Technology for the Built Environment 24 (10): 1054–63. https://doi.org/10.1080/23744731.2018.1483148.</t>
  </si>
  <si>
    <r>
      <rPr>
        <b/>
        <sz val="11"/>
        <color theme="1"/>
        <rFont val="Calibri"/>
        <family val="2"/>
        <scheme val="minor"/>
      </rPr>
      <t xml:space="preserve">Description: </t>
    </r>
    <r>
      <rPr>
        <sz val="11"/>
        <color theme="1"/>
        <rFont val="Calibri"/>
        <family val="2"/>
        <scheme val="minor"/>
      </rPr>
      <t>30-Min average heat gains normalized by equipment peak heat gain [Desktops]</t>
    </r>
  </si>
  <si>
    <t>Weighted Average (All Days)</t>
  </si>
  <si>
    <r>
      <rPr>
        <b/>
        <sz val="11"/>
        <color theme="1"/>
        <rFont val="Calibri"/>
        <family val="2"/>
        <scheme val="minor"/>
      </rPr>
      <t>Interpretation:</t>
    </r>
    <r>
      <rPr>
        <sz val="11"/>
        <color theme="1"/>
        <rFont val="Calibri"/>
        <family val="2"/>
        <scheme val="minor"/>
      </rPr>
      <t xml:space="preserve"> This table can be used to calculate typical load factor (average load / peak load)</t>
    </r>
  </si>
  <si>
    <t>Average Load Factor</t>
  </si>
  <si>
    <r>
      <rPr>
        <b/>
        <sz val="11"/>
        <color theme="1"/>
        <rFont val="Calibri"/>
        <family val="2"/>
        <scheme val="minor"/>
      </rPr>
      <t xml:space="preserve">Description: </t>
    </r>
    <r>
      <rPr>
        <sz val="11"/>
        <color theme="1"/>
        <rFont val="Calibri"/>
        <family val="2"/>
        <scheme val="minor"/>
      </rPr>
      <t>30-Min average heat gains normalized by equipment peak heat gain [Printers]</t>
    </r>
  </si>
  <si>
    <t>Equipment Description</t>
  </si>
  <si>
    <t>Qty Tested</t>
  </si>
  <si>
    <t>Monitor Manufacturer U (model A); 1397 mm LED Flat screen</t>
  </si>
  <si>
    <t>Manufacturer U (model B); 686 mm LCD Flat screen</t>
  </si>
  <si>
    <t>Manufacturer U (model C); 546 mm LED Flat screen</t>
  </si>
  <si>
    <t>Manufacturer V (model A); 1270 mm 3D LED Flat screen</t>
  </si>
  <si>
    <t>Manufacturer W (model A); 864 mm LCD curved screen</t>
  </si>
  <si>
    <t>Manufacturer W (model B); 584 mm LED Flat screen</t>
  </si>
  <si>
    <t>Manufacturer W (model C); 584 mm LED Flat screen</t>
  </si>
  <si>
    <t>Manufacturer W (model D); 584 mm LED Flat screen</t>
  </si>
  <si>
    <t>Manufacturer X (model A); 610 mm LCD Flat screen</t>
  </si>
  <si>
    <t>Manufacturer Y (model A); 600 mm LED Flat screen</t>
  </si>
  <si>
    <t>Manufacturer Y (model B); 546 mm LCD Flat screen</t>
  </si>
  <si>
    <t>Manufacturer Z (model A); 546 mm LED Flat screen</t>
  </si>
  <si>
    <t>Sarfraz, Omer, and Christian K. Bach. 2018. “Experimental Methodology and Results for Heat Gains from Various Office Equipment (ASHRAE RP-1742).” Science and Technology for the Built Environment 24 (4): 435–47. https://doi.org/10.1080/23744731.2017.1365766.</t>
  </si>
  <si>
    <r>
      <rPr>
        <b/>
        <sz val="11"/>
        <color theme="1"/>
        <rFont val="Calibri"/>
        <family val="2"/>
        <scheme val="minor"/>
      </rPr>
      <t xml:space="preserve">Description: </t>
    </r>
    <r>
      <rPr>
        <sz val="11"/>
        <color theme="1"/>
        <rFont val="Calibri"/>
        <family val="2"/>
        <scheme val="minor"/>
      </rPr>
      <t>Recommended heat gain for typical screens</t>
    </r>
  </si>
  <si>
    <r>
      <rPr>
        <b/>
        <sz val="11"/>
        <color theme="1"/>
        <rFont val="Calibri"/>
        <family val="2"/>
        <scheme val="minor"/>
      </rPr>
      <t>Interpretation:</t>
    </r>
    <r>
      <rPr>
        <sz val="11"/>
        <color theme="1"/>
        <rFont val="Calibri"/>
        <family val="2"/>
        <scheme val="minor"/>
      </rPr>
      <t xml:space="preserve"> This table gives nameplate power and peak demand power for monitors; it can be used to derive typical demand factors (peak load / connected load).</t>
    </r>
  </si>
  <si>
    <t>Nameplate Power (W)</t>
  </si>
  <si>
    <t>Peak Power (W)</t>
  </si>
  <si>
    <r>
      <t>Demand Factor (W</t>
    </r>
    <r>
      <rPr>
        <b/>
        <vertAlign val="subscript"/>
        <sz val="11"/>
        <color theme="1"/>
        <rFont val="Calibri"/>
        <family val="2"/>
        <scheme val="minor"/>
      </rPr>
      <t>peak</t>
    </r>
    <r>
      <rPr>
        <b/>
        <sz val="11"/>
        <color theme="1"/>
        <rFont val="Calibri"/>
        <family val="2"/>
        <scheme val="minor"/>
      </rPr>
      <t>/W</t>
    </r>
    <r>
      <rPr>
        <b/>
        <vertAlign val="subscript"/>
        <sz val="11"/>
        <color theme="1"/>
        <rFont val="Calibri"/>
        <family val="2"/>
        <scheme val="minor"/>
      </rPr>
      <t>rated</t>
    </r>
    <r>
      <rPr>
        <b/>
        <sz val="11"/>
        <color theme="1"/>
        <rFont val="Calibri"/>
        <family val="2"/>
        <scheme val="minor"/>
      </rPr>
      <t>)</t>
    </r>
  </si>
  <si>
    <t>Weighted Average Demand Factor</t>
  </si>
  <si>
    <t>Santos, Arthur, Gerald Duggan, Stephen Frank, Daniel Gerber, and Daniel Zimmerle. 2021. “Endpoint Use Efficiency Comparison for AC and DC Power Distribution in Commercial Buildings.” Energies 14 (18): 5863. https://doi.org/10.3390/en14185863.</t>
  </si>
  <si>
    <t>Santos et al. (2021)</t>
  </si>
  <si>
    <r>
      <rPr>
        <b/>
        <sz val="11"/>
        <color theme="1"/>
        <rFont val="Calibri"/>
        <family val="2"/>
        <scheme val="minor"/>
      </rPr>
      <t>Source:</t>
    </r>
    <r>
      <rPr>
        <sz val="11"/>
        <color theme="1"/>
        <rFont val="Calibri"/>
        <family val="2"/>
        <scheme val="minor"/>
      </rPr>
      <t xml:space="preserve"> Santos et al. (2021) Table 3</t>
    </r>
  </si>
  <si>
    <t>Statistic</t>
  </si>
  <si>
    <r>
      <rPr>
        <b/>
        <sz val="11"/>
        <color theme="1"/>
        <rFont val="Calibri"/>
        <family val="2"/>
        <scheme val="minor"/>
      </rPr>
      <t xml:space="preserve">Description: </t>
    </r>
    <r>
      <rPr>
        <sz val="11"/>
        <color theme="1"/>
        <rFont val="Calibri"/>
        <family val="2"/>
        <scheme val="minor"/>
      </rPr>
      <t>Appliances’ converter power level distribution (% of rated load). [Desktops]</t>
    </r>
  </si>
  <si>
    <t>Minimum</t>
  </si>
  <si>
    <t>Median</t>
  </si>
  <si>
    <t>Mean</t>
  </si>
  <si>
    <t>Maximum</t>
  </si>
  <si>
    <t>Lower quartile</t>
  </si>
  <si>
    <t>Upper Quartile</t>
  </si>
  <si>
    <t>Value (% of Rated Load)</t>
  </si>
  <si>
    <r>
      <rPr>
        <b/>
        <sz val="11"/>
        <color theme="1"/>
        <rFont val="Calibri"/>
        <family val="2"/>
        <scheme val="minor"/>
      </rPr>
      <t>Interpretation:</t>
    </r>
    <r>
      <rPr>
        <sz val="11"/>
        <color theme="1"/>
        <rFont val="Calibri"/>
        <family val="2"/>
        <scheme val="minor"/>
      </rPr>
      <t xml:space="preserve"> This table directly provides the demand factor (peak load / connected load) and can also be used to calculate typical load factor (average load / peak load). However, Table 3 only included data when the device was "on" (drawing more than 1W), so the load factor may be skewed high.</t>
    </r>
  </si>
  <si>
    <r>
      <rPr>
        <b/>
        <sz val="11"/>
        <color theme="1"/>
        <rFont val="Calibri"/>
        <family val="2"/>
        <scheme val="minor"/>
      </rPr>
      <t xml:space="preserve">Description: </t>
    </r>
    <r>
      <rPr>
        <sz val="11"/>
        <color theme="1"/>
        <rFont val="Calibri"/>
        <family val="2"/>
        <scheme val="minor"/>
      </rPr>
      <t>Appliances’ converter power level distribution (% of rated load). [Monitors]</t>
    </r>
  </si>
  <si>
    <r>
      <t>Load Factor (W</t>
    </r>
    <r>
      <rPr>
        <b/>
        <vertAlign val="subscript"/>
        <sz val="11"/>
        <color theme="1"/>
        <rFont val="Calibri"/>
        <family val="2"/>
        <scheme val="minor"/>
      </rPr>
      <t>avg</t>
    </r>
    <r>
      <rPr>
        <b/>
        <sz val="11"/>
        <color theme="1"/>
        <rFont val="Calibri"/>
        <family val="2"/>
        <scheme val="minor"/>
      </rPr>
      <t>/W</t>
    </r>
    <r>
      <rPr>
        <b/>
        <vertAlign val="subscript"/>
        <sz val="11"/>
        <color theme="1"/>
        <rFont val="Calibri"/>
        <family val="2"/>
        <scheme val="minor"/>
      </rPr>
      <t>peak</t>
    </r>
    <r>
      <rPr>
        <b/>
        <sz val="11"/>
        <color theme="1"/>
        <rFont val="Calibri"/>
        <family val="2"/>
        <scheme val="minor"/>
      </rPr>
      <t>) [On State Only]</t>
    </r>
  </si>
  <si>
    <t>Source for typical load and demand factors for office MELs</t>
  </si>
  <si>
    <t>Source for typical demand factors for office MELs</t>
  </si>
  <si>
    <t>Source for typical load factors for office MELs</t>
  </si>
  <si>
    <t>Earlier study providing AEC, UEC, and installed base; included here for reference only</t>
  </si>
  <si>
    <t>Barbour et al. (2021)</t>
  </si>
  <si>
    <t>Summary of AEC, UEC, and installed base analysis for NEMS</t>
  </si>
  <si>
    <r>
      <t>Load Factor (W</t>
    </r>
    <r>
      <rPr>
        <b/>
        <vertAlign val="subscript"/>
        <sz val="12"/>
        <color rgb="FF000000"/>
        <rFont val="Calibri"/>
        <family val="2"/>
      </rPr>
      <t>avg</t>
    </r>
    <r>
      <rPr>
        <b/>
        <sz val="12"/>
        <color rgb="FF000000"/>
        <rFont val="Calibri"/>
        <family val="2"/>
      </rPr>
      <t>/W</t>
    </r>
    <r>
      <rPr>
        <b/>
        <vertAlign val="subscript"/>
        <sz val="12"/>
        <color rgb="FF000000"/>
        <rFont val="Calibri"/>
        <family val="2"/>
      </rPr>
      <t>peak</t>
    </r>
    <r>
      <rPr>
        <b/>
        <sz val="12"/>
        <color rgb="FF000000"/>
        <rFont val="Calibri"/>
        <family val="2"/>
      </rPr>
      <t>)</t>
    </r>
  </si>
  <si>
    <r>
      <t>Demand Factor (W</t>
    </r>
    <r>
      <rPr>
        <b/>
        <vertAlign val="subscript"/>
        <sz val="12"/>
        <color rgb="FF000000"/>
        <rFont val="Calibri"/>
        <family val="2"/>
      </rPr>
      <t>peak</t>
    </r>
    <r>
      <rPr>
        <b/>
        <sz val="12"/>
        <color rgb="FF000000"/>
        <rFont val="Calibri"/>
        <family val="2"/>
      </rPr>
      <t>/W</t>
    </r>
    <r>
      <rPr>
        <b/>
        <vertAlign val="subscript"/>
        <sz val="12"/>
        <color rgb="FF000000"/>
        <rFont val="Calibri"/>
        <family val="2"/>
      </rPr>
      <t>rated</t>
    </r>
    <r>
      <rPr>
        <b/>
        <sz val="12"/>
        <color rgb="FF000000"/>
        <rFont val="Calibri"/>
        <family val="2"/>
      </rPr>
      <t>)</t>
    </r>
  </si>
  <si>
    <t>Literature Data</t>
  </si>
  <si>
    <r>
      <t>Normalized UEC (kWh/yr/W</t>
    </r>
    <r>
      <rPr>
        <b/>
        <vertAlign val="subscript"/>
        <sz val="12"/>
        <color rgb="FF000000"/>
        <rFont val="Calibri"/>
        <family val="2"/>
      </rPr>
      <t>rated</t>
    </r>
    <r>
      <rPr>
        <b/>
        <sz val="12"/>
        <color rgb="FF000000"/>
        <rFont val="Calibri"/>
        <family val="2"/>
      </rPr>
      <t>)</t>
    </r>
  </si>
  <si>
    <r>
      <t>Target Power Rating (W</t>
    </r>
    <r>
      <rPr>
        <b/>
        <vertAlign val="subscript"/>
        <sz val="12"/>
        <color rgb="FF000000"/>
        <rFont val="Calibri"/>
        <family val="2"/>
      </rPr>
      <t>rated</t>
    </r>
    <r>
      <rPr>
        <b/>
        <sz val="12"/>
        <color rgb="FF000000"/>
        <rFont val="Calibri"/>
        <family val="2"/>
      </rPr>
      <t>)</t>
    </r>
  </si>
  <si>
    <t>Calculated Data</t>
  </si>
  <si>
    <t>Sources</t>
  </si>
  <si>
    <t xml:space="preserve">Network equipment, modems, switches, routers, access points, etc. </t>
  </si>
  <si>
    <t>Small Hardwired/Networked Devices</t>
  </si>
  <si>
    <r>
      <rPr>
        <b/>
        <sz val="11"/>
        <color theme="1"/>
        <rFont val="Calibri"/>
        <family val="2"/>
        <scheme val="minor"/>
      </rPr>
      <t xml:space="preserve">Description: </t>
    </r>
    <r>
      <rPr>
        <sz val="11"/>
        <color theme="1"/>
        <rFont val="Calibri"/>
        <family val="2"/>
        <scheme val="minor"/>
      </rPr>
      <t>Recommended heat gain for typical printers</t>
    </r>
  </si>
  <si>
    <r>
      <rPr>
        <b/>
        <sz val="11"/>
        <color theme="1"/>
        <rFont val="Calibri"/>
        <family val="2"/>
        <scheme val="minor"/>
      </rPr>
      <t>Interpretation:</t>
    </r>
    <r>
      <rPr>
        <sz val="11"/>
        <color theme="1"/>
        <rFont val="Calibri"/>
        <family val="2"/>
        <scheme val="minor"/>
      </rPr>
      <t xml:space="preserve"> This table gives nameplate power and peak demand power for printers, including multifunction devices (the modern version of copiers). It can be used to derive typical demand factors (peak load / connected load) for copiers and printers.</t>
    </r>
  </si>
  <si>
    <t>Multi-function printer (copy, print, scan)</t>
  </si>
  <si>
    <t>Large, multi-user, office type</t>
  </si>
  <si>
    <t>Medium, multi-user, office type</t>
  </si>
  <si>
    <t>Typical desktop, small-office type</t>
  </si>
  <si>
    <t>Typical desktop, medium-office type</t>
  </si>
  <si>
    <t>Monochrome printer</t>
  </si>
  <si>
    <t>Color printer</t>
  </si>
  <si>
    <t>Laser printer</t>
  </si>
  <si>
    <r>
      <rPr>
        <b/>
        <sz val="11"/>
        <color theme="1"/>
        <rFont val="Calibri"/>
        <family val="2"/>
        <scheme val="minor"/>
      </rPr>
      <t xml:space="preserve">Description: </t>
    </r>
    <r>
      <rPr>
        <sz val="11"/>
        <color theme="1"/>
        <rFont val="Calibri"/>
        <family val="2"/>
        <scheme val="minor"/>
      </rPr>
      <t>Appliances’ converter power level distribution (% of rated load). [Laptops]</t>
    </r>
  </si>
  <si>
    <r>
      <rPr>
        <b/>
        <sz val="11"/>
        <color theme="1"/>
        <rFont val="Calibri"/>
        <family val="2"/>
        <scheme val="minor"/>
      </rPr>
      <t xml:space="preserve">Description: </t>
    </r>
    <r>
      <rPr>
        <sz val="11"/>
        <color theme="1"/>
        <rFont val="Calibri"/>
        <family val="2"/>
        <scheme val="minor"/>
      </rPr>
      <t>30-Min average heat gains normalized by equipment peak heat gain [Screens]</t>
    </r>
  </si>
  <si>
    <r>
      <rPr>
        <b/>
        <sz val="11"/>
        <color theme="1"/>
        <rFont val="Calibri"/>
        <family val="2"/>
        <scheme val="minor"/>
      </rPr>
      <t xml:space="preserve">Description: </t>
    </r>
    <r>
      <rPr>
        <sz val="11"/>
        <color theme="1"/>
        <rFont val="Calibri"/>
        <family val="2"/>
        <scheme val="minor"/>
      </rPr>
      <t>30-Min average heat gains normalized by equipment peak heat gain [Laptops]</t>
    </r>
  </si>
  <si>
    <t>Year</t>
  </si>
  <si>
    <t>Installed Base</t>
  </si>
  <si>
    <r>
      <rPr>
        <b/>
        <sz val="11"/>
        <color theme="1"/>
        <rFont val="Calibri"/>
        <family val="2"/>
        <scheme val="minor"/>
      </rPr>
      <t>Source:</t>
    </r>
    <r>
      <rPr>
        <sz val="11"/>
        <color theme="1"/>
        <rFont val="Calibri"/>
        <family val="2"/>
        <scheme val="minor"/>
      </rPr>
      <t xml:space="preserve"> Barbour et al. (2021) Slide 87</t>
    </r>
  </si>
  <si>
    <r>
      <rPr>
        <b/>
        <sz val="11"/>
        <color theme="1"/>
        <rFont val="Calibri"/>
        <family val="2"/>
        <scheme val="minor"/>
      </rPr>
      <t xml:space="preserve">Description: </t>
    </r>
    <r>
      <rPr>
        <sz val="11"/>
        <color theme="1"/>
        <rFont val="Calibri"/>
        <family val="2"/>
        <scheme val="minor"/>
      </rPr>
      <t>Commercial Desktop PCs</t>
    </r>
  </si>
  <si>
    <r>
      <rPr>
        <b/>
        <sz val="11"/>
        <color theme="1"/>
        <rFont val="Calibri"/>
        <family val="2"/>
        <scheme val="minor"/>
      </rPr>
      <t>Interpretation:</t>
    </r>
    <r>
      <rPr>
        <sz val="11"/>
        <color theme="1"/>
        <rFont val="Calibri"/>
        <family val="2"/>
        <scheme val="minor"/>
      </rPr>
      <t xml:space="preserve"> This table provides overall installed base by year, which can be used for growth projections. The table on the following slide provides estimates of 2012 installed base by building type.</t>
    </r>
  </si>
  <si>
    <t>Multiplier</t>
  </si>
  <si>
    <t>2020 Installed Base (devices)</t>
  </si>
  <si>
    <r>
      <t>Normalized Avg. Power (W/W</t>
    </r>
    <r>
      <rPr>
        <b/>
        <vertAlign val="subscript"/>
        <sz val="12"/>
        <color rgb="FF000000"/>
        <rFont val="Calibri"/>
        <family val="2"/>
      </rPr>
      <t>rated</t>
    </r>
    <r>
      <rPr>
        <b/>
        <sz val="12"/>
        <color rgb="FF000000"/>
        <rFont val="Calibri"/>
        <family val="2"/>
      </rPr>
      <t>)</t>
    </r>
  </si>
  <si>
    <r>
      <rPr>
        <b/>
        <sz val="11"/>
        <color theme="1"/>
        <rFont val="Calibri"/>
        <family val="2"/>
        <scheme val="minor"/>
      </rPr>
      <t>Source:</t>
    </r>
    <r>
      <rPr>
        <sz val="11"/>
        <color theme="1"/>
        <rFont val="Calibri"/>
        <family val="2"/>
        <scheme val="minor"/>
      </rPr>
      <t xml:space="preserve"> Barbour et al. (2021) Slide 85</t>
    </r>
  </si>
  <si>
    <r>
      <rPr>
        <b/>
        <sz val="11"/>
        <color theme="1"/>
        <rFont val="Calibri"/>
        <family val="2"/>
        <scheme val="minor"/>
      </rPr>
      <t xml:space="preserve">Description: </t>
    </r>
    <r>
      <rPr>
        <sz val="11"/>
        <color theme="1"/>
        <rFont val="Calibri"/>
        <family val="2"/>
        <scheme val="minor"/>
      </rPr>
      <t>Commercial Laptop PCs</t>
    </r>
  </si>
  <si>
    <t>Connected Hours (hrs/yr)</t>
  </si>
  <si>
    <t>Connected Hours Source</t>
  </si>
  <si>
    <r>
      <rPr>
        <b/>
        <sz val="11"/>
        <color theme="1"/>
        <rFont val="Calibri"/>
        <family val="2"/>
        <scheme val="minor"/>
      </rPr>
      <t xml:space="preserve">Description: </t>
    </r>
    <r>
      <rPr>
        <sz val="11"/>
        <color theme="1"/>
        <rFont val="Calibri"/>
        <family val="2"/>
        <scheme val="minor"/>
      </rPr>
      <t>Commercial PC Monitors</t>
    </r>
  </si>
  <si>
    <t>IT Equipment</t>
  </si>
  <si>
    <r>
      <rPr>
        <b/>
        <sz val="11"/>
        <color theme="1"/>
        <rFont val="Calibri"/>
        <family val="2"/>
        <scheme val="minor"/>
      </rPr>
      <t xml:space="preserve">Description: </t>
    </r>
    <r>
      <rPr>
        <sz val="11"/>
        <color theme="1"/>
        <rFont val="Calibri"/>
        <family val="2"/>
        <scheme val="minor"/>
      </rPr>
      <t>Appliances’ converter power level distribution (% of rated load). [IT Equipment]</t>
    </r>
  </si>
  <si>
    <r>
      <rPr>
        <b/>
        <sz val="11"/>
        <color theme="1"/>
        <rFont val="Calibri"/>
        <family val="2"/>
        <scheme val="minor"/>
      </rPr>
      <t xml:space="preserve">Description: </t>
    </r>
    <r>
      <rPr>
        <sz val="11"/>
        <color theme="1"/>
        <rFont val="Calibri"/>
        <family val="2"/>
        <scheme val="minor"/>
      </rPr>
      <t>IT equipment</t>
    </r>
  </si>
  <si>
    <r>
      <rPr>
        <b/>
        <sz val="11"/>
        <color theme="1"/>
        <rFont val="Calibri"/>
        <family val="2"/>
        <scheme val="minor"/>
      </rPr>
      <t>Source:</t>
    </r>
    <r>
      <rPr>
        <sz val="11"/>
        <color theme="1"/>
        <rFont val="Calibri"/>
        <family val="2"/>
        <scheme val="minor"/>
      </rPr>
      <t xml:space="preserve"> Barbour et al. (2021) Slide 93</t>
    </r>
  </si>
  <si>
    <t>Sarfraz and Bach (2018a)</t>
  </si>
  <si>
    <t>Sarfraz and Bach (2018b)</t>
  </si>
  <si>
    <t>Source: Sarfraz and Bach (2018a) Table 3</t>
  </si>
  <si>
    <t>Source: Sarfraz and Bach (2018b) Table 8</t>
  </si>
  <si>
    <t>Source: Sarfraz and Bach (2018b) Table 9</t>
  </si>
  <si>
    <t>Installed Base Notes</t>
  </si>
  <si>
    <t>UEC Notes</t>
  </si>
  <si>
    <t>Connected Hours Notes</t>
  </si>
  <si>
    <t>Load Factor Notes</t>
  </si>
  <si>
    <t>Demand Factor Notes</t>
  </si>
  <si>
    <t>Limited number of devices sampled</t>
  </si>
  <si>
    <t>No data; used printer values</t>
  </si>
  <si>
    <t>No data; assumed "always connected"</t>
  </si>
  <si>
    <t>Barbour, Ed, Matt Guernsey, Emmanuel Anifowoshe, Seth Schober, Jay Ratafia-Brown, Peter Kobylarek, and Matt Cleaver. 2017. “Appendix B: Analysis of Commercial Miscellaneous Electric Loads - 2017 Update.” In Analysis and Representation of Miscellaneous Electric Loads in NEMS, 61. Navigant Consulting Inc. and Leidos Inc. prepared for the U.S. Energy Information Administration. https://www.eia.gov/analysis/studies/demand/miscelectric/pdf/miscelectric.pdf.</t>
  </si>
  <si>
    <t>Barbour, Ed, Aziz Iqbal, Michael Pan, Alejandro Valdez, Peter Kobylarek, Matt Cleaver, and John Meyer. 2021. “Appendix A: Miscellaneous Electric Load Consumption Characterization 2021 Update.” In Analysis and Representation of Miscellaneous Electric Loads in NEMS, 199. Guidehouse Inc. and Leidos Inc. prepared for the U.S. Energy Information Administration. https://www.eia.gov/analysis/studies/demand/miscelectric/pdf/miscelectric.pdf.</t>
  </si>
  <si>
    <t>Barbour et al. (2017)</t>
  </si>
  <si>
    <t>Summary of AEC, UEC, and installed base analysis for NEMS; covers devices not covered in the 2021 Appendix</t>
  </si>
  <si>
    <r>
      <rPr>
        <b/>
        <sz val="11"/>
        <color theme="1"/>
        <rFont val="Calibri"/>
        <family val="2"/>
        <scheme val="minor"/>
      </rPr>
      <t>Source:</t>
    </r>
    <r>
      <rPr>
        <sz val="11"/>
        <color theme="1"/>
        <rFont val="Calibri"/>
        <family val="2"/>
        <scheme val="minor"/>
      </rPr>
      <t xml:space="preserve"> Barbour et al. (2017) Slide 34</t>
    </r>
  </si>
  <si>
    <r>
      <rPr>
        <b/>
        <sz val="11"/>
        <color theme="1"/>
        <rFont val="Calibri"/>
        <family val="2"/>
        <scheme val="minor"/>
      </rPr>
      <t xml:space="preserve">Description: </t>
    </r>
    <r>
      <rPr>
        <sz val="11"/>
        <color theme="1"/>
        <rFont val="Calibri"/>
        <family val="2"/>
        <scheme val="minor"/>
      </rPr>
      <t>Office MELs &gt;&gt; Copier</t>
    </r>
  </si>
  <si>
    <t>Multi-Function Devices</t>
  </si>
  <si>
    <r>
      <rPr>
        <b/>
        <sz val="11"/>
        <color theme="1"/>
        <rFont val="Calibri"/>
        <family val="2"/>
        <scheme val="minor"/>
      </rPr>
      <t>Source:</t>
    </r>
    <r>
      <rPr>
        <sz val="11"/>
        <color theme="1"/>
        <rFont val="Calibri"/>
        <family val="2"/>
        <scheme val="minor"/>
      </rPr>
      <t xml:space="preserve"> Barbour et al. (2017) Slide 38</t>
    </r>
  </si>
  <si>
    <r>
      <rPr>
        <b/>
        <sz val="11"/>
        <color theme="1"/>
        <rFont val="Calibri"/>
        <family val="2"/>
        <scheme val="minor"/>
      </rPr>
      <t xml:space="preserve">Description: </t>
    </r>
    <r>
      <rPr>
        <sz val="11"/>
        <color theme="1"/>
        <rFont val="Calibri"/>
        <family val="2"/>
        <scheme val="minor"/>
      </rPr>
      <t>Office MELs &gt;&gt; MFD</t>
    </r>
  </si>
  <si>
    <r>
      <rPr>
        <b/>
        <sz val="11"/>
        <color theme="1"/>
        <rFont val="Calibri"/>
        <family val="2"/>
        <scheme val="minor"/>
      </rPr>
      <t xml:space="preserve">Description: </t>
    </r>
    <r>
      <rPr>
        <sz val="11"/>
        <color theme="1"/>
        <rFont val="Calibri"/>
        <family val="2"/>
        <scheme val="minor"/>
      </rPr>
      <t>Office MELs &gt;&gt; Printer</t>
    </r>
  </si>
  <si>
    <r>
      <rPr>
        <b/>
        <sz val="11"/>
        <color theme="1"/>
        <rFont val="Calibri"/>
        <family val="2"/>
        <scheme val="minor"/>
      </rPr>
      <t>Source:</t>
    </r>
    <r>
      <rPr>
        <sz val="11"/>
        <color theme="1"/>
        <rFont val="Calibri"/>
        <family val="2"/>
        <scheme val="minor"/>
      </rPr>
      <t xml:space="preserve"> Barbour et al. (2017) Slide 42</t>
    </r>
  </si>
  <si>
    <r>
      <rPr>
        <b/>
        <sz val="11"/>
        <color theme="1"/>
        <rFont val="Calibri"/>
        <family val="2"/>
        <scheme val="minor"/>
      </rPr>
      <t>Source:</t>
    </r>
    <r>
      <rPr>
        <sz val="11"/>
        <color theme="1"/>
        <rFont val="Calibri"/>
        <family val="2"/>
        <scheme val="minor"/>
      </rPr>
      <t xml:space="preserve"> Barbour et al. (2021) Slide 113</t>
    </r>
  </si>
  <si>
    <r>
      <rPr>
        <b/>
        <sz val="11"/>
        <color theme="1"/>
        <rFont val="Calibri"/>
        <family val="2"/>
        <scheme val="minor"/>
      </rPr>
      <t xml:space="preserve">Description: </t>
    </r>
    <r>
      <rPr>
        <sz val="11"/>
        <color theme="1"/>
        <rFont val="Calibri"/>
        <family val="2"/>
        <scheme val="minor"/>
      </rPr>
      <t>Commercial Televisions</t>
    </r>
  </si>
  <si>
    <r>
      <rPr>
        <b/>
        <sz val="11"/>
        <color theme="1"/>
        <rFont val="Calibri"/>
        <family val="2"/>
        <scheme val="minor"/>
      </rPr>
      <t>Source:</t>
    </r>
    <r>
      <rPr>
        <sz val="11"/>
        <color theme="1"/>
        <rFont val="Calibri"/>
        <family val="2"/>
        <scheme val="minor"/>
      </rPr>
      <t xml:space="preserve"> Barbour et al. (2021) Slide 115</t>
    </r>
  </si>
  <si>
    <r>
      <rPr>
        <b/>
        <sz val="11"/>
        <color theme="1"/>
        <rFont val="Calibri"/>
        <family val="2"/>
        <scheme val="minor"/>
      </rPr>
      <t xml:space="preserve">Description: </t>
    </r>
    <r>
      <rPr>
        <sz val="11"/>
        <color theme="1"/>
        <rFont val="Calibri"/>
        <family val="2"/>
        <scheme val="minor"/>
      </rPr>
      <t>Video Displays</t>
    </r>
  </si>
  <si>
    <t>Both categories of devices have no estimated "off" hours</t>
  </si>
  <si>
    <t>Total of commercial "televisions" and "video displays"</t>
  </si>
  <si>
    <t>Weighted average of commercial "televisions" and "video displays"</t>
  </si>
  <si>
    <t>No data; used monitor values</t>
  </si>
  <si>
    <t>Estimated load factor as ratio of active mode hours to total hours</t>
  </si>
  <si>
    <t>Assembly</t>
  </si>
  <si>
    <t>Education</t>
  </si>
  <si>
    <t>Lodging</t>
  </si>
  <si>
    <t>Office</t>
  </si>
  <si>
    <t>Warehouse</t>
  </si>
  <si>
    <t>Other</t>
  </si>
  <si>
    <t>Food Sales</t>
  </si>
  <si>
    <t>Food Service</t>
  </si>
  <si>
    <t>Healthcare</t>
  </si>
  <si>
    <t>Mercantile &amp; Service</t>
  </si>
  <si>
    <t>Floor Area Source</t>
  </si>
  <si>
    <t>Installed base source data used by NEMS; used for floor areas for calculting MELs density</t>
  </si>
  <si>
    <t>Floor Area Notes</t>
  </si>
  <si>
    <r>
      <t>Floor Area in 2012 (1000 ft</t>
    </r>
    <r>
      <rPr>
        <b/>
        <sz val="12"/>
        <color rgb="FF000000"/>
        <rFont val="Calibri"/>
        <family val="2"/>
      </rPr>
      <t>²</t>
    </r>
    <r>
      <rPr>
        <b/>
        <i/>
        <sz val="12"/>
        <color rgb="FF000000"/>
        <rFont val="Calibri"/>
        <family val="2"/>
      </rPr>
      <t>)</t>
    </r>
  </si>
  <si>
    <t>Health Care</t>
  </si>
  <si>
    <t>Installed Base in 2012 (1000's of devices)</t>
  </si>
  <si>
    <t>Density in 2012 (Devices per 1000 ft²)</t>
  </si>
  <si>
    <t>Computed directly using replicate weights; categories grouped to match Barbour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</si>
</sst>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b/>
      <sz val="11"/>
      <color theme="1"/>
      <name val="Calibri"/>
      <family val="2"/>
      <scheme val="minor"/>
    </font>
    <font>
      <sz val="9"/>
      <color indexed="81"/>
      <name val="Tahoma"/>
      <family val="2"/>
    </font>
    <font>
      <sz val="12"/>
      <color rgb="FF000000"/>
      <name val="Calibri"/>
      <family val="2"/>
    </font>
    <font>
      <b/>
      <sz val="12"/>
      <color rgb="FF000000"/>
      <name val="Calibri"/>
      <family val="2"/>
    </font>
    <font>
      <b/>
      <i/>
      <sz val="12"/>
      <color rgb="FF000000"/>
      <name val="Calibri"/>
      <family val="2"/>
    </font>
    <font>
      <sz val="12"/>
      <color rgb="FF000000"/>
      <name val="Calibri"/>
      <family val="2"/>
    </font>
    <font>
      <b/>
      <sz val="9"/>
      <color indexed="81"/>
      <name val="Tahoma"/>
      <family val="2"/>
    </font>
    <font>
      <sz val="11"/>
      <color theme="1"/>
      <name val="Calibri"/>
      <family val="2"/>
      <scheme val="minor"/>
    </font>
    <font>
      <b/>
      <vertAlign val="subscript"/>
      <sz val="11"/>
      <color theme="1"/>
      <name val="Calibri"/>
      <family val="2"/>
      <scheme val="minor"/>
    </font>
    <font>
      <b/>
      <vertAlign val="subscript"/>
      <sz val="12"/>
      <color rgb="FF000000"/>
      <name val="Calibri"/>
      <family val="2"/>
    </font>
    <font>
      <sz val="12"/>
      <color rgb="FFFF0000"/>
      <name val="Calibri"/>
      <family val="2"/>
    </font>
    <font>
      <sz val="12"/>
      <color theme="1"/>
      <name val="Calibri"/>
      <family val="2"/>
      <scheme val="minor"/>
    </font>
    <font>
      <sz val="12"/>
      <name val="Calibri"/>
      <family val="2"/>
    </font>
    <font>
      <i/>
      <sz val="9"/>
      <color indexed="81"/>
      <name val="Tahoma"/>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9" fontId="8" fillId="0" borderId="0" applyFont="0" applyFill="0" applyBorder="0" applyAlignment="0" applyProtection="0"/>
  </cellStyleXfs>
  <cellXfs count="93">
    <xf numFmtId="0" fontId="0" fillId="0" borderId="0" xfId="0"/>
    <xf numFmtId="0" fontId="0" fillId="0" borderId="0" xfId="0" applyAlignment="1">
      <alignment vertical="top"/>
    </xf>
    <xf numFmtId="0" fontId="0" fillId="0" borderId="5" xfId="0" applyBorder="1" applyAlignment="1">
      <alignment vertical="top"/>
    </xf>
    <xf numFmtId="0" fontId="0" fillId="0" borderId="4" xfId="0" applyBorder="1" applyAlignment="1">
      <alignment vertical="top"/>
    </xf>
    <xf numFmtId="0" fontId="0" fillId="0" borderId="0" xfId="0" applyBorder="1" applyAlignment="1">
      <alignment vertical="top"/>
    </xf>
    <xf numFmtId="0" fontId="4" fillId="2" borderId="7" xfId="1" applyFont="1" applyFill="1" applyBorder="1"/>
    <xf numFmtId="0" fontId="4" fillId="2" borderId="7" xfId="1" applyFont="1" applyFill="1" applyBorder="1" applyAlignment="1">
      <alignment horizontal="right"/>
    </xf>
    <xf numFmtId="0" fontId="6" fillId="0" borderId="0" xfId="1" applyFont="1"/>
    <xf numFmtId="0" fontId="0" fillId="0" borderId="0" xfId="0" applyAlignment="1">
      <alignment vertical="top" wrapText="1"/>
    </xf>
    <xf numFmtId="0" fontId="1" fillId="2" borderId="9" xfId="0" applyFont="1" applyFill="1" applyBorder="1" applyAlignment="1">
      <alignment vertical="top"/>
    </xf>
    <xf numFmtId="164" fontId="6" fillId="0" borderId="0" xfId="0" applyNumberFormat="1" applyFont="1"/>
    <xf numFmtId="0" fontId="5" fillId="3" borderId="0" xfId="1" applyFont="1" applyFill="1"/>
    <xf numFmtId="0" fontId="1" fillId="0" borderId="9" xfId="0" applyFont="1" applyBorder="1" applyAlignment="1">
      <alignment vertical="top"/>
    </xf>
    <xf numFmtId="0" fontId="1" fillId="0" borderId="10" xfId="0" applyFont="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11" xfId="0" applyFont="1" applyBorder="1" applyAlignment="1">
      <alignment horizontal="right" vertical="top"/>
    </xf>
    <xf numFmtId="0" fontId="1" fillId="4" borderId="9" xfId="0" applyFont="1" applyFill="1" applyBorder="1" applyAlignment="1">
      <alignment vertical="top"/>
    </xf>
    <xf numFmtId="0" fontId="1" fillId="4" borderId="10" xfId="0" applyFont="1" applyFill="1" applyBorder="1" applyAlignment="1">
      <alignment vertical="top"/>
    </xf>
    <xf numFmtId="2" fontId="1" fillId="4" borderId="11" xfId="0" applyNumberFormat="1" applyFont="1" applyFill="1" applyBorder="1" applyAlignment="1">
      <alignment vertical="top"/>
    </xf>
    <xf numFmtId="0" fontId="1" fillId="4" borderId="6" xfId="0" applyFont="1" applyFill="1" applyBorder="1" applyAlignment="1">
      <alignment vertical="top"/>
    </xf>
    <xf numFmtId="0" fontId="0" fillId="0" borderId="0" xfId="0" applyBorder="1" applyAlignment="1">
      <alignment horizontal="right" vertical="top"/>
    </xf>
    <xf numFmtId="2" fontId="0" fillId="0" borderId="5" xfId="0" applyNumberFormat="1" applyBorder="1" applyAlignment="1">
      <alignment horizontal="right" vertical="top"/>
    </xf>
    <xf numFmtId="0" fontId="1" fillId="4" borderId="6" xfId="0" applyFont="1" applyFill="1" applyBorder="1" applyAlignment="1">
      <alignment horizontal="left" vertical="top"/>
    </xf>
    <xf numFmtId="0" fontId="1" fillId="4" borderId="9" xfId="0" applyFont="1" applyFill="1" applyBorder="1" applyAlignment="1">
      <alignment horizontal="left" vertical="top"/>
    </xf>
    <xf numFmtId="2" fontId="0" fillId="0" borderId="5" xfId="0" applyNumberFormat="1" applyBorder="1" applyAlignment="1">
      <alignment vertical="top"/>
    </xf>
    <xf numFmtId="165" fontId="0" fillId="0" borderId="5" xfId="2" applyNumberFormat="1" applyFont="1" applyBorder="1" applyAlignment="1">
      <alignment vertical="top"/>
    </xf>
    <xf numFmtId="164" fontId="1" fillId="2" borderId="10" xfId="0" applyNumberFormat="1" applyFont="1" applyFill="1" applyBorder="1" applyAlignment="1">
      <alignment vertical="top"/>
    </xf>
    <xf numFmtId="164" fontId="1" fillId="2" borderId="11" xfId="0" applyNumberFormat="1" applyFont="1" applyFill="1" applyBorder="1" applyAlignment="1">
      <alignment vertical="top"/>
    </xf>
    <xf numFmtId="164" fontId="1" fillId="2" borderId="9" xfId="0" applyNumberFormat="1" applyFont="1" applyFill="1" applyBorder="1" applyAlignment="1">
      <alignment vertical="top"/>
    </xf>
    <xf numFmtId="164" fontId="1" fillId="4" borderId="6" xfId="0" applyNumberFormat="1" applyFont="1" applyFill="1" applyBorder="1" applyAlignment="1">
      <alignment vertical="top"/>
    </xf>
    <xf numFmtId="164" fontId="1" fillId="4" borderId="11" xfId="0" applyNumberFormat="1" applyFont="1" applyFill="1" applyBorder="1" applyAlignment="1">
      <alignment vertical="top"/>
    </xf>
    <xf numFmtId="0" fontId="1" fillId="4" borderId="8" xfId="0" applyNumberFormat="1" applyFont="1" applyFill="1" applyBorder="1" applyAlignment="1">
      <alignment vertical="top"/>
    </xf>
    <xf numFmtId="0" fontId="1" fillId="2" borderId="7" xfId="0" applyFont="1" applyFill="1" applyBorder="1" applyAlignment="1">
      <alignment vertical="top" wrapText="1"/>
    </xf>
    <xf numFmtId="0" fontId="0" fillId="2" borderId="7" xfId="0" applyFill="1" applyBorder="1" applyAlignment="1">
      <alignment vertical="top" wrapText="1"/>
    </xf>
    <xf numFmtId="0" fontId="4" fillId="2" borderId="6" xfId="1" applyFont="1" applyFill="1" applyBorder="1" applyAlignment="1">
      <alignment horizontal="right"/>
    </xf>
    <xf numFmtId="0" fontId="5" fillId="3" borderId="4" xfId="1" applyFont="1" applyFill="1" applyBorder="1" applyAlignment="1"/>
    <xf numFmtId="0" fontId="4" fillId="2" borderId="6" xfId="1" applyFont="1" applyFill="1" applyBorder="1"/>
    <xf numFmtId="0" fontId="0" fillId="0" borderId="4" xfId="0" applyBorder="1" applyAlignment="1">
      <alignment vertical="top" wrapText="1"/>
    </xf>
    <xf numFmtId="0" fontId="0" fillId="0" borderId="0" xfId="0" applyBorder="1" applyAlignment="1">
      <alignment vertical="top" wrapText="1"/>
    </xf>
    <xf numFmtId="0" fontId="1" fillId="0" borderId="9" xfId="0" applyFont="1"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3" fontId="0" fillId="0" borderId="0" xfId="0" applyNumberFormat="1" applyAlignment="1">
      <alignment vertical="top"/>
    </xf>
    <xf numFmtId="0" fontId="0" fillId="0" borderId="1" xfId="0" applyBorder="1" applyAlignment="1">
      <alignment horizontal="left" vertical="top"/>
    </xf>
    <xf numFmtId="3" fontId="0" fillId="0" borderId="2" xfId="0" applyNumberFormat="1" applyBorder="1" applyAlignment="1">
      <alignment vertical="top"/>
    </xf>
    <xf numFmtId="3" fontId="0" fillId="0" borderId="0" xfId="0" applyNumberFormat="1" applyBorder="1" applyAlignment="1">
      <alignment vertical="top"/>
    </xf>
    <xf numFmtId="3" fontId="0" fillId="0" borderId="7" xfId="0" applyNumberFormat="1" applyBorder="1" applyAlignment="1">
      <alignment vertical="top"/>
    </xf>
    <xf numFmtId="2" fontId="0" fillId="0" borderId="3" xfId="0" applyNumberFormat="1" applyBorder="1" applyAlignment="1">
      <alignment vertical="top"/>
    </xf>
    <xf numFmtId="2" fontId="0" fillId="0" borderId="8" xfId="0" applyNumberFormat="1" applyBorder="1" applyAlignment="1">
      <alignment vertical="top"/>
    </xf>
    <xf numFmtId="3" fontId="1" fillId="4" borderId="10" xfId="0" applyNumberFormat="1" applyFont="1" applyFill="1" applyBorder="1" applyAlignment="1">
      <alignment vertical="top"/>
    </xf>
    <xf numFmtId="0" fontId="6" fillId="0" borderId="4" xfId="1" applyFont="1" applyBorder="1"/>
    <xf numFmtId="0" fontId="6" fillId="0" borderId="0" xfId="0" applyFont="1"/>
    <xf numFmtId="0" fontId="11" fillId="0" borderId="0" xfId="1" applyFont="1" applyAlignment="1">
      <alignment horizontal="right"/>
    </xf>
    <xf numFmtId="164" fontId="6" fillId="0" borderId="0" xfId="0" applyNumberFormat="1" applyFont="1" applyFill="1"/>
    <xf numFmtId="164" fontId="11" fillId="0" borderId="0" xfId="0" applyNumberFormat="1" applyFont="1" applyFill="1"/>
    <xf numFmtId="0" fontId="11" fillId="0" borderId="0" xfId="1" applyFont="1" applyFill="1" applyAlignment="1">
      <alignment horizontal="right"/>
    </xf>
    <xf numFmtId="3" fontId="6" fillId="0" borderId="4" xfId="1" applyNumberFormat="1" applyFont="1" applyBorder="1" applyAlignment="1">
      <alignment horizontal="right"/>
    </xf>
    <xf numFmtId="0" fontId="6" fillId="0" borderId="0" xfId="1" applyFont="1" applyAlignment="1">
      <alignment horizontal="right"/>
    </xf>
    <xf numFmtId="2" fontId="6" fillId="0" borderId="4" xfId="1" applyNumberFormat="1" applyFont="1" applyBorder="1" applyAlignment="1">
      <alignment horizontal="right"/>
    </xf>
    <xf numFmtId="164" fontId="6" fillId="0" borderId="0" xfId="1" applyNumberFormat="1" applyFont="1" applyBorder="1" applyAlignment="1">
      <alignment horizontal="right"/>
    </xf>
    <xf numFmtId="1" fontId="6" fillId="0" borderId="0" xfId="1" applyNumberFormat="1" applyFont="1" applyAlignment="1">
      <alignment horizontal="right"/>
    </xf>
    <xf numFmtId="0" fontId="12" fillId="0" borderId="0" xfId="0" applyFont="1" applyAlignment="1">
      <alignment vertical="top" wrapText="1"/>
    </xf>
    <xf numFmtId="0" fontId="12" fillId="0" borderId="4" xfId="0" applyFont="1" applyBorder="1" applyAlignment="1">
      <alignment vertical="top" wrapText="1"/>
    </xf>
    <xf numFmtId="0" fontId="6" fillId="0" borderId="0" xfId="1" applyFont="1" applyFill="1" applyAlignment="1">
      <alignment horizontal="right"/>
    </xf>
    <xf numFmtId="0" fontId="6" fillId="0" borderId="4" xfId="1" applyFont="1" applyBorder="1" applyAlignment="1">
      <alignment horizontal="right"/>
    </xf>
    <xf numFmtId="0" fontId="12" fillId="0" borderId="0" xfId="0" applyFont="1" applyAlignment="1">
      <alignment horizontal="right"/>
    </xf>
    <xf numFmtId="0" fontId="6" fillId="0" borderId="0" xfId="1" applyFont="1" applyBorder="1" applyAlignment="1">
      <alignment horizontal="right"/>
    </xf>
    <xf numFmtId="3" fontId="6" fillId="0" borderId="0" xfId="1" applyNumberFormat="1" applyFont="1" applyBorder="1" applyAlignment="1">
      <alignment horizontal="right"/>
    </xf>
    <xf numFmtId="2" fontId="6" fillId="0" borderId="0" xfId="1" applyNumberFormat="1" applyFont="1" applyAlignment="1">
      <alignment horizontal="right"/>
    </xf>
    <xf numFmtId="164" fontId="13" fillId="0" borderId="0" xfId="0" applyNumberFormat="1" applyFont="1"/>
    <xf numFmtId="3" fontId="6" fillId="0" borderId="0" xfId="1" applyNumberFormat="1" applyFont="1" applyAlignment="1">
      <alignment horizontal="right"/>
    </xf>
    <xf numFmtId="3" fontId="12" fillId="0" borderId="0" xfId="0" applyNumberFormat="1" applyFont="1" applyAlignment="1">
      <alignment horizontal="right"/>
    </xf>
    <xf numFmtId="2" fontId="6" fillId="0" borderId="0" xfId="1" applyNumberFormat="1" applyFont="1" applyBorder="1" applyAlignment="1">
      <alignment horizontal="right"/>
    </xf>
    <xf numFmtId="2" fontId="12" fillId="0" borderId="0" xfId="0" applyNumberFormat="1" applyFont="1" applyAlignment="1">
      <alignment horizontal="right"/>
    </xf>
    <xf numFmtId="3" fontId="6" fillId="0" borderId="4" xfId="1" applyNumberFormat="1" applyFont="1" applyFill="1" applyBorder="1" applyAlignment="1">
      <alignment horizontal="right"/>
    </xf>
    <xf numFmtId="3" fontId="6" fillId="0" borderId="0" xfId="1" applyNumberFormat="1" applyFont="1" applyFill="1" applyBorder="1" applyAlignment="1">
      <alignment horizontal="right"/>
    </xf>
    <xf numFmtId="3" fontId="6" fillId="0" borderId="0" xfId="1" applyNumberFormat="1" applyFont="1" applyFill="1" applyAlignment="1">
      <alignment horizontal="right"/>
    </xf>
    <xf numFmtId="3" fontId="12" fillId="0" borderId="0" xfId="0" applyNumberFormat="1" applyFont="1" applyFill="1" applyAlignment="1">
      <alignment horizontal="right"/>
    </xf>
    <xf numFmtId="164" fontId="6" fillId="0" borderId="4" xfId="1" applyNumberFormat="1" applyFont="1" applyBorder="1" applyAlignment="1">
      <alignment horizontal="right"/>
    </xf>
    <xf numFmtId="0" fontId="5" fillId="3" borderId="0" xfId="1" applyFont="1" applyFill="1" applyAlignment="1"/>
    <xf numFmtId="0" fontId="5" fillId="3" borderId="4" xfId="1" applyFont="1" applyFill="1" applyBorder="1" applyAlignment="1"/>
    <xf numFmtId="0" fontId="5" fillId="3" borderId="0" xfId="1" applyFont="1" applyFill="1" applyBorder="1" applyAlignment="1"/>
    <xf numFmtId="0" fontId="0" fillId="2" borderId="1" xfId="0" applyFill="1" applyBorder="1" applyAlignment="1">
      <alignment vertical="top"/>
    </xf>
    <xf numFmtId="0" fontId="0" fillId="2" borderId="3" xfId="0" applyFill="1" applyBorder="1" applyAlignment="1">
      <alignment vertical="top"/>
    </xf>
    <xf numFmtId="0" fontId="0" fillId="0" borderId="9" xfId="0" applyFill="1" applyBorder="1" applyAlignment="1">
      <alignment vertical="top" wrapText="1"/>
    </xf>
    <xf numFmtId="0" fontId="0" fillId="0" borderId="11" xfId="0" applyFill="1" applyBorder="1" applyAlignment="1">
      <alignment vertical="top" wrapText="1"/>
    </xf>
    <xf numFmtId="0" fontId="0" fillId="2" borderId="2" xfId="0" applyFill="1" applyBorder="1" applyAlignment="1">
      <alignment vertical="top"/>
    </xf>
    <xf numFmtId="0" fontId="0" fillId="0" borderId="10" xfId="0" applyFill="1" applyBorder="1" applyAlignment="1">
      <alignment vertical="top" wrapText="1"/>
    </xf>
    <xf numFmtId="164" fontId="1" fillId="4" borderId="7" xfId="0" applyNumberFormat="1" applyFont="1" applyFill="1" applyBorder="1" applyAlignment="1">
      <alignment horizontal="center" vertical="top"/>
    </xf>
    <xf numFmtId="164" fontId="1" fillId="4" borderId="8" xfId="0" applyNumberFormat="1" applyFont="1" applyFill="1" applyBorder="1" applyAlignment="1">
      <alignment horizontal="center" vertical="top"/>
    </xf>
    <xf numFmtId="0" fontId="0" fillId="2" borderId="12" xfId="0" applyFill="1" applyBorder="1" applyAlignment="1">
      <alignment vertical="top"/>
    </xf>
    <xf numFmtId="0" fontId="0" fillId="0" borderId="12" xfId="0" applyFill="1" applyBorder="1" applyAlignment="1">
      <alignment vertical="top" wrapText="1"/>
    </xf>
  </cellXfs>
  <cellStyles count="3">
    <cellStyle name="Normal" xfId="0" builtinId="0"/>
    <cellStyle name="Normal 2" xfId="1" xr:uid="{851E28D6-5DEB-4D86-A213-06EBF2C71B6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A3EE-FC0B-4EDB-9865-06B0CB76BDE3}">
  <dimension ref="A1:C9"/>
  <sheetViews>
    <sheetView workbookViewId="0">
      <pane ySplit="1" topLeftCell="A2" activePane="bottomLeft" state="frozen"/>
      <selection pane="bottomLeft" activeCell="C5" sqref="C5"/>
    </sheetView>
  </sheetViews>
  <sheetFormatPr defaultRowHeight="15" x14ac:dyDescent="0.25"/>
  <cols>
    <col min="1" max="1" width="20.42578125" style="8" bestFit="1" customWidth="1"/>
    <col min="2" max="2" width="85.7109375" style="8" customWidth="1"/>
    <col min="3" max="3" width="42.85546875" style="8" customWidth="1"/>
    <col min="4" max="16384" width="9.140625" style="8"/>
  </cols>
  <sheetData>
    <row r="1" spans="1:3" s="34" customFormat="1" x14ac:dyDescent="0.25">
      <c r="A1" s="33" t="s">
        <v>25</v>
      </c>
      <c r="B1" s="33" t="s">
        <v>26</v>
      </c>
      <c r="C1" s="33" t="s">
        <v>0</v>
      </c>
    </row>
    <row r="2" spans="1:3" ht="90" x14ac:dyDescent="0.25">
      <c r="A2" s="8" t="s">
        <v>185</v>
      </c>
      <c r="B2" s="8" t="s">
        <v>183</v>
      </c>
      <c r="C2" s="8" t="s">
        <v>186</v>
      </c>
    </row>
    <row r="3" spans="1:3" ht="75" x14ac:dyDescent="0.25">
      <c r="A3" s="8" t="s">
        <v>129</v>
      </c>
      <c r="B3" s="8" t="s">
        <v>184</v>
      </c>
      <c r="C3" s="8" t="s">
        <v>130</v>
      </c>
    </row>
    <row r="4" spans="1:3" ht="45" x14ac:dyDescent="0.25">
      <c r="A4" s="8" t="s">
        <v>1</v>
      </c>
      <c r="B4" s="8" t="s">
        <v>24</v>
      </c>
      <c r="C4" s="8" t="s">
        <v>214</v>
      </c>
    </row>
    <row r="5" spans="1:3" ht="45" x14ac:dyDescent="0.25">
      <c r="A5" s="8" t="s">
        <v>28</v>
      </c>
      <c r="B5" s="8" t="s">
        <v>29</v>
      </c>
      <c r="C5" s="8" t="s">
        <v>128</v>
      </c>
    </row>
    <row r="6" spans="1:3" ht="45" x14ac:dyDescent="0.25">
      <c r="A6" s="8" t="s">
        <v>18</v>
      </c>
      <c r="B6" s="8" t="s">
        <v>27</v>
      </c>
      <c r="C6" s="8" t="s">
        <v>128</v>
      </c>
    </row>
    <row r="7" spans="1:3" ht="45" x14ac:dyDescent="0.25">
      <c r="A7" s="8" t="s">
        <v>111</v>
      </c>
      <c r="B7" s="8" t="s">
        <v>110</v>
      </c>
      <c r="C7" s="8" t="s">
        <v>125</v>
      </c>
    </row>
    <row r="8" spans="1:3" ht="45" x14ac:dyDescent="0.25">
      <c r="A8" s="8" t="s">
        <v>170</v>
      </c>
      <c r="B8" s="8" t="s">
        <v>83</v>
      </c>
      <c r="C8" s="8" t="s">
        <v>127</v>
      </c>
    </row>
    <row r="9" spans="1:3" ht="45" x14ac:dyDescent="0.25">
      <c r="A9" s="8" t="s">
        <v>171</v>
      </c>
      <c r="B9" s="8" t="s">
        <v>103</v>
      </c>
      <c r="C9" s="8" t="s">
        <v>126</v>
      </c>
    </row>
  </sheetData>
  <sortState xmlns:xlrd2="http://schemas.microsoft.com/office/spreadsheetml/2017/richdata2" ref="A2:C9">
    <sortCondition ref="A2:A9"/>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D4A0-114F-4CF8-91EE-F1837D14D527}">
  <dimension ref="B2:D11"/>
  <sheetViews>
    <sheetView workbookViewId="0">
      <selection activeCell="C12" sqref="C12"/>
    </sheetView>
  </sheetViews>
  <sheetFormatPr defaultRowHeight="15" x14ac:dyDescent="0.25"/>
  <cols>
    <col min="1" max="1" width="3.42578125" style="1" customWidth="1"/>
    <col min="2" max="2" width="9.140625" style="1"/>
    <col min="3" max="3" width="16.7109375" style="1" customWidth="1"/>
    <col min="4" max="4" width="16.42578125" style="1" customWidth="1"/>
    <col min="5" max="16384" width="9.140625" style="1"/>
  </cols>
  <sheetData>
    <row r="2" spans="2:4" x14ac:dyDescent="0.25">
      <c r="B2" s="83" t="s">
        <v>190</v>
      </c>
      <c r="C2" s="87"/>
      <c r="D2" s="84"/>
    </row>
    <row r="3" spans="2:4" ht="30" customHeight="1" x14ac:dyDescent="0.25">
      <c r="B3" s="85" t="s">
        <v>191</v>
      </c>
      <c r="C3" s="88"/>
      <c r="D3" s="86"/>
    </row>
    <row r="4" spans="2:4" ht="75" customHeight="1" x14ac:dyDescent="0.25">
      <c r="B4" s="85" t="s">
        <v>157</v>
      </c>
      <c r="C4" s="88"/>
      <c r="D4" s="86"/>
    </row>
    <row r="5" spans="2:4" x14ac:dyDescent="0.25">
      <c r="B5" s="40" t="s">
        <v>153</v>
      </c>
      <c r="C5" s="15" t="s">
        <v>154</v>
      </c>
      <c r="D5" s="16" t="s">
        <v>158</v>
      </c>
    </row>
    <row r="6" spans="2:4" x14ac:dyDescent="0.25">
      <c r="B6" s="44">
        <v>2012</v>
      </c>
      <c r="C6" s="45">
        <v>6300000</v>
      </c>
      <c r="D6" s="48">
        <f>C6/C$6</f>
        <v>1</v>
      </c>
    </row>
    <row r="7" spans="2:4" x14ac:dyDescent="0.25">
      <c r="B7" s="41">
        <v>2016</v>
      </c>
      <c r="C7" s="46">
        <v>8500000</v>
      </c>
      <c r="D7" s="25">
        <f t="shared" ref="D7:D11" si="0">C7/C$6</f>
        <v>1.3492063492063493</v>
      </c>
    </row>
    <row r="8" spans="2:4" x14ac:dyDescent="0.25">
      <c r="B8" s="24">
        <v>2020</v>
      </c>
      <c r="C8" s="50">
        <v>9400000</v>
      </c>
      <c r="D8" s="19">
        <f t="shared" si="0"/>
        <v>1.4920634920634921</v>
      </c>
    </row>
    <row r="9" spans="2:4" x14ac:dyDescent="0.25">
      <c r="B9" s="41">
        <v>2030</v>
      </c>
      <c r="C9" s="46">
        <v>13000000</v>
      </c>
      <c r="D9" s="25">
        <f t="shared" si="0"/>
        <v>2.0634920634920637</v>
      </c>
    </row>
    <row r="10" spans="2:4" x14ac:dyDescent="0.25">
      <c r="B10" s="41">
        <v>2040</v>
      </c>
      <c r="C10" s="46">
        <v>17000000</v>
      </c>
      <c r="D10" s="25">
        <f t="shared" si="0"/>
        <v>2.6984126984126986</v>
      </c>
    </row>
    <row r="11" spans="2:4" x14ac:dyDescent="0.25">
      <c r="B11" s="42">
        <v>2050</v>
      </c>
      <c r="C11" s="47">
        <v>23000000</v>
      </c>
      <c r="D11" s="49">
        <f t="shared" si="0"/>
        <v>3.6507936507936507</v>
      </c>
    </row>
  </sheetData>
  <mergeCells count="3">
    <mergeCell ref="B2:D2"/>
    <mergeCell ref="B3:D3"/>
    <mergeCell ref="B4:D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ED58-95F7-4CC9-A3B7-0874CB9D6089}">
  <dimension ref="B2:G13"/>
  <sheetViews>
    <sheetView workbookViewId="0">
      <selection activeCell="J9" sqref="J9"/>
    </sheetView>
  </sheetViews>
  <sheetFormatPr defaultRowHeight="15" x14ac:dyDescent="0.25"/>
  <cols>
    <col min="1" max="1" width="3.5703125" style="1" customWidth="1"/>
    <col min="2" max="2" width="37.140625" style="1" customWidth="1"/>
    <col min="3" max="3" width="22.42578125" style="1" bestFit="1" customWidth="1"/>
    <col min="4" max="4" width="3.42578125" style="1" customWidth="1"/>
    <col min="5" max="5" width="9.140625" style="1"/>
    <col min="6" max="6" width="16.7109375" style="1" customWidth="1"/>
    <col min="7" max="7" width="16.42578125" style="1" customWidth="1"/>
    <col min="8" max="16384" width="9.140625" style="1"/>
  </cols>
  <sheetData>
    <row r="2" spans="2:7" x14ac:dyDescent="0.25">
      <c r="B2" s="83" t="s">
        <v>112</v>
      </c>
      <c r="C2" s="84"/>
      <c r="E2" s="83" t="s">
        <v>169</v>
      </c>
      <c r="F2" s="87"/>
      <c r="G2" s="84"/>
    </row>
    <row r="3" spans="2:7" ht="30" customHeight="1" x14ac:dyDescent="0.25">
      <c r="B3" s="85" t="s">
        <v>167</v>
      </c>
      <c r="C3" s="86"/>
      <c r="E3" s="85" t="s">
        <v>168</v>
      </c>
      <c r="F3" s="88"/>
      <c r="G3" s="86"/>
    </row>
    <row r="4" spans="2:7" ht="75" customHeight="1" x14ac:dyDescent="0.25">
      <c r="B4" s="85" t="s">
        <v>122</v>
      </c>
      <c r="C4" s="86"/>
      <c r="E4" s="85" t="s">
        <v>157</v>
      </c>
      <c r="F4" s="88"/>
      <c r="G4" s="86"/>
    </row>
    <row r="5" spans="2:7" x14ac:dyDescent="0.25">
      <c r="B5" s="12" t="s">
        <v>113</v>
      </c>
      <c r="C5" s="16" t="s">
        <v>121</v>
      </c>
      <c r="E5" s="40" t="s">
        <v>153</v>
      </c>
      <c r="F5" s="15" t="s">
        <v>154</v>
      </c>
      <c r="G5" s="16" t="s">
        <v>158</v>
      </c>
    </row>
    <row r="6" spans="2:7" x14ac:dyDescent="0.25">
      <c r="B6" s="3" t="s">
        <v>115</v>
      </c>
      <c r="C6" s="26">
        <v>2.8000000000000001E-2</v>
      </c>
      <c r="E6" s="44">
        <v>2012</v>
      </c>
      <c r="F6" s="45">
        <v>581654000</v>
      </c>
      <c r="G6" s="48">
        <f>F6/F$6</f>
        <v>1</v>
      </c>
    </row>
    <row r="7" spans="2:7" x14ac:dyDescent="0.25">
      <c r="B7" s="3" t="s">
        <v>119</v>
      </c>
      <c r="C7" s="26">
        <v>5.6000000000000001E-2</v>
      </c>
      <c r="E7" s="41">
        <v>2015</v>
      </c>
      <c r="F7" s="46">
        <v>472000000</v>
      </c>
      <c r="G7" s="25">
        <f t="shared" ref="G7:G12" si="0">F7/F$6</f>
        <v>0.81147898922727257</v>
      </c>
    </row>
    <row r="8" spans="2:7" x14ac:dyDescent="0.25">
      <c r="B8" s="3" t="s">
        <v>116</v>
      </c>
      <c r="C8" s="26">
        <v>5.6000000000000001E-2</v>
      </c>
      <c r="E8" s="41">
        <v>2018</v>
      </c>
      <c r="F8" s="46">
        <v>466123000</v>
      </c>
      <c r="G8" s="25">
        <f t="shared" si="0"/>
        <v>0.80137504427030504</v>
      </c>
    </row>
    <row r="9" spans="2:7" x14ac:dyDescent="0.25">
      <c r="B9" s="3" t="s">
        <v>117</v>
      </c>
      <c r="C9" s="26">
        <v>0.129</v>
      </c>
      <c r="E9" s="24">
        <v>2020</v>
      </c>
      <c r="F9" s="50">
        <v>466398000</v>
      </c>
      <c r="G9" s="19">
        <f t="shared" si="0"/>
        <v>0.80184783393563874</v>
      </c>
    </row>
    <row r="10" spans="2:7" x14ac:dyDescent="0.25">
      <c r="B10" s="3" t="s">
        <v>120</v>
      </c>
      <c r="C10" s="26">
        <v>0.215</v>
      </c>
      <c r="E10" s="41">
        <v>2030</v>
      </c>
      <c r="F10" s="46">
        <v>594836000</v>
      </c>
      <c r="G10" s="25">
        <f t="shared" si="0"/>
        <v>1.022662957703377</v>
      </c>
    </row>
    <row r="11" spans="2:7" x14ac:dyDescent="0.25">
      <c r="B11" s="3" t="s">
        <v>118</v>
      </c>
      <c r="C11" s="26">
        <v>0.22500000000000001</v>
      </c>
      <c r="E11" s="41">
        <v>2040</v>
      </c>
      <c r="F11" s="46">
        <v>712781000</v>
      </c>
      <c r="G11" s="25">
        <f t="shared" si="0"/>
        <v>1.2254381470771283</v>
      </c>
    </row>
    <row r="12" spans="2:7" ht="18" x14ac:dyDescent="0.25">
      <c r="B12" s="24" t="s">
        <v>124</v>
      </c>
      <c r="C12" s="31">
        <f>C9/C11</f>
        <v>0.57333333333333336</v>
      </c>
      <c r="E12" s="42">
        <v>2050</v>
      </c>
      <c r="F12" s="47">
        <v>909102000</v>
      </c>
      <c r="G12" s="49">
        <f t="shared" si="0"/>
        <v>1.562960110306127</v>
      </c>
    </row>
    <row r="13" spans="2:7" ht="18" x14ac:dyDescent="0.25">
      <c r="B13" s="23" t="s">
        <v>108</v>
      </c>
      <c r="C13" s="32">
        <f>C11</f>
        <v>0.22500000000000001</v>
      </c>
    </row>
  </sheetData>
  <mergeCells count="6">
    <mergeCell ref="E2:G2"/>
    <mergeCell ref="E3:G3"/>
    <mergeCell ref="E4:G4"/>
    <mergeCell ref="B2:C2"/>
    <mergeCell ref="B3:C3"/>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32CF-5900-40C7-B28E-85B443EDACB2}">
  <dimension ref="A1:O29"/>
  <sheetViews>
    <sheetView workbookViewId="0">
      <pane xSplit="1" topLeftCell="D1" activePane="topRight" state="frozen"/>
      <selection pane="topRight" activeCell="J18" sqref="J18:J25"/>
    </sheetView>
  </sheetViews>
  <sheetFormatPr defaultRowHeight="15.75" x14ac:dyDescent="0.25"/>
  <cols>
    <col min="1" max="1" width="22.7109375" style="7" bestFit="1" customWidth="1"/>
    <col min="2" max="2" width="35.7109375" style="7" customWidth="1"/>
    <col min="3" max="3" width="73.28515625" style="7" customWidth="1"/>
    <col min="4" max="4" width="11.28515625" style="65" bestFit="1" customWidth="1"/>
    <col min="5" max="6" width="11.28515625" style="67" bestFit="1" customWidth="1"/>
    <col min="7" max="7" width="13.5703125" style="67" bestFit="1" customWidth="1"/>
    <col min="8" max="8" width="12.28515625" style="67" bestFit="1" customWidth="1"/>
    <col min="9" max="9" width="10.140625" style="67" bestFit="1" customWidth="1"/>
    <col min="10" max="10" width="11.28515625" style="67" bestFit="1" customWidth="1"/>
    <col min="11" max="11" width="21.7109375" style="58" bestFit="1" customWidth="1"/>
    <col min="12" max="12" width="12.140625" style="66" bestFit="1" customWidth="1"/>
    <col min="13" max="13" width="10.140625" style="66" bestFit="1" customWidth="1"/>
    <col min="14" max="14" width="22" style="51" bestFit="1" customWidth="1"/>
    <col min="15" max="15" width="90.140625" style="51" bestFit="1" customWidth="1"/>
    <col min="16" max="16384" width="9.140625" style="7"/>
  </cols>
  <sheetData>
    <row r="1" spans="1:15" s="11" customFormat="1" x14ac:dyDescent="0.25">
      <c r="A1" s="80"/>
      <c r="B1" s="80"/>
      <c r="C1" s="80"/>
      <c r="D1" s="81" t="s">
        <v>216</v>
      </c>
      <c r="E1" s="82"/>
      <c r="F1" s="82"/>
      <c r="G1" s="82"/>
      <c r="H1" s="82"/>
      <c r="I1" s="82"/>
      <c r="J1" s="82"/>
      <c r="K1" s="82"/>
      <c r="L1" s="82"/>
      <c r="M1" s="82"/>
      <c r="N1" s="36" t="s">
        <v>137</v>
      </c>
      <c r="O1" s="36" t="s">
        <v>0</v>
      </c>
    </row>
    <row r="2" spans="1:15" s="5" customFormat="1" x14ac:dyDescent="0.25">
      <c r="D2" s="35" t="s">
        <v>203</v>
      </c>
      <c r="E2" s="6" t="s">
        <v>204</v>
      </c>
      <c r="F2" s="6" t="s">
        <v>209</v>
      </c>
      <c r="G2" s="6" t="s">
        <v>210</v>
      </c>
      <c r="H2" s="6" t="s">
        <v>217</v>
      </c>
      <c r="I2" s="6" t="s">
        <v>205</v>
      </c>
      <c r="J2" s="6" t="s">
        <v>206</v>
      </c>
      <c r="K2" s="5" t="s">
        <v>212</v>
      </c>
      <c r="L2" s="6" t="s">
        <v>207</v>
      </c>
      <c r="M2" s="6" t="s">
        <v>208</v>
      </c>
      <c r="N2" s="37" t="s">
        <v>213</v>
      </c>
      <c r="O2" s="37" t="s">
        <v>215</v>
      </c>
    </row>
    <row r="3" spans="1:15" x14ac:dyDescent="0.25">
      <c r="D3" s="57">
        <f>5530841+4558672</f>
        <v>10089513</v>
      </c>
      <c r="E3" s="68">
        <v>12239024</v>
      </c>
      <c r="F3" s="68">
        <v>1251571</v>
      </c>
      <c r="G3" s="68">
        <v>1819435</v>
      </c>
      <c r="H3" s="68">
        <f>2352370+1780296+1275021</f>
        <v>5407687</v>
      </c>
      <c r="I3" s="68">
        <v>4446881</v>
      </c>
      <c r="J3" s="68">
        <v>16007230</v>
      </c>
      <c r="K3" s="71">
        <f>868562+5085161+5437423+4587135</f>
        <v>15978281</v>
      </c>
      <c r="L3" s="72">
        <f>12689007+441111</f>
        <v>13130118</v>
      </c>
      <c r="M3" s="72">
        <f>471461+1434351+3257426+1543387</f>
        <v>6706625</v>
      </c>
      <c r="N3" s="51" t="s">
        <v>1</v>
      </c>
      <c r="O3" s="51" t="s">
        <v>220</v>
      </c>
    </row>
    <row r="5" spans="1:15" s="11" customFormat="1" x14ac:dyDescent="0.25">
      <c r="A5" s="80" t="s">
        <v>30</v>
      </c>
      <c r="B5" s="80"/>
      <c r="C5" s="80"/>
      <c r="D5" s="81" t="s">
        <v>218</v>
      </c>
      <c r="E5" s="82"/>
      <c r="F5" s="82"/>
      <c r="G5" s="82"/>
      <c r="H5" s="82"/>
      <c r="I5" s="82"/>
      <c r="J5" s="82"/>
      <c r="K5" s="82"/>
      <c r="L5" s="82"/>
      <c r="M5" s="82"/>
      <c r="N5" s="36" t="s">
        <v>137</v>
      </c>
      <c r="O5" s="36" t="s">
        <v>0</v>
      </c>
    </row>
    <row r="6" spans="1:15" s="5" customFormat="1" x14ac:dyDescent="0.25">
      <c r="A6" s="5" t="s">
        <v>8</v>
      </c>
      <c r="B6" s="5" t="s">
        <v>9</v>
      </c>
      <c r="C6" s="5" t="s">
        <v>10</v>
      </c>
      <c r="D6" s="35" t="s">
        <v>203</v>
      </c>
      <c r="E6" s="6" t="s">
        <v>204</v>
      </c>
      <c r="F6" s="6" t="s">
        <v>209</v>
      </c>
      <c r="G6" s="6" t="s">
        <v>210</v>
      </c>
      <c r="H6" s="6" t="s">
        <v>211</v>
      </c>
      <c r="I6" s="6" t="s">
        <v>205</v>
      </c>
      <c r="J6" s="6" t="s">
        <v>206</v>
      </c>
      <c r="K6" s="5" t="s">
        <v>212</v>
      </c>
      <c r="L6" s="6" t="s">
        <v>207</v>
      </c>
      <c r="M6" s="6" t="s">
        <v>208</v>
      </c>
      <c r="N6" s="37" t="s">
        <v>13</v>
      </c>
      <c r="O6" s="37" t="s">
        <v>175</v>
      </c>
    </row>
    <row r="7" spans="1:15" x14ac:dyDescent="0.25">
      <c r="A7" s="7" t="s">
        <v>2</v>
      </c>
      <c r="B7" s="7" t="s">
        <v>16</v>
      </c>
      <c r="C7" s="7" t="s">
        <v>17</v>
      </c>
      <c r="D7" s="57">
        <v>3729</v>
      </c>
      <c r="E7" s="68">
        <v>19834</v>
      </c>
      <c r="F7" s="68">
        <v>367</v>
      </c>
      <c r="G7" s="68">
        <v>617</v>
      </c>
      <c r="H7" s="68">
        <v>4080</v>
      </c>
      <c r="I7" s="68">
        <v>1390</v>
      </c>
      <c r="J7" s="68">
        <f>17527+15411</f>
        <v>32938</v>
      </c>
      <c r="K7" s="71">
        <v>6543</v>
      </c>
      <c r="L7" s="72">
        <v>3297</v>
      </c>
      <c r="M7" s="72">
        <v>2963</v>
      </c>
      <c r="N7" s="51" t="s">
        <v>129</v>
      </c>
    </row>
    <row r="8" spans="1:15" x14ac:dyDescent="0.25">
      <c r="A8" s="7" t="s">
        <v>3</v>
      </c>
      <c r="B8" s="7" t="s">
        <v>19</v>
      </c>
      <c r="C8" s="7" t="s">
        <v>20</v>
      </c>
      <c r="D8" s="57">
        <v>1363</v>
      </c>
      <c r="E8" s="68">
        <v>9123</v>
      </c>
      <c r="F8" s="68">
        <v>96</v>
      </c>
      <c r="G8" s="68">
        <v>249</v>
      </c>
      <c r="H8" s="68">
        <v>782</v>
      </c>
      <c r="I8" s="68">
        <v>2708</v>
      </c>
      <c r="J8" s="68">
        <f>6839+5176</f>
        <v>12015</v>
      </c>
      <c r="K8" s="71">
        <v>2053</v>
      </c>
      <c r="L8" s="72">
        <v>1097</v>
      </c>
      <c r="M8" s="72">
        <v>872</v>
      </c>
      <c r="N8" s="51" t="s">
        <v>129</v>
      </c>
    </row>
    <row r="9" spans="1:15" x14ac:dyDescent="0.25">
      <c r="A9" s="7" t="s">
        <v>4</v>
      </c>
      <c r="B9" s="7" t="s">
        <v>21</v>
      </c>
      <c r="C9" s="7" t="s">
        <v>22</v>
      </c>
      <c r="D9" s="57">
        <v>3388</v>
      </c>
      <c r="E9" s="68">
        <v>18300</v>
      </c>
      <c r="F9" s="68">
        <v>328</v>
      </c>
      <c r="G9" s="68">
        <v>564</v>
      </c>
      <c r="H9" s="68">
        <v>3600</v>
      </c>
      <c r="I9" s="68">
        <v>1593</v>
      </c>
      <c r="J9" s="68">
        <f>15988+13933</f>
        <v>29921</v>
      </c>
      <c r="K9" s="71">
        <v>5894</v>
      </c>
      <c r="L9" s="72">
        <v>2979</v>
      </c>
      <c r="M9" s="72">
        <v>2660</v>
      </c>
      <c r="N9" s="51" t="s">
        <v>129</v>
      </c>
    </row>
    <row r="10" spans="1:15" x14ac:dyDescent="0.25">
      <c r="A10" s="7" t="s">
        <v>5</v>
      </c>
      <c r="B10" s="7" t="s">
        <v>21</v>
      </c>
      <c r="C10" s="7" t="s">
        <v>22</v>
      </c>
      <c r="D10" s="75">
        <f>1675+181</f>
        <v>1856</v>
      </c>
      <c r="E10" s="76">
        <f>2032+903</f>
        <v>2935</v>
      </c>
      <c r="F10" s="76">
        <f>208+1354</f>
        <v>1562</v>
      </c>
      <c r="G10" s="76">
        <f>1532+903</f>
        <v>2435</v>
      </c>
      <c r="H10" s="76">
        <f>402+181</f>
        <v>583</v>
      </c>
      <c r="I10" s="76">
        <f>6157+181</f>
        <v>6338</v>
      </c>
      <c r="J10" s="76">
        <f>(1516+1437)+(632+632)</f>
        <v>4217</v>
      </c>
      <c r="K10" s="77">
        <f>943+3611</f>
        <v>4554</v>
      </c>
      <c r="L10" s="78">
        <f>2180+0</f>
        <v>2180</v>
      </c>
      <c r="M10" s="78">
        <f>1113+451</f>
        <v>1564</v>
      </c>
      <c r="N10" s="51" t="s">
        <v>129</v>
      </c>
      <c r="O10" s="51" t="s">
        <v>199</v>
      </c>
    </row>
    <row r="11" spans="1:15" x14ac:dyDescent="0.25">
      <c r="A11" s="7" t="s">
        <v>7</v>
      </c>
      <c r="B11" s="7" t="s">
        <v>16</v>
      </c>
      <c r="C11" s="7" t="s">
        <v>23</v>
      </c>
      <c r="D11" s="75">
        <v>24</v>
      </c>
      <c r="E11" s="76">
        <v>26</v>
      </c>
      <c r="F11" s="76">
        <v>2</v>
      </c>
      <c r="G11" s="76">
        <v>3</v>
      </c>
      <c r="H11" s="76">
        <v>16</v>
      </c>
      <c r="I11" s="76">
        <v>6</v>
      </c>
      <c r="J11" s="76">
        <f>46+82</f>
        <v>128</v>
      </c>
      <c r="K11" s="77">
        <v>33</v>
      </c>
      <c r="L11" s="78">
        <v>18</v>
      </c>
      <c r="M11" s="78">
        <v>11</v>
      </c>
      <c r="N11" s="51" t="s">
        <v>185</v>
      </c>
      <c r="O11" s="63"/>
    </row>
    <row r="12" spans="1:15" x14ac:dyDescent="0.25">
      <c r="A12" s="7" t="s">
        <v>6</v>
      </c>
      <c r="B12" s="7" t="s">
        <v>16</v>
      </c>
      <c r="C12" s="7" t="s">
        <v>23</v>
      </c>
      <c r="D12" s="75">
        <v>1100</v>
      </c>
      <c r="E12" s="76">
        <v>3000</v>
      </c>
      <c r="F12" s="76">
        <v>200</v>
      </c>
      <c r="G12" s="76">
        <v>400</v>
      </c>
      <c r="H12" s="76">
        <v>1000</v>
      </c>
      <c r="I12" s="76">
        <v>700</v>
      </c>
      <c r="J12" s="76">
        <f>3300+5000</f>
        <v>8300</v>
      </c>
      <c r="K12" s="77">
        <v>2800</v>
      </c>
      <c r="L12" s="78">
        <v>1400</v>
      </c>
      <c r="M12" s="78">
        <v>700</v>
      </c>
      <c r="N12" s="51" t="s">
        <v>185</v>
      </c>
      <c r="O12" s="63"/>
    </row>
    <row r="13" spans="1:15" x14ac:dyDescent="0.25">
      <c r="A13" s="7" t="s">
        <v>189</v>
      </c>
      <c r="B13" s="7" t="s">
        <v>16</v>
      </c>
      <c r="C13" s="7" t="s">
        <v>23</v>
      </c>
      <c r="D13" s="75">
        <v>540</v>
      </c>
      <c r="E13" s="76">
        <v>560</v>
      </c>
      <c r="F13" s="76">
        <v>100</v>
      </c>
      <c r="G13" s="76">
        <v>180</v>
      </c>
      <c r="H13" s="76">
        <v>290</v>
      </c>
      <c r="I13" s="76">
        <v>150</v>
      </c>
      <c r="J13" s="76">
        <f>900+1800</f>
        <v>2700</v>
      </c>
      <c r="K13" s="77">
        <v>1000</v>
      </c>
      <c r="L13" s="78">
        <v>470</v>
      </c>
      <c r="M13" s="78">
        <v>250</v>
      </c>
      <c r="N13" s="51" t="s">
        <v>185</v>
      </c>
      <c r="O13" s="63"/>
    </row>
    <row r="14" spans="1:15" x14ac:dyDescent="0.25">
      <c r="A14" s="7" t="s">
        <v>166</v>
      </c>
      <c r="B14" s="7" t="s">
        <v>139</v>
      </c>
      <c r="C14" s="7" t="s">
        <v>138</v>
      </c>
      <c r="D14" s="75">
        <v>27912</v>
      </c>
      <c r="E14" s="76">
        <v>158718</v>
      </c>
      <c r="F14" s="76">
        <v>2539</v>
      </c>
      <c r="G14" s="76">
        <v>4746</v>
      </c>
      <c r="H14" s="76">
        <v>26651</v>
      </c>
      <c r="I14" s="76">
        <v>22462</v>
      </c>
      <c r="J14" s="76">
        <f>133558+112848</f>
        <v>246406</v>
      </c>
      <c r="K14" s="77">
        <v>47119</v>
      </c>
      <c r="L14" s="78">
        <v>24085</v>
      </c>
      <c r="M14" s="78">
        <v>21017</v>
      </c>
      <c r="N14" s="51" t="s">
        <v>129</v>
      </c>
    </row>
    <row r="16" spans="1:15" s="11" customFormat="1" x14ac:dyDescent="0.25">
      <c r="A16" s="80" t="s">
        <v>30</v>
      </c>
      <c r="B16" s="80"/>
      <c r="C16" s="80"/>
      <c r="D16" s="81" t="s">
        <v>219</v>
      </c>
      <c r="E16" s="82"/>
      <c r="F16" s="82"/>
      <c r="G16" s="82"/>
      <c r="H16" s="82"/>
      <c r="I16" s="82"/>
      <c r="J16" s="82"/>
      <c r="K16" s="82"/>
      <c r="L16" s="82"/>
      <c r="M16" s="82"/>
      <c r="N16" s="36"/>
      <c r="O16" s="36"/>
    </row>
    <row r="17" spans="1:15" s="5" customFormat="1" x14ac:dyDescent="0.25">
      <c r="A17" s="5" t="s">
        <v>8</v>
      </c>
      <c r="B17" s="5" t="s">
        <v>9</v>
      </c>
      <c r="C17" s="5" t="s">
        <v>10</v>
      </c>
      <c r="D17" s="35" t="s">
        <v>203</v>
      </c>
      <c r="E17" s="6" t="s">
        <v>204</v>
      </c>
      <c r="F17" s="6" t="s">
        <v>209</v>
      </c>
      <c r="G17" s="6" t="s">
        <v>210</v>
      </c>
      <c r="H17" s="6" t="s">
        <v>211</v>
      </c>
      <c r="I17" s="6" t="s">
        <v>205</v>
      </c>
      <c r="J17" s="6" t="s">
        <v>206</v>
      </c>
      <c r="K17" s="5" t="s">
        <v>212</v>
      </c>
      <c r="L17" s="6" t="s">
        <v>207</v>
      </c>
      <c r="M17" s="6" t="s">
        <v>208</v>
      </c>
      <c r="N17" s="37"/>
      <c r="O17" s="37"/>
    </row>
    <row r="18" spans="1:15" x14ac:dyDescent="0.25">
      <c r="A18" s="7" t="s">
        <v>2</v>
      </c>
      <c r="B18" s="7" t="s">
        <v>16</v>
      </c>
      <c r="C18" s="7" t="s">
        <v>17</v>
      </c>
      <c r="D18" s="59">
        <f>D7*1000/D$3</f>
        <v>0.36959167404809329</v>
      </c>
      <c r="E18" s="73">
        <f t="shared" ref="E18:M18" si="0">E7*1000/E$3</f>
        <v>1.6205540572516239</v>
      </c>
      <c r="F18" s="73">
        <f t="shared" si="0"/>
        <v>0.29323146669266065</v>
      </c>
      <c r="G18" s="73">
        <f t="shared" si="0"/>
        <v>0.33911626411495877</v>
      </c>
      <c r="H18" s="73">
        <f t="shared" si="0"/>
        <v>0.75448153711559118</v>
      </c>
      <c r="I18" s="73">
        <f t="shared" si="0"/>
        <v>0.31257863657696261</v>
      </c>
      <c r="J18" s="73">
        <f t="shared" si="0"/>
        <v>2.0576951789909934</v>
      </c>
      <c r="K18" s="69">
        <f t="shared" si="0"/>
        <v>0.40949336164509814</v>
      </c>
      <c r="L18" s="74">
        <f t="shared" si="0"/>
        <v>0.25110208453572164</v>
      </c>
      <c r="M18" s="74">
        <f t="shared" si="0"/>
        <v>0.44180194956479601</v>
      </c>
    </row>
    <row r="19" spans="1:15" x14ac:dyDescent="0.25">
      <c r="A19" s="7" t="s">
        <v>3</v>
      </c>
      <c r="B19" s="7" t="s">
        <v>19</v>
      </c>
      <c r="C19" s="7" t="s">
        <v>20</v>
      </c>
      <c r="D19" s="59">
        <f t="shared" ref="D19:M19" si="1">D8*1000/D$3</f>
        <v>0.13509076206155837</v>
      </c>
      <c r="E19" s="73">
        <f t="shared" si="1"/>
        <v>0.74540257458437864</v>
      </c>
      <c r="F19" s="73">
        <f t="shared" si="1"/>
        <v>7.6703598916881263E-2</v>
      </c>
      <c r="G19" s="73">
        <f t="shared" si="1"/>
        <v>0.13685567222791692</v>
      </c>
      <c r="H19" s="73">
        <f t="shared" si="1"/>
        <v>0.14460896128048831</v>
      </c>
      <c r="I19" s="73">
        <f t="shared" si="1"/>
        <v>0.60896614953267247</v>
      </c>
      <c r="J19" s="73">
        <f t="shared" si="1"/>
        <v>0.75059832338262145</v>
      </c>
      <c r="K19" s="69">
        <f t="shared" si="1"/>
        <v>0.12848691295390285</v>
      </c>
      <c r="L19" s="74">
        <f t="shared" si="1"/>
        <v>8.3548373289562217E-2</v>
      </c>
      <c r="M19" s="74">
        <f t="shared" si="1"/>
        <v>0.13002068849831325</v>
      </c>
    </row>
    <row r="20" spans="1:15" x14ac:dyDescent="0.25">
      <c r="A20" s="7" t="s">
        <v>4</v>
      </c>
      <c r="B20" s="7" t="s">
        <v>21</v>
      </c>
      <c r="C20" s="7" t="s">
        <v>22</v>
      </c>
      <c r="D20" s="59">
        <f t="shared" ref="D20:M20" si="2">D9*1000/D$3</f>
        <v>0.33579420532983106</v>
      </c>
      <c r="E20" s="73">
        <f t="shared" si="2"/>
        <v>1.4952172656904668</v>
      </c>
      <c r="F20" s="73">
        <f t="shared" si="2"/>
        <v>0.26207062963267763</v>
      </c>
      <c r="G20" s="73">
        <f t="shared" si="2"/>
        <v>0.30998634191383589</v>
      </c>
      <c r="H20" s="73">
        <f t="shared" si="2"/>
        <v>0.6657190033372864</v>
      </c>
      <c r="I20" s="73">
        <f t="shared" si="2"/>
        <v>0.35822861012021684</v>
      </c>
      <c r="J20" s="73">
        <f t="shared" si="2"/>
        <v>1.8692178471853031</v>
      </c>
      <c r="K20" s="69">
        <f t="shared" si="2"/>
        <v>0.36887572574296323</v>
      </c>
      <c r="L20" s="74">
        <f t="shared" si="2"/>
        <v>0.22688295718286766</v>
      </c>
      <c r="M20" s="74">
        <f t="shared" si="2"/>
        <v>0.39662274243751516</v>
      </c>
    </row>
    <row r="21" spans="1:15" x14ac:dyDescent="0.25">
      <c r="A21" s="7" t="s">
        <v>5</v>
      </c>
      <c r="B21" s="7" t="s">
        <v>21</v>
      </c>
      <c r="C21" s="7" t="s">
        <v>22</v>
      </c>
      <c r="D21" s="59">
        <f t="shared" ref="D21:M21" si="3">D10*1000/D$3</f>
        <v>0.18395337812637735</v>
      </c>
      <c r="E21" s="73">
        <f t="shared" si="3"/>
        <v>0.23980670354106667</v>
      </c>
      <c r="F21" s="73">
        <f t="shared" si="3"/>
        <v>1.2480314740434222</v>
      </c>
      <c r="G21" s="73">
        <f t="shared" si="3"/>
        <v>1.338327557730834</v>
      </c>
      <c r="H21" s="73">
        <f t="shared" si="3"/>
        <v>0.1078094941515661</v>
      </c>
      <c r="I21" s="73">
        <f t="shared" si="3"/>
        <v>1.4252686321041648</v>
      </c>
      <c r="J21" s="73">
        <f t="shared" si="3"/>
        <v>0.26344345648809941</v>
      </c>
      <c r="K21" s="69">
        <f t="shared" si="3"/>
        <v>0.28501188582176018</v>
      </c>
      <c r="L21" s="74">
        <f t="shared" si="3"/>
        <v>0.16603049568937614</v>
      </c>
      <c r="M21" s="74">
        <f t="shared" si="3"/>
        <v>0.23320224404972695</v>
      </c>
    </row>
    <row r="22" spans="1:15" x14ac:dyDescent="0.25">
      <c r="A22" s="7" t="s">
        <v>7</v>
      </c>
      <c r="B22" s="7" t="s">
        <v>16</v>
      </c>
      <c r="C22" s="7" t="s">
        <v>23</v>
      </c>
      <c r="D22" s="59">
        <f t="shared" ref="D22:M22" si="4">D11*1000/D$3</f>
        <v>2.3787074757721212E-3</v>
      </c>
      <c r="E22" s="73">
        <f t="shared" si="4"/>
        <v>2.1243523993416469E-3</v>
      </c>
      <c r="F22" s="73">
        <f t="shared" si="4"/>
        <v>1.597991644101693E-3</v>
      </c>
      <c r="G22" s="73">
        <f t="shared" si="4"/>
        <v>1.6488635208182761E-3</v>
      </c>
      <c r="H22" s="73">
        <f t="shared" si="4"/>
        <v>2.9587511259434947E-3</v>
      </c>
      <c r="I22" s="73">
        <f t="shared" si="4"/>
        <v>1.3492603017710616E-3</v>
      </c>
      <c r="J22" s="73">
        <f t="shared" si="4"/>
        <v>7.9963866327903074E-3</v>
      </c>
      <c r="K22" s="69">
        <f t="shared" si="4"/>
        <v>2.0653035204475376E-3</v>
      </c>
      <c r="L22" s="74">
        <f t="shared" si="4"/>
        <v>1.3708940011049405E-3</v>
      </c>
      <c r="M22" s="74">
        <f t="shared" si="4"/>
        <v>1.6401692356438596E-3</v>
      </c>
      <c r="O22" s="63"/>
    </row>
    <row r="23" spans="1:15" x14ac:dyDescent="0.25">
      <c r="A23" s="7" t="s">
        <v>6</v>
      </c>
      <c r="B23" s="7" t="s">
        <v>16</v>
      </c>
      <c r="C23" s="7" t="s">
        <v>23</v>
      </c>
      <c r="D23" s="59">
        <f t="shared" ref="D23:M23" si="5">D12*1000/D$3</f>
        <v>0.10902409263955555</v>
      </c>
      <c r="E23" s="73">
        <f t="shared" si="5"/>
        <v>0.24511758453942079</v>
      </c>
      <c r="F23" s="73">
        <f t="shared" si="5"/>
        <v>0.15979916441016931</v>
      </c>
      <c r="G23" s="73">
        <f t="shared" si="5"/>
        <v>0.2198484694424368</v>
      </c>
      <c r="H23" s="73">
        <f t="shared" si="5"/>
        <v>0.18492194537146844</v>
      </c>
      <c r="I23" s="73">
        <f t="shared" si="5"/>
        <v>0.15741370187329051</v>
      </c>
      <c r="J23" s="73">
        <f t="shared" si="5"/>
        <v>0.51851569571999656</v>
      </c>
      <c r="K23" s="69">
        <f t="shared" si="5"/>
        <v>0.17523787446221531</v>
      </c>
      <c r="L23" s="74">
        <f t="shared" si="5"/>
        <v>0.10662508897482871</v>
      </c>
      <c r="M23" s="74">
        <f t="shared" si="5"/>
        <v>0.10437440590460925</v>
      </c>
      <c r="O23" s="63"/>
    </row>
    <row r="24" spans="1:15" x14ac:dyDescent="0.25">
      <c r="A24" s="7" t="s">
        <v>189</v>
      </c>
      <c r="B24" s="7" t="s">
        <v>16</v>
      </c>
      <c r="C24" s="7" t="s">
        <v>23</v>
      </c>
      <c r="D24" s="59">
        <f t="shared" ref="D24:M24" si="6">D13*1000/D$3</f>
        <v>5.3520918204872724E-2</v>
      </c>
      <c r="E24" s="73">
        <f t="shared" si="6"/>
        <v>4.5755282447358547E-2</v>
      </c>
      <c r="F24" s="73">
        <f t="shared" si="6"/>
        <v>7.9899582205084654E-2</v>
      </c>
      <c r="G24" s="73">
        <f t="shared" si="6"/>
        <v>9.8931811249096557E-2</v>
      </c>
      <c r="H24" s="73">
        <f t="shared" si="6"/>
        <v>5.3627364157725843E-2</v>
      </c>
      <c r="I24" s="73">
        <f t="shared" si="6"/>
        <v>3.3731507544276541E-2</v>
      </c>
      <c r="J24" s="73">
        <f t="shared" si="6"/>
        <v>0.16867378053542056</v>
      </c>
      <c r="K24" s="69">
        <f t="shared" si="6"/>
        <v>6.2584955165076894E-2</v>
      </c>
      <c r="L24" s="74">
        <f t="shared" si="6"/>
        <v>3.5795565584406781E-2</v>
      </c>
      <c r="M24" s="74">
        <f t="shared" si="6"/>
        <v>3.7276573537360448E-2</v>
      </c>
      <c r="O24" s="63"/>
    </row>
    <row r="25" spans="1:15" x14ac:dyDescent="0.25">
      <c r="A25" s="7" t="s">
        <v>166</v>
      </c>
      <c r="B25" s="7" t="s">
        <v>139</v>
      </c>
      <c r="C25" s="7" t="s">
        <v>138</v>
      </c>
      <c r="D25" s="59">
        <f t="shared" ref="D25:M25" si="7">D14*1000/D$3</f>
        <v>2.7664367943229768</v>
      </c>
      <c r="E25" s="73">
        <f t="shared" si="7"/>
        <v>12.968190927642596</v>
      </c>
      <c r="F25" s="73">
        <f t="shared" si="7"/>
        <v>2.0286503921870991</v>
      </c>
      <c r="G25" s="73">
        <f t="shared" si="7"/>
        <v>2.6085020899345128</v>
      </c>
      <c r="H25" s="73">
        <f t="shared" si="7"/>
        <v>4.9283547660950049</v>
      </c>
      <c r="I25" s="73">
        <f t="shared" si="7"/>
        <v>5.051180816396931</v>
      </c>
      <c r="J25" s="73">
        <f t="shared" si="7"/>
        <v>15.393419098744754</v>
      </c>
      <c r="K25" s="69">
        <f t="shared" si="7"/>
        <v>2.948940502423258</v>
      </c>
      <c r="L25" s="74">
        <f t="shared" si="7"/>
        <v>1.8343323342562496</v>
      </c>
      <c r="M25" s="74">
        <f t="shared" si="7"/>
        <v>3.133766984138818</v>
      </c>
    </row>
    <row r="29" spans="1:15" x14ac:dyDescent="0.25">
      <c r="D29" s="79"/>
    </row>
  </sheetData>
  <mergeCells count="6">
    <mergeCell ref="A16:C16"/>
    <mergeCell ref="D16:M16"/>
    <mergeCell ref="A5:C5"/>
    <mergeCell ref="D5:M5"/>
    <mergeCell ref="A1:C1"/>
    <mergeCell ref="D1:M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4CB3-4C05-4E31-AFB2-6F2A7587F187}">
  <dimension ref="A1:V13"/>
  <sheetViews>
    <sheetView tabSelected="1" workbookViewId="0">
      <pane xSplit="1" ySplit="2" topLeftCell="F3" activePane="bottomRight" state="frozenSplit"/>
      <selection pane="topRight" activeCell="B1" sqref="B1"/>
      <selection pane="bottomLeft" activeCell="A2" sqref="A2"/>
      <selection pane="bottomRight" activeCell="M11" sqref="M11"/>
    </sheetView>
  </sheetViews>
  <sheetFormatPr defaultRowHeight="15.75" x14ac:dyDescent="0.25"/>
  <cols>
    <col min="1" max="1" width="22.7109375" style="7" bestFit="1" customWidth="1"/>
    <col min="2" max="2" width="35.7109375" style="7" customWidth="1"/>
    <col min="3" max="3" width="73.28515625" style="7" customWidth="1"/>
    <col min="4" max="4" width="29.140625" style="65" bestFit="1" customWidth="1"/>
    <col min="5" max="5" width="14.28515625" style="58" bestFit="1" customWidth="1"/>
    <col min="6" max="6" width="26.28515625" style="58" bestFit="1" customWidth="1"/>
    <col min="7" max="7" width="25.5703125" style="66" bestFit="1" customWidth="1"/>
    <col min="8" max="8" width="30.5703125" style="66" bestFit="1" customWidth="1"/>
    <col min="9" max="9" width="11.28515625" style="65" bestFit="1" customWidth="1"/>
    <col min="10" max="10" width="35.5703125" style="67" customWidth="1"/>
    <col min="11" max="11" width="33.42578125" style="67" customWidth="1"/>
    <col min="12" max="12" width="29.28515625" style="58" bestFit="1" customWidth="1"/>
    <col min="13" max="13" width="22" style="51" bestFit="1" customWidth="1"/>
    <col min="14" max="14" width="20.42578125" style="7" bestFit="1" customWidth="1"/>
    <col min="15" max="15" width="25.5703125" style="7" bestFit="1" customWidth="1"/>
    <col min="16" max="17" width="24.5703125" style="7" bestFit="1" customWidth="1"/>
    <col min="18" max="18" width="56.28515625" style="51" bestFit="1" customWidth="1"/>
    <col min="19" max="20" width="63.5703125" style="7" bestFit="1" customWidth="1"/>
    <col min="21" max="21" width="63.28515625" style="7" bestFit="1" customWidth="1"/>
    <col min="22" max="22" width="46.42578125" style="7" customWidth="1"/>
    <col min="23" max="16384" width="9.140625" style="7"/>
  </cols>
  <sheetData>
    <row r="1" spans="1:22" s="11" customFormat="1" x14ac:dyDescent="0.25">
      <c r="A1" s="80" t="s">
        <v>30</v>
      </c>
      <c r="B1" s="80"/>
      <c r="C1" s="80"/>
      <c r="D1" s="81" t="s">
        <v>133</v>
      </c>
      <c r="E1" s="82"/>
      <c r="F1" s="82"/>
      <c r="G1" s="82"/>
      <c r="H1" s="82"/>
      <c r="I1" s="81" t="s">
        <v>136</v>
      </c>
      <c r="J1" s="82"/>
      <c r="K1" s="82"/>
      <c r="L1" s="82"/>
      <c r="M1" s="81" t="s">
        <v>137</v>
      </c>
      <c r="N1" s="82"/>
      <c r="O1" s="82"/>
      <c r="P1" s="82"/>
      <c r="Q1" s="82"/>
      <c r="R1" s="81" t="s">
        <v>0</v>
      </c>
      <c r="S1" s="82"/>
      <c r="T1" s="82"/>
      <c r="U1" s="82"/>
      <c r="V1" s="82"/>
    </row>
    <row r="2" spans="1:22" s="5" customFormat="1" ht="18.75" x14ac:dyDescent="0.35">
      <c r="A2" s="5" t="s">
        <v>8</v>
      </c>
      <c r="B2" s="5" t="s">
        <v>9</v>
      </c>
      <c r="C2" s="5" t="s">
        <v>10</v>
      </c>
      <c r="D2" s="35" t="s">
        <v>159</v>
      </c>
      <c r="E2" s="6" t="s">
        <v>11</v>
      </c>
      <c r="F2" s="5" t="s">
        <v>163</v>
      </c>
      <c r="G2" s="6" t="s">
        <v>131</v>
      </c>
      <c r="H2" s="6" t="s">
        <v>132</v>
      </c>
      <c r="I2" s="35" t="s">
        <v>12</v>
      </c>
      <c r="J2" s="6" t="s">
        <v>160</v>
      </c>
      <c r="K2" s="6" t="s">
        <v>134</v>
      </c>
      <c r="L2" s="6" t="s">
        <v>135</v>
      </c>
      <c r="M2" s="37" t="s">
        <v>13</v>
      </c>
      <c r="N2" s="5" t="s">
        <v>14</v>
      </c>
      <c r="O2" s="5" t="s">
        <v>164</v>
      </c>
      <c r="P2" s="5" t="s">
        <v>15</v>
      </c>
      <c r="Q2" s="5" t="s">
        <v>31</v>
      </c>
      <c r="R2" s="37" t="s">
        <v>175</v>
      </c>
      <c r="S2" s="5" t="s">
        <v>176</v>
      </c>
      <c r="T2" s="5" t="s">
        <v>177</v>
      </c>
      <c r="U2" s="5" t="s">
        <v>178</v>
      </c>
      <c r="V2" s="5" t="s">
        <v>179</v>
      </c>
    </row>
    <row r="3" spans="1:22" x14ac:dyDescent="0.25">
      <c r="A3" s="7" t="s">
        <v>2</v>
      </c>
      <c r="B3" s="7" t="s">
        <v>16</v>
      </c>
      <c r="C3" s="7" t="s">
        <v>17</v>
      </c>
      <c r="D3" s="57">
        <f>(17527+15411)*1000*0.81</f>
        <v>26679780</v>
      </c>
      <c r="E3" s="58">
        <v>319</v>
      </c>
      <c r="F3" s="58">
        <f>8760-(2193)</f>
        <v>6567</v>
      </c>
      <c r="G3" s="10">
        <v>0.40400000000000003</v>
      </c>
      <c r="H3" s="58">
        <v>0.115</v>
      </c>
      <c r="I3" s="59">
        <f t="shared" ref="I3:I10" si="0">D3*E3*(0.000000001)</f>
        <v>8.5108498200000007</v>
      </c>
      <c r="J3" s="60">
        <f>G3*H3</f>
        <v>4.6460000000000008E-2</v>
      </c>
      <c r="K3" s="60">
        <f>(F3*J3)/1000</f>
        <v>0.30510282000000005</v>
      </c>
      <c r="L3" s="61">
        <f>E3/K3</f>
        <v>1045.549169293158</v>
      </c>
      <c r="M3" s="51" t="s">
        <v>129</v>
      </c>
      <c r="N3" s="7" t="s">
        <v>129</v>
      </c>
      <c r="O3" s="7" t="s">
        <v>129</v>
      </c>
      <c r="P3" s="52" t="s">
        <v>170</v>
      </c>
      <c r="Q3" s="52" t="s">
        <v>111</v>
      </c>
      <c r="U3" s="52"/>
      <c r="V3" s="52"/>
    </row>
    <row r="4" spans="1:22" x14ac:dyDescent="0.25">
      <c r="A4" s="7" t="s">
        <v>3</v>
      </c>
      <c r="B4" s="7" t="s">
        <v>19</v>
      </c>
      <c r="C4" s="7" t="s">
        <v>20</v>
      </c>
      <c r="D4" s="57">
        <f>(6839+5176)*1000*1.31</f>
        <v>15739650</v>
      </c>
      <c r="E4" s="58">
        <v>14</v>
      </c>
      <c r="F4" s="58">
        <f>8760-(6854)</f>
        <v>1906</v>
      </c>
      <c r="G4" s="10">
        <v>0.39700000000000002</v>
      </c>
      <c r="H4" s="58">
        <v>0.32200000000000001</v>
      </c>
      <c r="I4" s="59">
        <f t="shared" si="0"/>
        <v>0.22035510000000003</v>
      </c>
      <c r="J4" s="60">
        <f t="shared" ref="J4:J10" si="1">G4*H4</f>
        <v>0.127834</v>
      </c>
      <c r="K4" s="60">
        <f>(F4*J4)/1000</f>
        <v>0.24365160400000002</v>
      </c>
      <c r="L4" s="61">
        <f t="shared" ref="L4:L10" si="2">E4/K4</f>
        <v>57.459092286542052</v>
      </c>
      <c r="M4" s="51" t="s">
        <v>129</v>
      </c>
      <c r="N4" s="7" t="s">
        <v>129</v>
      </c>
      <c r="O4" s="7" t="s">
        <v>129</v>
      </c>
      <c r="P4" s="52" t="s">
        <v>170</v>
      </c>
      <c r="Q4" s="52" t="s">
        <v>111</v>
      </c>
      <c r="U4" s="52"/>
      <c r="V4" s="52"/>
    </row>
    <row r="5" spans="1:22" x14ac:dyDescent="0.25">
      <c r="A5" s="7" t="s">
        <v>4</v>
      </c>
      <c r="B5" s="7" t="s">
        <v>21</v>
      </c>
      <c r="C5" s="7" t="s">
        <v>22</v>
      </c>
      <c r="D5" s="57">
        <f>(15988+13933)*1000*1.22</f>
        <v>36503620</v>
      </c>
      <c r="E5" s="58">
        <v>53</v>
      </c>
      <c r="F5" s="58">
        <f>8760-(2659)</f>
        <v>6101</v>
      </c>
      <c r="G5" s="10">
        <v>0.34</v>
      </c>
      <c r="H5" s="58">
        <v>0.55800000000000005</v>
      </c>
      <c r="I5" s="59">
        <f t="shared" si="0"/>
        <v>1.93469186</v>
      </c>
      <c r="J5" s="60">
        <f t="shared" si="1"/>
        <v>0.18972000000000003</v>
      </c>
      <c r="K5" s="60">
        <f t="shared" ref="K5:K10" si="3">(F5*J5)/1000</f>
        <v>1.1574817200000003</v>
      </c>
      <c r="L5" s="61">
        <f t="shared" si="2"/>
        <v>45.789060063946401</v>
      </c>
      <c r="M5" s="51" t="s">
        <v>129</v>
      </c>
      <c r="N5" s="7" t="s">
        <v>129</v>
      </c>
      <c r="O5" s="7" t="s">
        <v>129</v>
      </c>
      <c r="P5" s="52" t="s">
        <v>170</v>
      </c>
      <c r="Q5" s="52" t="s">
        <v>171</v>
      </c>
      <c r="U5" s="52"/>
      <c r="V5" s="52"/>
    </row>
    <row r="6" spans="1:22" x14ac:dyDescent="0.25">
      <c r="A6" s="7" t="s">
        <v>5</v>
      </c>
      <c r="B6" s="7" t="s">
        <v>21</v>
      </c>
      <c r="C6" s="7" t="s">
        <v>22</v>
      </c>
      <c r="D6" s="57">
        <f>(1516+1437)*1000*1.26+(632+632)*1000*1.26</f>
        <v>5313420</v>
      </c>
      <c r="E6" s="61">
        <f>(((1516+1437)*1000*1.26)*139+((632+632)*1000*1.26)*258)/D6</f>
        <v>174.66895897557507</v>
      </c>
      <c r="F6" s="58">
        <v>8760</v>
      </c>
      <c r="G6" s="70">
        <f>(((1516+1437)*1000*1.26)*(2221/8760)+((632+632)*1000*1.26)*(3066/8760))/D6</f>
        <v>0.2824520071508777</v>
      </c>
      <c r="H6" s="53">
        <v>0.55800000000000005</v>
      </c>
      <c r="I6" s="59">
        <f t="shared" si="0"/>
        <v>0.92808954000000021</v>
      </c>
      <c r="J6" s="60">
        <f t="shared" si="1"/>
        <v>0.15760821999018979</v>
      </c>
      <c r="K6" s="60">
        <f t="shared" si="3"/>
        <v>1.3806480071140625</v>
      </c>
      <c r="L6" s="61">
        <f t="shared" si="2"/>
        <v>126.51230297335644</v>
      </c>
      <c r="M6" s="51" t="s">
        <v>129</v>
      </c>
      <c r="N6" s="7" t="s">
        <v>129</v>
      </c>
      <c r="O6" s="7" t="s">
        <v>129</v>
      </c>
      <c r="P6" s="7" t="s">
        <v>129</v>
      </c>
      <c r="Q6" s="52"/>
      <c r="R6" s="51" t="s">
        <v>199</v>
      </c>
      <c r="S6" s="7" t="s">
        <v>200</v>
      </c>
      <c r="T6" s="7" t="s">
        <v>198</v>
      </c>
      <c r="U6" s="52" t="s">
        <v>202</v>
      </c>
      <c r="V6" s="52" t="s">
        <v>201</v>
      </c>
    </row>
    <row r="7" spans="1:22" x14ac:dyDescent="0.25">
      <c r="A7" s="7" t="s">
        <v>7</v>
      </c>
      <c r="B7" s="7" t="s">
        <v>16</v>
      </c>
      <c r="C7" s="7" t="s">
        <v>23</v>
      </c>
      <c r="D7" s="57">
        <f>(46+82)*1000*0.8</f>
        <v>102400</v>
      </c>
      <c r="E7" s="58">
        <v>180</v>
      </c>
      <c r="F7" s="53">
        <v>8760</v>
      </c>
      <c r="G7" s="55">
        <v>0.11700000000000001</v>
      </c>
      <c r="H7" s="56">
        <v>0.27100000000000002</v>
      </c>
      <c r="I7" s="59">
        <f t="shared" si="0"/>
        <v>1.8432E-2</v>
      </c>
      <c r="J7" s="60">
        <f t="shared" si="1"/>
        <v>3.1707000000000006E-2</v>
      </c>
      <c r="K7" s="60">
        <f t="shared" si="3"/>
        <v>0.27775332000000003</v>
      </c>
      <c r="L7" s="61">
        <f t="shared" si="2"/>
        <v>648.05706012803012</v>
      </c>
      <c r="M7" s="51" t="s">
        <v>185</v>
      </c>
      <c r="N7" s="62" t="s">
        <v>185</v>
      </c>
      <c r="P7" s="52"/>
      <c r="Q7" s="52"/>
      <c r="R7" s="63"/>
      <c r="S7" s="62"/>
      <c r="T7" s="7" t="s">
        <v>182</v>
      </c>
      <c r="U7" s="7" t="s">
        <v>181</v>
      </c>
      <c r="V7" s="7" t="s">
        <v>181</v>
      </c>
    </row>
    <row r="8" spans="1:22" x14ac:dyDescent="0.25">
      <c r="A8" s="7" t="s">
        <v>6</v>
      </c>
      <c r="B8" s="7" t="s">
        <v>16</v>
      </c>
      <c r="C8" s="7" t="s">
        <v>23</v>
      </c>
      <c r="D8" s="57">
        <f>(3300+5000)*1000*0.8</f>
        <v>6640000</v>
      </c>
      <c r="E8" s="58">
        <v>243</v>
      </c>
      <c r="F8" s="53">
        <v>8760</v>
      </c>
      <c r="G8" s="54">
        <v>0.11700000000000001</v>
      </c>
      <c r="H8" s="64">
        <v>0.27100000000000002</v>
      </c>
      <c r="I8" s="59">
        <f t="shared" si="0"/>
        <v>1.6135200000000001</v>
      </c>
      <c r="J8" s="60">
        <f>G8*H8</f>
        <v>3.1707000000000006E-2</v>
      </c>
      <c r="K8" s="60">
        <f>(F8*J8)/1000</f>
        <v>0.27775332000000003</v>
      </c>
      <c r="L8" s="61">
        <f>E8/K8</f>
        <v>874.87703117284059</v>
      </c>
      <c r="M8" s="51" t="s">
        <v>185</v>
      </c>
      <c r="N8" s="62" t="s">
        <v>185</v>
      </c>
      <c r="P8" s="52" t="s">
        <v>170</v>
      </c>
      <c r="Q8" s="52" t="s">
        <v>171</v>
      </c>
      <c r="R8" s="63"/>
      <c r="S8" s="62"/>
      <c r="T8" s="7" t="s">
        <v>182</v>
      </c>
      <c r="U8" s="52"/>
      <c r="V8" s="52"/>
    </row>
    <row r="9" spans="1:22" x14ac:dyDescent="0.25">
      <c r="A9" s="7" t="s">
        <v>189</v>
      </c>
      <c r="B9" s="7" t="s">
        <v>16</v>
      </c>
      <c r="C9" s="7" t="s">
        <v>23</v>
      </c>
      <c r="D9" s="57">
        <f>(900+1800)*1000*1.49</f>
        <v>4023000</v>
      </c>
      <c r="E9" s="58">
        <v>190</v>
      </c>
      <c r="F9" s="53">
        <v>8760</v>
      </c>
      <c r="G9" s="55">
        <v>0.11700000000000001</v>
      </c>
      <c r="H9" s="56">
        <v>0.27100000000000002</v>
      </c>
      <c r="I9" s="59">
        <f t="shared" si="0"/>
        <v>0.76436999999999999</v>
      </c>
      <c r="J9" s="60">
        <f t="shared" ref="J9" si="4">G9*H9</f>
        <v>3.1707000000000006E-2</v>
      </c>
      <c r="K9" s="60">
        <f t="shared" ref="K9" si="5">(F9*J9)/1000</f>
        <v>0.27775332000000003</v>
      </c>
      <c r="L9" s="61">
        <f t="shared" ref="L9" si="6">E9/K9</f>
        <v>684.06023013514289</v>
      </c>
      <c r="M9" s="51" t="s">
        <v>185</v>
      </c>
      <c r="N9" s="62" t="s">
        <v>185</v>
      </c>
      <c r="P9" s="52"/>
      <c r="Q9" s="52"/>
      <c r="R9" s="63"/>
      <c r="S9" s="62"/>
      <c r="T9" s="7" t="s">
        <v>182</v>
      </c>
      <c r="U9" s="7" t="s">
        <v>181</v>
      </c>
      <c r="V9" s="7" t="s">
        <v>181</v>
      </c>
    </row>
    <row r="10" spans="1:22" x14ac:dyDescent="0.25">
      <c r="A10" s="7" t="s">
        <v>166</v>
      </c>
      <c r="B10" s="7" t="s">
        <v>139</v>
      </c>
      <c r="C10" s="7" t="s">
        <v>138</v>
      </c>
      <c r="D10" s="57">
        <f>(133558+112848)*1000*0.8</f>
        <v>197124800</v>
      </c>
      <c r="E10" s="58">
        <v>36</v>
      </c>
      <c r="F10" s="58">
        <v>8760</v>
      </c>
      <c r="G10" s="58">
        <v>0.57299999999999995</v>
      </c>
      <c r="H10" s="58">
        <v>0.22500000000000001</v>
      </c>
      <c r="I10" s="59">
        <f t="shared" si="0"/>
        <v>7.0964928</v>
      </c>
      <c r="J10" s="60">
        <f t="shared" si="1"/>
        <v>0.12892499999999998</v>
      </c>
      <c r="K10" s="60">
        <f t="shared" si="3"/>
        <v>1.1293829999999998</v>
      </c>
      <c r="L10" s="61">
        <f t="shared" si="2"/>
        <v>31.875811837082733</v>
      </c>
      <c r="M10" s="51" t="s">
        <v>129</v>
      </c>
      <c r="N10" s="7" t="s">
        <v>129</v>
      </c>
      <c r="O10" s="7" t="s">
        <v>129</v>
      </c>
      <c r="P10" s="52" t="s">
        <v>111</v>
      </c>
      <c r="Q10" s="52" t="s">
        <v>111</v>
      </c>
      <c r="U10" s="52" t="s">
        <v>180</v>
      </c>
      <c r="V10" s="52" t="s">
        <v>180</v>
      </c>
    </row>
    <row r="13" spans="1:22" x14ac:dyDescent="0.25">
      <c r="G13" s="58"/>
      <c r="H13" s="58"/>
    </row>
  </sheetData>
  <mergeCells count="5">
    <mergeCell ref="A1:C1"/>
    <mergeCell ref="D1:H1"/>
    <mergeCell ref="I1:L1"/>
    <mergeCell ref="M1:Q1"/>
    <mergeCell ref="R1:V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70FC-CF40-40C7-ADCF-45669F11F644}">
  <dimension ref="B2:K55"/>
  <sheetViews>
    <sheetView workbookViewId="0">
      <selection activeCell="M6" sqref="M6:M12"/>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37.140625" style="1" customWidth="1"/>
    <col min="7" max="7" width="22.42578125" style="1" bestFit="1" customWidth="1"/>
    <col min="8" max="8" width="3.42578125" style="1" customWidth="1"/>
    <col min="9" max="9" width="9.140625" style="1"/>
    <col min="10" max="10" width="16.7109375" style="1" customWidth="1"/>
    <col min="11" max="11" width="16.42578125" style="1" customWidth="1"/>
    <col min="12" max="16384" width="9.140625" style="1"/>
  </cols>
  <sheetData>
    <row r="2" spans="2:11" x14ac:dyDescent="0.25">
      <c r="B2" s="83" t="s">
        <v>172</v>
      </c>
      <c r="C2" s="87"/>
      <c r="D2" s="84"/>
      <c r="F2" s="83" t="s">
        <v>112</v>
      </c>
      <c r="G2" s="84"/>
      <c r="I2" s="83" t="s">
        <v>155</v>
      </c>
      <c r="J2" s="87"/>
      <c r="K2" s="84"/>
    </row>
    <row r="3" spans="2:11" ht="30" customHeight="1" x14ac:dyDescent="0.25">
      <c r="B3" s="85" t="s">
        <v>84</v>
      </c>
      <c r="C3" s="88"/>
      <c r="D3" s="86"/>
      <c r="F3" s="85" t="s">
        <v>114</v>
      </c>
      <c r="G3" s="86"/>
      <c r="I3" s="85" t="s">
        <v>156</v>
      </c>
      <c r="J3" s="88"/>
      <c r="K3" s="86"/>
    </row>
    <row r="4" spans="2:11" ht="75" customHeight="1" x14ac:dyDescent="0.25">
      <c r="B4" s="85" t="s">
        <v>86</v>
      </c>
      <c r="C4" s="88"/>
      <c r="D4" s="86"/>
      <c r="F4" s="85" t="s">
        <v>122</v>
      </c>
      <c r="G4" s="86"/>
      <c r="I4" s="85" t="s">
        <v>157</v>
      </c>
      <c r="J4" s="88"/>
      <c r="K4" s="86"/>
    </row>
    <row r="5" spans="2:11" x14ac:dyDescent="0.25">
      <c r="B5" s="12" t="s">
        <v>82</v>
      </c>
      <c r="C5" s="13" t="s">
        <v>32</v>
      </c>
      <c r="D5" s="14" t="s">
        <v>33</v>
      </c>
      <c r="F5" s="12" t="s">
        <v>113</v>
      </c>
      <c r="G5" s="16" t="s">
        <v>121</v>
      </c>
      <c r="I5" s="40" t="s">
        <v>153</v>
      </c>
      <c r="J5" s="15" t="s">
        <v>154</v>
      </c>
      <c r="K5" s="16" t="s">
        <v>158</v>
      </c>
    </row>
    <row r="6" spans="2:11" x14ac:dyDescent="0.25">
      <c r="B6" s="3" t="s">
        <v>34</v>
      </c>
      <c r="C6" s="4">
        <v>0.34</v>
      </c>
      <c r="D6" s="2">
        <v>0.28999999999999998</v>
      </c>
      <c r="F6" s="3" t="s">
        <v>115</v>
      </c>
      <c r="G6" s="26">
        <v>2E-3</v>
      </c>
      <c r="I6" s="44">
        <v>2012</v>
      </c>
      <c r="J6" s="45">
        <v>75757000</v>
      </c>
      <c r="K6" s="48">
        <f>J6/J$6</f>
        <v>1</v>
      </c>
    </row>
    <row r="7" spans="2:11" x14ac:dyDescent="0.25">
      <c r="B7" s="3" t="s">
        <v>35</v>
      </c>
      <c r="C7" s="4">
        <v>0.34</v>
      </c>
      <c r="D7" s="2">
        <v>0.3</v>
      </c>
      <c r="F7" s="3" t="s">
        <v>119</v>
      </c>
      <c r="G7" s="26">
        <v>4.5999999999999999E-2</v>
      </c>
      <c r="I7" s="41">
        <v>2015</v>
      </c>
      <c r="J7" s="46">
        <v>72424000</v>
      </c>
      <c r="K7" s="25">
        <f t="shared" ref="K7:K12" si="0">J7/J$6</f>
        <v>0.95600406563089879</v>
      </c>
    </row>
    <row r="8" spans="2:11" x14ac:dyDescent="0.25">
      <c r="B8" s="3" t="s">
        <v>36</v>
      </c>
      <c r="C8" s="4">
        <v>0.34</v>
      </c>
      <c r="D8" s="2">
        <v>0.3</v>
      </c>
      <c r="F8" s="3" t="s">
        <v>116</v>
      </c>
      <c r="G8" s="26">
        <v>7.0000000000000007E-2</v>
      </c>
      <c r="I8" s="41">
        <v>2018</v>
      </c>
      <c r="J8" s="46">
        <v>68845000</v>
      </c>
      <c r="K8" s="25">
        <f t="shared" si="0"/>
        <v>0.90876090658288999</v>
      </c>
    </row>
    <row r="9" spans="2:11" x14ac:dyDescent="0.25">
      <c r="B9" s="3" t="s">
        <v>37</v>
      </c>
      <c r="C9" s="4">
        <v>0.35</v>
      </c>
      <c r="D9" s="2">
        <v>0.31</v>
      </c>
      <c r="F9" s="3" t="s">
        <v>117</v>
      </c>
      <c r="G9" s="26">
        <v>7.2999999999999995E-2</v>
      </c>
      <c r="I9" s="24">
        <v>2020</v>
      </c>
      <c r="J9" s="50">
        <v>61161000</v>
      </c>
      <c r="K9" s="19">
        <f t="shared" si="0"/>
        <v>0.80733133571815141</v>
      </c>
    </row>
    <row r="10" spans="2:11" x14ac:dyDescent="0.25">
      <c r="B10" s="3" t="s">
        <v>38</v>
      </c>
      <c r="C10" s="4">
        <v>0.35</v>
      </c>
      <c r="D10" s="2">
        <v>0.3</v>
      </c>
      <c r="F10" s="3" t="s">
        <v>120</v>
      </c>
      <c r="G10" s="26">
        <v>0.115</v>
      </c>
      <c r="I10" s="41">
        <v>2030</v>
      </c>
      <c r="J10" s="46">
        <v>50080000</v>
      </c>
      <c r="K10" s="25">
        <f t="shared" si="0"/>
        <v>0.66106102406378286</v>
      </c>
    </row>
    <row r="11" spans="2:11" x14ac:dyDescent="0.25">
      <c r="B11" s="3" t="s">
        <v>39</v>
      </c>
      <c r="C11" s="4">
        <v>0.36</v>
      </c>
      <c r="D11" s="2">
        <v>0.31</v>
      </c>
      <c r="F11" s="3" t="s">
        <v>118</v>
      </c>
      <c r="G11" s="26">
        <v>0.115</v>
      </c>
      <c r="I11" s="41">
        <v>2040</v>
      </c>
      <c r="J11" s="46">
        <v>38142000</v>
      </c>
      <c r="K11" s="25">
        <f t="shared" si="0"/>
        <v>0.50347822643452089</v>
      </c>
    </row>
    <row r="12" spans="2:11" ht="18" x14ac:dyDescent="0.25">
      <c r="B12" s="3" t="s">
        <v>40</v>
      </c>
      <c r="C12" s="4">
        <v>0.35</v>
      </c>
      <c r="D12" s="2">
        <v>0.31</v>
      </c>
      <c r="F12" s="24" t="s">
        <v>124</v>
      </c>
      <c r="G12" s="31">
        <f>G9/G11</f>
        <v>0.63478260869565206</v>
      </c>
      <c r="I12" s="42">
        <v>2050</v>
      </c>
      <c r="J12" s="47">
        <v>29003000</v>
      </c>
      <c r="K12" s="49">
        <f t="shared" si="0"/>
        <v>0.38284250960307298</v>
      </c>
    </row>
    <row r="13" spans="2:11" ht="18" x14ac:dyDescent="0.25">
      <c r="B13" s="3" t="s">
        <v>41</v>
      </c>
      <c r="C13" s="4">
        <v>0.35</v>
      </c>
      <c r="D13" s="2">
        <v>0.3</v>
      </c>
      <c r="F13" s="23" t="s">
        <v>108</v>
      </c>
      <c r="G13" s="32">
        <f>G11</f>
        <v>0.115</v>
      </c>
    </row>
    <row r="14" spans="2:11" x14ac:dyDescent="0.25">
      <c r="B14" s="3" t="s">
        <v>42</v>
      </c>
      <c r="C14" s="4">
        <v>0.35</v>
      </c>
      <c r="D14" s="2">
        <v>0.3</v>
      </c>
    </row>
    <row r="15" spans="2:11" x14ac:dyDescent="0.25">
      <c r="B15" s="3" t="s">
        <v>43</v>
      </c>
      <c r="C15" s="4">
        <v>0.34</v>
      </c>
      <c r="D15" s="2">
        <v>0.3</v>
      </c>
    </row>
    <row r="16" spans="2:11" x14ac:dyDescent="0.25">
      <c r="B16" s="3" t="s">
        <v>44</v>
      </c>
      <c r="C16" s="4">
        <v>0.34</v>
      </c>
      <c r="D16" s="2">
        <v>0.3</v>
      </c>
    </row>
    <row r="17" spans="2:4" x14ac:dyDescent="0.25">
      <c r="B17" s="3" t="s">
        <v>45</v>
      </c>
      <c r="C17" s="4">
        <v>0.34</v>
      </c>
      <c r="D17" s="2">
        <v>0.3</v>
      </c>
    </row>
    <row r="18" spans="2:4" x14ac:dyDescent="0.25">
      <c r="B18" s="3" t="s">
        <v>46</v>
      </c>
      <c r="C18" s="4">
        <v>0.35</v>
      </c>
      <c r="D18" s="2">
        <v>0.3</v>
      </c>
    </row>
    <row r="19" spans="2:4" x14ac:dyDescent="0.25">
      <c r="B19" s="3" t="s">
        <v>47</v>
      </c>
      <c r="C19" s="4">
        <v>0.39</v>
      </c>
      <c r="D19" s="2">
        <v>0.3</v>
      </c>
    </row>
    <row r="20" spans="2:4" x14ac:dyDescent="0.25">
      <c r="B20" s="3" t="s">
        <v>48</v>
      </c>
      <c r="C20" s="4">
        <v>0.46</v>
      </c>
      <c r="D20" s="2">
        <v>0.3</v>
      </c>
    </row>
    <row r="21" spans="2:4" x14ac:dyDescent="0.25">
      <c r="B21" s="3" t="s">
        <v>49</v>
      </c>
      <c r="C21" s="4">
        <v>0.54</v>
      </c>
      <c r="D21" s="2">
        <v>0.3</v>
      </c>
    </row>
    <row r="22" spans="2:4" x14ac:dyDescent="0.25">
      <c r="B22" s="3" t="s">
        <v>50</v>
      </c>
      <c r="C22" s="4">
        <v>0.56000000000000005</v>
      </c>
      <c r="D22" s="2">
        <v>0.3</v>
      </c>
    </row>
    <row r="23" spans="2:4" x14ac:dyDescent="0.25">
      <c r="B23" s="3" t="s">
        <v>51</v>
      </c>
      <c r="C23" s="4">
        <v>0.59</v>
      </c>
      <c r="D23" s="2">
        <v>0.3</v>
      </c>
    </row>
    <row r="24" spans="2:4" x14ac:dyDescent="0.25">
      <c r="B24" s="3" t="s">
        <v>52</v>
      </c>
      <c r="C24" s="4">
        <v>0.6</v>
      </c>
      <c r="D24" s="2">
        <v>0.31</v>
      </c>
    </row>
    <row r="25" spans="2:4" x14ac:dyDescent="0.25">
      <c r="B25" s="3" t="s">
        <v>53</v>
      </c>
      <c r="C25" s="4">
        <v>0.61</v>
      </c>
      <c r="D25" s="2">
        <v>0.32</v>
      </c>
    </row>
    <row r="26" spans="2:4" x14ac:dyDescent="0.25">
      <c r="B26" s="3" t="s">
        <v>54</v>
      </c>
      <c r="C26" s="4">
        <v>0.63</v>
      </c>
      <c r="D26" s="2">
        <v>0.32</v>
      </c>
    </row>
    <row r="27" spans="2:4" x14ac:dyDescent="0.25">
      <c r="B27" s="3" t="s">
        <v>55</v>
      </c>
      <c r="C27" s="4">
        <v>0.62</v>
      </c>
      <c r="D27" s="2">
        <v>0.32</v>
      </c>
    </row>
    <row r="28" spans="2:4" x14ac:dyDescent="0.25">
      <c r="B28" s="3" t="s">
        <v>56</v>
      </c>
      <c r="C28" s="4">
        <v>0.6</v>
      </c>
      <c r="D28" s="2">
        <v>0.32</v>
      </c>
    </row>
    <row r="29" spans="2:4" x14ac:dyDescent="0.25">
      <c r="B29" s="3" t="s">
        <v>57</v>
      </c>
      <c r="C29" s="4">
        <v>0.59</v>
      </c>
      <c r="D29" s="2">
        <v>0.32</v>
      </c>
    </row>
    <row r="30" spans="2:4" x14ac:dyDescent="0.25">
      <c r="B30" s="3" t="s">
        <v>58</v>
      </c>
      <c r="C30" s="4">
        <v>0.59</v>
      </c>
      <c r="D30" s="2">
        <v>0.32</v>
      </c>
    </row>
    <row r="31" spans="2:4" x14ac:dyDescent="0.25">
      <c r="B31" s="3" t="s">
        <v>59</v>
      </c>
      <c r="C31" s="4">
        <v>0.61</v>
      </c>
      <c r="D31" s="2">
        <v>0.32</v>
      </c>
    </row>
    <row r="32" spans="2:4" x14ac:dyDescent="0.25">
      <c r="B32" s="3" t="s">
        <v>60</v>
      </c>
      <c r="C32" s="4">
        <v>0.61</v>
      </c>
      <c r="D32" s="2">
        <v>0.33</v>
      </c>
    </row>
    <row r="33" spans="2:4" x14ac:dyDescent="0.25">
      <c r="B33" s="3" t="s">
        <v>61</v>
      </c>
      <c r="C33" s="4">
        <v>0.6</v>
      </c>
      <c r="D33" s="2">
        <v>0.33</v>
      </c>
    </row>
    <row r="34" spans="2:4" x14ac:dyDescent="0.25">
      <c r="B34" s="3" t="s">
        <v>62</v>
      </c>
      <c r="C34" s="4">
        <v>0.6</v>
      </c>
      <c r="D34" s="2">
        <v>0.33</v>
      </c>
    </row>
    <row r="35" spans="2:4" x14ac:dyDescent="0.25">
      <c r="B35" s="3" t="s">
        <v>63</v>
      </c>
      <c r="C35" s="4">
        <v>0.6</v>
      </c>
      <c r="D35" s="2">
        <v>0.32</v>
      </c>
    </row>
    <row r="36" spans="2:4" x14ac:dyDescent="0.25">
      <c r="B36" s="3" t="s">
        <v>64</v>
      </c>
      <c r="C36" s="4">
        <v>0.61</v>
      </c>
      <c r="D36" s="2">
        <v>0.32</v>
      </c>
    </row>
    <row r="37" spans="2:4" x14ac:dyDescent="0.25">
      <c r="B37" s="3" t="s">
        <v>65</v>
      </c>
      <c r="C37" s="4">
        <v>0.57999999999999996</v>
      </c>
      <c r="D37" s="2">
        <v>0.32</v>
      </c>
    </row>
    <row r="38" spans="2:4" x14ac:dyDescent="0.25">
      <c r="B38" s="3" t="s">
        <v>66</v>
      </c>
      <c r="C38" s="4">
        <v>0.52</v>
      </c>
      <c r="D38" s="2">
        <v>0.31</v>
      </c>
    </row>
    <row r="39" spans="2:4" x14ac:dyDescent="0.25">
      <c r="B39" s="3" t="s">
        <v>67</v>
      </c>
      <c r="C39" s="4">
        <v>0.44</v>
      </c>
      <c r="D39" s="2">
        <v>0.31</v>
      </c>
    </row>
    <row r="40" spans="2:4" x14ac:dyDescent="0.25">
      <c r="B40" s="3" t="s">
        <v>68</v>
      </c>
      <c r="C40" s="4">
        <v>0.4</v>
      </c>
      <c r="D40" s="2">
        <v>0.31</v>
      </c>
    </row>
    <row r="41" spans="2:4" x14ac:dyDescent="0.25">
      <c r="B41" s="3" t="s">
        <v>69</v>
      </c>
      <c r="C41" s="4">
        <v>0.37</v>
      </c>
      <c r="D41" s="2">
        <v>0.31</v>
      </c>
    </row>
    <row r="42" spans="2:4" x14ac:dyDescent="0.25">
      <c r="B42" s="3" t="s">
        <v>70</v>
      </c>
      <c r="C42" s="4">
        <v>0.36</v>
      </c>
      <c r="D42" s="2">
        <v>0.3</v>
      </c>
    </row>
    <row r="43" spans="2:4" x14ac:dyDescent="0.25">
      <c r="B43" s="3" t="s">
        <v>71</v>
      </c>
      <c r="C43" s="4">
        <v>0.34</v>
      </c>
      <c r="D43" s="2">
        <v>0.3</v>
      </c>
    </row>
    <row r="44" spans="2:4" x14ac:dyDescent="0.25">
      <c r="B44" s="3" t="s">
        <v>72</v>
      </c>
      <c r="C44" s="4">
        <v>0.34</v>
      </c>
      <c r="D44" s="2">
        <v>0.3</v>
      </c>
    </row>
    <row r="45" spans="2:4" x14ac:dyDescent="0.25">
      <c r="B45" s="3" t="s">
        <v>73</v>
      </c>
      <c r="C45" s="4">
        <v>0.34</v>
      </c>
      <c r="D45" s="2">
        <v>0.3</v>
      </c>
    </row>
    <row r="46" spans="2:4" x14ac:dyDescent="0.25">
      <c r="B46" s="3" t="s">
        <v>74</v>
      </c>
      <c r="C46" s="4">
        <v>0.34</v>
      </c>
      <c r="D46" s="2">
        <v>0.3</v>
      </c>
    </row>
    <row r="47" spans="2:4" x14ac:dyDescent="0.25">
      <c r="B47" s="3" t="s">
        <v>75</v>
      </c>
      <c r="C47" s="4">
        <v>0.33</v>
      </c>
      <c r="D47" s="2">
        <v>0.3</v>
      </c>
    </row>
    <row r="48" spans="2:4" x14ac:dyDescent="0.25">
      <c r="B48" s="3" t="s">
        <v>76</v>
      </c>
      <c r="C48" s="4">
        <v>0.33</v>
      </c>
      <c r="D48" s="2">
        <v>0.3</v>
      </c>
    </row>
    <row r="49" spans="2:4" x14ac:dyDescent="0.25">
      <c r="B49" s="3" t="s">
        <v>77</v>
      </c>
      <c r="C49" s="4">
        <v>0.33</v>
      </c>
      <c r="D49" s="2">
        <v>0.3</v>
      </c>
    </row>
    <row r="50" spans="2:4" x14ac:dyDescent="0.25">
      <c r="B50" s="3" t="s">
        <v>78</v>
      </c>
      <c r="C50" s="4">
        <v>0.33</v>
      </c>
      <c r="D50" s="2">
        <v>0.3</v>
      </c>
    </row>
    <row r="51" spans="2:4" x14ac:dyDescent="0.25">
      <c r="B51" s="3" t="s">
        <v>79</v>
      </c>
      <c r="C51" s="4">
        <v>0.33</v>
      </c>
      <c r="D51" s="2">
        <v>0.3</v>
      </c>
    </row>
    <row r="52" spans="2:4" x14ac:dyDescent="0.25">
      <c r="B52" s="3" t="s">
        <v>80</v>
      </c>
      <c r="C52" s="4">
        <v>0.32</v>
      </c>
      <c r="D52" s="2">
        <v>0.3</v>
      </c>
    </row>
    <row r="53" spans="2:4" x14ac:dyDescent="0.25">
      <c r="B53" s="3" t="s">
        <v>81</v>
      </c>
      <c r="C53" s="4">
        <v>0.32</v>
      </c>
      <c r="D53" s="2">
        <v>0.3</v>
      </c>
    </row>
    <row r="54" spans="2:4" x14ac:dyDescent="0.25">
      <c r="B54" s="9" t="s">
        <v>87</v>
      </c>
      <c r="C54" s="27">
        <f>AVERAGE(C6:C53)</f>
        <v>0.44229166666666636</v>
      </c>
      <c r="D54" s="28">
        <f>AVERAGE(D6:D53)</f>
        <v>0.30750000000000022</v>
      </c>
    </row>
    <row r="55" spans="2:4" x14ac:dyDescent="0.25">
      <c r="B55" s="20" t="s">
        <v>85</v>
      </c>
      <c r="C55" s="89">
        <f>(5*C54+2*D54)/7</f>
        <v>0.40377976190476172</v>
      </c>
      <c r="D55" s="90"/>
    </row>
  </sheetData>
  <mergeCells count="10">
    <mergeCell ref="C55:D55"/>
    <mergeCell ref="B4:D4"/>
    <mergeCell ref="B2:D2"/>
    <mergeCell ref="B3:D3"/>
    <mergeCell ref="F2:G2"/>
    <mergeCell ref="F3:G3"/>
    <mergeCell ref="F4:G4"/>
    <mergeCell ref="I2:K2"/>
    <mergeCell ref="I3:K3"/>
    <mergeCell ref="I4:K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7EA7B-A883-4EEC-ABE7-2EC22803A651}">
  <dimension ref="B2:M55"/>
  <sheetViews>
    <sheetView workbookViewId="0">
      <selection activeCell="N1" sqref="N1:N1048576"/>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37.140625" style="1" customWidth="1"/>
    <col min="7" max="7" width="22.42578125" style="1" bestFit="1" customWidth="1"/>
    <col min="8" max="8" width="3.42578125" style="1" customWidth="1"/>
    <col min="9" max="9" width="9.140625" style="1"/>
    <col min="10" max="10" width="16.7109375" style="1" customWidth="1"/>
    <col min="11" max="11" width="16.42578125" style="1" customWidth="1"/>
    <col min="12" max="16384" width="9.140625" style="1"/>
  </cols>
  <sheetData>
    <row r="2" spans="2:13" x14ac:dyDescent="0.25">
      <c r="B2" s="83" t="s">
        <v>172</v>
      </c>
      <c r="C2" s="87"/>
      <c r="D2" s="84"/>
      <c r="F2" s="83" t="s">
        <v>112</v>
      </c>
      <c r="G2" s="84"/>
      <c r="I2" s="83" t="s">
        <v>161</v>
      </c>
      <c r="J2" s="87"/>
      <c r="K2" s="84"/>
    </row>
    <row r="3" spans="2:13" ht="30" customHeight="1" x14ac:dyDescent="0.25">
      <c r="B3" s="85" t="s">
        <v>152</v>
      </c>
      <c r="C3" s="88"/>
      <c r="D3" s="86"/>
      <c r="F3" s="85" t="s">
        <v>150</v>
      </c>
      <c r="G3" s="86"/>
      <c r="I3" s="85" t="s">
        <v>162</v>
      </c>
      <c r="J3" s="88"/>
      <c r="K3" s="86"/>
    </row>
    <row r="4" spans="2:13" ht="75" customHeight="1" x14ac:dyDescent="0.25">
      <c r="B4" s="85" t="s">
        <v>86</v>
      </c>
      <c r="C4" s="88"/>
      <c r="D4" s="86"/>
      <c r="F4" s="85" t="s">
        <v>122</v>
      </c>
      <c r="G4" s="86"/>
      <c r="I4" s="85" t="s">
        <v>157</v>
      </c>
      <c r="J4" s="88"/>
      <c r="K4" s="86"/>
    </row>
    <row r="5" spans="2:13" x14ac:dyDescent="0.25">
      <c r="B5" s="12" t="s">
        <v>82</v>
      </c>
      <c r="C5" s="13" t="s">
        <v>32</v>
      </c>
      <c r="D5" s="14" t="s">
        <v>33</v>
      </c>
      <c r="F5" s="12" t="s">
        <v>113</v>
      </c>
      <c r="G5" s="16" t="s">
        <v>121</v>
      </c>
      <c r="I5" s="40" t="s">
        <v>153</v>
      </c>
      <c r="J5" s="15" t="s">
        <v>154</v>
      </c>
      <c r="K5" s="16" t="s">
        <v>158</v>
      </c>
    </row>
    <row r="6" spans="2:13" x14ac:dyDescent="0.25">
      <c r="B6" s="3" t="s">
        <v>34</v>
      </c>
      <c r="C6" s="4">
        <v>0.31</v>
      </c>
      <c r="D6" s="2">
        <v>0.33</v>
      </c>
      <c r="F6" s="3" t="s">
        <v>115</v>
      </c>
      <c r="G6" s="26">
        <v>4.4000000000000004E-2</v>
      </c>
      <c r="I6" s="44">
        <v>2012</v>
      </c>
      <c r="J6" s="45">
        <v>30358000</v>
      </c>
      <c r="K6" s="48">
        <f>J6/J$6</f>
        <v>1</v>
      </c>
      <c r="M6" s="43"/>
    </row>
    <row r="7" spans="2:13" x14ac:dyDescent="0.25">
      <c r="B7" s="3" t="s">
        <v>35</v>
      </c>
      <c r="C7" s="4">
        <v>0.31</v>
      </c>
      <c r="D7" s="2">
        <v>0.33</v>
      </c>
      <c r="F7" s="3" t="s">
        <v>119</v>
      </c>
      <c r="G7" s="26">
        <v>0.1</v>
      </c>
      <c r="I7" s="41">
        <v>2015</v>
      </c>
      <c r="J7" s="46">
        <v>34803000</v>
      </c>
      <c r="K7" s="25">
        <f t="shared" ref="K7:K12" si="0">J7/J$6</f>
        <v>1.1464193952170763</v>
      </c>
      <c r="M7" s="43"/>
    </row>
    <row r="8" spans="2:13" x14ac:dyDescent="0.25">
      <c r="B8" s="3" t="s">
        <v>36</v>
      </c>
      <c r="C8" s="4">
        <v>0.31</v>
      </c>
      <c r="D8" s="2">
        <v>0.33</v>
      </c>
      <c r="F8" s="3" t="s">
        <v>116</v>
      </c>
      <c r="G8" s="26">
        <v>0.13300000000000001</v>
      </c>
      <c r="I8" s="41">
        <v>2018</v>
      </c>
      <c r="J8" s="46">
        <v>39673000</v>
      </c>
      <c r="K8" s="25">
        <f t="shared" si="0"/>
        <v>1.3068383951511957</v>
      </c>
      <c r="M8" s="43"/>
    </row>
    <row r="9" spans="2:13" x14ac:dyDescent="0.25">
      <c r="B9" s="3" t="s">
        <v>37</v>
      </c>
      <c r="C9" s="4">
        <v>0.32</v>
      </c>
      <c r="D9" s="2">
        <v>0.33</v>
      </c>
      <c r="F9" s="3" t="s">
        <v>117</v>
      </c>
      <c r="G9" s="26">
        <v>0.182</v>
      </c>
      <c r="I9" s="24">
        <v>2020</v>
      </c>
      <c r="J9" s="50">
        <v>39782000</v>
      </c>
      <c r="K9" s="19">
        <f t="shared" si="0"/>
        <v>1.3104288820080374</v>
      </c>
      <c r="M9" s="43"/>
    </row>
    <row r="10" spans="2:13" x14ac:dyDescent="0.25">
      <c r="B10" s="3" t="s">
        <v>38</v>
      </c>
      <c r="C10" s="4">
        <v>0.32</v>
      </c>
      <c r="D10" s="2">
        <v>0.33</v>
      </c>
      <c r="F10" s="3" t="s">
        <v>120</v>
      </c>
      <c r="G10" s="26">
        <v>0.311</v>
      </c>
      <c r="I10" s="41">
        <v>2030</v>
      </c>
      <c r="J10" s="46">
        <v>59680000</v>
      </c>
      <c r="K10" s="25">
        <f t="shared" si="0"/>
        <v>1.9658739047368075</v>
      </c>
      <c r="M10" s="43"/>
    </row>
    <row r="11" spans="2:13" x14ac:dyDescent="0.25">
      <c r="B11" s="3" t="s">
        <v>39</v>
      </c>
      <c r="C11" s="4">
        <v>0.32</v>
      </c>
      <c r="D11" s="2">
        <v>0.35</v>
      </c>
      <c r="F11" s="3" t="s">
        <v>118</v>
      </c>
      <c r="G11" s="26">
        <v>0.32200000000000001</v>
      </c>
      <c r="I11" s="41">
        <v>2040</v>
      </c>
      <c r="J11" s="46">
        <v>83274000</v>
      </c>
      <c r="K11" s="25">
        <f t="shared" si="0"/>
        <v>2.7430660781342646</v>
      </c>
      <c r="M11" s="43"/>
    </row>
    <row r="12" spans="2:13" ht="18" x14ac:dyDescent="0.25">
      <c r="B12" s="3" t="s">
        <v>40</v>
      </c>
      <c r="C12" s="4">
        <v>0.33</v>
      </c>
      <c r="D12" s="2">
        <v>0.35</v>
      </c>
      <c r="F12" s="24" t="s">
        <v>124</v>
      </c>
      <c r="G12" s="31">
        <f>G9/G11</f>
        <v>0.56521739130434778</v>
      </c>
      <c r="I12" s="42">
        <v>2050</v>
      </c>
      <c r="J12" s="47">
        <v>116011000</v>
      </c>
      <c r="K12" s="49">
        <f t="shared" si="0"/>
        <v>3.8214309243033138</v>
      </c>
      <c r="M12" s="43"/>
    </row>
    <row r="13" spans="2:13" ht="18" x14ac:dyDescent="0.25">
      <c r="B13" s="3" t="s">
        <v>41</v>
      </c>
      <c r="C13" s="4">
        <v>0.32</v>
      </c>
      <c r="D13" s="2">
        <v>0.35</v>
      </c>
      <c r="F13" s="23" t="s">
        <v>108</v>
      </c>
      <c r="G13" s="32">
        <f>G11</f>
        <v>0.32200000000000001</v>
      </c>
    </row>
    <row r="14" spans="2:13" x14ac:dyDescent="0.25">
      <c r="B14" s="3" t="s">
        <v>42</v>
      </c>
      <c r="C14" s="4">
        <v>0.32</v>
      </c>
      <c r="D14" s="2">
        <v>0.35</v>
      </c>
    </row>
    <row r="15" spans="2:13" x14ac:dyDescent="0.25">
      <c r="B15" s="3" t="s">
        <v>43</v>
      </c>
      <c r="C15" s="4">
        <v>0.32</v>
      </c>
      <c r="D15" s="2">
        <v>0.34</v>
      </c>
    </row>
    <row r="16" spans="2:13" x14ac:dyDescent="0.25">
      <c r="B16" s="3" t="s">
        <v>44</v>
      </c>
      <c r="C16" s="4">
        <v>0.32</v>
      </c>
      <c r="D16" s="2">
        <v>0.34</v>
      </c>
    </row>
    <row r="17" spans="2:4" x14ac:dyDescent="0.25">
      <c r="B17" s="3" t="s">
        <v>45</v>
      </c>
      <c r="C17" s="4">
        <v>0.33</v>
      </c>
      <c r="D17" s="2">
        <v>0.34</v>
      </c>
    </row>
    <row r="18" spans="2:4" x14ac:dyDescent="0.25">
      <c r="B18" s="3" t="s">
        <v>46</v>
      </c>
      <c r="C18" s="4">
        <v>0.35</v>
      </c>
      <c r="D18" s="2">
        <v>0.34</v>
      </c>
    </row>
    <row r="19" spans="2:4" x14ac:dyDescent="0.25">
      <c r="B19" s="3" t="s">
        <v>47</v>
      </c>
      <c r="C19" s="4">
        <v>0.42</v>
      </c>
      <c r="D19" s="2">
        <v>0.34</v>
      </c>
    </row>
    <row r="20" spans="2:4" x14ac:dyDescent="0.25">
      <c r="B20" s="3" t="s">
        <v>48</v>
      </c>
      <c r="C20" s="4">
        <v>0.46</v>
      </c>
      <c r="D20" s="2">
        <v>0.35</v>
      </c>
    </row>
    <row r="21" spans="2:4" x14ac:dyDescent="0.25">
      <c r="B21" s="3" t="s">
        <v>49</v>
      </c>
      <c r="C21" s="4">
        <v>0.49</v>
      </c>
      <c r="D21" s="2">
        <v>0.34</v>
      </c>
    </row>
    <row r="22" spans="2:4" x14ac:dyDescent="0.25">
      <c r="B22" s="3" t="s">
        <v>50</v>
      </c>
      <c r="C22" s="4">
        <v>0.51</v>
      </c>
      <c r="D22" s="2">
        <v>0.34</v>
      </c>
    </row>
    <row r="23" spans="2:4" x14ac:dyDescent="0.25">
      <c r="B23" s="3" t="s">
        <v>51</v>
      </c>
      <c r="C23" s="4">
        <v>0.53</v>
      </c>
      <c r="D23" s="2">
        <v>0.34</v>
      </c>
    </row>
    <row r="24" spans="2:4" x14ac:dyDescent="0.25">
      <c r="B24" s="3" t="s">
        <v>52</v>
      </c>
      <c r="C24" s="4">
        <v>0.56000000000000005</v>
      </c>
      <c r="D24" s="2">
        <v>0.35</v>
      </c>
    </row>
    <row r="25" spans="2:4" x14ac:dyDescent="0.25">
      <c r="B25" s="3" t="s">
        <v>53</v>
      </c>
      <c r="C25" s="4">
        <v>0.53</v>
      </c>
      <c r="D25" s="2">
        <v>0.35</v>
      </c>
    </row>
    <row r="26" spans="2:4" x14ac:dyDescent="0.25">
      <c r="B26" s="3" t="s">
        <v>54</v>
      </c>
      <c r="C26" s="4">
        <v>0.53</v>
      </c>
      <c r="D26" s="2">
        <v>0.34</v>
      </c>
    </row>
    <row r="27" spans="2:4" x14ac:dyDescent="0.25">
      <c r="B27" s="3" t="s">
        <v>55</v>
      </c>
      <c r="C27" s="4">
        <v>0.53</v>
      </c>
      <c r="D27" s="2">
        <v>0.33</v>
      </c>
    </row>
    <row r="28" spans="2:4" x14ac:dyDescent="0.25">
      <c r="B28" s="3" t="s">
        <v>56</v>
      </c>
      <c r="C28" s="4">
        <v>0.52</v>
      </c>
      <c r="D28" s="2">
        <v>0.33</v>
      </c>
    </row>
    <row r="29" spans="2:4" x14ac:dyDescent="0.25">
      <c r="B29" s="3" t="s">
        <v>57</v>
      </c>
      <c r="C29" s="4">
        <v>0.56000000000000005</v>
      </c>
      <c r="D29" s="2">
        <v>0.33</v>
      </c>
    </row>
    <row r="30" spans="2:4" x14ac:dyDescent="0.25">
      <c r="B30" s="3" t="s">
        <v>58</v>
      </c>
      <c r="C30" s="4">
        <v>0.57999999999999996</v>
      </c>
      <c r="D30" s="2">
        <v>0.33</v>
      </c>
    </row>
    <row r="31" spans="2:4" x14ac:dyDescent="0.25">
      <c r="B31" s="3" t="s">
        <v>59</v>
      </c>
      <c r="C31" s="4">
        <v>0.6</v>
      </c>
      <c r="D31" s="2">
        <v>0.33</v>
      </c>
    </row>
    <row r="32" spans="2:4" x14ac:dyDescent="0.25">
      <c r="B32" s="3" t="s">
        <v>60</v>
      </c>
      <c r="C32" s="4">
        <v>0.56999999999999995</v>
      </c>
      <c r="D32" s="2">
        <v>0.34</v>
      </c>
    </row>
    <row r="33" spans="2:4" x14ac:dyDescent="0.25">
      <c r="B33" s="3" t="s">
        <v>61</v>
      </c>
      <c r="C33" s="4">
        <v>0.56999999999999995</v>
      </c>
      <c r="D33" s="2">
        <v>0.33</v>
      </c>
    </row>
    <row r="34" spans="2:4" x14ac:dyDescent="0.25">
      <c r="B34" s="3" t="s">
        <v>62</v>
      </c>
      <c r="C34" s="4">
        <v>0.55000000000000004</v>
      </c>
      <c r="D34" s="2">
        <v>0.34</v>
      </c>
    </row>
    <row r="35" spans="2:4" x14ac:dyDescent="0.25">
      <c r="B35" s="3" t="s">
        <v>63</v>
      </c>
      <c r="C35" s="4">
        <v>0.54</v>
      </c>
      <c r="D35" s="2">
        <v>0.34</v>
      </c>
    </row>
    <row r="36" spans="2:4" x14ac:dyDescent="0.25">
      <c r="B36" s="3" t="s">
        <v>64</v>
      </c>
      <c r="C36" s="4">
        <v>0.54</v>
      </c>
      <c r="D36" s="2">
        <v>0.34</v>
      </c>
    </row>
    <row r="37" spans="2:4" x14ac:dyDescent="0.25">
      <c r="B37" s="3" t="s">
        <v>65</v>
      </c>
      <c r="C37" s="4">
        <v>0.5</v>
      </c>
      <c r="D37" s="2">
        <v>0.34</v>
      </c>
    </row>
    <row r="38" spans="2:4" x14ac:dyDescent="0.25">
      <c r="B38" s="3" t="s">
        <v>66</v>
      </c>
      <c r="C38" s="4">
        <v>0.46</v>
      </c>
      <c r="D38" s="2">
        <v>0.34</v>
      </c>
    </row>
    <row r="39" spans="2:4" x14ac:dyDescent="0.25">
      <c r="B39" s="3" t="s">
        <v>67</v>
      </c>
      <c r="C39" s="4">
        <v>0.45</v>
      </c>
      <c r="D39" s="2">
        <v>0.34</v>
      </c>
    </row>
    <row r="40" spans="2:4" x14ac:dyDescent="0.25">
      <c r="B40" s="3" t="s">
        <v>68</v>
      </c>
      <c r="C40" s="4">
        <v>0.42</v>
      </c>
      <c r="D40" s="2">
        <v>0.33</v>
      </c>
    </row>
    <row r="41" spans="2:4" x14ac:dyDescent="0.25">
      <c r="B41" s="3" t="s">
        <v>69</v>
      </c>
      <c r="C41" s="4">
        <v>0.39</v>
      </c>
      <c r="D41" s="2">
        <v>0.34</v>
      </c>
    </row>
    <row r="42" spans="2:4" x14ac:dyDescent="0.25">
      <c r="B42" s="3" t="s">
        <v>70</v>
      </c>
      <c r="C42" s="4">
        <v>0.37</v>
      </c>
      <c r="D42" s="2">
        <v>0.34</v>
      </c>
    </row>
    <row r="43" spans="2:4" x14ac:dyDescent="0.25">
      <c r="B43" s="3" t="s">
        <v>71</v>
      </c>
      <c r="C43" s="4">
        <v>0.38</v>
      </c>
      <c r="D43" s="2">
        <v>0.38</v>
      </c>
    </row>
    <row r="44" spans="2:4" x14ac:dyDescent="0.25">
      <c r="B44" s="3" t="s">
        <v>72</v>
      </c>
      <c r="C44" s="4">
        <v>0.38</v>
      </c>
      <c r="D44" s="2">
        <v>0.33</v>
      </c>
    </row>
    <row r="45" spans="2:4" x14ac:dyDescent="0.25">
      <c r="B45" s="3" t="s">
        <v>73</v>
      </c>
      <c r="C45" s="4">
        <v>0.36</v>
      </c>
      <c r="D45" s="2">
        <v>0.33</v>
      </c>
    </row>
    <row r="46" spans="2:4" x14ac:dyDescent="0.25">
      <c r="B46" s="3" t="s">
        <v>74</v>
      </c>
      <c r="C46" s="4">
        <v>0.34</v>
      </c>
      <c r="D46" s="2">
        <v>0.33</v>
      </c>
    </row>
    <row r="47" spans="2:4" x14ac:dyDescent="0.25">
      <c r="B47" s="3" t="s">
        <v>75</v>
      </c>
      <c r="C47" s="4">
        <v>0.34</v>
      </c>
      <c r="D47" s="2">
        <v>0.33</v>
      </c>
    </row>
    <row r="48" spans="2:4" x14ac:dyDescent="0.25">
      <c r="B48" s="3" t="s">
        <v>76</v>
      </c>
      <c r="C48" s="4">
        <v>0.34</v>
      </c>
      <c r="D48" s="2">
        <v>0.34</v>
      </c>
    </row>
    <row r="49" spans="2:4" x14ac:dyDescent="0.25">
      <c r="B49" s="3" t="s">
        <v>77</v>
      </c>
      <c r="C49" s="4">
        <v>0.34</v>
      </c>
      <c r="D49" s="2">
        <v>0.34</v>
      </c>
    </row>
    <row r="50" spans="2:4" x14ac:dyDescent="0.25">
      <c r="B50" s="3" t="s">
        <v>78</v>
      </c>
      <c r="C50" s="4">
        <v>0.34</v>
      </c>
      <c r="D50" s="2">
        <v>0.34</v>
      </c>
    </row>
    <row r="51" spans="2:4" x14ac:dyDescent="0.25">
      <c r="B51" s="3" t="s">
        <v>79</v>
      </c>
      <c r="C51" s="4">
        <v>0.34</v>
      </c>
      <c r="D51" s="2">
        <v>0.34</v>
      </c>
    </row>
    <row r="52" spans="2:4" x14ac:dyDescent="0.25">
      <c r="B52" s="3" t="s">
        <v>80</v>
      </c>
      <c r="C52" s="4">
        <v>0.34</v>
      </c>
      <c r="D52" s="2">
        <v>0.33</v>
      </c>
    </row>
    <row r="53" spans="2:4" x14ac:dyDescent="0.25">
      <c r="B53" s="3" t="s">
        <v>81</v>
      </c>
      <c r="C53" s="4">
        <v>0.34</v>
      </c>
      <c r="D53" s="2">
        <v>0.33</v>
      </c>
    </row>
    <row r="54" spans="2:4" x14ac:dyDescent="0.25">
      <c r="B54" s="29" t="s">
        <v>87</v>
      </c>
      <c r="C54" s="27">
        <f>AVERAGE(C6:C53)</f>
        <v>0.42083333333333323</v>
      </c>
      <c r="D54" s="28">
        <f>AVERAGE(D6:D53)</f>
        <v>0.33854166666666657</v>
      </c>
    </row>
    <row r="55" spans="2:4" x14ac:dyDescent="0.25">
      <c r="B55" s="30" t="s">
        <v>85</v>
      </c>
      <c r="C55" s="89">
        <f>(5*C54+2*D54)/7</f>
        <v>0.39732142857142844</v>
      </c>
      <c r="D55" s="90"/>
    </row>
  </sheetData>
  <mergeCells count="10">
    <mergeCell ref="C55:D55"/>
    <mergeCell ref="F2:G2"/>
    <mergeCell ref="F3:G3"/>
    <mergeCell ref="F4:G4"/>
    <mergeCell ref="I2:K2"/>
    <mergeCell ref="I3:K3"/>
    <mergeCell ref="I4:K4"/>
    <mergeCell ref="B2:D2"/>
    <mergeCell ref="B3:D3"/>
    <mergeCell ref="B4:D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EBD4-1DF9-439B-95CD-64D91A8441A9}">
  <dimension ref="B2:Q55"/>
  <sheetViews>
    <sheetView topLeftCell="G1" workbookViewId="0">
      <selection activeCell="S1" sqref="S1:S1048576"/>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55.5703125" style="1" bestFit="1" customWidth="1"/>
    <col min="7" max="7" width="10.5703125" style="1" bestFit="1" customWidth="1"/>
    <col min="8" max="8" width="21.140625" style="1" bestFit="1" customWidth="1"/>
    <col min="9" max="9" width="15.42578125" style="1" bestFit="1" customWidth="1"/>
    <col min="10" max="10" width="27.5703125" style="1" bestFit="1" customWidth="1"/>
    <col min="11" max="11" width="3.5703125" style="1" customWidth="1"/>
    <col min="12" max="12" width="36.42578125" style="1" customWidth="1"/>
    <col min="13" max="13" width="22.42578125" style="1" bestFit="1" customWidth="1"/>
    <col min="14" max="14" width="3.42578125" style="1" customWidth="1"/>
    <col min="15" max="15" width="9.140625" style="1"/>
    <col min="16" max="16" width="16.7109375" style="1" customWidth="1"/>
    <col min="17" max="17" width="16.42578125" style="1" customWidth="1"/>
    <col min="18" max="16384" width="9.140625" style="1"/>
  </cols>
  <sheetData>
    <row r="2" spans="2:17" x14ac:dyDescent="0.25">
      <c r="B2" s="83" t="s">
        <v>172</v>
      </c>
      <c r="C2" s="87"/>
      <c r="D2" s="84"/>
      <c r="F2" s="91" t="s">
        <v>173</v>
      </c>
      <c r="G2" s="91"/>
      <c r="H2" s="91"/>
      <c r="I2" s="91"/>
      <c r="J2" s="91"/>
      <c r="L2" s="83" t="s">
        <v>112</v>
      </c>
      <c r="M2" s="84"/>
      <c r="O2" s="83" t="s">
        <v>161</v>
      </c>
      <c r="P2" s="87"/>
      <c r="Q2" s="84"/>
    </row>
    <row r="3" spans="2:17" ht="30" customHeight="1" x14ac:dyDescent="0.25">
      <c r="B3" s="85" t="s">
        <v>151</v>
      </c>
      <c r="C3" s="88"/>
      <c r="D3" s="86"/>
      <c r="F3" s="92" t="s">
        <v>104</v>
      </c>
      <c r="G3" s="92"/>
      <c r="H3" s="92"/>
      <c r="I3" s="92"/>
      <c r="J3" s="92"/>
      <c r="L3" s="85" t="s">
        <v>123</v>
      </c>
      <c r="M3" s="86"/>
      <c r="O3" s="85" t="s">
        <v>165</v>
      </c>
      <c r="P3" s="88"/>
      <c r="Q3" s="86"/>
    </row>
    <row r="4" spans="2:17" ht="75" customHeight="1" x14ac:dyDescent="0.25">
      <c r="B4" s="85" t="s">
        <v>86</v>
      </c>
      <c r="C4" s="88"/>
      <c r="D4" s="86"/>
      <c r="F4" s="92" t="s">
        <v>105</v>
      </c>
      <c r="G4" s="92"/>
      <c r="H4" s="92"/>
      <c r="I4" s="92"/>
      <c r="J4" s="92"/>
      <c r="L4" s="85" t="s">
        <v>122</v>
      </c>
      <c r="M4" s="86"/>
      <c r="O4" s="85" t="s">
        <v>157</v>
      </c>
      <c r="P4" s="88"/>
      <c r="Q4" s="86"/>
    </row>
    <row r="5" spans="2:17" ht="18" x14ac:dyDescent="0.25">
      <c r="B5" s="12" t="s">
        <v>82</v>
      </c>
      <c r="C5" s="13" t="s">
        <v>32</v>
      </c>
      <c r="D5" s="14" t="s">
        <v>33</v>
      </c>
      <c r="F5" s="12" t="s">
        <v>89</v>
      </c>
      <c r="G5" s="15" t="s">
        <v>90</v>
      </c>
      <c r="H5" s="15" t="s">
        <v>106</v>
      </c>
      <c r="I5" s="15" t="s">
        <v>107</v>
      </c>
      <c r="J5" s="16" t="s">
        <v>108</v>
      </c>
      <c r="L5" s="12" t="s">
        <v>113</v>
      </c>
      <c r="M5" s="16" t="s">
        <v>121</v>
      </c>
      <c r="O5" s="40" t="s">
        <v>153</v>
      </c>
      <c r="P5" s="15" t="s">
        <v>154</v>
      </c>
      <c r="Q5" s="16" t="s">
        <v>158</v>
      </c>
    </row>
    <row r="6" spans="2:17" x14ac:dyDescent="0.25">
      <c r="B6" s="3" t="s">
        <v>34</v>
      </c>
      <c r="C6" s="4">
        <v>0.23</v>
      </c>
      <c r="D6" s="2">
        <v>0.21</v>
      </c>
      <c r="F6" s="3" t="s">
        <v>91</v>
      </c>
      <c r="G6" s="21">
        <v>1</v>
      </c>
      <c r="H6" s="21">
        <v>240</v>
      </c>
      <c r="I6" s="21">
        <v>50</v>
      </c>
      <c r="J6" s="22">
        <f>I6/H6</f>
        <v>0.20833333333333334</v>
      </c>
      <c r="L6" s="3" t="s">
        <v>115</v>
      </c>
      <c r="M6" s="26">
        <v>0.16800000000000001</v>
      </c>
      <c r="O6" s="44">
        <v>2012</v>
      </c>
      <c r="P6" s="45">
        <v>70746000</v>
      </c>
      <c r="Q6" s="48">
        <f>P6/P$6</f>
        <v>1</v>
      </c>
    </row>
    <row r="7" spans="2:17" x14ac:dyDescent="0.25">
      <c r="B7" s="3" t="s">
        <v>35</v>
      </c>
      <c r="C7" s="4">
        <v>0.22</v>
      </c>
      <c r="D7" s="2">
        <v>0.21</v>
      </c>
      <c r="F7" s="3" t="s">
        <v>92</v>
      </c>
      <c r="G7" s="21">
        <v>2</v>
      </c>
      <c r="H7" s="21">
        <v>40</v>
      </c>
      <c r="I7" s="21">
        <v>26</v>
      </c>
      <c r="J7" s="22">
        <f t="shared" ref="J7:J17" si="0">I7/H7</f>
        <v>0.65</v>
      </c>
      <c r="L7" s="3" t="s">
        <v>119</v>
      </c>
      <c r="M7" s="26">
        <v>0.34299999999999997</v>
      </c>
      <c r="O7" s="41">
        <v>2015</v>
      </c>
      <c r="P7" s="46">
        <v>79058000</v>
      </c>
      <c r="Q7" s="25">
        <f t="shared" ref="Q7:Q12" si="1">P7/P$6</f>
        <v>1.1174907415260227</v>
      </c>
    </row>
    <row r="8" spans="2:17" x14ac:dyDescent="0.25">
      <c r="B8" s="3" t="s">
        <v>36</v>
      </c>
      <c r="C8" s="4">
        <v>0.22</v>
      </c>
      <c r="D8" s="2">
        <v>0.21</v>
      </c>
      <c r="F8" s="3" t="s">
        <v>93</v>
      </c>
      <c r="G8" s="21">
        <v>2</v>
      </c>
      <c r="H8" s="21">
        <v>29</v>
      </c>
      <c r="I8" s="21">
        <v>25</v>
      </c>
      <c r="J8" s="22">
        <f t="shared" si="0"/>
        <v>0.86206896551724133</v>
      </c>
      <c r="L8" s="3" t="s">
        <v>116</v>
      </c>
      <c r="M8" s="26">
        <v>0.40500000000000003</v>
      </c>
      <c r="O8" s="41">
        <v>2018</v>
      </c>
      <c r="P8" s="46">
        <v>87875000</v>
      </c>
      <c r="Q8" s="25">
        <f t="shared" si="1"/>
        <v>1.2421196958131908</v>
      </c>
    </row>
    <row r="9" spans="2:17" x14ac:dyDescent="0.25">
      <c r="B9" s="3" t="s">
        <v>37</v>
      </c>
      <c r="C9" s="4">
        <v>0.22</v>
      </c>
      <c r="D9" s="2">
        <v>0.19</v>
      </c>
      <c r="F9" s="3" t="s">
        <v>94</v>
      </c>
      <c r="G9" s="21">
        <v>1</v>
      </c>
      <c r="H9" s="21">
        <v>94</v>
      </c>
      <c r="I9" s="21">
        <v>49</v>
      </c>
      <c r="J9" s="22">
        <f t="shared" si="0"/>
        <v>0.52127659574468088</v>
      </c>
      <c r="L9" s="3" t="s">
        <v>117</v>
      </c>
      <c r="M9" s="26">
        <v>0.39799999999999996</v>
      </c>
      <c r="O9" s="24">
        <v>2020</v>
      </c>
      <c r="P9" s="50">
        <v>86662000</v>
      </c>
      <c r="Q9" s="19">
        <f t="shared" si="1"/>
        <v>1.2249738501116672</v>
      </c>
    </row>
    <row r="10" spans="2:17" x14ac:dyDescent="0.25">
      <c r="B10" s="3" t="s">
        <v>38</v>
      </c>
      <c r="C10" s="4">
        <v>0.22</v>
      </c>
      <c r="D10" s="2">
        <v>0.19</v>
      </c>
      <c r="F10" s="3" t="s">
        <v>95</v>
      </c>
      <c r="G10" s="21">
        <v>1</v>
      </c>
      <c r="H10" s="21">
        <v>130</v>
      </c>
      <c r="I10" s="21">
        <v>48</v>
      </c>
      <c r="J10" s="22">
        <f t="shared" si="0"/>
        <v>0.36923076923076925</v>
      </c>
      <c r="L10" s="3" t="s">
        <v>120</v>
      </c>
      <c r="M10" s="26">
        <v>0.47399999999999998</v>
      </c>
      <c r="O10" s="41">
        <v>2030</v>
      </c>
      <c r="P10" s="46">
        <v>78330000</v>
      </c>
      <c r="Q10" s="25">
        <f t="shared" si="1"/>
        <v>1.1072004070901535</v>
      </c>
    </row>
    <row r="11" spans="2:17" x14ac:dyDescent="0.25">
      <c r="B11" s="3" t="s">
        <v>39</v>
      </c>
      <c r="C11" s="4">
        <v>0.22</v>
      </c>
      <c r="D11" s="2">
        <v>0.19</v>
      </c>
      <c r="F11" s="3" t="s">
        <v>96</v>
      </c>
      <c r="G11" s="21">
        <v>3</v>
      </c>
      <c r="H11" s="21">
        <v>50</v>
      </c>
      <c r="I11" s="21">
        <v>17</v>
      </c>
      <c r="J11" s="22">
        <f t="shared" si="0"/>
        <v>0.34</v>
      </c>
      <c r="L11" s="3" t="s">
        <v>118</v>
      </c>
      <c r="M11" s="26">
        <v>0.66700000000000004</v>
      </c>
      <c r="O11" s="41">
        <v>2040</v>
      </c>
      <c r="P11" s="46">
        <v>71095000</v>
      </c>
      <c r="Q11" s="25">
        <f t="shared" si="1"/>
        <v>1.0049331410963165</v>
      </c>
    </row>
    <row r="12" spans="2:17" ht="18" x14ac:dyDescent="0.25">
      <c r="B12" s="3" t="s">
        <v>40</v>
      </c>
      <c r="C12" s="4">
        <v>0.22</v>
      </c>
      <c r="D12" s="2">
        <v>0.19</v>
      </c>
      <c r="F12" s="3" t="s">
        <v>97</v>
      </c>
      <c r="G12" s="21">
        <v>1</v>
      </c>
      <c r="H12" s="21">
        <v>38</v>
      </c>
      <c r="I12" s="21">
        <v>21</v>
      </c>
      <c r="J12" s="22">
        <f t="shared" si="0"/>
        <v>0.55263157894736847</v>
      </c>
      <c r="L12" s="24" t="s">
        <v>124</v>
      </c>
      <c r="M12" s="31">
        <f>M9/M11</f>
        <v>0.59670164917541224</v>
      </c>
      <c r="O12" s="42">
        <v>2050</v>
      </c>
      <c r="P12" s="47">
        <v>71790000</v>
      </c>
      <c r="Q12" s="49">
        <f t="shared" si="1"/>
        <v>1.0147570180646255</v>
      </c>
    </row>
    <row r="13" spans="2:17" ht="18" x14ac:dyDescent="0.25">
      <c r="B13" s="3" t="s">
        <v>41</v>
      </c>
      <c r="C13" s="4">
        <v>0.22</v>
      </c>
      <c r="D13" s="2">
        <v>0.19</v>
      </c>
      <c r="F13" s="3" t="s">
        <v>98</v>
      </c>
      <c r="G13" s="21">
        <v>1</v>
      </c>
      <c r="H13" s="21">
        <v>38</v>
      </c>
      <c r="I13" s="21">
        <v>14</v>
      </c>
      <c r="J13" s="22">
        <f t="shared" si="0"/>
        <v>0.36842105263157893</v>
      </c>
      <c r="L13" s="23" t="s">
        <v>108</v>
      </c>
      <c r="M13" s="32">
        <f>M11</f>
        <v>0.66700000000000004</v>
      </c>
    </row>
    <row r="14" spans="2:17" x14ac:dyDescent="0.25">
      <c r="B14" s="3" t="s">
        <v>42</v>
      </c>
      <c r="C14" s="4">
        <v>0.22</v>
      </c>
      <c r="D14" s="2">
        <v>0.19</v>
      </c>
      <c r="F14" s="3" t="s">
        <v>99</v>
      </c>
      <c r="G14" s="21">
        <v>1</v>
      </c>
      <c r="H14" s="21">
        <v>42</v>
      </c>
      <c r="I14" s="21">
        <v>25</v>
      </c>
      <c r="J14" s="22">
        <f t="shared" si="0"/>
        <v>0.59523809523809523</v>
      </c>
    </row>
    <row r="15" spans="2:17" x14ac:dyDescent="0.25">
      <c r="B15" s="3" t="s">
        <v>43</v>
      </c>
      <c r="C15" s="4">
        <v>0.22</v>
      </c>
      <c r="D15" s="2">
        <v>0.19</v>
      </c>
      <c r="F15" s="3" t="s">
        <v>100</v>
      </c>
      <c r="G15" s="21">
        <v>1</v>
      </c>
      <c r="H15" s="21">
        <v>26</v>
      </c>
      <c r="I15" s="21">
        <v>17</v>
      </c>
      <c r="J15" s="22">
        <f t="shared" si="0"/>
        <v>0.65384615384615385</v>
      </c>
    </row>
    <row r="16" spans="2:17" x14ac:dyDescent="0.25">
      <c r="B16" s="3" t="s">
        <v>44</v>
      </c>
      <c r="C16" s="4">
        <v>0.22</v>
      </c>
      <c r="D16" s="2">
        <v>0.19</v>
      </c>
      <c r="F16" s="3" t="s">
        <v>101</v>
      </c>
      <c r="G16" s="21">
        <v>1</v>
      </c>
      <c r="H16" s="21">
        <v>29</v>
      </c>
      <c r="I16" s="21">
        <v>22</v>
      </c>
      <c r="J16" s="22">
        <f t="shared" si="0"/>
        <v>0.75862068965517238</v>
      </c>
    </row>
    <row r="17" spans="2:10" x14ac:dyDescent="0.25">
      <c r="B17" s="3" t="s">
        <v>45</v>
      </c>
      <c r="C17" s="4">
        <v>0.23</v>
      </c>
      <c r="D17" s="2">
        <v>0.19</v>
      </c>
      <c r="F17" s="3" t="s">
        <v>102</v>
      </c>
      <c r="G17" s="21">
        <v>1</v>
      </c>
      <c r="H17" s="21">
        <v>28</v>
      </c>
      <c r="I17" s="21">
        <v>24</v>
      </c>
      <c r="J17" s="22">
        <f t="shared" si="0"/>
        <v>0.8571428571428571</v>
      </c>
    </row>
    <row r="18" spans="2:10" x14ac:dyDescent="0.25">
      <c r="B18" s="3" t="s">
        <v>46</v>
      </c>
      <c r="C18" s="4">
        <v>0.31</v>
      </c>
      <c r="D18" s="2">
        <v>0.19</v>
      </c>
      <c r="F18" s="17" t="s">
        <v>109</v>
      </c>
      <c r="G18" s="18"/>
      <c r="H18" s="18"/>
      <c r="I18" s="18"/>
      <c r="J18" s="31">
        <f>SUMPRODUCT(J6:J17,G6:G17)/SUM(G6:G17)</f>
        <v>0.55805494105028075</v>
      </c>
    </row>
    <row r="19" spans="2:10" x14ac:dyDescent="0.25">
      <c r="B19" s="3" t="s">
        <v>47</v>
      </c>
      <c r="C19" s="4">
        <v>0.38</v>
      </c>
      <c r="D19" s="2">
        <v>0.19</v>
      </c>
    </row>
    <row r="20" spans="2:10" x14ac:dyDescent="0.25">
      <c r="B20" s="3" t="s">
        <v>48</v>
      </c>
      <c r="C20" s="4">
        <v>0.4</v>
      </c>
      <c r="D20" s="2">
        <v>0.19</v>
      </c>
    </row>
    <row r="21" spans="2:10" x14ac:dyDescent="0.25">
      <c r="B21" s="3" t="s">
        <v>49</v>
      </c>
      <c r="C21" s="4">
        <v>0.53</v>
      </c>
      <c r="D21" s="2">
        <v>0.19</v>
      </c>
    </row>
    <row r="22" spans="2:10" x14ac:dyDescent="0.25">
      <c r="B22" s="3" t="s">
        <v>50</v>
      </c>
      <c r="C22" s="4">
        <v>0.62</v>
      </c>
      <c r="D22" s="2">
        <v>0.19</v>
      </c>
    </row>
    <row r="23" spans="2:10" x14ac:dyDescent="0.25">
      <c r="B23" s="3" t="s">
        <v>51</v>
      </c>
      <c r="C23" s="4">
        <v>0.65</v>
      </c>
      <c r="D23" s="2">
        <v>0.19</v>
      </c>
    </row>
    <row r="24" spans="2:10" x14ac:dyDescent="0.25">
      <c r="B24" s="3" t="s">
        <v>52</v>
      </c>
      <c r="C24" s="4">
        <v>0.64</v>
      </c>
      <c r="D24" s="2">
        <v>0.19</v>
      </c>
    </row>
    <row r="25" spans="2:10" x14ac:dyDescent="0.25">
      <c r="B25" s="3" t="s">
        <v>53</v>
      </c>
      <c r="C25" s="4">
        <v>0.63</v>
      </c>
      <c r="D25" s="2">
        <v>0.19</v>
      </c>
    </row>
    <row r="26" spans="2:10" x14ac:dyDescent="0.25">
      <c r="B26" s="3" t="s">
        <v>54</v>
      </c>
      <c r="C26" s="4">
        <v>0.63</v>
      </c>
      <c r="D26" s="2">
        <v>0.19</v>
      </c>
    </row>
    <row r="27" spans="2:10" x14ac:dyDescent="0.25">
      <c r="B27" s="3" t="s">
        <v>55</v>
      </c>
      <c r="C27" s="4">
        <v>0.65</v>
      </c>
      <c r="D27" s="2">
        <v>0.19</v>
      </c>
    </row>
    <row r="28" spans="2:10" x14ac:dyDescent="0.25">
      <c r="B28" s="3" t="s">
        <v>56</v>
      </c>
      <c r="C28" s="4">
        <v>0.67</v>
      </c>
      <c r="D28" s="2">
        <v>0.19</v>
      </c>
    </row>
    <row r="29" spans="2:10" x14ac:dyDescent="0.25">
      <c r="B29" s="3" t="s">
        <v>57</v>
      </c>
      <c r="C29" s="4">
        <v>0.65</v>
      </c>
      <c r="D29" s="2">
        <v>0.19</v>
      </c>
    </row>
    <row r="30" spans="2:10" x14ac:dyDescent="0.25">
      <c r="B30" s="3" t="s">
        <v>58</v>
      </c>
      <c r="C30" s="4">
        <v>0.61</v>
      </c>
      <c r="D30" s="2">
        <v>0.19</v>
      </c>
    </row>
    <row r="31" spans="2:10" x14ac:dyDescent="0.25">
      <c r="B31" s="3" t="s">
        <v>59</v>
      </c>
      <c r="C31" s="4">
        <v>0.61</v>
      </c>
      <c r="D31" s="2">
        <v>0.19</v>
      </c>
    </row>
    <row r="32" spans="2:10" x14ac:dyDescent="0.25">
      <c r="B32" s="3" t="s">
        <v>60</v>
      </c>
      <c r="C32" s="4">
        <v>0.66</v>
      </c>
      <c r="D32" s="2">
        <v>0.19</v>
      </c>
    </row>
    <row r="33" spans="2:4" x14ac:dyDescent="0.25">
      <c r="B33" s="3" t="s">
        <v>61</v>
      </c>
      <c r="C33" s="4">
        <v>0.65</v>
      </c>
      <c r="D33" s="2">
        <v>0.19</v>
      </c>
    </row>
    <row r="34" spans="2:4" x14ac:dyDescent="0.25">
      <c r="B34" s="3" t="s">
        <v>62</v>
      </c>
      <c r="C34" s="4">
        <v>0.66</v>
      </c>
      <c r="D34" s="2">
        <v>0.19</v>
      </c>
    </row>
    <row r="35" spans="2:4" x14ac:dyDescent="0.25">
      <c r="B35" s="3" t="s">
        <v>63</v>
      </c>
      <c r="C35" s="4">
        <v>0.64</v>
      </c>
      <c r="D35" s="2">
        <v>0.19</v>
      </c>
    </row>
    <row r="36" spans="2:4" x14ac:dyDescent="0.25">
      <c r="B36" s="3" t="s">
        <v>64</v>
      </c>
      <c r="C36" s="4">
        <v>0.62</v>
      </c>
      <c r="D36" s="2">
        <v>0.19</v>
      </c>
    </row>
    <row r="37" spans="2:4" x14ac:dyDescent="0.25">
      <c r="B37" s="3" t="s">
        <v>65</v>
      </c>
      <c r="C37" s="4">
        <v>0.56999999999999995</v>
      </c>
      <c r="D37" s="2">
        <v>0.21</v>
      </c>
    </row>
    <row r="38" spans="2:4" x14ac:dyDescent="0.25">
      <c r="B38" s="3" t="s">
        <v>66</v>
      </c>
      <c r="C38" s="4">
        <v>0.53</v>
      </c>
      <c r="D38" s="2">
        <v>0.2</v>
      </c>
    </row>
    <row r="39" spans="2:4" x14ac:dyDescent="0.25">
      <c r="B39" s="3" t="s">
        <v>67</v>
      </c>
      <c r="C39" s="4">
        <v>0.48</v>
      </c>
      <c r="D39" s="2">
        <v>0.19</v>
      </c>
    </row>
    <row r="40" spans="2:4" x14ac:dyDescent="0.25">
      <c r="B40" s="3" t="s">
        <v>68</v>
      </c>
      <c r="C40" s="4">
        <v>0.4</v>
      </c>
      <c r="D40" s="2">
        <v>0.19</v>
      </c>
    </row>
    <row r="41" spans="2:4" x14ac:dyDescent="0.25">
      <c r="B41" s="3" t="s">
        <v>69</v>
      </c>
      <c r="C41" s="4">
        <v>0.33</v>
      </c>
      <c r="D41" s="2">
        <v>0.19</v>
      </c>
    </row>
    <row r="42" spans="2:4" x14ac:dyDescent="0.25">
      <c r="B42" s="3" t="s">
        <v>70</v>
      </c>
      <c r="C42" s="4">
        <v>0.3</v>
      </c>
      <c r="D42" s="2">
        <v>0.2</v>
      </c>
    </row>
    <row r="43" spans="2:4" x14ac:dyDescent="0.25">
      <c r="B43" s="3" t="s">
        <v>71</v>
      </c>
      <c r="C43" s="4">
        <v>0.28000000000000003</v>
      </c>
      <c r="D43" s="2">
        <v>0.2</v>
      </c>
    </row>
    <row r="44" spans="2:4" x14ac:dyDescent="0.25">
      <c r="B44" s="3" t="s">
        <v>72</v>
      </c>
      <c r="C44" s="4">
        <v>0.28000000000000003</v>
      </c>
      <c r="D44" s="2">
        <v>0.19</v>
      </c>
    </row>
    <row r="45" spans="2:4" x14ac:dyDescent="0.25">
      <c r="B45" s="3" t="s">
        <v>73</v>
      </c>
      <c r="C45" s="4">
        <v>0.28000000000000003</v>
      </c>
      <c r="D45" s="2">
        <v>0.2</v>
      </c>
    </row>
    <row r="46" spans="2:4" x14ac:dyDescent="0.25">
      <c r="B46" s="3" t="s">
        <v>74</v>
      </c>
      <c r="C46" s="4">
        <v>0.26</v>
      </c>
      <c r="D46" s="2">
        <v>0.21</v>
      </c>
    </row>
    <row r="47" spans="2:4" x14ac:dyDescent="0.25">
      <c r="B47" s="3" t="s">
        <v>75</v>
      </c>
      <c r="C47" s="4">
        <v>0.23</v>
      </c>
      <c r="D47" s="2">
        <v>0.22</v>
      </c>
    </row>
    <row r="48" spans="2:4" x14ac:dyDescent="0.25">
      <c r="B48" s="3" t="s">
        <v>76</v>
      </c>
      <c r="C48" s="4">
        <v>0.22</v>
      </c>
      <c r="D48" s="2">
        <v>0.19</v>
      </c>
    </row>
    <row r="49" spans="2:4" x14ac:dyDescent="0.25">
      <c r="B49" s="3" t="s">
        <v>77</v>
      </c>
      <c r="C49" s="4">
        <v>0.22</v>
      </c>
      <c r="D49" s="2">
        <v>0.2</v>
      </c>
    </row>
    <row r="50" spans="2:4" x14ac:dyDescent="0.25">
      <c r="B50" s="3" t="s">
        <v>78</v>
      </c>
      <c r="C50" s="4">
        <v>0.22</v>
      </c>
      <c r="D50" s="2">
        <v>0.2</v>
      </c>
    </row>
    <row r="51" spans="2:4" x14ac:dyDescent="0.25">
      <c r="B51" s="3" t="s">
        <v>79</v>
      </c>
      <c r="C51" s="4">
        <v>0.22</v>
      </c>
      <c r="D51" s="2">
        <v>0.19</v>
      </c>
    </row>
    <row r="52" spans="2:4" x14ac:dyDescent="0.25">
      <c r="B52" s="3" t="s">
        <v>80</v>
      </c>
      <c r="C52" s="4">
        <v>0.22</v>
      </c>
      <c r="D52" s="2">
        <v>0.19</v>
      </c>
    </row>
    <row r="53" spans="2:4" x14ac:dyDescent="0.25">
      <c r="B53" s="3" t="s">
        <v>81</v>
      </c>
      <c r="C53" s="4">
        <v>0.23</v>
      </c>
      <c r="D53" s="2">
        <v>0.19</v>
      </c>
    </row>
    <row r="54" spans="2:4" x14ac:dyDescent="0.25">
      <c r="B54" s="9" t="s">
        <v>87</v>
      </c>
      <c r="C54" s="27">
        <f>AVERAGE(C6:C53)</f>
        <v>0.39874999999999999</v>
      </c>
      <c r="D54" s="28">
        <f>AVERAGE(D6:D53)</f>
        <v>0.19395833333333337</v>
      </c>
    </row>
    <row r="55" spans="2:4" x14ac:dyDescent="0.25">
      <c r="B55" s="20" t="s">
        <v>85</v>
      </c>
      <c r="C55" s="89">
        <f>(5*C54+2*D54)/7</f>
        <v>0.34023809523809528</v>
      </c>
      <c r="D55" s="90"/>
    </row>
  </sheetData>
  <mergeCells count="13">
    <mergeCell ref="C55:D55"/>
    <mergeCell ref="F2:J2"/>
    <mergeCell ref="F3:J3"/>
    <mergeCell ref="F4:J4"/>
    <mergeCell ref="L2:M2"/>
    <mergeCell ref="B2:D2"/>
    <mergeCell ref="B3:D3"/>
    <mergeCell ref="B4:D4"/>
    <mergeCell ref="L3:M3"/>
    <mergeCell ref="L4:M4"/>
    <mergeCell ref="O2:Q2"/>
    <mergeCell ref="O3:Q3"/>
    <mergeCell ref="O4:Q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2CF0-1F36-42A8-A23B-036D4DC2D1B2}">
  <dimension ref="B2:K12"/>
  <sheetViews>
    <sheetView workbookViewId="0">
      <selection activeCell="L12" sqref="L12"/>
    </sheetView>
  </sheetViews>
  <sheetFormatPr defaultRowHeight="15" x14ac:dyDescent="0.25"/>
  <cols>
    <col min="1" max="1" width="3.42578125" style="1" customWidth="1"/>
    <col min="2" max="2" width="9.140625" style="1"/>
    <col min="3" max="3" width="16.7109375" style="1" customWidth="1"/>
    <col min="4" max="4" width="16.42578125" style="1" customWidth="1"/>
    <col min="5" max="5" width="3.42578125" style="1" customWidth="1"/>
    <col min="6" max="6" width="9.140625" style="1"/>
    <col min="7" max="7" width="16.7109375" style="1" customWidth="1"/>
    <col min="8" max="8" width="16.42578125" style="1" customWidth="1"/>
    <col min="9" max="16384" width="9.140625" style="1"/>
  </cols>
  <sheetData>
    <row r="2" spans="2:11" x14ac:dyDescent="0.25">
      <c r="B2" s="83" t="s">
        <v>194</v>
      </c>
      <c r="C2" s="87"/>
      <c r="D2" s="84"/>
      <c r="F2" s="83" t="s">
        <v>196</v>
      </c>
      <c r="G2" s="87"/>
      <c r="H2" s="84"/>
    </row>
    <row r="3" spans="2:11" ht="30" customHeight="1" x14ac:dyDescent="0.25">
      <c r="B3" s="85" t="s">
        <v>195</v>
      </c>
      <c r="C3" s="88"/>
      <c r="D3" s="86"/>
      <c r="F3" s="85" t="s">
        <v>197</v>
      </c>
      <c r="G3" s="88"/>
      <c r="H3" s="86"/>
    </row>
    <row r="4" spans="2:11" ht="75" customHeight="1" x14ac:dyDescent="0.25">
      <c r="B4" s="85" t="s">
        <v>157</v>
      </c>
      <c r="C4" s="88"/>
      <c r="D4" s="86"/>
      <c r="F4" s="85" t="s">
        <v>157</v>
      </c>
      <c r="G4" s="88"/>
      <c r="H4" s="86"/>
    </row>
    <row r="5" spans="2:11" x14ac:dyDescent="0.25">
      <c r="B5" s="40" t="s">
        <v>153</v>
      </c>
      <c r="C5" s="15" t="s">
        <v>154</v>
      </c>
      <c r="D5" s="16" t="s">
        <v>158</v>
      </c>
      <c r="F5" s="40" t="s">
        <v>153</v>
      </c>
      <c r="G5" s="15" t="s">
        <v>154</v>
      </c>
      <c r="H5" s="16" t="s">
        <v>158</v>
      </c>
    </row>
    <row r="6" spans="2:11" x14ac:dyDescent="0.25">
      <c r="B6" s="44">
        <v>2012</v>
      </c>
      <c r="C6" s="45">
        <v>19194000</v>
      </c>
      <c r="D6" s="48">
        <f>C6/C$6</f>
        <v>1</v>
      </c>
      <c r="F6" s="44">
        <v>2012</v>
      </c>
      <c r="G6" s="45">
        <v>9028000</v>
      </c>
      <c r="H6" s="48">
        <f>G6/G$6</f>
        <v>1</v>
      </c>
      <c r="K6" s="43"/>
    </row>
    <row r="7" spans="2:11" x14ac:dyDescent="0.25">
      <c r="B7" s="41">
        <v>2015</v>
      </c>
      <c r="C7" s="46">
        <v>20926000</v>
      </c>
      <c r="D7" s="25">
        <f t="shared" ref="D7:D12" si="0">C7/C$6</f>
        <v>1.0902365322496614</v>
      </c>
      <c r="F7" s="41">
        <v>2015</v>
      </c>
      <c r="G7" s="46">
        <v>9843000</v>
      </c>
      <c r="H7" s="25">
        <f t="shared" ref="H7:H12" si="1">G7/G$6</f>
        <v>1.0902747009304385</v>
      </c>
      <c r="K7" s="43"/>
    </row>
    <row r="8" spans="2:11" x14ac:dyDescent="0.25">
      <c r="B8" s="41">
        <v>2018</v>
      </c>
      <c r="C8" s="46">
        <v>22815000</v>
      </c>
      <c r="D8" s="25">
        <f t="shared" si="0"/>
        <v>1.1886527039699906</v>
      </c>
      <c r="F8" s="41">
        <v>2018</v>
      </c>
      <c r="G8" s="46">
        <v>10731000</v>
      </c>
      <c r="H8" s="25">
        <f t="shared" si="1"/>
        <v>1.1886353566681436</v>
      </c>
      <c r="K8" s="43"/>
    </row>
    <row r="9" spans="2:11" x14ac:dyDescent="0.25">
      <c r="B9" s="24">
        <v>2020</v>
      </c>
      <c r="C9" s="50">
        <v>24169000</v>
      </c>
      <c r="D9" s="19">
        <f t="shared" si="0"/>
        <v>1.2591955819526937</v>
      </c>
      <c r="F9" s="24">
        <v>2020</v>
      </c>
      <c r="G9" s="50">
        <v>11368000</v>
      </c>
      <c r="H9" s="19">
        <f t="shared" si="1"/>
        <v>1.2591936198493576</v>
      </c>
      <c r="K9" s="43"/>
    </row>
    <row r="10" spans="2:11" x14ac:dyDescent="0.25">
      <c r="B10" s="41">
        <v>2030</v>
      </c>
      <c r="C10" s="46">
        <v>30909000</v>
      </c>
      <c r="D10" s="25">
        <f t="shared" si="0"/>
        <v>1.6103469834323225</v>
      </c>
      <c r="F10" s="41">
        <v>2030</v>
      </c>
      <c r="G10" s="46">
        <v>15163000</v>
      </c>
      <c r="H10" s="25">
        <f t="shared" si="1"/>
        <v>1.6795525033229952</v>
      </c>
      <c r="K10" s="43"/>
    </row>
    <row r="11" spans="2:11" x14ac:dyDescent="0.25">
      <c r="B11" s="41">
        <v>2040</v>
      </c>
      <c r="C11" s="46">
        <v>34006000</v>
      </c>
      <c r="D11" s="25">
        <f t="shared" si="0"/>
        <v>1.7716994894237783</v>
      </c>
      <c r="F11" s="41">
        <v>2040</v>
      </c>
      <c r="G11" s="46">
        <v>16592000</v>
      </c>
      <c r="H11" s="25">
        <f t="shared" si="1"/>
        <v>1.8378378378378379</v>
      </c>
      <c r="K11" s="43"/>
    </row>
    <row r="12" spans="2:11" x14ac:dyDescent="0.25">
      <c r="B12" s="42">
        <v>2050</v>
      </c>
      <c r="C12" s="47">
        <v>37269000</v>
      </c>
      <c r="D12" s="49">
        <f t="shared" si="0"/>
        <v>1.9417005314160676</v>
      </c>
      <c r="F12" s="42">
        <v>2050</v>
      </c>
      <c r="G12" s="47">
        <v>18156000</v>
      </c>
      <c r="H12" s="49">
        <f t="shared" si="1"/>
        <v>2.0110766504209128</v>
      </c>
      <c r="K12" s="43"/>
    </row>
  </sheetData>
  <mergeCells count="6">
    <mergeCell ref="B4:D4"/>
    <mergeCell ref="F2:H2"/>
    <mergeCell ref="F3:H3"/>
    <mergeCell ref="F4:H4"/>
    <mergeCell ref="B2:D2"/>
    <mergeCell ref="B3:D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4D59-03BE-447C-9B9A-0F7E9F0F29DA}">
  <dimension ref="B2:D11"/>
  <sheetViews>
    <sheetView workbookViewId="0">
      <selection sqref="A1:D1048576"/>
    </sheetView>
  </sheetViews>
  <sheetFormatPr defaultRowHeight="15" x14ac:dyDescent="0.25"/>
  <cols>
    <col min="1" max="1" width="3.42578125" style="1" customWidth="1"/>
    <col min="2" max="2" width="9.140625" style="1"/>
    <col min="3" max="3" width="16.7109375" style="1" customWidth="1"/>
    <col min="4" max="4" width="16.42578125" style="1" customWidth="1"/>
    <col min="5" max="16384" width="9.140625" style="1"/>
  </cols>
  <sheetData>
    <row r="2" spans="2:4" x14ac:dyDescent="0.25">
      <c r="B2" s="83" t="s">
        <v>187</v>
      </c>
      <c r="C2" s="87"/>
      <c r="D2" s="84"/>
    </row>
    <row r="3" spans="2:4" ht="30" customHeight="1" x14ac:dyDescent="0.25">
      <c r="B3" s="85" t="s">
        <v>188</v>
      </c>
      <c r="C3" s="88"/>
      <c r="D3" s="86"/>
    </row>
    <row r="4" spans="2:4" ht="75" customHeight="1" x14ac:dyDescent="0.25">
      <c r="B4" s="85" t="s">
        <v>157</v>
      </c>
      <c r="C4" s="88"/>
      <c r="D4" s="86"/>
    </row>
    <row r="5" spans="2:4" x14ac:dyDescent="0.25">
      <c r="B5" s="40" t="s">
        <v>153</v>
      </c>
      <c r="C5" s="15" t="s">
        <v>154</v>
      </c>
      <c r="D5" s="16" t="s">
        <v>158</v>
      </c>
    </row>
    <row r="6" spans="2:4" x14ac:dyDescent="0.25">
      <c r="B6" s="44">
        <v>2012</v>
      </c>
      <c r="C6" s="45">
        <v>270000</v>
      </c>
      <c r="D6" s="48">
        <f>C6/C$6</f>
        <v>1</v>
      </c>
    </row>
    <row r="7" spans="2:4" x14ac:dyDescent="0.25">
      <c r="B7" s="41">
        <v>2016</v>
      </c>
      <c r="C7" s="46">
        <v>240000</v>
      </c>
      <c r="D7" s="25">
        <f t="shared" ref="D7:D11" si="0">C7/C$6</f>
        <v>0.88888888888888884</v>
      </c>
    </row>
    <row r="8" spans="2:4" x14ac:dyDescent="0.25">
      <c r="B8" s="24">
        <v>2020</v>
      </c>
      <c r="C8" s="50">
        <v>190000</v>
      </c>
      <c r="D8" s="19">
        <f t="shared" si="0"/>
        <v>0.70370370370370372</v>
      </c>
    </row>
    <row r="9" spans="2:4" x14ac:dyDescent="0.25">
      <c r="B9" s="41">
        <v>2030</v>
      </c>
      <c r="C9" s="46">
        <v>100000</v>
      </c>
      <c r="D9" s="25">
        <f t="shared" si="0"/>
        <v>0.37037037037037035</v>
      </c>
    </row>
    <row r="10" spans="2:4" x14ac:dyDescent="0.25">
      <c r="B10" s="41">
        <v>2040</v>
      </c>
      <c r="C10" s="46">
        <v>50000</v>
      </c>
      <c r="D10" s="25">
        <f t="shared" si="0"/>
        <v>0.18518518518518517</v>
      </c>
    </row>
    <row r="11" spans="2:4" x14ac:dyDescent="0.25">
      <c r="B11" s="42">
        <v>2050</v>
      </c>
      <c r="C11" s="47">
        <v>30000</v>
      </c>
      <c r="D11" s="49">
        <f t="shared" si="0"/>
        <v>0.1111111111111111</v>
      </c>
    </row>
  </sheetData>
  <mergeCells count="3">
    <mergeCell ref="B2:D2"/>
    <mergeCell ref="B3:D3"/>
    <mergeCell ref="B4:D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4CF6-A6A0-46CF-A450-BE8E7A313F66}">
  <dimension ref="B2:O55"/>
  <sheetViews>
    <sheetView topLeftCell="C1" workbookViewId="0">
      <selection activeCell="N8" sqref="N8"/>
    </sheetView>
  </sheetViews>
  <sheetFormatPr defaultRowHeight="15" x14ac:dyDescent="0.25"/>
  <cols>
    <col min="1" max="1" width="3.5703125" style="1" customWidth="1"/>
    <col min="2" max="2" width="27" style="1" bestFit="1" customWidth="1"/>
    <col min="3" max="3" width="10.28515625" style="1" bestFit="1" customWidth="1"/>
    <col min="4" max="4" width="10.5703125" style="1" bestFit="1" customWidth="1"/>
    <col min="5" max="5" width="3.5703125" style="1" customWidth="1"/>
    <col min="6" max="6" width="55.5703125" style="1" bestFit="1" customWidth="1"/>
    <col min="7" max="7" width="55.5703125" style="1" customWidth="1"/>
    <col min="8" max="8" width="10.5703125" style="1" bestFit="1" customWidth="1"/>
    <col min="9" max="9" width="21.140625" style="1" bestFit="1" customWidth="1"/>
    <col min="10" max="10" width="15.42578125" style="1" bestFit="1" customWidth="1"/>
    <col min="11" max="11" width="27.5703125" style="1" bestFit="1" customWidth="1"/>
    <col min="12" max="12" width="3.42578125" style="1" customWidth="1"/>
    <col min="13" max="13" width="9.140625" style="1"/>
    <col min="14" max="14" width="16.7109375" style="1" customWidth="1"/>
    <col min="15" max="15" width="16.42578125" style="1" customWidth="1"/>
    <col min="16" max="16384" width="9.140625" style="1"/>
  </cols>
  <sheetData>
    <row r="2" spans="2:15" x14ac:dyDescent="0.25">
      <c r="B2" s="83" t="s">
        <v>172</v>
      </c>
      <c r="C2" s="87"/>
      <c r="D2" s="84"/>
      <c r="F2" s="91" t="s">
        <v>174</v>
      </c>
      <c r="G2" s="91"/>
      <c r="H2" s="91"/>
      <c r="I2" s="91"/>
      <c r="J2" s="91"/>
      <c r="K2" s="91"/>
      <c r="M2" s="83" t="s">
        <v>193</v>
      </c>
      <c r="N2" s="87"/>
      <c r="O2" s="84"/>
    </row>
    <row r="3" spans="2:15" ht="30" customHeight="1" x14ac:dyDescent="0.25">
      <c r="B3" s="85" t="s">
        <v>88</v>
      </c>
      <c r="C3" s="88"/>
      <c r="D3" s="86"/>
      <c r="F3" s="92" t="s">
        <v>140</v>
      </c>
      <c r="G3" s="92"/>
      <c r="H3" s="92"/>
      <c r="I3" s="92"/>
      <c r="J3" s="92"/>
      <c r="K3" s="92"/>
      <c r="M3" s="85" t="s">
        <v>192</v>
      </c>
      <c r="N3" s="88"/>
      <c r="O3" s="86"/>
    </row>
    <row r="4" spans="2:15" ht="75" customHeight="1" x14ac:dyDescent="0.25">
      <c r="B4" s="85" t="s">
        <v>86</v>
      </c>
      <c r="C4" s="88"/>
      <c r="D4" s="86"/>
      <c r="F4" s="92" t="s">
        <v>141</v>
      </c>
      <c r="G4" s="92"/>
      <c r="H4" s="92"/>
      <c r="I4" s="92"/>
      <c r="J4" s="92"/>
      <c r="K4" s="92"/>
      <c r="M4" s="85" t="s">
        <v>157</v>
      </c>
      <c r="N4" s="88"/>
      <c r="O4" s="86"/>
    </row>
    <row r="5" spans="2:15" ht="18" x14ac:dyDescent="0.25">
      <c r="B5" s="12" t="s">
        <v>82</v>
      </c>
      <c r="C5" s="13" t="s">
        <v>32</v>
      </c>
      <c r="D5" s="14" t="s">
        <v>33</v>
      </c>
      <c r="F5" s="12" t="s">
        <v>89</v>
      </c>
      <c r="G5" s="13"/>
      <c r="H5" s="15" t="s">
        <v>90</v>
      </c>
      <c r="I5" s="15" t="s">
        <v>106</v>
      </c>
      <c r="J5" s="15" t="s">
        <v>107</v>
      </c>
      <c r="K5" s="16" t="s">
        <v>108</v>
      </c>
      <c r="M5" s="40" t="s">
        <v>153</v>
      </c>
      <c r="N5" s="15" t="s">
        <v>154</v>
      </c>
      <c r="O5" s="16" t="s">
        <v>158</v>
      </c>
    </row>
    <row r="6" spans="2:15" x14ac:dyDescent="0.25">
      <c r="B6" s="3" t="s">
        <v>34</v>
      </c>
      <c r="C6" s="4">
        <v>0.06</v>
      </c>
      <c r="D6" s="2">
        <v>7.0000000000000007E-2</v>
      </c>
      <c r="F6" s="38" t="s">
        <v>142</v>
      </c>
      <c r="G6" s="4" t="s">
        <v>143</v>
      </c>
      <c r="H6" s="21">
        <v>1</v>
      </c>
      <c r="I6" s="21">
        <v>1010</v>
      </c>
      <c r="J6" s="21">
        <v>540</v>
      </c>
      <c r="K6" s="22">
        <f>J6/I6</f>
        <v>0.53465346534653468</v>
      </c>
      <c r="M6" s="44">
        <v>2012</v>
      </c>
      <c r="N6" s="45">
        <v>20000000</v>
      </c>
      <c r="O6" s="48">
        <f>N6/N$6</f>
        <v>1</v>
      </c>
    </row>
    <row r="7" spans="2:15" x14ac:dyDescent="0.25">
      <c r="B7" s="3" t="s">
        <v>35</v>
      </c>
      <c r="C7" s="4">
        <v>0.06</v>
      </c>
      <c r="D7" s="2">
        <v>7.0000000000000007E-2</v>
      </c>
      <c r="F7" s="38" t="s">
        <v>142</v>
      </c>
      <c r="G7" s="4" t="s">
        <v>143</v>
      </c>
      <c r="H7" s="21">
        <v>1</v>
      </c>
      <c r="I7" s="21">
        <v>1300</v>
      </c>
      <c r="J7" s="21">
        <v>303</v>
      </c>
      <c r="K7" s="22">
        <f t="shared" ref="K7:K16" si="0">J7/I7</f>
        <v>0.23307692307692307</v>
      </c>
      <c r="M7" s="41">
        <v>2016</v>
      </c>
      <c r="N7" s="46">
        <v>17000000</v>
      </c>
      <c r="O7" s="25">
        <f t="shared" ref="O7:O11" si="1">N7/N$6</f>
        <v>0.85</v>
      </c>
    </row>
    <row r="8" spans="2:15" x14ac:dyDescent="0.25">
      <c r="B8" s="3" t="s">
        <v>36</v>
      </c>
      <c r="C8" s="4">
        <v>0.06</v>
      </c>
      <c r="D8" s="2">
        <v>7.0000000000000007E-2</v>
      </c>
      <c r="F8" s="38" t="s">
        <v>142</v>
      </c>
      <c r="G8" s="4" t="s">
        <v>143</v>
      </c>
      <c r="H8" s="21">
        <v>1</v>
      </c>
      <c r="I8" s="21">
        <v>1500</v>
      </c>
      <c r="J8" s="21">
        <v>433</v>
      </c>
      <c r="K8" s="22">
        <f t="shared" si="0"/>
        <v>0.28866666666666668</v>
      </c>
      <c r="M8" s="24">
        <v>2020</v>
      </c>
      <c r="N8" s="50">
        <v>13000000</v>
      </c>
      <c r="O8" s="19">
        <f t="shared" si="1"/>
        <v>0.65</v>
      </c>
    </row>
    <row r="9" spans="2:15" x14ac:dyDescent="0.25">
      <c r="B9" s="3" t="s">
        <v>37</v>
      </c>
      <c r="C9" s="4">
        <v>0.06</v>
      </c>
      <c r="D9" s="2">
        <v>7.0000000000000007E-2</v>
      </c>
      <c r="F9" s="3" t="s">
        <v>147</v>
      </c>
      <c r="G9" s="4" t="s">
        <v>144</v>
      </c>
      <c r="H9" s="21">
        <v>1</v>
      </c>
      <c r="I9" s="21">
        <v>900</v>
      </c>
      <c r="J9" s="21">
        <v>732</v>
      </c>
      <c r="K9" s="22">
        <f t="shared" si="0"/>
        <v>0.81333333333333335</v>
      </c>
      <c r="M9" s="41">
        <v>2030</v>
      </c>
      <c r="N9" s="46">
        <v>7000000</v>
      </c>
      <c r="O9" s="25">
        <f t="shared" si="1"/>
        <v>0.35</v>
      </c>
    </row>
    <row r="10" spans="2:15" x14ac:dyDescent="0.25">
      <c r="B10" s="3" t="s">
        <v>38</v>
      </c>
      <c r="C10" s="4">
        <v>0.06</v>
      </c>
      <c r="D10" s="2">
        <v>7.0000000000000007E-2</v>
      </c>
      <c r="F10" s="3" t="s">
        <v>147</v>
      </c>
      <c r="G10" s="4" t="s">
        <v>145</v>
      </c>
      <c r="H10" s="21">
        <v>1</v>
      </c>
      <c r="I10" s="21">
        <v>470</v>
      </c>
      <c r="J10" s="21">
        <v>56</v>
      </c>
      <c r="K10" s="22">
        <f t="shared" si="0"/>
        <v>0.11914893617021277</v>
      </c>
      <c r="M10" s="41">
        <v>2040</v>
      </c>
      <c r="N10" s="46">
        <v>4000000</v>
      </c>
      <c r="O10" s="25">
        <f t="shared" si="1"/>
        <v>0.2</v>
      </c>
    </row>
    <row r="11" spans="2:15" x14ac:dyDescent="0.25">
      <c r="B11" s="3" t="s">
        <v>39</v>
      </c>
      <c r="C11" s="4">
        <v>7.0000000000000007E-2</v>
      </c>
      <c r="D11" s="2">
        <v>0.08</v>
      </c>
      <c r="F11" s="3" t="s">
        <v>147</v>
      </c>
      <c r="G11" s="39" t="s">
        <v>146</v>
      </c>
      <c r="H11" s="21">
        <v>1</v>
      </c>
      <c r="I11" s="21">
        <v>1000</v>
      </c>
      <c r="J11" s="21">
        <v>222</v>
      </c>
      <c r="K11" s="22">
        <f t="shared" si="0"/>
        <v>0.222</v>
      </c>
      <c r="M11" s="42">
        <v>2050</v>
      </c>
      <c r="N11" s="47">
        <v>3000000</v>
      </c>
      <c r="O11" s="49">
        <f t="shared" si="1"/>
        <v>0.15</v>
      </c>
    </row>
    <row r="12" spans="2:15" x14ac:dyDescent="0.25">
      <c r="B12" s="3" t="s">
        <v>40</v>
      </c>
      <c r="C12" s="4">
        <v>7.0000000000000007E-2</v>
      </c>
      <c r="D12" s="2">
        <v>0.08</v>
      </c>
      <c r="F12" s="3" t="s">
        <v>147</v>
      </c>
      <c r="G12" s="39" t="s">
        <v>146</v>
      </c>
      <c r="H12" s="21">
        <v>1</v>
      </c>
      <c r="I12" s="21">
        <v>680</v>
      </c>
      <c r="J12" s="21">
        <v>61</v>
      </c>
      <c r="K12" s="22">
        <f t="shared" si="0"/>
        <v>8.9705882352941177E-2</v>
      </c>
    </row>
    <row r="13" spans="2:15" x14ac:dyDescent="0.25">
      <c r="B13" s="3" t="s">
        <v>41</v>
      </c>
      <c r="C13" s="4">
        <v>0.06</v>
      </c>
      <c r="D13" s="2">
        <v>7.0000000000000007E-2</v>
      </c>
      <c r="F13" s="3" t="s">
        <v>148</v>
      </c>
      <c r="G13" s="4" t="s">
        <v>146</v>
      </c>
      <c r="H13" s="21">
        <v>1</v>
      </c>
      <c r="I13" s="21">
        <v>620</v>
      </c>
      <c r="J13" s="21">
        <v>120</v>
      </c>
      <c r="K13" s="22">
        <f t="shared" si="0"/>
        <v>0.19354838709677419</v>
      </c>
    </row>
    <row r="14" spans="2:15" x14ac:dyDescent="0.25">
      <c r="B14" s="3" t="s">
        <v>42</v>
      </c>
      <c r="C14" s="4">
        <v>0.06</v>
      </c>
      <c r="D14" s="2">
        <v>7.0000000000000007E-2</v>
      </c>
      <c r="F14" s="3" t="s">
        <v>149</v>
      </c>
      <c r="G14" s="4" t="s">
        <v>145</v>
      </c>
      <c r="H14" s="21">
        <v>1</v>
      </c>
      <c r="I14" s="21">
        <v>310</v>
      </c>
      <c r="J14" s="21">
        <v>89</v>
      </c>
      <c r="K14" s="22">
        <f t="shared" si="0"/>
        <v>0.2870967741935484</v>
      </c>
    </row>
    <row r="15" spans="2:15" x14ac:dyDescent="0.25">
      <c r="B15" s="3" t="s">
        <v>43</v>
      </c>
      <c r="C15" s="4">
        <v>0.06</v>
      </c>
      <c r="D15" s="2">
        <v>0.06</v>
      </c>
      <c r="F15" s="3" t="s">
        <v>149</v>
      </c>
      <c r="G15" s="4" t="s">
        <v>145</v>
      </c>
      <c r="H15" s="21">
        <v>1</v>
      </c>
      <c r="I15" s="21">
        <v>495</v>
      </c>
      <c r="J15" s="21">
        <v>67</v>
      </c>
      <c r="K15" s="22">
        <f t="shared" si="0"/>
        <v>0.13535353535353536</v>
      </c>
    </row>
    <row r="16" spans="2:15" x14ac:dyDescent="0.25">
      <c r="B16" s="3" t="s">
        <v>44</v>
      </c>
      <c r="C16" s="4">
        <v>0.06</v>
      </c>
      <c r="D16" s="2">
        <v>7.0000000000000007E-2</v>
      </c>
      <c r="F16" s="3" t="s">
        <v>149</v>
      </c>
      <c r="G16" s="4" t="s">
        <v>145</v>
      </c>
      <c r="H16" s="21">
        <v>1</v>
      </c>
      <c r="I16" s="21">
        <v>1090</v>
      </c>
      <c r="J16" s="21">
        <v>65</v>
      </c>
      <c r="K16" s="22">
        <f t="shared" si="0"/>
        <v>5.9633027522935783E-2</v>
      </c>
    </row>
    <row r="17" spans="2:11" x14ac:dyDescent="0.25">
      <c r="B17" s="3" t="s">
        <v>45</v>
      </c>
      <c r="C17" s="4">
        <v>7.0000000000000007E-2</v>
      </c>
      <c r="D17" s="2">
        <v>7.0000000000000007E-2</v>
      </c>
      <c r="F17" s="17" t="s">
        <v>109</v>
      </c>
      <c r="G17" s="18"/>
      <c r="H17" s="18"/>
      <c r="I17" s="18"/>
      <c r="J17" s="18"/>
      <c r="K17" s="31">
        <f>SUMPRODUCT(K6:K16,H6:H16)/SUM(H6:H16)</f>
        <v>0.27056517555576415</v>
      </c>
    </row>
    <row r="18" spans="2:11" x14ac:dyDescent="0.25">
      <c r="B18" s="3" t="s">
        <v>46</v>
      </c>
      <c r="C18" s="4">
        <v>0.08</v>
      </c>
      <c r="D18" s="2">
        <v>0.08</v>
      </c>
    </row>
    <row r="19" spans="2:11" x14ac:dyDescent="0.25">
      <c r="B19" s="3" t="s">
        <v>47</v>
      </c>
      <c r="C19" s="4">
        <v>0.16</v>
      </c>
      <c r="D19" s="2">
        <v>0.1</v>
      </c>
    </row>
    <row r="20" spans="2:11" x14ac:dyDescent="0.25">
      <c r="B20" s="3" t="s">
        <v>48</v>
      </c>
      <c r="C20" s="4">
        <v>0.2</v>
      </c>
      <c r="D20" s="2">
        <v>0.08</v>
      </c>
    </row>
    <row r="21" spans="2:11" x14ac:dyDescent="0.25">
      <c r="B21" s="3" t="s">
        <v>49</v>
      </c>
      <c r="C21" s="4">
        <v>0.2</v>
      </c>
      <c r="D21" s="2">
        <v>0.09</v>
      </c>
    </row>
    <row r="22" spans="2:11" x14ac:dyDescent="0.25">
      <c r="B22" s="3" t="s">
        <v>50</v>
      </c>
      <c r="C22" s="4">
        <v>0.19</v>
      </c>
      <c r="D22" s="2">
        <v>0.1</v>
      </c>
    </row>
    <row r="23" spans="2:11" x14ac:dyDescent="0.25">
      <c r="B23" s="3" t="s">
        <v>51</v>
      </c>
      <c r="C23" s="4">
        <v>0.26</v>
      </c>
      <c r="D23" s="2">
        <v>0.09</v>
      </c>
    </row>
    <row r="24" spans="2:11" x14ac:dyDescent="0.25">
      <c r="B24" s="3" t="s">
        <v>52</v>
      </c>
      <c r="C24" s="4">
        <v>0.24</v>
      </c>
      <c r="D24" s="2">
        <v>0.09</v>
      </c>
    </row>
    <row r="25" spans="2:11" x14ac:dyDescent="0.25">
      <c r="B25" s="3" t="s">
        <v>53</v>
      </c>
      <c r="C25" s="4">
        <v>0.21</v>
      </c>
      <c r="D25" s="2">
        <v>0.09</v>
      </c>
    </row>
    <row r="26" spans="2:11" x14ac:dyDescent="0.25">
      <c r="B26" s="3" t="s">
        <v>54</v>
      </c>
      <c r="C26" s="4">
        <v>0.22</v>
      </c>
      <c r="D26" s="2">
        <v>0.11</v>
      </c>
    </row>
    <row r="27" spans="2:11" x14ac:dyDescent="0.25">
      <c r="B27" s="3" t="s">
        <v>55</v>
      </c>
      <c r="C27" s="4">
        <v>0.21</v>
      </c>
      <c r="D27" s="2">
        <v>0.09</v>
      </c>
    </row>
    <row r="28" spans="2:11" x14ac:dyDescent="0.25">
      <c r="B28" s="3" t="s">
        <v>56</v>
      </c>
      <c r="C28" s="4">
        <v>0.19</v>
      </c>
      <c r="D28" s="2">
        <v>0.09</v>
      </c>
    </row>
    <row r="29" spans="2:11" x14ac:dyDescent="0.25">
      <c r="B29" s="3" t="s">
        <v>57</v>
      </c>
      <c r="C29" s="4">
        <v>0.2</v>
      </c>
      <c r="D29" s="2">
        <v>0.1</v>
      </c>
    </row>
    <row r="30" spans="2:11" x14ac:dyDescent="0.25">
      <c r="B30" s="3" t="s">
        <v>58</v>
      </c>
      <c r="C30" s="4">
        <v>0.25</v>
      </c>
      <c r="D30" s="2">
        <v>0.13</v>
      </c>
    </row>
    <row r="31" spans="2:11" x14ac:dyDescent="0.25">
      <c r="B31" s="3" t="s">
        <v>59</v>
      </c>
      <c r="C31" s="4">
        <v>0.2</v>
      </c>
      <c r="D31" s="2">
        <v>0.08</v>
      </c>
    </row>
    <row r="32" spans="2:11" x14ac:dyDescent="0.25">
      <c r="B32" s="3" t="s">
        <v>60</v>
      </c>
      <c r="C32" s="4">
        <v>0.16</v>
      </c>
      <c r="D32" s="2">
        <v>0.13</v>
      </c>
    </row>
    <row r="33" spans="2:4" x14ac:dyDescent="0.25">
      <c r="B33" s="3" t="s">
        <v>61</v>
      </c>
      <c r="C33" s="4">
        <v>0.19</v>
      </c>
      <c r="D33" s="2">
        <v>0.15</v>
      </c>
    </row>
    <row r="34" spans="2:4" x14ac:dyDescent="0.25">
      <c r="B34" s="3" t="s">
        <v>62</v>
      </c>
      <c r="C34" s="4">
        <v>0.19</v>
      </c>
      <c r="D34" s="2">
        <v>0.12</v>
      </c>
    </row>
    <row r="35" spans="2:4" x14ac:dyDescent="0.25">
      <c r="B35" s="3" t="s">
        <v>63</v>
      </c>
      <c r="C35" s="4">
        <v>0.17</v>
      </c>
      <c r="D35" s="2">
        <v>0.17</v>
      </c>
    </row>
    <row r="36" spans="2:4" x14ac:dyDescent="0.25">
      <c r="B36" s="3" t="s">
        <v>64</v>
      </c>
      <c r="C36" s="4">
        <v>0.16</v>
      </c>
      <c r="D36" s="2">
        <v>0.15</v>
      </c>
    </row>
    <row r="37" spans="2:4" x14ac:dyDescent="0.25">
      <c r="B37" s="3" t="s">
        <v>65</v>
      </c>
      <c r="C37" s="4">
        <v>0.17</v>
      </c>
      <c r="D37" s="2">
        <v>0.11</v>
      </c>
    </row>
    <row r="38" spans="2:4" x14ac:dyDescent="0.25">
      <c r="B38" s="3" t="s">
        <v>66</v>
      </c>
      <c r="C38" s="4">
        <v>0.16</v>
      </c>
      <c r="D38" s="2">
        <v>0.13</v>
      </c>
    </row>
    <row r="39" spans="2:4" x14ac:dyDescent="0.25">
      <c r="B39" s="3" t="s">
        <v>67</v>
      </c>
      <c r="C39" s="4">
        <v>0.14000000000000001</v>
      </c>
      <c r="D39" s="2">
        <v>0.11</v>
      </c>
    </row>
    <row r="40" spans="2:4" x14ac:dyDescent="0.25">
      <c r="B40" s="3" t="s">
        <v>68</v>
      </c>
      <c r="C40" s="4">
        <v>0.12</v>
      </c>
      <c r="D40" s="2">
        <v>0.13</v>
      </c>
    </row>
    <row r="41" spans="2:4" x14ac:dyDescent="0.25">
      <c r="B41" s="3" t="s">
        <v>69</v>
      </c>
      <c r="C41" s="4">
        <v>0.09</v>
      </c>
      <c r="D41" s="2">
        <v>0.09</v>
      </c>
    </row>
    <row r="42" spans="2:4" x14ac:dyDescent="0.25">
      <c r="B42" s="3" t="s">
        <v>70</v>
      </c>
      <c r="C42" s="4">
        <v>0.09</v>
      </c>
      <c r="D42" s="2">
        <v>0.1</v>
      </c>
    </row>
    <row r="43" spans="2:4" x14ac:dyDescent="0.25">
      <c r="B43" s="3" t="s">
        <v>71</v>
      </c>
      <c r="C43" s="4">
        <v>0.1</v>
      </c>
      <c r="D43" s="2">
        <v>0.13</v>
      </c>
    </row>
    <row r="44" spans="2:4" x14ac:dyDescent="0.25">
      <c r="B44" s="3" t="s">
        <v>72</v>
      </c>
      <c r="C44" s="4">
        <v>0.1</v>
      </c>
      <c r="D44" s="2">
        <v>0.1</v>
      </c>
    </row>
    <row r="45" spans="2:4" x14ac:dyDescent="0.25">
      <c r="B45" s="3" t="s">
        <v>73</v>
      </c>
      <c r="C45" s="4">
        <v>0.09</v>
      </c>
      <c r="D45" s="2">
        <v>0.09</v>
      </c>
    </row>
    <row r="46" spans="2:4" x14ac:dyDescent="0.25">
      <c r="B46" s="3" t="s">
        <v>74</v>
      </c>
      <c r="C46" s="4">
        <v>0.09</v>
      </c>
      <c r="D46" s="2">
        <v>7.0000000000000007E-2</v>
      </c>
    </row>
    <row r="47" spans="2:4" x14ac:dyDescent="0.25">
      <c r="B47" s="3" t="s">
        <v>75</v>
      </c>
      <c r="C47" s="4">
        <v>0.08</v>
      </c>
      <c r="D47" s="2">
        <v>0.08</v>
      </c>
    </row>
    <row r="48" spans="2:4" x14ac:dyDescent="0.25">
      <c r="B48" s="3" t="s">
        <v>76</v>
      </c>
      <c r="C48" s="4">
        <v>0.08</v>
      </c>
      <c r="D48" s="2">
        <v>7.0000000000000007E-2</v>
      </c>
    </row>
    <row r="49" spans="2:4" x14ac:dyDescent="0.25">
      <c r="B49" s="3" t="s">
        <v>77</v>
      </c>
      <c r="C49" s="4">
        <v>7.0000000000000007E-2</v>
      </c>
      <c r="D49" s="2">
        <v>0.09</v>
      </c>
    </row>
    <row r="50" spans="2:4" x14ac:dyDescent="0.25">
      <c r="B50" s="3" t="s">
        <v>78</v>
      </c>
      <c r="C50" s="4">
        <v>7.0000000000000007E-2</v>
      </c>
      <c r="D50" s="2">
        <v>0.08</v>
      </c>
    </row>
    <row r="51" spans="2:4" x14ac:dyDescent="0.25">
      <c r="B51" s="3" t="s">
        <v>79</v>
      </c>
      <c r="C51" s="4">
        <v>0.06</v>
      </c>
      <c r="D51" s="2">
        <v>7.0000000000000007E-2</v>
      </c>
    </row>
    <row r="52" spans="2:4" x14ac:dyDescent="0.25">
      <c r="B52" s="3" t="s">
        <v>80</v>
      </c>
      <c r="C52" s="4">
        <v>0.06</v>
      </c>
      <c r="D52" s="2">
        <v>0.08</v>
      </c>
    </row>
    <row r="53" spans="2:4" x14ac:dyDescent="0.25">
      <c r="B53" s="3" t="s">
        <v>81</v>
      </c>
      <c r="C53" s="4">
        <v>0.06</v>
      </c>
      <c r="D53" s="2">
        <v>7.0000000000000007E-2</v>
      </c>
    </row>
    <row r="54" spans="2:4" x14ac:dyDescent="0.25">
      <c r="B54" s="9" t="s">
        <v>87</v>
      </c>
      <c r="C54" s="27">
        <f>AVERAGE(C6:C53)</f>
        <v>0.12624999999999997</v>
      </c>
      <c r="D54" s="28">
        <f>AVERAGE(D6:D53)</f>
        <v>9.354166666666669E-2</v>
      </c>
    </row>
    <row r="55" spans="2:4" x14ac:dyDescent="0.25">
      <c r="B55" s="20" t="s">
        <v>85</v>
      </c>
      <c r="C55" s="89">
        <f>(5*C54+2*D54)/7</f>
        <v>0.11690476190476189</v>
      </c>
      <c r="D55" s="90"/>
    </row>
  </sheetData>
  <mergeCells count="10">
    <mergeCell ref="C55:D55"/>
    <mergeCell ref="F2:K2"/>
    <mergeCell ref="F3:K3"/>
    <mergeCell ref="F4:K4"/>
    <mergeCell ref="M2:O2"/>
    <mergeCell ref="M3:O3"/>
    <mergeCell ref="M4:O4"/>
    <mergeCell ref="B2:D2"/>
    <mergeCell ref="B3:D3"/>
    <mergeCell ref="B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Sources</vt:lpstr>
      <vt:lpstr>MELs Density</vt:lpstr>
      <vt:lpstr>Office Buildings</vt:lpstr>
      <vt:lpstr>Data | Desktops</vt:lpstr>
      <vt:lpstr>Data | Laptops</vt:lpstr>
      <vt:lpstr>Data | Monitors</vt:lpstr>
      <vt:lpstr>Data | TVs</vt:lpstr>
      <vt:lpstr>Data | Copiers</vt:lpstr>
      <vt:lpstr>Data | Printers</vt:lpstr>
      <vt:lpstr>Data | MFDs</vt:lpstr>
      <vt:lpstr>Data | IT Equipment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Stephen</dc:creator>
  <cp:lastModifiedBy>Stephen Frank</cp:lastModifiedBy>
  <dcterms:created xsi:type="dcterms:W3CDTF">2015-06-05T18:17:20Z</dcterms:created>
  <dcterms:modified xsi:type="dcterms:W3CDTF">2021-10-10T22:39:23Z</dcterms:modified>
</cp:coreProperties>
</file>