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naza\Downloads\FINAL THINGS OF PROJECT\FINAL DATA\"/>
    </mc:Choice>
  </mc:AlternateContent>
  <bookViews>
    <workbookView xWindow="0" yWindow="0" windowWidth="23040" windowHeight="8808" tabRatio="912" activeTab="6"/>
  </bookViews>
  <sheets>
    <sheet name="VOLV-B.ST" sheetId="1" r:id="rId1"/>
    <sheet name="Workings" sheetId="3" r:id="rId2"/>
    <sheet name="DCF Valuation" sheetId="2" r:id="rId3"/>
    <sheet name="Price Relative Estimates" sheetId="6" r:id="rId4"/>
    <sheet name="Sensitivity Analysis" sheetId="7" r:id="rId5"/>
    <sheet name="Ratio" sheetId="9" r:id="rId6"/>
    <sheet name="Income Statement" sheetId="10" r:id="rId7"/>
    <sheet name="Balance sheet" sheetId="11" r:id="rId8"/>
    <sheet name="Cash Flow Statement" sheetId="12" r:id="rId9"/>
  </sheets>
  <externalReferences>
    <externalReference r:id="rId10"/>
  </externalReferenc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I7" i="7" s="1"/>
  <c r="J7" i="7" s="1"/>
  <c r="K7" i="7" s="1"/>
  <c r="L7" i="7" s="1"/>
  <c r="M7" i="7" s="1"/>
  <c r="F7" i="7"/>
  <c r="E7" i="7" s="1"/>
  <c r="D7" i="7" s="1"/>
  <c r="C7" i="7" s="1"/>
  <c r="N9" i="2"/>
  <c r="N8" i="2"/>
  <c r="B3" i="6"/>
  <c r="B10" i="6"/>
  <c r="B9" i="6"/>
  <c r="B8" i="6"/>
  <c r="B8" i="2"/>
  <c r="L11" i="3"/>
  <c r="C20" i="9"/>
  <c r="B20" i="9"/>
  <c r="C21" i="9"/>
  <c r="B21" i="9"/>
  <c r="E5" i="6" l="1"/>
  <c r="D5" i="6"/>
  <c r="C5" i="6"/>
  <c r="B5" i="6"/>
  <c r="C10" i="2" l="1"/>
  <c r="I18" i="3"/>
  <c r="I17" i="3"/>
  <c r="I16" i="3"/>
  <c r="I15" i="3"/>
  <c r="I14" i="3"/>
  <c r="I12" i="3"/>
  <c r="I11" i="3"/>
  <c r="I6" i="3"/>
  <c r="I5" i="3"/>
  <c r="I4" i="3"/>
  <c r="I20" i="3" s="1"/>
  <c r="B45" i="11"/>
  <c r="B36" i="11"/>
  <c r="B31" i="11"/>
  <c r="B46" i="11" s="1"/>
  <c r="B24" i="11"/>
  <c r="B13" i="11"/>
  <c r="B25" i="11" s="1"/>
  <c r="B8" i="10"/>
  <c r="K15" i="9"/>
  <c r="J15" i="9"/>
  <c r="I15" i="9"/>
  <c r="H15" i="9"/>
  <c r="G15" i="9"/>
  <c r="F15" i="9"/>
  <c r="E15" i="9"/>
  <c r="D15" i="9"/>
  <c r="C15" i="9"/>
  <c r="B15" i="9"/>
  <c r="K14" i="9"/>
  <c r="J14" i="9"/>
  <c r="I14" i="9"/>
  <c r="H14" i="9"/>
  <c r="G14" i="9"/>
  <c r="F14" i="9"/>
  <c r="E14" i="9"/>
  <c r="D14" i="9"/>
  <c r="C14" i="9"/>
  <c r="B14" i="9"/>
  <c r="C9" i="9"/>
  <c r="B9" i="9"/>
  <c r="C8" i="9"/>
  <c r="B8" i="9"/>
  <c r="K7" i="9"/>
  <c r="J7" i="9"/>
  <c r="I7" i="9"/>
  <c r="H7" i="9"/>
  <c r="G7" i="9"/>
  <c r="F7" i="9"/>
  <c r="E7" i="9"/>
  <c r="D7" i="9"/>
  <c r="C7" i="9"/>
  <c r="B7" i="9"/>
  <c r="K6" i="9"/>
  <c r="J6" i="9"/>
  <c r="I6" i="9"/>
  <c r="H6" i="9"/>
  <c r="G6" i="9"/>
  <c r="F6" i="9"/>
  <c r="E6" i="9"/>
  <c r="D6" i="9"/>
  <c r="C6" i="9"/>
  <c r="B6" i="9"/>
  <c r="B31" i="3" l="1"/>
  <c r="C15" i="1" l="1"/>
  <c r="D10" i="6" l="1"/>
  <c r="D9" i="6"/>
  <c r="D8" i="6"/>
  <c r="D6" i="6"/>
  <c r="C6" i="6"/>
  <c r="E4" i="6"/>
  <c r="E3" i="6"/>
  <c r="D4" i="6"/>
  <c r="C4" i="6"/>
  <c r="B4" i="6"/>
  <c r="D3" i="6"/>
  <c r="C3" i="6"/>
  <c r="B19" i="3"/>
  <c r="N4" i="2"/>
  <c r="B38" i="3"/>
  <c r="B39" i="3" s="1"/>
  <c r="B42" i="3" s="1"/>
  <c r="C6" i="3"/>
  <c r="C7" i="3"/>
  <c r="C8" i="3"/>
  <c r="C9" i="3"/>
  <c r="C5" i="3"/>
  <c r="C11" i="3" l="1"/>
  <c r="B41" i="3"/>
  <c r="D11" i="6"/>
  <c r="E11" i="6" s="1"/>
  <c r="B45" i="3"/>
  <c r="B3" i="2" s="1"/>
  <c r="C3" i="2" s="1"/>
  <c r="N5" i="2"/>
  <c r="N7" i="2" s="1"/>
  <c r="B2" i="2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5" i="1"/>
  <c r="C6" i="1"/>
  <c r="C7" i="1"/>
  <c r="C8" i="1"/>
  <c r="C9" i="1"/>
  <c r="C10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5" i="1"/>
  <c r="B4" i="2" l="1"/>
  <c r="G2" i="2"/>
  <c r="C2" i="2"/>
  <c r="D3" i="2"/>
  <c r="F3" i="2"/>
  <c r="E3" i="2"/>
  <c r="C4" i="2" l="1"/>
  <c r="D2" i="2"/>
  <c r="B6" i="2"/>
  <c r="D4" i="2" l="1"/>
  <c r="E2" i="2"/>
  <c r="E4" i="2" l="1"/>
  <c r="F2" i="2"/>
  <c r="F4" i="2" s="1"/>
  <c r="B5" i="2" l="1"/>
  <c r="B7" i="2" s="1"/>
  <c r="B9" i="2" l="1"/>
  <c r="C9" i="2" s="1"/>
  <c r="B12" i="2" s="1"/>
</calcChain>
</file>

<file path=xl/sharedStrings.xml><?xml version="1.0" encoding="utf-8"?>
<sst xmlns="http://schemas.openxmlformats.org/spreadsheetml/2006/main" count="310" uniqueCount="259">
  <si>
    <t>Date</t>
  </si>
  <si>
    <t>OMXSPI</t>
  </si>
  <si>
    <t>VOLV-B.ST</t>
  </si>
  <si>
    <t>Adjusting Closing price</t>
  </si>
  <si>
    <t>Return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</si>
  <si>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</si>
  <si>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</si>
  <si>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</si>
  <si>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</si>
  <si>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</si>
  <si>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</si>
  <si>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</si>
  <si>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</si>
  <si>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</si>
  <si>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</si>
  <si>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</si>
  <si>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</si>
  <si>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</si>
  <si>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</si>
  <si>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</si>
  <si>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</si>
  <si>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</si>
  <si>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</si>
  <si>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</si>
  <si>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</si>
  <si>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</si>
  <si>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</si>
  <si>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</si>
  <si>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</si>
  <si>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</si>
  <si>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Average Growth</t>
  </si>
  <si>
    <t>Growth</t>
  </si>
  <si>
    <t>Net Sales</t>
  </si>
  <si>
    <t>Year</t>
  </si>
  <si>
    <t>Risk Free Rate</t>
  </si>
  <si>
    <t>Beta</t>
  </si>
  <si>
    <t>Market Risk premium</t>
  </si>
  <si>
    <t>Market Risk Premium</t>
  </si>
  <si>
    <t>Required Rate of Return (CAPM)</t>
  </si>
  <si>
    <t>Non current Bond Loans</t>
  </si>
  <si>
    <t>Non current other loans</t>
  </si>
  <si>
    <t>Current Bond Loans</t>
  </si>
  <si>
    <t>Current other Loans</t>
  </si>
  <si>
    <t>Cost of Debt</t>
  </si>
  <si>
    <t>Calculation of WACC</t>
  </si>
  <si>
    <t>Calculation of value of the firm</t>
  </si>
  <si>
    <t>Value of Equity</t>
  </si>
  <si>
    <t>Value of Debt</t>
  </si>
  <si>
    <t>Total Outstanding Shares</t>
  </si>
  <si>
    <t>Market Price</t>
  </si>
  <si>
    <t>total value</t>
  </si>
  <si>
    <t>Weight of Debt</t>
  </si>
  <si>
    <t>weight of equity</t>
  </si>
  <si>
    <t xml:space="preserve">Corporate tax rate </t>
  </si>
  <si>
    <t>CV</t>
  </si>
  <si>
    <t>Free Cash Flow (FCF)</t>
  </si>
  <si>
    <t>WACC</t>
  </si>
  <si>
    <t>Calculation Free Cash Flow(FCF)</t>
  </si>
  <si>
    <t>Cashflows from operating activities</t>
  </si>
  <si>
    <t>interest expenses</t>
  </si>
  <si>
    <t>Tax-shield on interest expense</t>
  </si>
  <si>
    <t>Capital expenditure</t>
  </si>
  <si>
    <t>Free Cash Flows</t>
  </si>
  <si>
    <t>Growth Rate</t>
  </si>
  <si>
    <t>PV(FCF)</t>
  </si>
  <si>
    <t>Total PV(FCF)</t>
  </si>
  <si>
    <t>PV(CV)</t>
  </si>
  <si>
    <t>Enterprise Value</t>
  </si>
  <si>
    <t>Net Debt</t>
  </si>
  <si>
    <t>value of equity</t>
  </si>
  <si>
    <t>Shares Outstanding</t>
  </si>
  <si>
    <t>Price Per Share</t>
  </si>
  <si>
    <t>Current Price</t>
  </si>
  <si>
    <t>Sales</t>
  </si>
  <si>
    <t>earnings</t>
  </si>
  <si>
    <t>Book value</t>
  </si>
  <si>
    <t>market value</t>
  </si>
  <si>
    <t>P/S</t>
  </si>
  <si>
    <t>P/E</t>
  </si>
  <si>
    <t>P/B</t>
  </si>
  <si>
    <t>Daimler AG</t>
  </si>
  <si>
    <t>usd to SEK</t>
  </si>
  <si>
    <t>JPY to SEK</t>
  </si>
  <si>
    <t>outstanding shares</t>
  </si>
  <si>
    <t>Average Multiple</t>
  </si>
  <si>
    <t>Volvo</t>
  </si>
  <si>
    <t>Earnings</t>
  </si>
  <si>
    <t>Book Value</t>
  </si>
  <si>
    <t>AVG Value</t>
  </si>
  <si>
    <t>Valuation Assumptions</t>
  </si>
  <si>
    <t>Risk Free Interest Rate</t>
  </si>
  <si>
    <t>Equity Beta</t>
  </si>
  <si>
    <t>Cost of Equity</t>
  </si>
  <si>
    <t>Terminal FCF Growth</t>
  </si>
  <si>
    <t>Weighted Average Cost of Capital</t>
  </si>
  <si>
    <t>Calculation of Growth Rate</t>
  </si>
  <si>
    <t>Calculation of cost of equity</t>
  </si>
  <si>
    <t>Calculation of cost of debt</t>
  </si>
  <si>
    <t xml:space="preserve">Interest expenses </t>
  </si>
  <si>
    <t>Calculation of total debt</t>
  </si>
  <si>
    <t>Total debt</t>
  </si>
  <si>
    <t>Recommendation</t>
  </si>
  <si>
    <t>Price Relative Estimates</t>
  </si>
  <si>
    <t>Sensitivity Analysis</t>
  </si>
  <si>
    <t>Key Ratios (Volvo Group)</t>
  </si>
  <si>
    <t>Turnover Ratios</t>
  </si>
  <si>
    <t xml:space="preserve">SEK M </t>
  </si>
  <si>
    <t>Inventory Turnover</t>
  </si>
  <si>
    <t>Asset Turnover</t>
  </si>
  <si>
    <t>Average A/R Days</t>
  </si>
  <si>
    <t>Average A/P Days</t>
  </si>
  <si>
    <t xml:space="preserve"> Profitability Ratios  </t>
  </si>
  <si>
    <t>EBITDA Margin %</t>
  </si>
  <si>
    <t>Gross Margin %</t>
  </si>
  <si>
    <t>Return on capital employed %</t>
  </si>
  <si>
    <t>–</t>
  </si>
  <si>
    <t>EBIT Margin %</t>
  </si>
  <si>
    <t>Net Profit Margin%</t>
  </si>
  <si>
    <t>Return on Equity (%)</t>
  </si>
  <si>
    <t>Earning ratio per share %</t>
  </si>
  <si>
    <t>Return on Assets (ROA)</t>
  </si>
  <si>
    <t>Liquidity Ratios</t>
  </si>
  <si>
    <t>Quick Ratio</t>
  </si>
  <si>
    <t>Current Ratio</t>
  </si>
  <si>
    <t>Leverage Ratios</t>
  </si>
  <si>
    <t>Total Equity</t>
  </si>
  <si>
    <t>Debt Ratio</t>
  </si>
  <si>
    <t>Self-financing ratio %</t>
  </si>
  <si>
    <t>Interest Coverage</t>
  </si>
  <si>
    <t>Per Share Ratios</t>
  </si>
  <si>
    <t>Payout ratio %</t>
  </si>
  <si>
    <t>Income Statement (Volvo Group) 2020</t>
  </si>
  <si>
    <t>SEK M</t>
  </si>
  <si>
    <t>Cost of Sales</t>
  </si>
  <si>
    <t>Gross Profit</t>
  </si>
  <si>
    <t>Research and development Expenses</t>
  </si>
  <si>
    <t>Selling Expenses</t>
  </si>
  <si>
    <t>Adminstrative Expenses</t>
  </si>
  <si>
    <t>Other operating income and Expenses</t>
  </si>
  <si>
    <t>Other Investments</t>
  </si>
  <si>
    <t>Investments in Joint ventures</t>
  </si>
  <si>
    <t>Operating Income</t>
  </si>
  <si>
    <t>Income after financial items(Interest Expense)</t>
  </si>
  <si>
    <t>Income tax</t>
  </si>
  <si>
    <t>Net Income</t>
  </si>
  <si>
    <t xml:space="preserve">                    Balance sheet (Volvo Group) 2020</t>
  </si>
  <si>
    <t>Intangible Assets</t>
  </si>
  <si>
    <t>Property,plant and equipment</t>
  </si>
  <si>
    <t>Investment Property</t>
  </si>
  <si>
    <t>Assets unders operating lease</t>
  </si>
  <si>
    <t>Financial Assets</t>
  </si>
  <si>
    <t>Deferred tax assets</t>
  </si>
  <si>
    <t>Total non-current assets</t>
  </si>
  <si>
    <t xml:space="preserve">Current Assets </t>
  </si>
  <si>
    <t>Inventories</t>
  </si>
  <si>
    <t>Customer-financing receivable</t>
  </si>
  <si>
    <t>Tax assets</t>
  </si>
  <si>
    <t>Interest-bearing receivable</t>
  </si>
  <si>
    <t>Accounts receivable</t>
  </si>
  <si>
    <t>Other receivables</t>
  </si>
  <si>
    <t>Marketable securities</t>
  </si>
  <si>
    <t>Cash and cash equivalents</t>
  </si>
  <si>
    <t>Assets held for sale</t>
  </si>
  <si>
    <t>Total current assets</t>
  </si>
  <si>
    <t>Total Assets</t>
  </si>
  <si>
    <t xml:space="preserve">Equity and Liabilities </t>
  </si>
  <si>
    <t>Total equity</t>
  </si>
  <si>
    <t>Provison for post employment benefits</t>
  </si>
  <si>
    <t>Provison for deferred taxes</t>
  </si>
  <si>
    <t>Other provisions</t>
  </si>
  <si>
    <t>Total non-current provisions</t>
  </si>
  <si>
    <t xml:space="preserve"> Non-Current Liabilities</t>
  </si>
  <si>
    <t>Long -term Bond loans</t>
  </si>
  <si>
    <t>Long-term Other loans</t>
  </si>
  <si>
    <t>Other liabilities</t>
  </si>
  <si>
    <t>Total non-current liabilities</t>
  </si>
  <si>
    <t>Current Liabilities</t>
  </si>
  <si>
    <t>Current provisions</t>
  </si>
  <si>
    <t>Short-term bonds loans</t>
  </si>
  <si>
    <t>Short-term other loans</t>
  </si>
  <si>
    <t>Trade Payables</t>
  </si>
  <si>
    <t>Tax liabilities</t>
  </si>
  <si>
    <t>Liabilities held for sale</t>
  </si>
  <si>
    <t>Total current liabilities</t>
  </si>
  <si>
    <t>Total equity and liabilities</t>
  </si>
  <si>
    <r>
      <t xml:space="preserve"> </t>
    </r>
    <r>
      <rPr>
        <b/>
        <sz val="12"/>
        <color rgb="FF000000"/>
        <rFont val="Times New Roman"/>
        <family val="1"/>
      </rPr>
      <t xml:space="preserve">Assets </t>
    </r>
  </si>
  <si>
    <r>
      <t xml:space="preserve">   </t>
    </r>
    <r>
      <rPr>
        <b/>
        <sz val="12"/>
        <color rgb="FF000000"/>
        <rFont val="Times New Roman"/>
        <family val="1"/>
      </rPr>
      <t xml:space="preserve">Non-Current Assets </t>
    </r>
  </si>
  <si>
    <t>Cash flow Statement(Volvo Group)2020</t>
  </si>
  <si>
    <t>Operating Activities</t>
  </si>
  <si>
    <t>Amortization of intangible assets</t>
  </si>
  <si>
    <t>Depreciation</t>
  </si>
  <si>
    <t>other non-cash items</t>
  </si>
  <si>
    <t>Change in working capital</t>
  </si>
  <si>
    <t>Dividends received</t>
  </si>
  <si>
    <t>Interest received</t>
  </si>
  <si>
    <t>2,86</t>
  </si>
  <si>
    <t>Interest paid</t>
  </si>
  <si>
    <t>Other financial items</t>
  </si>
  <si>
    <t>(3,36)</t>
  </si>
  <si>
    <t>Income tax paid</t>
  </si>
  <si>
    <t>Cash flow from operating activities</t>
  </si>
  <si>
    <t>Investing Activities</t>
  </si>
  <si>
    <t>Investments in intangible assets</t>
  </si>
  <si>
    <t>Investments in tangible assets</t>
  </si>
  <si>
    <t>Investments in leasing vehicles</t>
  </si>
  <si>
    <t>Disposals of intangible assets</t>
  </si>
  <si>
    <t>Investments of shares</t>
  </si>
  <si>
    <t>Divestments of shares</t>
  </si>
  <si>
    <t>Acquired operations</t>
  </si>
  <si>
    <t>Divested operations</t>
  </si>
  <si>
    <t>Interest bearing receivables</t>
  </si>
  <si>
    <t>Cash flow from investing activities</t>
  </si>
  <si>
    <t>Financing Activities</t>
  </si>
  <si>
    <t>New borrowings</t>
  </si>
  <si>
    <t>Repayment of borrowings</t>
  </si>
  <si>
    <t>Dividends to non-controlling assets</t>
  </si>
  <si>
    <t>Other</t>
  </si>
  <si>
    <t>Difference on cash and cash equivalents</t>
  </si>
  <si>
    <t>Cash flow from financing activities</t>
  </si>
  <si>
    <t>Bond loans</t>
  </si>
  <si>
    <t>EUR 2012–2020/2022–20781</t>
  </si>
  <si>
    <t>SEK 2018-2020/2022-2024</t>
  </si>
  <si>
    <t>NOK 2019-2020/2022-2024</t>
  </si>
  <si>
    <t>HKD 2019/2024</t>
  </si>
  <si>
    <t>USD 2019/2029</t>
  </si>
  <si>
    <t>JPY 2020/2023</t>
  </si>
  <si>
    <t>Range</t>
  </si>
  <si>
    <t>0.00–4.79</t>
  </si>
  <si>
    <t>0.40–2.31</t>
  </si>
  <si>
    <t>1.21–2.28</t>
  </si>
  <si>
    <t>average</t>
  </si>
  <si>
    <t>Other Loans</t>
  </si>
  <si>
    <t>USD 2014-2020/2022-2024</t>
  </si>
  <si>
    <t>EUR 2012-2020/2022-2026</t>
  </si>
  <si>
    <t>CAD 2019/2022</t>
  </si>
  <si>
    <t>MXN 2020/2025</t>
  </si>
  <si>
    <t>JPY 2019-2020/2023-2024</t>
  </si>
  <si>
    <t>BRL 2013-2015/2023-2028</t>
  </si>
  <si>
    <t>AUD 2018-2020/2022-2024</t>
  </si>
  <si>
    <t>CNY 2018-2020/2022-2023</t>
  </si>
  <si>
    <t>0.49–3.03</t>
  </si>
  <si>
    <t>0.00–2.34</t>
  </si>
  <si>
    <t>5.24–5.91</t>
  </si>
  <si>
    <t>0.37–1.24</t>
  </si>
  <si>
    <t>3.00–12.32</t>
  </si>
  <si>
    <t>0.92–1.52</t>
  </si>
  <si>
    <t>2.70–4.99</t>
  </si>
  <si>
    <t>PACCAR</t>
  </si>
  <si>
    <t>Average interest rate</t>
  </si>
  <si>
    <t>Calculation of Interest Rates for debt</t>
  </si>
  <si>
    <t>-</t>
  </si>
  <si>
    <t>Debt</t>
  </si>
  <si>
    <t>Non-current Bond Loans</t>
  </si>
  <si>
    <t>Other Non-current loans</t>
  </si>
  <si>
    <t>Other Liabilities</t>
  </si>
  <si>
    <t>Other Current Loans</t>
  </si>
  <si>
    <t>Liabilities Held for sale</t>
  </si>
  <si>
    <t>HOLD/BUY</t>
  </si>
  <si>
    <t>SCANIA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</si>
</sst>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3" formatCode="_(* #,##0.00_);_(* \(#,##0.00\);_(* &quot;-&quot;??_);_(@_)"/>
    <numFmt numFmtId="164" formatCode="0.000"/>
    <numFmt numFmtId="165" formatCode="0.000%"/>
    <numFmt numFmtId="166" formatCode="0.0%"/>
    <numFmt numFmtId="167" formatCode="0_);\(0\)"/>
    <numFmt numFmtId="168" formatCode="_(* #,##0_);_(* \(#,##0\);_(* &quot;-&quot;??_);_(@_)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FFFF"/>
      <name val="Times New Roman"/>
      <family val="1"/>
    </font>
    <font>
      <b/>
      <sz val="12"/>
      <name val="Times New Roman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4"/>
      <name val="Times New Roman"/>
      <family val="1"/>
    </font>
    <font>
      <sz val="11"/>
      <color rgb="FF000000"/>
      <name val="Times New Roman"/>
      <family val="1"/>
    </font>
    <font>
      <sz val="9"/>
      <name val="Calibri"/>
      <family val="3"/>
      <charset val="134"/>
      <scheme val="minor"/>
    </font>
    <font>
      <b/>
      <sz val="11"/>
      <color theme="1"/>
      <name val="Times New Roman"/>
      <family val="1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BBB59"/>
        <bgColor rgb="FF000000"/>
      </patternFill>
    </fill>
    <fill>
      <patternFill patternType="solid">
        <fgColor rgb="FF376091"/>
        <bgColor rgb="FF000000"/>
      </patternFill>
    </fill>
    <fill>
      <patternFill patternType="solid">
        <fgColor rgb="FFD7E4B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2D69A"/>
        <bgColor rgb="FF000000"/>
      </patternFill>
    </fill>
    <fill>
      <patternFill patternType="solid">
        <fgColor theme="8" tint="0.5999938962981048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45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0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8" fillId="0" borderId="17" xfId="0" applyFont="1" applyFill="1" applyBorder="1" applyAlignment="1">
      <alignment horizontal="centerContinuous"/>
    </xf>
    <xf numFmtId="0" fontId="0" fillId="0" borderId="15" xfId="0" applyFill="1" applyBorder="1" applyAlignment="1"/>
    <xf numFmtId="0" fontId="0" fillId="0" borderId="18" xfId="0" applyFill="1" applyBorder="1" applyAlignment="1"/>
    <xf numFmtId="0" fontId="18" fillId="0" borderId="17" xfId="0" applyFont="1" applyFill="1" applyBorder="1" applyAlignment="1">
      <alignment horizontal="center"/>
    </xf>
    <xf numFmtId="0" fontId="18" fillId="0" borderId="19" xfId="0" applyFont="1" applyFill="1" applyBorder="1" applyAlignment="1">
      <alignment horizontal="center"/>
    </xf>
    <xf numFmtId="0" fontId="0" fillId="0" borderId="16" xfId="0" applyFill="1" applyBorder="1" applyAlignment="1"/>
    <xf numFmtId="0" fontId="0" fillId="0" borderId="20" xfId="0" applyFill="1" applyBorder="1" applyAlignment="1"/>
    <xf numFmtId="0" fontId="0" fillId="0" borderId="0" xfId="0"/>
    <xf numFmtId="9" fontId="0" fillId="0" borderId="0" xfId="1" applyFont="1"/>
    <xf numFmtId="0" fontId="0" fillId="0" borderId="0" xfId="0" applyFill="1"/>
    <xf numFmtId="10" fontId="0" fillId="0" borderId="0" xfId="0" applyNumberFormat="1"/>
    <xf numFmtId="10" fontId="19" fillId="0" borderId="0" xfId="0" applyNumberFormat="1" applyFont="1"/>
    <xf numFmtId="166" fontId="0" fillId="0" borderId="0" xfId="0" applyNumberFormat="1"/>
    <xf numFmtId="2" fontId="0" fillId="0" borderId="0" xfId="0" applyNumberFormat="1" applyFill="1"/>
    <xf numFmtId="0" fontId="20" fillId="0" borderId="0" xfId="0" applyFont="1"/>
    <xf numFmtId="0" fontId="21" fillId="0" borderId="0" xfId="0" applyFont="1" applyBorder="1"/>
    <xf numFmtId="14" fontId="21" fillId="0" borderId="15" xfId="0" applyNumberFormat="1" applyFont="1" applyBorder="1"/>
    <xf numFmtId="164" fontId="21" fillId="0" borderId="0" xfId="0" applyNumberFormat="1" applyFont="1" applyBorder="1"/>
    <xf numFmtId="0" fontId="21" fillId="0" borderId="16" xfId="0" applyFont="1" applyBorder="1"/>
    <xf numFmtId="2" fontId="21" fillId="0" borderId="16" xfId="0" applyNumberFormat="1" applyFont="1" applyBorder="1"/>
    <xf numFmtId="14" fontId="21" fillId="0" borderId="18" xfId="0" applyNumberFormat="1" applyFont="1" applyBorder="1"/>
    <xf numFmtId="164" fontId="21" fillId="0" borderId="11" xfId="0" applyNumberFormat="1" applyFont="1" applyBorder="1"/>
    <xf numFmtId="2" fontId="21" fillId="0" borderId="20" xfId="0" applyNumberFormat="1" applyFont="1" applyBorder="1"/>
    <xf numFmtId="0" fontId="21" fillId="0" borderId="11" xfId="0" applyFont="1" applyBorder="1"/>
    <xf numFmtId="0" fontId="21" fillId="0" borderId="0" xfId="0" applyFont="1"/>
    <xf numFmtId="0" fontId="22" fillId="35" borderId="0" xfId="0" applyFont="1" applyFill="1"/>
    <xf numFmtId="10" fontId="22" fillId="35" borderId="0" xfId="0" applyNumberFormat="1" applyFont="1" applyFill="1"/>
    <xf numFmtId="9" fontId="20" fillId="0" borderId="0" xfId="1" applyFont="1"/>
    <xf numFmtId="0" fontId="22" fillId="34" borderId="0" xfId="0" applyFont="1" applyFill="1"/>
    <xf numFmtId="0" fontId="21" fillId="0" borderId="27" xfId="0" applyFont="1" applyBorder="1"/>
    <xf numFmtId="3" fontId="21" fillId="0" borderId="27" xfId="0" applyNumberFormat="1" applyFont="1" applyBorder="1" applyAlignment="1">
      <alignment horizontal="center" vertical="center"/>
    </xf>
    <xf numFmtId="0" fontId="21" fillId="0" borderId="30" xfId="0" applyFont="1" applyBorder="1"/>
    <xf numFmtId="165" fontId="21" fillId="0" borderId="31" xfId="1" applyNumberFormat="1" applyFont="1" applyBorder="1"/>
    <xf numFmtId="164" fontId="21" fillId="0" borderId="31" xfId="0" applyNumberFormat="1" applyFont="1" applyFill="1" applyBorder="1" applyAlignment="1"/>
    <xf numFmtId="10" fontId="23" fillId="0" borderId="31" xfId="0" applyNumberFormat="1" applyFont="1" applyBorder="1"/>
    <xf numFmtId="0" fontId="21" fillId="0" borderId="31" xfId="0" applyFont="1" applyBorder="1"/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10" fontId="21" fillId="0" borderId="31" xfId="1" applyNumberFormat="1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3" fontId="21" fillId="0" borderId="35" xfId="0" applyNumberFormat="1" applyFont="1" applyBorder="1" applyAlignment="1">
      <alignment horizontal="center" vertical="center"/>
    </xf>
    <xf numFmtId="10" fontId="21" fillId="0" borderId="33" xfId="1" applyNumberFormat="1" applyFont="1" applyBorder="1" applyAlignment="1">
      <alignment horizontal="center" vertical="center"/>
    </xf>
    <xf numFmtId="0" fontId="22" fillId="40" borderId="30" xfId="0" applyFont="1" applyFill="1" applyBorder="1" applyAlignment="1">
      <alignment horizontal="center" vertical="center"/>
    </xf>
    <xf numFmtId="0" fontId="22" fillId="40" borderId="27" xfId="0" applyFont="1" applyFill="1" applyBorder="1" applyAlignment="1">
      <alignment horizontal="center" vertical="center"/>
    </xf>
    <xf numFmtId="0" fontId="22" fillId="40" borderId="31" xfId="0" applyFont="1" applyFill="1" applyBorder="1" applyAlignment="1">
      <alignment horizontal="center" vertical="center"/>
    </xf>
    <xf numFmtId="165" fontId="22" fillId="35" borderId="0" xfId="1" applyNumberFormat="1" applyFont="1" applyFill="1"/>
    <xf numFmtId="3" fontId="22" fillId="35" borderId="0" xfId="0" applyNumberFormat="1" applyFont="1" applyFill="1"/>
    <xf numFmtId="0" fontId="22" fillId="0" borderId="0" xfId="0" applyFont="1"/>
    <xf numFmtId="9" fontId="22" fillId="35" borderId="0" xfId="0" applyNumberFormat="1" applyFont="1" applyFill="1"/>
    <xf numFmtId="0" fontId="21" fillId="39" borderId="27" xfId="0" applyFont="1" applyFill="1" applyBorder="1"/>
    <xf numFmtId="0" fontId="22" fillId="0" borderId="30" xfId="0" applyFont="1" applyBorder="1"/>
    <xf numFmtId="0" fontId="22" fillId="0" borderId="31" xfId="0" applyFont="1" applyBorder="1"/>
    <xf numFmtId="0" fontId="22" fillId="35" borderId="32" xfId="0" applyFont="1" applyFill="1" applyBorder="1"/>
    <xf numFmtId="10" fontId="22" fillId="35" borderId="33" xfId="1" applyNumberFormat="1" applyFont="1" applyFill="1" applyBorder="1"/>
    <xf numFmtId="0" fontId="22" fillId="35" borderId="32" xfId="0" applyFont="1" applyFill="1" applyBorder="1" applyAlignment="1">
      <alignment wrapText="1"/>
    </xf>
    <xf numFmtId="0" fontId="22" fillId="39" borderId="27" xfId="0" applyFont="1" applyFill="1" applyBorder="1"/>
    <xf numFmtId="0" fontId="22" fillId="0" borderId="10" xfId="0" applyFont="1" applyBorder="1"/>
    <xf numFmtId="0" fontId="22" fillId="0" borderId="0" xfId="0" applyFont="1" applyBorder="1"/>
    <xf numFmtId="3" fontId="21" fillId="35" borderId="0" xfId="0" applyNumberFormat="1" applyFont="1" applyFill="1" applyBorder="1"/>
    <xf numFmtId="1" fontId="21" fillId="35" borderId="0" xfId="0" applyNumberFormat="1" applyFont="1" applyFill="1" applyBorder="1"/>
    <xf numFmtId="164" fontId="21" fillId="35" borderId="0" xfId="0" applyNumberFormat="1" applyFont="1" applyFill="1" applyBorder="1"/>
    <xf numFmtId="2" fontId="21" fillId="35" borderId="0" xfId="0" applyNumberFormat="1" applyFont="1" applyFill="1" applyBorder="1"/>
    <xf numFmtId="2" fontId="21" fillId="0" borderId="0" xfId="0" applyNumberFormat="1" applyFont="1"/>
    <xf numFmtId="0" fontId="21" fillId="35" borderId="0" xfId="0" applyFont="1" applyFill="1" applyBorder="1"/>
    <xf numFmtId="0" fontId="22" fillId="35" borderId="24" xfId="0" applyFont="1" applyFill="1" applyBorder="1"/>
    <xf numFmtId="9" fontId="22" fillId="35" borderId="25" xfId="0" applyNumberFormat="1" applyFont="1" applyFill="1" applyBorder="1"/>
    <xf numFmtId="3" fontId="22" fillId="39" borderId="27" xfId="0" applyNumberFormat="1" applyFont="1" applyFill="1" applyBorder="1"/>
    <xf numFmtId="0" fontId="24" fillId="39" borderId="27" xfId="0" applyFont="1" applyFill="1" applyBorder="1"/>
    <xf numFmtId="3" fontId="24" fillId="39" borderId="27" xfId="0" applyNumberFormat="1" applyFont="1" applyFill="1" applyBorder="1"/>
    <xf numFmtId="0" fontId="21" fillId="34" borderId="13" xfId="0" applyFont="1" applyFill="1" applyBorder="1"/>
    <xf numFmtId="0" fontId="22" fillId="34" borderId="10" xfId="0" applyFont="1" applyFill="1" applyBorder="1" applyAlignment="1">
      <alignment horizontal="center"/>
    </xf>
    <xf numFmtId="0" fontId="22" fillId="34" borderId="14" xfId="0" applyFont="1" applyFill="1" applyBorder="1" applyAlignment="1">
      <alignment horizontal="center"/>
    </xf>
    <xf numFmtId="0" fontId="21" fillId="34" borderId="15" xfId="0" applyFont="1" applyFill="1" applyBorder="1"/>
    <xf numFmtId="0" fontId="21" fillId="35" borderId="16" xfId="0" applyFont="1" applyFill="1" applyBorder="1"/>
    <xf numFmtId="0" fontId="21" fillId="34" borderId="18" xfId="0" applyFont="1" applyFill="1" applyBorder="1"/>
    <xf numFmtId="2" fontId="21" fillId="35" borderId="11" xfId="0" applyNumberFormat="1" applyFont="1" applyFill="1" applyBorder="1"/>
    <xf numFmtId="0" fontId="21" fillId="35" borderId="11" xfId="0" applyFont="1" applyFill="1" applyBorder="1"/>
    <xf numFmtId="3" fontId="21" fillId="35" borderId="20" xfId="0" applyNumberFormat="1" applyFont="1" applyFill="1" applyBorder="1"/>
    <xf numFmtId="0" fontId="21" fillId="34" borderId="10" xfId="0" applyFont="1" applyFill="1" applyBorder="1"/>
    <xf numFmtId="0" fontId="21" fillId="34" borderId="10" xfId="0" applyFont="1" applyFill="1" applyBorder="1" applyAlignment="1">
      <alignment horizontal="center"/>
    </xf>
    <xf numFmtId="0" fontId="21" fillId="35" borderId="20" xfId="0" applyFont="1" applyFill="1" applyBorder="1"/>
    <xf numFmtId="2" fontId="21" fillId="36" borderId="11" xfId="0" applyNumberFormat="1" applyFont="1" applyFill="1" applyBorder="1"/>
    <xf numFmtId="0" fontId="21" fillId="0" borderId="20" xfId="0" applyFont="1" applyBorder="1"/>
    <xf numFmtId="165" fontId="21" fillId="0" borderId="0" xfId="1" applyNumberFormat="1" applyFont="1" applyBorder="1"/>
    <xf numFmtId="0" fontId="22" fillId="37" borderId="0" xfId="0" applyFont="1" applyFill="1" applyBorder="1"/>
    <xf numFmtId="0" fontId="21" fillId="37" borderId="0" xfId="0" applyFont="1" applyFill="1" applyBorder="1"/>
    <xf numFmtId="0" fontId="21" fillId="37" borderId="16" xfId="0" applyFont="1" applyFill="1" applyBorder="1"/>
    <xf numFmtId="0" fontId="22" fillId="33" borderId="0" xfId="0" applyFont="1" applyFill="1" applyBorder="1"/>
    <xf numFmtId="0" fontId="22" fillId="37" borderId="16" xfId="0" applyFont="1" applyFill="1" applyBorder="1"/>
    <xf numFmtId="0" fontId="22" fillId="0" borderId="11" xfId="0" applyFont="1" applyBorder="1"/>
    <xf numFmtId="0" fontId="21" fillId="37" borderId="11" xfId="0" applyFont="1" applyFill="1" applyBorder="1"/>
    <xf numFmtId="0" fontId="21" fillId="37" borderId="20" xfId="0" applyFont="1" applyFill="1" applyBorder="1"/>
    <xf numFmtId="0" fontId="22" fillId="38" borderId="10" xfId="0" applyFont="1" applyFill="1" applyBorder="1" applyAlignment="1">
      <alignment horizontal="center"/>
    </xf>
    <xf numFmtId="0" fontId="22" fillId="38" borderId="14" xfId="0" applyFont="1" applyFill="1" applyBorder="1" applyAlignment="1">
      <alignment horizontal="center"/>
    </xf>
    <xf numFmtId="0" fontId="16" fillId="40" borderId="0" xfId="0" applyFont="1" applyFill="1"/>
    <xf numFmtId="0" fontId="22" fillId="38" borderId="27" xfId="0" applyFont="1" applyFill="1" applyBorder="1" applyAlignment="1">
      <alignment horizontal="center" vertical="center"/>
    </xf>
    <xf numFmtId="0" fontId="22" fillId="38" borderId="27" xfId="0" applyFont="1" applyFill="1" applyBorder="1" applyAlignment="1">
      <alignment horizontal="center" vertical="center" wrapText="1"/>
    </xf>
    <xf numFmtId="0" fontId="16" fillId="38" borderId="13" xfId="0" applyFont="1" applyFill="1" applyBorder="1"/>
    <xf numFmtId="0" fontId="16" fillId="33" borderId="11" xfId="0" applyFont="1" applyFill="1" applyBorder="1" applyAlignment="1"/>
    <xf numFmtId="3" fontId="21" fillId="0" borderId="27" xfId="0" applyNumberFormat="1" applyFont="1" applyBorder="1"/>
    <xf numFmtId="1" fontId="21" fillId="0" borderId="27" xfId="0" applyNumberFormat="1" applyFont="1" applyBorder="1"/>
    <xf numFmtId="0" fontId="22" fillId="40" borderId="27" xfId="0" applyFont="1" applyFill="1" applyBorder="1"/>
    <xf numFmtId="2" fontId="22" fillId="36" borderId="0" xfId="0" applyNumberFormat="1" applyFont="1" applyFill="1" applyBorder="1" applyAlignment="1">
      <alignment horizontal="center"/>
    </xf>
    <xf numFmtId="0" fontId="21" fillId="0" borderId="21" xfId="0" applyFont="1" applyBorder="1"/>
    <xf numFmtId="0" fontId="22" fillId="34" borderId="21" xfId="0" applyFont="1" applyFill="1" applyBorder="1"/>
    <xf numFmtId="0" fontId="22" fillId="34" borderId="22" xfId="0" applyFont="1" applyFill="1" applyBorder="1"/>
    <xf numFmtId="0" fontId="21" fillId="38" borderId="13" xfId="0" applyFont="1" applyFill="1" applyBorder="1" applyAlignment="1">
      <alignment horizontal="center"/>
    </xf>
    <xf numFmtId="0" fontId="21" fillId="40" borderId="15" xfId="0" applyFont="1" applyFill="1" applyBorder="1"/>
    <xf numFmtId="0" fontId="21" fillId="40" borderId="18" xfId="0" applyFont="1" applyFill="1" applyBorder="1"/>
    <xf numFmtId="3" fontId="21" fillId="35" borderId="11" xfId="0" applyNumberFormat="1" applyFont="1" applyFill="1" applyBorder="1"/>
    <xf numFmtId="0" fontId="21" fillId="34" borderId="14" xfId="0" applyFont="1" applyFill="1" applyBorder="1"/>
    <xf numFmtId="0" fontId="22" fillId="34" borderId="15" xfId="0" applyFont="1" applyFill="1" applyBorder="1"/>
    <xf numFmtId="0" fontId="23" fillId="0" borderId="36" xfId="0" applyFont="1" applyFill="1" applyBorder="1" applyAlignment="1">
      <alignment horizontal="left" wrapText="1" readingOrder="1"/>
    </xf>
    <xf numFmtId="0" fontId="23" fillId="0" borderId="43" xfId="0" applyFont="1" applyFill="1" applyBorder="1" applyAlignment="1">
      <alignment horizontal="left" wrapText="1" readingOrder="1"/>
    </xf>
    <xf numFmtId="0" fontId="23" fillId="0" borderId="13" xfId="0" applyFont="1" applyFill="1" applyBorder="1" applyAlignment="1">
      <alignment horizontal="left" wrapText="1" readingOrder="1"/>
    </xf>
    <xf numFmtId="0" fontId="25" fillId="0" borderId="0" xfId="0" applyFont="1" applyFill="1" applyBorder="1" applyAlignment="1">
      <alignment horizontal="center" vertical="top" wrapText="1"/>
    </xf>
    <xf numFmtId="0" fontId="24" fillId="0" borderId="0" xfId="0" applyFont="1" applyFill="1" applyBorder="1" applyAlignment="1">
      <alignment horizontal="center" vertical="center"/>
    </xf>
    <xf numFmtId="0" fontId="27" fillId="0" borderId="49" xfId="0" applyFont="1" applyFill="1" applyBorder="1" applyAlignment="1">
      <alignment horizontal="center" wrapText="1" readingOrder="1"/>
    </xf>
    <xf numFmtId="0" fontId="27" fillId="0" borderId="50" xfId="0" applyFont="1" applyFill="1" applyBorder="1" applyAlignment="1">
      <alignment horizontal="center" wrapText="1" readingOrder="1"/>
    </xf>
    <xf numFmtId="0" fontId="28" fillId="0" borderId="51" xfId="0" applyFont="1" applyFill="1" applyBorder="1" applyAlignment="1">
      <alignment horizontal="center" wrapText="1" readingOrder="1"/>
    </xf>
    <xf numFmtId="0" fontId="25" fillId="0" borderId="0" xfId="0" applyFont="1" applyFill="1" applyBorder="1" applyAlignment="1">
      <alignment horizontal="right" vertical="top" wrapText="1"/>
    </xf>
    <xf numFmtId="0" fontId="29" fillId="0" borderId="0" xfId="0" applyFont="1" applyBorder="1" applyAlignment="1">
      <alignment horizontal="right"/>
    </xf>
    <xf numFmtId="0" fontId="30" fillId="0" borderId="0" xfId="0" applyFont="1" applyBorder="1" applyAlignment="1">
      <alignment horizontal="left"/>
    </xf>
    <xf numFmtId="0" fontId="31" fillId="0" borderId="0" xfId="0" applyFont="1" applyBorder="1"/>
    <xf numFmtId="0" fontId="31" fillId="0" borderId="0" xfId="0" applyFont="1" applyFill="1" applyBorder="1"/>
    <xf numFmtId="0" fontId="29" fillId="0" borderId="0" xfId="0" applyFont="1" applyBorder="1"/>
    <xf numFmtId="0" fontId="29" fillId="0" borderId="0" xfId="0" applyFont="1" applyFill="1" applyBorder="1"/>
    <xf numFmtId="0" fontId="33" fillId="42" borderId="36" xfId="0" applyFont="1" applyFill="1" applyBorder="1" applyAlignment="1">
      <alignment vertical="center"/>
    </xf>
    <xf numFmtId="0" fontId="25" fillId="42" borderId="10" xfId="0" applyFont="1" applyFill="1" applyBorder="1" applyAlignment="1">
      <alignment horizontal="center" vertical="top" wrapText="1"/>
    </xf>
    <xf numFmtId="0" fontId="25" fillId="42" borderId="39" xfId="0" applyFont="1" applyFill="1" applyBorder="1" applyAlignment="1">
      <alignment horizontal="center" vertical="top" wrapText="1"/>
    </xf>
    <xf numFmtId="0" fontId="24" fillId="43" borderId="39" xfId="0" applyFont="1" applyFill="1" applyBorder="1" applyAlignment="1">
      <alignment horizontal="left"/>
    </xf>
    <xf numFmtId="0" fontId="26" fillId="43" borderId="39" xfId="0" applyFont="1" applyFill="1" applyBorder="1" applyAlignment="1">
      <alignment horizontal="center"/>
    </xf>
    <xf numFmtId="0" fontId="26" fillId="43" borderId="10" xfId="0" applyFont="1" applyFill="1" applyBorder="1" applyAlignment="1">
      <alignment horizontal="center"/>
    </xf>
    <xf numFmtId="0" fontId="26" fillId="43" borderId="14" xfId="0" applyFont="1" applyFill="1" applyBorder="1" applyAlignment="1">
      <alignment horizontal="center"/>
    </xf>
    <xf numFmtId="0" fontId="23" fillId="44" borderId="27" xfId="0" applyFont="1" applyFill="1" applyBorder="1" applyAlignment="1">
      <alignment horizontal="left" vertical="top" wrapText="1"/>
    </xf>
    <xf numFmtId="4" fontId="23" fillId="44" borderId="27" xfId="0" applyNumberFormat="1" applyFont="1" applyFill="1" applyBorder="1" applyAlignment="1">
      <alignment horizontal="right" vertical="top" wrapText="1"/>
    </xf>
    <xf numFmtId="3" fontId="34" fillId="44" borderId="0" xfId="0" applyNumberFormat="1" applyFont="1" applyFill="1" applyBorder="1" applyAlignment="1">
      <alignment horizontal="right" vertical="top" wrapText="1"/>
    </xf>
    <xf numFmtId="0" fontId="29" fillId="44" borderId="0" xfId="0" applyFont="1" applyFill="1" applyBorder="1"/>
    <xf numFmtId="3" fontId="23" fillId="44" borderId="27" xfId="0" applyNumberFormat="1" applyFont="1" applyFill="1" applyBorder="1" applyAlignment="1">
      <alignment horizontal="right" vertical="top" wrapText="1"/>
    </xf>
    <xf numFmtId="0" fontId="23" fillId="44" borderId="27" xfId="0" applyFont="1" applyFill="1" applyBorder="1" applyAlignment="1">
      <alignment horizontal="right" vertical="top" wrapText="1"/>
    </xf>
    <xf numFmtId="0" fontId="34" fillId="44" borderId="0" xfId="0" applyFont="1" applyFill="1" applyBorder="1" applyAlignment="1">
      <alignment horizontal="right" vertical="top" wrapText="1"/>
    </xf>
    <xf numFmtId="0" fontId="23" fillId="0" borderId="36" xfId="0" applyFont="1" applyFill="1" applyBorder="1" applyAlignment="1">
      <alignment horizontal="left" vertical="top" wrapText="1"/>
    </xf>
    <xf numFmtId="0" fontId="23" fillId="0" borderId="13" xfId="0" applyFont="1" applyFill="1" applyBorder="1" applyAlignment="1">
      <alignment horizontal="center" vertical="top" wrapText="1"/>
    </xf>
    <xf numFmtId="0" fontId="23" fillId="0" borderId="39" xfId="0" applyFont="1" applyFill="1" applyBorder="1" applyAlignment="1">
      <alignment horizontal="center" vertical="top" wrapText="1"/>
    </xf>
    <xf numFmtId="0" fontId="23" fillId="0" borderId="10" xfId="0" applyFont="1" applyFill="1" applyBorder="1" applyAlignment="1">
      <alignment horizontal="center" vertical="top" wrapText="1"/>
    </xf>
    <xf numFmtId="0" fontId="35" fillId="0" borderId="0" xfId="0" applyFont="1" applyFill="1" applyBorder="1" applyAlignment="1">
      <alignment horizontal="center" vertical="top" wrapText="1"/>
    </xf>
    <xf numFmtId="0" fontId="23" fillId="0" borderId="15" xfId="0" applyFont="1" applyFill="1" applyBorder="1" applyAlignment="1">
      <alignment horizontal="left" vertical="top" wrapText="1"/>
    </xf>
    <xf numFmtId="0" fontId="23" fillId="0" borderId="36" xfId="0" applyFont="1" applyFill="1" applyBorder="1" applyAlignment="1">
      <alignment horizontal="center" vertical="top" wrapText="1"/>
    </xf>
    <xf numFmtId="0" fontId="23" fillId="0" borderId="40" xfId="0" applyFont="1" applyFill="1" applyBorder="1" applyAlignment="1">
      <alignment horizontal="center" vertical="top" wrapText="1"/>
    </xf>
    <xf numFmtId="0" fontId="23" fillId="0" borderId="37" xfId="0" applyFont="1" applyFill="1" applyBorder="1" applyAlignment="1">
      <alignment horizontal="center" vertical="top" wrapText="1"/>
    </xf>
    <xf numFmtId="0" fontId="23" fillId="0" borderId="36" xfId="0" applyFont="1" applyFill="1" applyBorder="1" applyAlignment="1">
      <alignment horizontal="left"/>
    </xf>
    <xf numFmtId="0" fontId="23" fillId="0" borderId="15" xfId="0" applyFont="1" applyFill="1" applyBorder="1" applyAlignment="1">
      <alignment horizontal="center" vertical="top" wrapText="1"/>
    </xf>
    <xf numFmtId="0" fontId="23" fillId="0" borderId="41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center" vertical="top" wrapText="1"/>
    </xf>
    <xf numFmtId="0" fontId="23" fillId="0" borderId="13" xfId="0" applyFont="1" applyFill="1" applyBorder="1" applyAlignment="1">
      <alignment horizontal="left"/>
    </xf>
    <xf numFmtId="2" fontId="23" fillId="0" borderId="36" xfId="0" applyNumberFormat="1" applyFont="1" applyFill="1" applyBorder="1" applyAlignment="1">
      <alignment horizontal="center" vertical="top" wrapText="1"/>
    </xf>
    <xf numFmtId="2" fontId="23" fillId="0" borderId="40" xfId="0" applyNumberFormat="1" applyFont="1" applyFill="1" applyBorder="1" applyAlignment="1">
      <alignment horizontal="center" vertical="top" wrapText="1"/>
    </xf>
    <xf numFmtId="2" fontId="23" fillId="0" borderId="37" xfId="0" applyNumberFormat="1" applyFont="1" applyFill="1" applyBorder="1" applyAlignment="1">
      <alignment horizontal="center" vertical="top" wrapText="1"/>
    </xf>
    <xf numFmtId="2" fontId="23" fillId="0" borderId="15" xfId="0" applyNumberFormat="1" applyFont="1" applyFill="1" applyBorder="1" applyAlignment="1">
      <alignment horizontal="center" vertical="top" wrapText="1"/>
    </xf>
    <xf numFmtId="2" fontId="23" fillId="0" borderId="41" xfId="0" applyNumberFormat="1" applyFont="1" applyFill="1" applyBorder="1" applyAlignment="1">
      <alignment horizontal="center" vertical="top" wrapText="1"/>
    </xf>
    <xf numFmtId="2" fontId="23" fillId="0" borderId="0" xfId="0" applyNumberFormat="1" applyFont="1" applyFill="1" applyBorder="1" applyAlignment="1">
      <alignment horizontal="center" vertical="top" wrapText="1"/>
    </xf>
    <xf numFmtId="0" fontId="23" fillId="0" borderId="13" xfId="0" applyFont="1" applyFill="1" applyBorder="1" applyAlignment="1">
      <alignment horizontal="left" vertical="top" wrapText="1"/>
    </xf>
    <xf numFmtId="0" fontId="23" fillId="0" borderId="18" xfId="0" applyFont="1" applyFill="1" applyBorder="1"/>
    <xf numFmtId="2" fontId="23" fillId="0" borderId="18" xfId="0" applyNumberFormat="1" applyFont="1" applyFill="1" applyBorder="1"/>
    <xf numFmtId="2" fontId="23" fillId="0" borderId="42" xfId="0" applyNumberFormat="1" applyFont="1" applyFill="1" applyBorder="1" applyAlignment="1">
      <alignment horizontal="center"/>
    </xf>
    <xf numFmtId="2" fontId="23" fillId="0" borderId="11" xfId="0" applyNumberFormat="1" applyFont="1" applyFill="1" applyBorder="1" applyAlignment="1">
      <alignment horizontal="center"/>
    </xf>
    <xf numFmtId="39" fontId="23" fillId="0" borderId="11" xfId="0" applyNumberFormat="1" applyFont="1" applyFill="1" applyBorder="1" applyAlignment="1">
      <alignment horizontal="center"/>
    </xf>
    <xf numFmtId="39" fontId="23" fillId="0" borderId="42" xfId="0" applyNumberFormat="1" applyFont="1" applyFill="1" applyBorder="1" applyAlignment="1">
      <alignment horizontal="center"/>
    </xf>
    <xf numFmtId="8" fontId="35" fillId="0" borderId="0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top" wrapText="1"/>
    </xf>
    <xf numFmtId="0" fontId="23" fillId="44" borderId="13" xfId="0" applyFont="1" applyFill="1" applyBorder="1" applyAlignment="1">
      <alignment horizontal="center" wrapText="1" readingOrder="1"/>
    </xf>
    <xf numFmtId="0" fontId="23" fillId="44" borderId="39" xfId="0" applyFont="1" applyFill="1" applyBorder="1" applyAlignment="1">
      <alignment horizontal="center" wrapText="1" readingOrder="1"/>
    </xf>
    <xf numFmtId="0" fontId="23" fillId="44" borderId="10" xfId="0" applyFont="1" applyFill="1" applyBorder="1" applyAlignment="1">
      <alignment horizontal="center" wrapText="1" readingOrder="1"/>
    </xf>
    <xf numFmtId="2" fontId="23" fillId="0" borderId="36" xfId="0" applyNumberFormat="1" applyFont="1" applyFill="1" applyBorder="1" applyAlignment="1">
      <alignment horizontal="center"/>
    </xf>
    <xf numFmtId="0" fontId="23" fillId="44" borderId="36" xfId="0" applyFont="1" applyFill="1" applyBorder="1" applyAlignment="1">
      <alignment horizontal="center" wrapText="1" readingOrder="1"/>
    </xf>
    <xf numFmtId="0" fontId="23" fillId="44" borderId="40" xfId="0" applyFont="1" applyFill="1" applyBorder="1" applyAlignment="1">
      <alignment horizontal="center" wrapText="1" readingOrder="1"/>
    </xf>
    <xf numFmtId="0" fontId="23" fillId="44" borderId="37" xfId="0" applyFont="1" applyFill="1" applyBorder="1" applyAlignment="1">
      <alignment horizontal="center" wrapText="1" readingOrder="1"/>
    </xf>
    <xf numFmtId="0" fontId="23" fillId="0" borderId="38" xfId="0" applyFont="1" applyFill="1" applyBorder="1" applyAlignment="1">
      <alignment horizontal="center" vertical="top" wrapText="1"/>
    </xf>
    <xf numFmtId="2" fontId="23" fillId="0" borderId="39" xfId="0" applyNumberFormat="1" applyFont="1" applyFill="1" applyBorder="1" applyAlignment="1">
      <alignment horizontal="center" vertical="top" wrapText="1"/>
    </xf>
    <xf numFmtId="2" fontId="23" fillId="0" borderId="10" xfId="0" applyNumberFormat="1" applyFont="1" applyFill="1" applyBorder="1" applyAlignment="1">
      <alignment horizontal="center" vertical="top" wrapText="1"/>
    </xf>
    <xf numFmtId="2" fontId="23" fillId="0" borderId="14" xfId="0" applyNumberFormat="1" applyFont="1" applyFill="1" applyBorder="1" applyAlignment="1">
      <alignment horizontal="center" vertical="top" wrapText="1"/>
    </xf>
    <xf numFmtId="0" fontId="23" fillId="0" borderId="36" xfId="0" applyFont="1" applyFill="1" applyBorder="1"/>
    <xf numFmtId="0" fontId="23" fillId="0" borderId="16" xfId="0" applyFont="1" applyFill="1" applyBorder="1" applyAlignment="1">
      <alignment horizontal="center" vertical="top" wrapText="1"/>
    </xf>
    <xf numFmtId="0" fontId="36" fillId="0" borderId="0" xfId="0" applyFont="1" applyFill="1" applyBorder="1" applyAlignment="1">
      <alignment horizontal="center" vertical="top" wrapText="1"/>
    </xf>
    <xf numFmtId="0" fontId="23" fillId="0" borderId="36" xfId="0" applyFont="1" applyFill="1" applyBorder="1" applyAlignment="1">
      <alignment vertical="top" wrapText="1"/>
    </xf>
    <xf numFmtId="0" fontId="23" fillId="0" borderId="44" xfId="0" applyFont="1" applyFill="1" applyBorder="1" applyAlignment="1">
      <alignment horizontal="left" vertical="top" wrapText="1"/>
    </xf>
    <xf numFmtId="0" fontId="23" fillId="0" borderId="45" xfId="0" applyFont="1" applyFill="1" applyBorder="1" applyAlignment="1">
      <alignment horizontal="center" vertical="top" wrapText="1"/>
    </xf>
    <xf numFmtId="0" fontId="23" fillId="0" borderId="46" xfId="0" applyFont="1" applyFill="1" applyBorder="1" applyAlignment="1">
      <alignment horizontal="center" vertical="top" wrapText="1"/>
    </xf>
    <xf numFmtId="0" fontId="23" fillId="0" borderId="35" xfId="0" applyFont="1" applyFill="1" applyBorder="1" applyAlignment="1">
      <alignment horizontal="center" vertical="top" wrapText="1"/>
    </xf>
    <xf numFmtId="0" fontId="23" fillId="0" borderId="47" xfId="0" applyFont="1" applyFill="1" applyBorder="1" applyAlignment="1">
      <alignment horizontal="center" vertical="top" wrapText="1"/>
    </xf>
    <xf numFmtId="0" fontId="23" fillId="0" borderId="48" xfId="0" applyFont="1" applyFill="1" applyBorder="1" applyAlignment="1">
      <alignment horizontal="center" vertical="top" wrapText="1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left"/>
    </xf>
    <xf numFmtId="0" fontId="35" fillId="43" borderId="30" xfId="0" applyFont="1" applyFill="1" applyBorder="1"/>
    <xf numFmtId="0" fontId="26" fillId="43" borderId="31" xfId="0" applyFont="1" applyFill="1" applyBorder="1" applyAlignment="1">
      <alignment horizontal="center" vertical="center"/>
    </xf>
    <xf numFmtId="0" fontId="23" fillId="44" borderId="30" xfId="0" applyFont="1" applyFill="1" applyBorder="1" applyAlignment="1">
      <alignment vertical="center"/>
    </xf>
    <xf numFmtId="3" fontId="23" fillId="44" borderId="31" xfId="0" applyNumberFormat="1" applyFont="1" applyFill="1" applyBorder="1" applyAlignment="1">
      <alignment horizontal="center" vertical="center"/>
    </xf>
    <xf numFmtId="0" fontId="23" fillId="44" borderId="52" xfId="0" applyFont="1" applyFill="1" applyBorder="1"/>
    <xf numFmtId="37" fontId="23" fillId="44" borderId="53" xfId="0" applyNumberFormat="1" applyFont="1" applyFill="1" applyBorder="1" applyAlignment="1">
      <alignment horizontal="center" vertical="center"/>
    </xf>
    <xf numFmtId="0" fontId="35" fillId="43" borderId="54" xfId="0" applyFont="1" applyFill="1" applyBorder="1" applyAlignment="1">
      <alignment horizontal="left" vertical="top" wrapText="1"/>
    </xf>
    <xf numFmtId="3" fontId="35" fillId="43" borderId="55" xfId="0" applyNumberFormat="1" applyFont="1" applyFill="1" applyBorder="1" applyAlignment="1">
      <alignment horizontal="center" vertical="center"/>
    </xf>
    <xf numFmtId="0" fontId="23" fillId="44" borderId="56" xfId="0" applyFont="1" applyFill="1" applyBorder="1" applyAlignment="1">
      <alignment horizontal="left" vertical="top" wrapText="1"/>
    </xf>
    <xf numFmtId="37" fontId="23" fillId="44" borderId="57" xfId="0" applyNumberFormat="1" applyFont="1" applyFill="1" applyBorder="1" applyAlignment="1">
      <alignment horizontal="center" vertical="center"/>
    </xf>
    <xf numFmtId="0" fontId="23" fillId="44" borderId="30" xfId="0" applyFont="1" applyFill="1" applyBorder="1" applyAlignment="1">
      <alignment horizontal="left" vertical="top" wrapText="1"/>
    </xf>
    <xf numFmtId="37" fontId="23" fillId="44" borderId="31" xfId="0" applyNumberFormat="1" applyFont="1" applyFill="1" applyBorder="1" applyAlignment="1">
      <alignment horizontal="center"/>
    </xf>
    <xf numFmtId="167" fontId="23" fillId="44" borderId="31" xfId="0" applyNumberFormat="1" applyFont="1" applyFill="1" applyBorder="1" applyAlignment="1">
      <alignment horizontal="center"/>
    </xf>
    <xf numFmtId="3" fontId="23" fillId="44" borderId="53" xfId="0" applyNumberFormat="1" applyFont="1" applyFill="1" applyBorder="1" applyAlignment="1">
      <alignment horizontal="center"/>
    </xf>
    <xf numFmtId="0" fontId="35" fillId="43" borderId="54" xfId="0" applyFont="1" applyFill="1" applyBorder="1"/>
    <xf numFmtId="3" fontId="23" fillId="44" borderId="57" xfId="0" applyNumberFormat="1" applyFont="1" applyFill="1" applyBorder="1" applyAlignment="1">
      <alignment horizontal="center" vertical="center"/>
    </xf>
    <xf numFmtId="0" fontId="23" fillId="44" borderId="52" xfId="0" applyFont="1" applyFill="1" applyBorder="1" applyAlignment="1">
      <alignment horizontal="left" vertical="top" wrapText="1"/>
    </xf>
    <xf numFmtId="0" fontId="35" fillId="43" borderId="27" xfId="0" applyFont="1" applyFill="1" applyBorder="1"/>
    <xf numFmtId="0" fontId="26" fillId="43" borderId="27" xfId="0" applyFont="1" applyFill="1" applyBorder="1" applyAlignment="1">
      <alignment horizontal="center" vertical="center"/>
    </xf>
    <xf numFmtId="0" fontId="23" fillId="0" borderId="27" xfId="0" applyFont="1" applyBorder="1"/>
    <xf numFmtId="3" fontId="23" fillId="0" borderId="27" xfId="0" applyNumberFormat="1" applyFont="1" applyBorder="1" applyAlignment="1">
      <alignment horizontal="right"/>
    </xf>
    <xf numFmtId="0" fontId="23" fillId="0" borderId="27" xfId="0" applyFont="1" applyBorder="1" applyAlignment="1">
      <alignment horizontal="right"/>
    </xf>
    <xf numFmtId="168" fontId="23" fillId="0" borderId="27" xfId="43" applyNumberFormat="1" applyFont="1" applyBorder="1" applyAlignment="1">
      <alignment horizontal="right"/>
    </xf>
    <xf numFmtId="0" fontId="35" fillId="0" borderId="27" xfId="0" applyFont="1" applyBorder="1"/>
    <xf numFmtId="3" fontId="35" fillId="0" borderId="27" xfId="0" applyNumberFormat="1" applyFont="1" applyBorder="1" applyAlignment="1">
      <alignment horizontal="right"/>
    </xf>
    <xf numFmtId="0" fontId="23" fillId="0" borderId="27" xfId="0" applyFont="1" applyFill="1" applyBorder="1"/>
    <xf numFmtId="3" fontId="38" fillId="0" borderId="27" xfId="0" applyNumberFormat="1" applyFont="1" applyBorder="1"/>
    <xf numFmtId="0" fontId="35" fillId="0" borderId="58" xfId="0" applyFont="1" applyFill="1" applyBorder="1"/>
    <xf numFmtId="3" fontId="34" fillId="0" borderId="58" xfId="0" applyNumberFormat="1" applyFont="1" applyBorder="1"/>
    <xf numFmtId="0" fontId="35" fillId="0" borderId="54" xfId="0" applyFont="1" applyFill="1" applyBorder="1"/>
    <xf numFmtId="3" fontId="34" fillId="0" borderId="55" xfId="0" applyNumberFormat="1" applyFont="1" applyBorder="1"/>
    <xf numFmtId="0" fontId="34" fillId="0" borderId="27" xfId="0" applyFont="1" applyBorder="1"/>
    <xf numFmtId="3" fontId="34" fillId="0" borderId="27" xfId="0" applyNumberFormat="1" applyFont="1" applyBorder="1" applyAlignment="1">
      <alignment horizontal="right"/>
    </xf>
    <xf numFmtId="0" fontId="23" fillId="0" borderId="27" xfId="0" applyFont="1" applyBorder="1" applyAlignment="1">
      <alignment horizontal="left"/>
    </xf>
    <xf numFmtId="3" fontId="38" fillId="0" borderId="27" xfId="0" applyNumberFormat="1" applyFont="1" applyBorder="1" applyAlignment="1">
      <alignment horizontal="right"/>
    </xf>
    <xf numFmtId="0" fontId="35" fillId="0" borderId="27" xfId="0" applyFont="1" applyFill="1" applyBorder="1" applyAlignment="1">
      <alignment horizontal="left"/>
    </xf>
    <xf numFmtId="0" fontId="38" fillId="0" borderId="27" xfId="0" applyFont="1" applyBorder="1"/>
    <xf numFmtId="3" fontId="34" fillId="0" borderId="27" xfId="0" applyNumberFormat="1" applyFont="1" applyBorder="1"/>
    <xf numFmtId="0" fontId="35" fillId="0" borderId="27" xfId="0" applyFont="1" applyBorder="1" applyAlignment="1">
      <alignment horizontal="left"/>
    </xf>
    <xf numFmtId="0" fontId="34" fillId="0" borderId="58" xfId="0" applyFont="1" applyBorder="1"/>
    <xf numFmtId="3" fontId="34" fillId="0" borderId="58" xfId="0" applyNumberFormat="1" applyFont="1" applyBorder="1" applyAlignment="1">
      <alignment horizontal="right"/>
    </xf>
    <xf numFmtId="0" fontId="34" fillId="0" borderId="54" xfId="0" applyFont="1" applyBorder="1"/>
    <xf numFmtId="3" fontId="34" fillId="0" borderId="55" xfId="0" applyNumberFormat="1" applyFont="1" applyBorder="1" applyAlignment="1">
      <alignment horizontal="right"/>
    </xf>
    <xf numFmtId="0" fontId="35" fillId="43" borderId="36" xfId="0" applyFont="1" applyFill="1" applyBorder="1"/>
    <xf numFmtId="0" fontId="35" fillId="43" borderId="40" xfId="0" applyFont="1" applyFill="1" applyBorder="1" applyAlignment="1">
      <alignment horizontal="center" vertical="center"/>
    </xf>
    <xf numFmtId="0" fontId="23" fillId="44" borderId="30" xfId="0" applyFont="1" applyFill="1" applyBorder="1" applyAlignment="1">
      <alignment horizontal="left"/>
    </xf>
    <xf numFmtId="3" fontId="23" fillId="44" borderId="31" xfId="0" applyNumberFormat="1" applyFont="1" applyFill="1" applyBorder="1" applyAlignment="1">
      <alignment horizontal="center" vertical="top" wrapText="1"/>
    </xf>
    <xf numFmtId="0" fontId="23" fillId="44" borderId="30" xfId="0" applyFont="1" applyFill="1" applyBorder="1" applyAlignment="1"/>
    <xf numFmtId="37" fontId="23" fillId="44" borderId="31" xfId="0" applyNumberFormat="1" applyFont="1" applyFill="1" applyBorder="1" applyAlignment="1">
      <alignment horizontal="center" vertical="top" wrapText="1"/>
    </xf>
    <xf numFmtId="0" fontId="23" fillId="44" borderId="31" xfId="0" applyFont="1" applyFill="1" applyBorder="1" applyAlignment="1">
      <alignment horizontal="center" vertical="top" wrapText="1"/>
    </xf>
    <xf numFmtId="167" fontId="23" fillId="44" borderId="31" xfId="0" applyNumberFormat="1" applyFont="1" applyFill="1" applyBorder="1" applyAlignment="1">
      <alignment horizontal="center" vertical="top" wrapText="1"/>
    </xf>
    <xf numFmtId="0" fontId="23" fillId="44" borderId="52" xfId="0" applyFont="1" applyFill="1" applyBorder="1" applyAlignment="1">
      <alignment horizontal="left"/>
    </xf>
    <xf numFmtId="37" fontId="23" fillId="44" borderId="53" xfId="0" applyNumberFormat="1" applyFont="1" applyFill="1" applyBorder="1" applyAlignment="1">
      <alignment horizontal="center" vertical="top" wrapText="1"/>
    </xf>
    <xf numFmtId="0" fontId="35" fillId="44" borderId="54" xfId="0" applyFont="1" applyFill="1" applyBorder="1" applyAlignment="1">
      <alignment horizontal="left"/>
    </xf>
    <xf numFmtId="3" fontId="35" fillId="44" borderId="55" xfId="0" applyNumberFormat="1" applyFont="1" applyFill="1" applyBorder="1" applyAlignment="1">
      <alignment horizontal="center" vertical="top" wrapText="1"/>
    </xf>
    <xf numFmtId="0" fontId="23" fillId="44" borderId="56" xfId="0" applyFont="1" applyFill="1" applyBorder="1" applyAlignment="1">
      <alignment horizontal="left"/>
    </xf>
    <xf numFmtId="37" fontId="23" fillId="44" borderId="57" xfId="0" applyNumberFormat="1" applyFont="1" applyFill="1" applyBorder="1" applyAlignment="1">
      <alignment horizontal="center" vertical="top" wrapText="1"/>
    </xf>
    <xf numFmtId="0" fontId="35" fillId="44" borderId="59" xfId="0" applyFont="1" applyFill="1" applyBorder="1" applyAlignment="1">
      <alignment horizontal="left"/>
    </xf>
    <xf numFmtId="3" fontId="35" fillId="44" borderId="60" xfId="0" applyNumberFormat="1" applyFont="1" applyFill="1" applyBorder="1" applyAlignment="1">
      <alignment horizontal="center" vertical="top" wrapText="1"/>
    </xf>
    <xf numFmtId="3" fontId="23" fillId="44" borderId="57" xfId="0" applyNumberFormat="1" applyFont="1" applyFill="1" applyBorder="1" applyAlignment="1">
      <alignment horizontal="center" vertical="top" wrapText="1"/>
    </xf>
    <xf numFmtId="0" fontId="23" fillId="0" borderId="30" xfId="0" applyFont="1" applyFill="1" applyBorder="1" applyAlignment="1">
      <alignment horizontal="left"/>
    </xf>
    <xf numFmtId="3" fontId="23" fillId="0" borderId="31" xfId="0" applyNumberFormat="1" applyFont="1" applyFill="1" applyBorder="1" applyAlignment="1">
      <alignment horizontal="center"/>
    </xf>
    <xf numFmtId="0" fontId="23" fillId="0" borderId="30" xfId="0" applyFont="1" applyBorder="1" applyAlignment="1">
      <alignment horizontal="left"/>
    </xf>
    <xf numFmtId="167" fontId="23" fillId="0" borderId="31" xfId="0" applyNumberFormat="1" applyFont="1" applyBorder="1" applyAlignment="1">
      <alignment horizontal="center"/>
    </xf>
    <xf numFmtId="0" fontId="23" fillId="0" borderId="52" xfId="0" applyFont="1" applyBorder="1"/>
    <xf numFmtId="37" fontId="23" fillId="0" borderId="53" xfId="0" applyNumberFormat="1" applyFont="1" applyBorder="1" applyAlignment="1">
      <alignment horizontal="center"/>
    </xf>
    <xf numFmtId="3" fontId="35" fillId="0" borderId="55" xfId="0" applyNumberFormat="1" applyFont="1" applyBorder="1" applyAlignment="1">
      <alignment horizontal="center"/>
    </xf>
    <xf numFmtId="165" fontId="22" fillId="39" borderId="27" xfId="1" applyNumberFormat="1" applyFont="1" applyFill="1" applyBorder="1"/>
    <xf numFmtId="3" fontId="21" fillId="35" borderId="16" xfId="0" applyNumberFormat="1" applyFont="1" applyFill="1" applyBorder="1"/>
    <xf numFmtId="10" fontId="0" fillId="0" borderId="0" xfId="1" applyNumberFormat="1" applyFont="1"/>
    <xf numFmtId="0" fontId="21" fillId="0" borderId="31" xfId="0" applyNumberFormat="1" applyFont="1" applyBorder="1"/>
    <xf numFmtId="0" fontId="22" fillId="39" borderId="30" xfId="0" applyFont="1" applyFill="1" applyBorder="1"/>
    <xf numFmtId="0" fontId="22" fillId="39" borderId="31" xfId="0" applyFont="1" applyFill="1" applyBorder="1"/>
    <xf numFmtId="0" fontId="21" fillId="39" borderId="31" xfId="0" applyFont="1" applyFill="1" applyBorder="1"/>
    <xf numFmtId="0" fontId="22" fillId="35" borderId="35" xfId="0" applyFont="1" applyFill="1" applyBorder="1"/>
    <xf numFmtId="2" fontId="22" fillId="35" borderId="33" xfId="0" applyNumberFormat="1" applyFont="1" applyFill="1" applyBorder="1"/>
    <xf numFmtId="0" fontId="16" fillId="0" borderId="0" xfId="0" applyFont="1"/>
    <xf numFmtId="2" fontId="23" fillId="0" borderId="40" xfId="0" applyNumberFormat="1" applyFont="1" applyFill="1" applyBorder="1" applyAlignment="1">
      <alignment horizontal="center"/>
    </xf>
    <xf numFmtId="2" fontId="23" fillId="0" borderId="10" xfId="0" applyNumberFormat="1" applyFont="1" applyFill="1" applyBorder="1" applyAlignment="1">
      <alignment horizontal="center"/>
    </xf>
    <xf numFmtId="10" fontId="22" fillId="39" borderId="27" xfId="1" applyNumberFormat="1" applyFont="1" applyFill="1" applyBorder="1"/>
    <xf numFmtId="164" fontId="22" fillId="40" borderId="27" xfId="0" applyNumberFormat="1" applyFont="1" applyFill="1" applyBorder="1"/>
    <xf numFmtId="165" fontId="22" fillId="39" borderId="27" xfId="0" applyNumberFormat="1" applyFont="1" applyFill="1" applyBorder="1" applyAlignment="1">
      <alignment horizontal="center"/>
    </xf>
    <xf numFmtId="10" fontId="22" fillId="39" borderId="27" xfId="0" applyNumberFormat="1" applyFont="1" applyFill="1" applyBorder="1" applyAlignment="1">
      <alignment horizontal="center"/>
    </xf>
    <xf numFmtId="0" fontId="22" fillId="39" borderId="27" xfId="0" applyNumberFormat="1" applyFont="1" applyFill="1" applyBorder="1" applyAlignment="1">
      <alignment horizontal="center"/>
    </xf>
    <xf numFmtId="0" fontId="40" fillId="35" borderId="26" xfId="0" applyFont="1" applyFill="1" applyBorder="1" applyAlignment="1">
      <alignment horizontal="center"/>
    </xf>
    <xf numFmtId="2" fontId="21" fillId="46" borderId="15" xfId="0" applyNumberFormat="1" applyFont="1" applyFill="1" applyBorder="1"/>
    <xf numFmtId="165" fontId="21" fillId="46" borderId="0" xfId="1" applyNumberFormat="1" applyFont="1" applyFill="1" applyBorder="1"/>
    <xf numFmtId="165" fontId="22" fillId="46" borderId="0" xfId="1" applyNumberFormat="1" applyFont="1" applyFill="1" applyBorder="1"/>
    <xf numFmtId="165" fontId="21" fillId="46" borderId="16" xfId="1" applyNumberFormat="1" applyFont="1" applyFill="1" applyBorder="1"/>
    <xf numFmtId="165" fontId="21" fillId="46" borderId="15" xfId="1" applyNumberFormat="1" applyFont="1" applyFill="1" applyBorder="1"/>
    <xf numFmtId="165" fontId="22" fillId="46" borderId="15" xfId="1" applyNumberFormat="1" applyFont="1" applyFill="1" applyBorder="1"/>
    <xf numFmtId="165" fontId="21" fillId="46" borderId="18" xfId="1" applyNumberFormat="1" applyFont="1" applyFill="1" applyBorder="1"/>
    <xf numFmtId="0" fontId="22" fillId="38" borderId="27" xfId="0" applyFont="1" applyFill="1" applyBorder="1" applyAlignment="1">
      <alignment horizontal="center" vertical="center"/>
    </xf>
    <xf numFmtId="0" fontId="22" fillId="38" borderId="28" xfId="0" applyFont="1" applyFill="1" applyBorder="1" applyAlignment="1">
      <alignment horizontal="center"/>
    </xf>
    <xf numFmtId="0" fontId="22" fillId="38" borderId="34" xfId="0" applyFont="1" applyFill="1" applyBorder="1" applyAlignment="1">
      <alignment horizontal="center"/>
    </xf>
    <xf numFmtId="0" fontId="22" fillId="38" borderId="29" xfId="0" applyFont="1" applyFill="1" applyBorder="1" applyAlignment="1">
      <alignment horizontal="center"/>
    </xf>
    <xf numFmtId="0" fontId="22" fillId="38" borderId="27" xfId="0" applyFont="1" applyFill="1" applyBorder="1" applyAlignment="1">
      <alignment horizontal="center"/>
    </xf>
    <xf numFmtId="0" fontId="22" fillId="38" borderId="17" xfId="0" applyFont="1" applyFill="1" applyBorder="1" applyAlignment="1">
      <alignment horizontal="center"/>
    </xf>
    <xf numFmtId="0" fontId="22" fillId="38" borderId="19" xfId="0" applyFont="1" applyFill="1" applyBorder="1" applyAlignment="1">
      <alignment horizontal="center"/>
    </xf>
    <xf numFmtId="0" fontId="22" fillId="38" borderId="12" xfId="0" applyFont="1" applyFill="1" applyBorder="1" applyAlignment="1">
      <alignment horizontal="center"/>
    </xf>
    <xf numFmtId="0" fontId="22" fillId="38" borderId="24" xfId="0" applyFont="1" applyFill="1" applyBorder="1" applyAlignment="1">
      <alignment horizontal="center"/>
    </xf>
    <xf numFmtId="0" fontId="22" fillId="38" borderId="25" xfId="0" applyFont="1" applyFill="1" applyBorder="1" applyAlignment="1">
      <alignment horizontal="center"/>
    </xf>
    <xf numFmtId="0" fontId="22" fillId="38" borderId="13" xfId="0" applyFont="1" applyFill="1" applyBorder="1" applyAlignment="1">
      <alignment horizontal="center"/>
    </xf>
    <xf numFmtId="0" fontId="22" fillId="38" borderId="10" xfId="0" applyFont="1" applyFill="1" applyBorder="1" applyAlignment="1">
      <alignment horizontal="center"/>
    </xf>
    <xf numFmtId="0" fontId="22" fillId="38" borderId="14" xfId="0" applyFont="1" applyFill="1" applyBorder="1" applyAlignment="1">
      <alignment horizontal="center"/>
    </xf>
    <xf numFmtId="0" fontId="22" fillId="38" borderId="15" xfId="0" applyFont="1" applyFill="1" applyBorder="1" applyAlignment="1">
      <alignment horizontal="center"/>
    </xf>
    <xf numFmtId="0" fontId="22" fillId="38" borderId="0" xfId="0" applyFont="1" applyFill="1" applyBorder="1" applyAlignment="1">
      <alignment horizontal="center"/>
    </xf>
    <xf numFmtId="0" fontId="22" fillId="38" borderId="16" xfId="0" applyFont="1" applyFill="1" applyBorder="1" applyAlignment="1">
      <alignment horizontal="center"/>
    </xf>
    <xf numFmtId="0" fontId="33" fillId="45" borderId="36" xfId="0" applyFont="1" applyFill="1" applyBorder="1" applyAlignment="1">
      <alignment horizontal="center"/>
    </xf>
    <xf numFmtId="0" fontId="33" fillId="45" borderId="37" xfId="0" applyFont="1" applyFill="1" applyBorder="1" applyAlignment="1">
      <alignment horizontal="center"/>
    </xf>
    <xf numFmtId="0" fontId="33" fillId="45" borderId="38" xfId="0" applyFont="1" applyFill="1" applyBorder="1" applyAlignment="1">
      <alignment horizontal="center"/>
    </xf>
    <xf numFmtId="0" fontId="32" fillId="41" borderId="36" xfId="0" applyFont="1" applyFill="1" applyBorder="1" applyAlignment="1">
      <alignment horizontal="center" vertical="top" wrapText="1"/>
    </xf>
    <xf numFmtId="0" fontId="32" fillId="41" borderId="37" xfId="0" applyFont="1" applyFill="1" applyBorder="1" applyAlignment="1">
      <alignment horizontal="center" vertical="top" wrapText="1"/>
    </xf>
    <xf numFmtId="0" fontId="32" fillId="41" borderId="38" xfId="0" applyFont="1" applyFill="1" applyBorder="1" applyAlignment="1">
      <alignment horizontal="center" vertical="top" wrapText="1"/>
    </xf>
    <xf numFmtId="0" fontId="33" fillId="41" borderId="36" xfId="0" applyFont="1" applyFill="1" applyBorder="1" applyAlignment="1">
      <alignment horizontal="center" vertical="top" wrapText="1"/>
    </xf>
    <xf numFmtId="0" fontId="33" fillId="45" borderId="18" xfId="0" applyFont="1" applyFill="1" applyBorder="1" applyAlignment="1">
      <alignment horizontal="center"/>
    </xf>
    <xf numFmtId="0" fontId="33" fillId="45" borderId="0" xfId="0" applyFont="1" applyFill="1" applyBorder="1" applyAlignment="1">
      <alignment horizontal="center"/>
    </xf>
    <xf numFmtId="0" fontId="33" fillId="45" borderId="16" xfId="0" applyFont="1" applyFill="1" applyBorder="1" applyAlignment="1">
      <alignment horizontal="center"/>
    </xf>
    <xf numFmtId="0" fontId="33" fillId="45" borderId="13" xfId="0" applyFont="1" applyFill="1" applyBorder="1" applyAlignment="1">
      <alignment horizontal="center"/>
    </xf>
    <xf numFmtId="0" fontId="33" fillId="45" borderId="11" xfId="0" applyFont="1" applyFill="1" applyBorder="1" applyAlignment="1">
      <alignment horizontal="center"/>
    </xf>
    <xf numFmtId="0" fontId="33" fillId="45" borderId="20" xfId="0" applyFont="1" applyFill="1" applyBorder="1" applyAlignment="1">
      <alignment horizontal="center"/>
    </xf>
    <xf numFmtId="0" fontId="37" fillId="41" borderId="17" xfId="0" applyFont="1" applyFill="1" applyBorder="1" applyAlignment="1">
      <alignment horizontal="center" vertical="center"/>
    </xf>
    <xf numFmtId="0" fontId="37" fillId="41" borderId="19" xfId="0" applyFont="1" applyFill="1" applyBorder="1" applyAlignment="1">
      <alignment horizontal="center" vertical="center"/>
    </xf>
    <xf numFmtId="0" fontId="35" fillId="43" borderId="27" xfId="0" applyFont="1" applyFill="1" applyBorder="1" applyAlignment="1">
      <alignment horizontal="center"/>
    </xf>
    <xf numFmtId="0" fontId="38" fillId="43" borderId="27" xfId="0" applyFont="1" applyFill="1" applyBorder="1" applyAlignment="1">
      <alignment horizontal="center"/>
    </xf>
    <xf numFmtId="0" fontId="33" fillId="41" borderId="27" xfId="0" applyFont="1" applyFill="1" applyBorder="1" applyAlignment="1">
      <alignment horizontal="center" vertical="center"/>
    </xf>
    <xf numFmtId="3" fontId="33" fillId="41" borderId="24" xfId="0" applyNumberFormat="1" applyFont="1" applyFill="1" applyBorder="1" applyAlignment="1">
      <alignment horizontal="center" vertical="top" wrapText="1"/>
    </xf>
    <xf numFmtId="3" fontId="33" fillId="41" borderId="25" xfId="0" applyNumberFormat="1" applyFont="1" applyFill="1" applyBorder="1" applyAlignment="1">
      <alignment horizontal="center" vertical="top" wrapText="1"/>
    </xf>
    <xf numFmtId="0" fontId="33" fillId="43" borderId="27" xfId="0" applyFont="1" applyFill="1" applyBorder="1" applyAlignment="1">
      <alignment horizontal="center"/>
    </xf>
    <xf numFmtId="0" fontId="35" fillId="41" borderId="22" xfId="0" applyFont="1" applyFill="1" applyBorder="1" applyAlignment="1">
      <alignment horizontal="center"/>
    </xf>
    <xf numFmtId="0" fontId="33" fillId="41" borderId="23" xfId="0" applyFont="1" applyFill="1" applyBorder="1" applyAlignment="1">
      <alignment horizontal="center"/>
    </xf>
    <xf numFmtId="0" fontId="33" fillId="41" borderId="36" xfId="0" applyFont="1" applyFill="1" applyBorder="1" applyAlignment="1">
      <alignment horizontal="center" vertical="center"/>
    </xf>
    <xf numFmtId="0" fontId="33" fillId="41" borderId="38" xfId="0" applyFont="1" applyFill="1" applyBorder="1" applyAlignment="1">
      <alignment horizontal="center" vertical="center"/>
    </xf>
    <xf numFmtId="0" fontId="35" fillId="43" borderId="17" xfId="0" applyFont="1" applyFill="1" applyBorder="1" applyAlignment="1">
      <alignment horizontal="center"/>
    </xf>
    <xf numFmtId="0" fontId="35" fillId="43" borderId="19" xfId="0" applyFont="1" applyFill="1" applyBorder="1" applyAlignment="1">
      <alignment horizontal="center"/>
    </xf>
    <xf numFmtId="0" fontId="35" fillId="43" borderId="36" xfId="0" applyFont="1" applyFill="1" applyBorder="1" applyAlignment="1">
      <alignment horizontal="center"/>
    </xf>
    <xf numFmtId="0" fontId="35" fillId="43" borderId="38" xfId="0" applyFont="1" applyFill="1" applyBorder="1" applyAlignment="1">
      <alignment horizontal="center"/>
    </xf>
    <xf numFmtId="0" fontId="35" fillId="43" borderId="54" xfId="0" applyFont="1" applyFill="1" applyBorder="1" applyAlignment="1">
      <alignment horizontal="center"/>
    </xf>
    <xf numFmtId="0" fontId="35" fillId="43" borderId="55" xfId="0" applyFont="1" applyFill="1" applyBorder="1" applyAlignment="1">
      <alignment horizontal="center"/>
    </xf>
    <xf numFmtId="0" fontId="22" fillId="35" borderId="27" xfId="0" applyFont="1" applyFill="1" applyBorder="1"/>
    <xf numFmtId="0" fontId="22" fillId="40" borderId="0" xfId="0" applyFont="1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Profitabilit</a:t>
            </a:r>
            <a:r>
              <a:rPr lang="en-US" baseline="0"/>
              <a:t>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[1]Ratios!$A$14</c:f>
              <c:strCache>
                <c:ptCount val="1"/>
                <c:pt idx="0">
                  <c:v>EBIT Margin %</c:v>
                </c:pt>
              </c:strCache>
            </c:strRef>
          </c:tx>
          <c:marker>
            <c:symbol val="none"/>
          </c:marker>
          <c:cat>
            <c:multiLvlStrRef>
              <c:f>[1]Ratios!$B$10:$K$13</c:f>
              <c:multiLvlStrCache>
                <c:ptCount val="10"/>
                <c:lvl>
                  <c:pt idx="0">
                    <c:v>14.7</c:v>
                  </c:pt>
                  <c:pt idx="1">
                    <c:v>28.4</c:v>
                  </c:pt>
                  <c:pt idx="2">
                    <c:v>22.4</c:v>
                  </c:pt>
                  <c:pt idx="3">
                    <c:v>–</c:v>
                  </c:pt>
                  <c:pt idx="4">
                    <c:v>–</c:v>
                  </c:pt>
                  <c:pt idx="5">
                    <c:v>–</c:v>
                  </c:pt>
                  <c:pt idx="6">
                    <c:v>–</c:v>
                  </c:pt>
                  <c:pt idx="7">
                    <c:v>–</c:v>
                  </c:pt>
                  <c:pt idx="8">
                    <c:v>–</c:v>
                  </c:pt>
                  <c:pt idx="9">
                    <c:v>–</c:v>
                  </c:pt>
                </c:lvl>
                <c:lvl>
                  <c:pt idx="0">
                    <c:v>22.5</c:v>
                  </c:pt>
                  <c:pt idx="1">
                    <c:v>23.7</c:v>
                  </c:pt>
                  <c:pt idx="2">
                    <c:v>21.7</c:v>
                  </c:pt>
                  <c:pt idx="3">
                    <c:v>23.3</c:v>
                  </c:pt>
                  <c:pt idx="4">
                    <c:v>22.5</c:v>
                  </c:pt>
                  <c:pt idx="5">
                    <c:v>22.2</c:v>
                  </c:pt>
                  <c:pt idx="6">
                    <c:v>21.3</c:v>
                  </c:pt>
                  <c:pt idx="7">
                    <c:v>21.1</c:v>
                  </c:pt>
                  <c:pt idx="8">
                    <c:v>21.9</c:v>
                  </c:pt>
                  <c:pt idx="9">
                    <c:v>23.7</c:v>
                  </c:pt>
                </c:lvl>
                <c:lvl>
                  <c:pt idx="0">
                    <c:v>12.8</c:v>
                  </c:pt>
                  <c:pt idx="1">
                    <c:v>15</c:v>
                  </c:pt>
                  <c:pt idx="2">
                    <c:v>12.1</c:v>
                  </c:pt>
                  <c:pt idx="3">
                    <c:v>12.6</c:v>
                  </c:pt>
                  <c:pt idx="4">
                    <c:v>10.8</c:v>
                  </c:pt>
                  <c:pt idx="5">
                    <c:v>11.2</c:v>
                  </c:pt>
                  <c:pt idx="6">
                    <c:v>6.1</c:v>
                  </c:pt>
                  <c:pt idx="7">
                    <c:v>7.6</c:v>
                  </c:pt>
                  <c:pt idx="8">
                    <c:v>9.5</c:v>
                  </c:pt>
                  <c:pt idx="9">
                    <c:v>12.3</c:v>
                  </c:pt>
                </c:lvl>
              </c:multiLvlStrCache>
            </c:multiLvlStrRef>
          </c:cat>
          <c:val>
            <c:numRef>
              <c:f>[1]Ratios!$B$14:$K$14</c:f>
              <c:numCache>
                <c:formatCode>General</c:formatCode>
                <c:ptCount val="10"/>
                <c:pt idx="0">
                  <c:v>8.120645538727004</c:v>
                </c:pt>
                <c:pt idx="1">
                  <c:v>11.466040094448816</c:v>
                </c:pt>
                <c:pt idx="2">
                  <c:v>8.8216480654190779</c:v>
                </c:pt>
                <c:pt idx="3">
                  <c:v>9.0596508418272848</c:v>
                </c:pt>
                <c:pt idx="4">
                  <c:v>6.8979908185774761</c:v>
                </c:pt>
                <c:pt idx="5">
                  <c:v>7.4614018527110693</c:v>
                </c:pt>
                <c:pt idx="6">
                  <c:v>2.058328738849541</c:v>
                </c:pt>
                <c:pt idx="7">
                  <c:v>2.6182773217128479</c:v>
                </c:pt>
                <c:pt idx="8">
                  <c:v>5.8034494001258041</c:v>
                </c:pt>
                <c:pt idx="9">
                  <c:v>8.6668363582468508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C0-4329-98CC-D79032D29F6E}"/>
            </c:ext>
          </c:extLst>
        </c:ser>
        <c:ser>
          <c:idx val="1"/>
          <c:order val="1"/>
          <c:tx>
            <c:strRef>
              <c:f>[1]Ratios!$A$15</c:f>
              <c:strCache>
                <c:ptCount val="1"/>
                <c:pt idx="0">
                  <c:v>Net Profit Margin%</c:v>
                </c:pt>
              </c:strCache>
            </c:strRef>
          </c:tx>
          <c:marker>
            <c:symbol val="none"/>
          </c:marker>
          <c:cat>
            <c:multiLvlStrRef>
              <c:f>[1]Ratios!$B$10:$K$13</c:f>
              <c:multiLvlStrCache>
                <c:ptCount val="10"/>
                <c:lvl>
                  <c:pt idx="0">
                    <c:v>14.7</c:v>
                  </c:pt>
                  <c:pt idx="1">
                    <c:v>28.4</c:v>
                  </c:pt>
                  <c:pt idx="2">
                    <c:v>22.4</c:v>
                  </c:pt>
                  <c:pt idx="3">
                    <c:v>–</c:v>
                  </c:pt>
                  <c:pt idx="4">
                    <c:v>–</c:v>
                  </c:pt>
                  <c:pt idx="5">
                    <c:v>–</c:v>
                  </c:pt>
                  <c:pt idx="6">
                    <c:v>–</c:v>
                  </c:pt>
                  <c:pt idx="7">
                    <c:v>–</c:v>
                  </c:pt>
                  <c:pt idx="8">
                    <c:v>–</c:v>
                  </c:pt>
                  <c:pt idx="9">
                    <c:v>–</c:v>
                  </c:pt>
                </c:lvl>
                <c:lvl>
                  <c:pt idx="0">
                    <c:v>22.5</c:v>
                  </c:pt>
                  <c:pt idx="1">
                    <c:v>23.7</c:v>
                  </c:pt>
                  <c:pt idx="2">
                    <c:v>21.7</c:v>
                  </c:pt>
                  <c:pt idx="3">
                    <c:v>23.3</c:v>
                  </c:pt>
                  <c:pt idx="4">
                    <c:v>22.5</c:v>
                  </c:pt>
                  <c:pt idx="5">
                    <c:v>22.2</c:v>
                  </c:pt>
                  <c:pt idx="6">
                    <c:v>21.3</c:v>
                  </c:pt>
                  <c:pt idx="7">
                    <c:v>21.1</c:v>
                  </c:pt>
                  <c:pt idx="8">
                    <c:v>21.9</c:v>
                  </c:pt>
                  <c:pt idx="9">
                    <c:v>23.7</c:v>
                  </c:pt>
                </c:lvl>
                <c:lvl>
                  <c:pt idx="0">
                    <c:v>12.8</c:v>
                  </c:pt>
                  <c:pt idx="1">
                    <c:v>15</c:v>
                  </c:pt>
                  <c:pt idx="2">
                    <c:v>12.1</c:v>
                  </c:pt>
                  <c:pt idx="3">
                    <c:v>12.6</c:v>
                  </c:pt>
                  <c:pt idx="4">
                    <c:v>10.8</c:v>
                  </c:pt>
                  <c:pt idx="5">
                    <c:v>11.2</c:v>
                  </c:pt>
                  <c:pt idx="6">
                    <c:v>6.1</c:v>
                  </c:pt>
                  <c:pt idx="7">
                    <c:v>7.6</c:v>
                  </c:pt>
                  <c:pt idx="8">
                    <c:v>9.5</c:v>
                  </c:pt>
                  <c:pt idx="9">
                    <c:v>12.3</c:v>
                  </c:pt>
                </c:lvl>
              </c:multiLvlStrCache>
            </c:multiLvlStrRef>
          </c:cat>
          <c:val>
            <c:numRef>
              <c:f>[1]Ratios!$B$15:$K$15</c:f>
              <c:numCache>
                <c:formatCode>General</c:formatCode>
                <c:ptCount val="10"/>
                <c:pt idx="0">
                  <c:v>5.9312268426868684</c:v>
                </c:pt>
                <c:pt idx="1">
                  <c:v>8.4483077920274088</c:v>
                </c:pt>
                <c:pt idx="2">
                  <c:v>6.4894558815251484</c:v>
                </c:pt>
                <c:pt idx="3">
                  <c:v>6.357917000250934</c:v>
                </c:pt>
                <c:pt idx="4">
                  <c:v>4.379724027372033</c:v>
                </c:pt>
                <c:pt idx="5">
                  <c:v>4.8314480904916568</c:v>
                </c:pt>
                <c:pt idx="6">
                  <c:v>0.78989779040671781</c:v>
                </c:pt>
                <c:pt idx="7">
                  <c:v>1.3946049841905643</c:v>
                </c:pt>
                <c:pt idx="8">
                  <c:v>3.7075946740787824</c:v>
                </c:pt>
                <c:pt idx="9">
                  <c:v>5.8366385601562021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C0-4329-98CC-D79032D29F6E}"/>
            </c:ext>
          </c:extLst>
        </c:ser>
        <c:ser>
          <c:idx val="2"/>
          <c:order val="2"/>
          <c:tx>
            <c:strRef>
              <c:f>[1]Ratios!$A$16</c:f>
              <c:strCache>
                <c:ptCount val="1"/>
                <c:pt idx="0">
                  <c:v>Return on Equity (%)</c:v>
                </c:pt>
              </c:strCache>
            </c:strRef>
          </c:tx>
          <c:marker>
            <c:symbol val="none"/>
          </c:marker>
          <c:cat>
            <c:multiLvlStrRef>
              <c:f>[1]Ratios!$B$10:$K$13</c:f>
              <c:multiLvlStrCache>
                <c:ptCount val="10"/>
                <c:lvl>
                  <c:pt idx="0">
                    <c:v>14.7</c:v>
                  </c:pt>
                  <c:pt idx="1">
                    <c:v>28.4</c:v>
                  </c:pt>
                  <c:pt idx="2">
                    <c:v>22.4</c:v>
                  </c:pt>
                  <c:pt idx="3">
                    <c:v>–</c:v>
                  </c:pt>
                  <c:pt idx="4">
                    <c:v>–</c:v>
                  </c:pt>
                  <c:pt idx="5">
                    <c:v>–</c:v>
                  </c:pt>
                  <c:pt idx="6">
                    <c:v>–</c:v>
                  </c:pt>
                  <c:pt idx="7">
                    <c:v>–</c:v>
                  </c:pt>
                  <c:pt idx="8">
                    <c:v>–</c:v>
                  </c:pt>
                  <c:pt idx="9">
                    <c:v>–</c:v>
                  </c:pt>
                </c:lvl>
                <c:lvl>
                  <c:pt idx="0">
                    <c:v>22.5</c:v>
                  </c:pt>
                  <c:pt idx="1">
                    <c:v>23.7</c:v>
                  </c:pt>
                  <c:pt idx="2">
                    <c:v>21.7</c:v>
                  </c:pt>
                  <c:pt idx="3">
                    <c:v>23.3</c:v>
                  </c:pt>
                  <c:pt idx="4">
                    <c:v>22.5</c:v>
                  </c:pt>
                  <c:pt idx="5">
                    <c:v>22.2</c:v>
                  </c:pt>
                  <c:pt idx="6">
                    <c:v>21.3</c:v>
                  </c:pt>
                  <c:pt idx="7">
                    <c:v>21.1</c:v>
                  </c:pt>
                  <c:pt idx="8">
                    <c:v>21.9</c:v>
                  </c:pt>
                  <c:pt idx="9">
                    <c:v>23.7</c:v>
                  </c:pt>
                </c:lvl>
                <c:lvl>
                  <c:pt idx="0">
                    <c:v>12.8</c:v>
                  </c:pt>
                  <c:pt idx="1">
                    <c:v>15</c:v>
                  </c:pt>
                  <c:pt idx="2">
                    <c:v>12.1</c:v>
                  </c:pt>
                  <c:pt idx="3">
                    <c:v>12.6</c:v>
                  </c:pt>
                  <c:pt idx="4">
                    <c:v>10.8</c:v>
                  </c:pt>
                  <c:pt idx="5">
                    <c:v>11.2</c:v>
                  </c:pt>
                  <c:pt idx="6">
                    <c:v>6.1</c:v>
                  </c:pt>
                  <c:pt idx="7">
                    <c:v>7.6</c:v>
                  </c:pt>
                  <c:pt idx="8">
                    <c:v>9.5</c:v>
                  </c:pt>
                  <c:pt idx="9">
                    <c:v>12.3</c:v>
                  </c:pt>
                </c:lvl>
              </c:multiLvlStrCache>
            </c:multiLvlStrRef>
          </c:cat>
          <c:val>
            <c:numRef>
              <c:f>[1]Ratios!$B$16:$K$16</c:f>
              <c:numCache>
                <c:formatCode>General</c:formatCode>
                <c:ptCount val="10"/>
                <c:pt idx="0">
                  <c:v>13.8</c:v>
                </c:pt>
                <c:pt idx="1">
                  <c:v>27</c:v>
                </c:pt>
                <c:pt idx="2">
                  <c:v>21.3</c:v>
                </c:pt>
                <c:pt idx="3">
                  <c:v>20.8</c:v>
                </c:pt>
                <c:pt idx="4">
                  <c:v>14.9</c:v>
                </c:pt>
                <c:pt idx="5">
                  <c:v>18.399999999999999</c:v>
                </c:pt>
                <c:pt idx="6">
                  <c:v>2.8</c:v>
                </c:pt>
                <c:pt idx="7">
                  <c:v>5</c:v>
                </c:pt>
                <c:pt idx="8">
                  <c:v>12.9</c:v>
                </c:pt>
                <c:pt idx="9">
                  <c:v>23.1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3C0-4329-98CC-D79032D29F6E}"/>
            </c:ext>
          </c:extLst>
        </c:ser>
        <c:ser>
          <c:idx val="3"/>
          <c:order val="3"/>
          <c:tx>
            <c:strRef>
              <c:f>[1]Ratios!$A$17</c:f>
              <c:strCache>
                <c:ptCount val="1"/>
                <c:pt idx="0">
                  <c:v>Earning ratio per share %</c:v>
                </c:pt>
              </c:strCache>
            </c:strRef>
          </c:tx>
          <c:marker>
            <c:symbol val="none"/>
          </c:marker>
          <c:cat>
            <c:multiLvlStrRef>
              <c:f>[1]Ratios!$B$10:$K$13</c:f>
              <c:multiLvlStrCache>
                <c:ptCount val="10"/>
                <c:lvl>
                  <c:pt idx="0">
                    <c:v>14.7</c:v>
                  </c:pt>
                  <c:pt idx="1">
                    <c:v>28.4</c:v>
                  </c:pt>
                  <c:pt idx="2">
                    <c:v>22.4</c:v>
                  </c:pt>
                  <c:pt idx="3">
                    <c:v>–</c:v>
                  </c:pt>
                  <c:pt idx="4">
                    <c:v>–</c:v>
                  </c:pt>
                  <c:pt idx="5">
                    <c:v>–</c:v>
                  </c:pt>
                  <c:pt idx="6">
                    <c:v>–</c:v>
                  </c:pt>
                  <c:pt idx="7">
                    <c:v>–</c:v>
                  </c:pt>
                  <c:pt idx="8">
                    <c:v>–</c:v>
                  </c:pt>
                  <c:pt idx="9">
                    <c:v>–</c:v>
                  </c:pt>
                </c:lvl>
                <c:lvl>
                  <c:pt idx="0">
                    <c:v>22.5</c:v>
                  </c:pt>
                  <c:pt idx="1">
                    <c:v>23.7</c:v>
                  </c:pt>
                  <c:pt idx="2">
                    <c:v>21.7</c:v>
                  </c:pt>
                  <c:pt idx="3">
                    <c:v>23.3</c:v>
                  </c:pt>
                  <c:pt idx="4">
                    <c:v>22.5</c:v>
                  </c:pt>
                  <c:pt idx="5">
                    <c:v>22.2</c:v>
                  </c:pt>
                  <c:pt idx="6">
                    <c:v>21.3</c:v>
                  </c:pt>
                  <c:pt idx="7">
                    <c:v>21.1</c:v>
                  </c:pt>
                  <c:pt idx="8">
                    <c:v>21.9</c:v>
                  </c:pt>
                  <c:pt idx="9">
                    <c:v>23.7</c:v>
                  </c:pt>
                </c:lvl>
                <c:lvl>
                  <c:pt idx="0">
                    <c:v>12.8</c:v>
                  </c:pt>
                  <c:pt idx="1">
                    <c:v>15</c:v>
                  </c:pt>
                  <c:pt idx="2">
                    <c:v>12.1</c:v>
                  </c:pt>
                  <c:pt idx="3">
                    <c:v>12.6</c:v>
                  </c:pt>
                  <c:pt idx="4">
                    <c:v>10.8</c:v>
                  </c:pt>
                  <c:pt idx="5">
                    <c:v>11.2</c:v>
                  </c:pt>
                  <c:pt idx="6">
                    <c:v>6.1</c:v>
                  </c:pt>
                  <c:pt idx="7">
                    <c:v>7.6</c:v>
                  </c:pt>
                  <c:pt idx="8">
                    <c:v>9.5</c:v>
                  </c:pt>
                  <c:pt idx="9">
                    <c:v>12.3</c:v>
                  </c:pt>
                </c:lvl>
              </c:multiLvlStrCache>
            </c:multiLvlStrRef>
          </c:cat>
          <c:val>
            <c:numRef>
              <c:f>[1]Ratios!$B$17:$K$17</c:f>
              <c:numCache>
                <c:formatCode>General</c:formatCode>
                <c:ptCount val="10"/>
                <c:pt idx="0">
                  <c:v>20.399999999999999</c:v>
                </c:pt>
                <c:pt idx="1">
                  <c:v>8.9</c:v>
                </c:pt>
                <c:pt idx="2">
                  <c:v>9.5</c:v>
                </c:pt>
                <c:pt idx="3">
                  <c:v>14.8</c:v>
                </c:pt>
                <c:pt idx="4">
                  <c:v>16.399999999999999</c:v>
                </c:pt>
                <c:pt idx="5">
                  <c:v>10.7</c:v>
                </c:pt>
                <c:pt idx="6">
                  <c:v>82.2</c:v>
                </c:pt>
                <c:pt idx="7">
                  <c:v>47.7</c:v>
                </c:pt>
                <c:pt idx="8">
                  <c:v>16.3</c:v>
                </c:pt>
                <c:pt idx="9">
                  <c:v>8.6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3C0-4329-98CC-D79032D29F6E}"/>
            </c:ext>
          </c:extLst>
        </c:ser>
        <c:ser>
          <c:idx val="4"/>
          <c:order val="4"/>
          <c:tx>
            <c:strRef>
              <c:f>[1]Ratios!$A$18</c:f>
              <c:strCache>
                <c:ptCount val="1"/>
                <c:pt idx="0">
                  <c:v>Return on Assets (ROA)</c:v>
                </c:pt>
              </c:strCache>
            </c:strRef>
          </c:tx>
          <c:marker>
            <c:symbol val="none"/>
          </c:marker>
          <c:cat>
            <c:multiLvlStrRef>
              <c:f>[1]Ratios!$B$10:$K$13</c:f>
              <c:multiLvlStrCache>
                <c:ptCount val="10"/>
                <c:lvl>
                  <c:pt idx="0">
                    <c:v>14.7</c:v>
                  </c:pt>
                  <c:pt idx="1">
                    <c:v>28.4</c:v>
                  </c:pt>
                  <c:pt idx="2">
                    <c:v>22.4</c:v>
                  </c:pt>
                  <c:pt idx="3">
                    <c:v>–</c:v>
                  </c:pt>
                  <c:pt idx="4">
                    <c:v>–</c:v>
                  </c:pt>
                  <c:pt idx="5">
                    <c:v>–</c:v>
                  </c:pt>
                  <c:pt idx="6">
                    <c:v>–</c:v>
                  </c:pt>
                  <c:pt idx="7">
                    <c:v>–</c:v>
                  </c:pt>
                  <c:pt idx="8">
                    <c:v>–</c:v>
                  </c:pt>
                  <c:pt idx="9">
                    <c:v>–</c:v>
                  </c:pt>
                </c:lvl>
                <c:lvl>
                  <c:pt idx="0">
                    <c:v>22.5</c:v>
                  </c:pt>
                  <c:pt idx="1">
                    <c:v>23.7</c:v>
                  </c:pt>
                  <c:pt idx="2">
                    <c:v>21.7</c:v>
                  </c:pt>
                  <c:pt idx="3">
                    <c:v>23.3</c:v>
                  </c:pt>
                  <c:pt idx="4">
                    <c:v>22.5</c:v>
                  </c:pt>
                  <c:pt idx="5">
                    <c:v>22.2</c:v>
                  </c:pt>
                  <c:pt idx="6">
                    <c:v>21.3</c:v>
                  </c:pt>
                  <c:pt idx="7">
                    <c:v>21.1</c:v>
                  </c:pt>
                  <c:pt idx="8">
                    <c:v>21.9</c:v>
                  </c:pt>
                  <c:pt idx="9">
                    <c:v>23.7</c:v>
                  </c:pt>
                </c:lvl>
                <c:lvl>
                  <c:pt idx="0">
                    <c:v>12.8</c:v>
                  </c:pt>
                  <c:pt idx="1">
                    <c:v>15</c:v>
                  </c:pt>
                  <c:pt idx="2">
                    <c:v>12.1</c:v>
                  </c:pt>
                  <c:pt idx="3">
                    <c:v>12.6</c:v>
                  </c:pt>
                  <c:pt idx="4">
                    <c:v>10.8</c:v>
                  </c:pt>
                  <c:pt idx="5">
                    <c:v>11.2</c:v>
                  </c:pt>
                  <c:pt idx="6">
                    <c:v>6.1</c:v>
                  </c:pt>
                  <c:pt idx="7">
                    <c:v>7.6</c:v>
                  </c:pt>
                  <c:pt idx="8">
                    <c:v>9.5</c:v>
                  </c:pt>
                  <c:pt idx="9">
                    <c:v>12.3</c:v>
                  </c:pt>
                </c:lvl>
              </c:multiLvlStrCache>
            </c:multiLvlStrRef>
          </c:cat>
          <c:val>
            <c:numRef>
              <c:f>[1]Ratios!$B$18:$K$18</c:f>
              <c:numCache>
                <c:formatCode>General</c:formatCode>
                <c:ptCount val="10"/>
                <c:pt idx="0">
                  <c:v>14.396236646496522</c:v>
                </c:pt>
                <c:pt idx="1">
                  <c:v>18.921303185560472</c:v>
                </c:pt>
                <c:pt idx="2">
                  <c:v>17.31965626138966</c:v>
                </c:pt>
                <c:pt idx="3">
                  <c:v>18.285841733455516</c:v>
                </c:pt>
                <c:pt idx="4">
                  <c:v>16.460106889671007</c:v>
                </c:pt>
                <c:pt idx="5">
                  <c:v>17.97896649873719</c:v>
                </c:pt>
                <c:pt idx="6">
                  <c:v>15.3430696586018</c:v>
                </c:pt>
                <c:pt idx="7">
                  <c:v>16.272703281916545</c:v>
                </c:pt>
                <c:pt idx="8">
                  <c:v>19.134031209593143</c:v>
                </c:pt>
                <c:pt idx="9">
                  <c:v>19.955611418736058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3C0-4329-98CC-D79032D2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1696"/>
        <c:axId val="101533328"/>
      </c:lineChart>
      <c:catAx>
        <c:axId val="10153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1533328"/>
        <c:crosses val="autoZero"/>
        <c:auto val="1"/>
        <c:lblAlgn val="ctr"/>
        <c:lblOffset val="100"/>
        <c:noMultiLvlLbl val="0"/>
      </c:catAx>
      <c:valAx>
        <c:axId val="10153332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10153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leverage</a:t>
            </a:r>
            <a:r>
              <a:rPr lang="en-US" baseline="0"/>
              <a:t> ratio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[1]Ratios!$A$22</c:f>
              <c:strCache>
                <c:ptCount val="1"/>
                <c:pt idx="0">
                  <c:v>Leverage Ratios</c:v>
                </c:pt>
              </c:strCache>
            </c:strRef>
          </c:tx>
          <c:marker>
            <c:symbol val="none"/>
          </c:marker>
          <c:val>
            <c:numRef>
              <c:f>[1]Ratios!$B$22:$K$22</c:f>
              <c:numCache>
                <c:formatCode>General</c:formatCode>
                <c:ptCount val="10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9A-4B00-AECE-732129294BB6}"/>
            </c:ext>
          </c:extLst>
        </c:ser>
        <c:ser>
          <c:idx val="1"/>
          <c:order val="1"/>
          <c:tx>
            <c:strRef>
              <c:f>[1]Ratios!$A$23</c:f>
              <c:strCache>
                <c:ptCount val="1"/>
                <c:pt idx="0">
                  <c:v>Total Equity</c:v>
                </c:pt>
              </c:strCache>
            </c:strRef>
          </c:tx>
          <c:marker>
            <c:symbol val="none"/>
          </c:marker>
          <c:val>
            <c:numRef>
              <c:f>[1]Ratios!$B$23:$K$23</c:f>
              <c:numCache>
                <c:formatCode>General</c:formatCode>
                <c:ptCount val="10"/>
                <c:pt idx="0">
                  <c:v>72</c:v>
                </c:pt>
                <c:pt idx="1">
                  <c:v>68</c:v>
                </c:pt>
                <c:pt idx="2">
                  <c:v>61</c:v>
                </c:pt>
                <c:pt idx="3">
                  <c:v>52</c:v>
                </c:pt>
                <c:pt idx="4">
                  <c:v>47</c:v>
                </c:pt>
                <c:pt idx="5">
                  <c:v>41</c:v>
                </c:pt>
                <c:pt idx="6">
                  <c:v>59</c:v>
                </c:pt>
                <c:pt idx="7">
                  <c:v>38</c:v>
                </c:pt>
                <c:pt idx="8">
                  <c:v>43</c:v>
                </c:pt>
                <c:pt idx="9">
                  <c:v>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9A-4B00-AECE-732129294BB6}"/>
            </c:ext>
          </c:extLst>
        </c:ser>
        <c:ser>
          <c:idx val="2"/>
          <c:order val="2"/>
          <c:tx>
            <c:strRef>
              <c:f>[1]Ratios!$A$24</c:f>
              <c:strCache>
                <c:ptCount val="1"/>
                <c:pt idx="0">
                  <c:v>Debt Ratio</c:v>
                </c:pt>
              </c:strCache>
            </c:strRef>
          </c:tx>
          <c:marker>
            <c:symbol val="none"/>
          </c:marker>
          <c:val>
            <c:numRef>
              <c:f>[1]Ratios!$B$24:$K$24</c:f>
              <c:numCache>
                <c:formatCode>General</c:formatCode>
                <c:ptCount val="10"/>
                <c:pt idx="0">
                  <c:v>70.999234565532745</c:v>
                </c:pt>
                <c:pt idx="1">
                  <c:v>73.005333084367138</c:v>
                </c:pt>
                <c:pt idx="2">
                  <c:v>73.490455333573507</c:v>
                </c:pt>
                <c:pt idx="3">
                  <c:v>73.572706512094726</c:v>
                </c:pt>
                <c:pt idx="4">
                  <c:v>75.492584905092798</c:v>
                </c:pt>
                <c:pt idx="5">
                  <c:v>77.11971990966552</c:v>
                </c:pt>
                <c:pt idx="6">
                  <c:v>79.094062095190338</c:v>
                </c:pt>
                <c:pt idx="7">
                  <c:v>77.564241986607854</c:v>
                </c:pt>
                <c:pt idx="8">
                  <c:v>74.342124684863407</c:v>
                </c:pt>
                <c:pt idx="9">
                  <c:v>75.744527861761284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9A-4B00-AECE-732129294BB6}"/>
            </c:ext>
          </c:extLst>
        </c:ser>
        <c:ser>
          <c:idx val="3"/>
          <c:order val="3"/>
          <c:tx>
            <c:strRef>
              <c:f>[1]Ratios!$A$25</c:f>
              <c:strCache>
                <c:ptCount val="1"/>
                <c:pt idx="0">
                  <c:v>Self-financing ratio %</c:v>
                </c:pt>
              </c:strCache>
            </c:strRef>
          </c:tx>
          <c:marker>
            <c:symbol val="none"/>
          </c:marker>
          <c:val>
            <c:numRef>
              <c:f>[1]Ratios!$B$25:$K$25</c:f>
              <c:numCache>
                <c:formatCode>General</c:formatCode>
                <c:ptCount val="10"/>
                <c:pt idx="0">
                  <c:v>279</c:v>
                </c:pt>
                <c:pt idx="1">
                  <c:v>268</c:v>
                </c:pt>
                <c:pt idx="2">
                  <c:v>213</c:v>
                </c:pt>
                <c:pt idx="3">
                  <c:v>272</c:v>
                </c:pt>
                <c:pt idx="4">
                  <c:v>155</c:v>
                </c:pt>
                <c:pt idx="5">
                  <c:v>194</c:v>
                </c:pt>
                <c:pt idx="6">
                  <c:v>64</c:v>
                </c:pt>
                <c:pt idx="7">
                  <c:v>84</c:v>
                </c:pt>
                <c:pt idx="8">
                  <c:v>18</c:v>
                </c:pt>
                <c:pt idx="9">
                  <c:v>118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9A-4B00-AECE-732129294BB6}"/>
            </c:ext>
          </c:extLst>
        </c:ser>
        <c:ser>
          <c:idx val="4"/>
          <c:order val="4"/>
          <c:tx>
            <c:strRef>
              <c:f>[1]Ratios!$A$26</c:f>
              <c:strCache>
                <c:ptCount val="1"/>
                <c:pt idx="0">
                  <c:v>Interest Coverage</c:v>
                </c:pt>
              </c:strCache>
            </c:strRef>
          </c:tx>
          <c:marker>
            <c:symbol val="none"/>
          </c:marker>
          <c:val>
            <c:numRef>
              <c:f>[1]Ratios!$B$26:$K$26</c:f>
              <c:numCache>
                <c:formatCode>General</c:formatCode>
                <c:ptCount val="10"/>
                <c:pt idx="0">
                  <c:v>18.5</c:v>
                </c:pt>
                <c:pt idx="1">
                  <c:v>28.1</c:v>
                </c:pt>
                <c:pt idx="2">
                  <c:v>19.5</c:v>
                </c:pt>
                <c:pt idx="3">
                  <c:v>15.3</c:v>
                </c:pt>
                <c:pt idx="4">
                  <c:v>10.3</c:v>
                </c:pt>
                <c:pt idx="5">
                  <c:v>9.1</c:v>
                </c:pt>
                <c:pt idx="6">
                  <c:v>2.2000000000000002</c:v>
                </c:pt>
                <c:pt idx="7">
                  <c:v>2.1</c:v>
                </c:pt>
                <c:pt idx="8">
                  <c:v>6.7</c:v>
                </c:pt>
                <c:pt idx="9">
                  <c:v>9.6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19A-4B00-AECE-73212929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34960"/>
        <c:axId val="101520816"/>
      </c:lineChart>
      <c:catAx>
        <c:axId val="101534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1520816"/>
        <c:crosses val="autoZero"/>
        <c:auto val="1"/>
        <c:lblAlgn val="ctr"/>
        <c:lblOffset val="100"/>
        <c:noMultiLvlLbl val="0"/>
      </c:catAx>
      <c:valAx>
        <c:axId val="10152081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0153496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1</xdr:row>
      <xdr:rowOff>114300</xdr:rowOff>
    </xdr:from>
    <xdr:to>
      <xdr:col>19</xdr:col>
      <xdr:colOff>129540</xdr:colOff>
      <xdr:row>12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99060</xdr:colOff>
      <xdr:row>15</xdr:row>
      <xdr:rowOff>68580</xdr:rowOff>
    </xdr:from>
    <xdr:to>
      <xdr:col>19</xdr:col>
      <xdr:colOff>373380</xdr:colOff>
      <xdr:row>26</xdr:row>
      <xdr:rowOff>7620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naza/Downloads/FINAL%20RAT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ios"/>
      <sheetName val="Income Statement "/>
      <sheetName val="Balance Sheet"/>
      <sheetName val="Cashflow"/>
      <sheetName val="Sheet1"/>
    </sheetNames>
    <sheetDataSet>
      <sheetData sheetId="0">
        <row r="11">
          <cell r="B11">
            <v>12.8</v>
          </cell>
          <cell r="C11">
            <v>15</v>
          </cell>
          <cell r="D11">
            <v>12.1</v>
          </cell>
          <cell r="E11">
            <v>12.6</v>
          </cell>
          <cell r="F11">
            <v>10.8</v>
          </cell>
          <cell r="G11">
            <v>11.2</v>
          </cell>
          <cell r="H11">
            <v>6.1</v>
          </cell>
          <cell r="I11">
            <v>7.6</v>
          </cell>
          <cell r="J11">
            <v>9.5</v>
          </cell>
          <cell r="K11">
            <v>12.3</v>
          </cell>
        </row>
        <row r="12">
          <cell r="B12">
            <v>22.5</v>
          </cell>
          <cell r="C12">
            <v>23.7</v>
          </cell>
          <cell r="D12">
            <v>21.7</v>
          </cell>
          <cell r="E12">
            <v>23.3</v>
          </cell>
          <cell r="F12">
            <v>22.5</v>
          </cell>
          <cell r="G12">
            <v>22.2</v>
          </cell>
          <cell r="H12">
            <v>21.3</v>
          </cell>
          <cell r="I12">
            <v>21.1</v>
          </cell>
          <cell r="J12">
            <v>21.9</v>
          </cell>
          <cell r="K12">
            <v>23.7</v>
          </cell>
        </row>
        <row r="13">
          <cell r="B13">
            <v>14.7</v>
          </cell>
          <cell r="C13">
            <v>28.4</v>
          </cell>
          <cell r="D13">
            <v>22.4</v>
          </cell>
          <cell r="E13" t="str">
            <v>–</v>
          </cell>
          <cell r="F13" t="str">
            <v>–</v>
          </cell>
          <cell r="G13" t="str">
            <v>–</v>
          </cell>
          <cell r="H13" t="str">
            <v>–</v>
          </cell>
          <cell r="I13" t="str">
            <v>–</v>
          </cell>
          <cell r="J13" t="str">
            <v>–</v>
          </cell>
          <cell r="K13" t="str">
            <v>–</v>
          </cell>
        </row>
        <row r="14">
          <cell r="A14" t="str">
            <v>EBIT Margin %</v>
          </cell>
          <cell r="B14">
            <v>8.120645538727004</v>
          </cell>
          <cell r="C14">
            <v>11.466040094448816</v>
          </cell>
          <cell r="D14">
            <v>8.8216480654190779</v>
          </cell>
          <cell r="E14">
            <v>9.0596508418272848</v>
          </cell>
          <cell r="F14">
            <v>6.8979908185774761</v>
          </cell>
          <cell r="G14">
            <v>7.4614018527110693</v>
          </cell>
          <cell r="H14">
            <v>2.058328738849541</v>
          </cell>
          <cell r="I14">
            <v>2.6182773217128479</v>
          </cell>
          <cell r="J14">
            <v>5.8034494001258041</v>
          </cell>
          <cell r="K14">
            <v>8.6668363582468508</v>
          </cell>
        </row>
        <row r="15">
          <cell r="A15" t="str">
            <v>Net Profit Margin%</v>
          </cell>
          <cell r="B15">
            <v>5.9312268426868684</v>
          </cell>
          <cell r="C15">
            <v>8.4483077920274088</v>
          </cell>
          <cell r="D15">
            <v>6.4894558815251484</v>
          </cell>
          <cell r="E15">
            <v>6.357917000250934</v>
          </cell>
          <cell r="F15">
            <v>4.379724027372033</v>
          </cell>
          <cell r="G15">
            <v>4.8314480904916568</v>
          </cell>
          <cell r="H15">
            <v>0.78989779040671781</v>
          </cell>
          <cell r="I15">
            <v>1.3946049841905643</v>
          </cell>
          <cell r="J15">
            <v>3.7075946740787824</v>
          </cell>
          <cell r="K15">
            <v>5.8366385601562021</v>
          </cell>
        </row>
        <row r="16">
          <cell r="A16" t="str">
            <v>Return on Equity (%)</v>
          </cell>
          <cell r="B16">
            <v>13.8</v>
          </cell>
          <cell r="C16">
            <v>27</v>
          </cell>
          <cell r="D16">
            <v>21.3</v>
          </cell>
          <cell r="E16">
            <v>20.8</v>
          </cell>
          <cell r="F16">
            <v>14.9</v>
          </cell>
          <cell r="G16">
            <v>18.399999999999999</v>
          </cell>
          <cell r="H16">
            <v>2.8</v>
          </cell>
          <cell r="I16">
            <v>5</v>
          </cell>
          <cell r="J16">
            <v>12.9</v>
          </cell>
          <cell r="K16">
            <v>23.1</v>
          </cell>
        </row>
        <row r="17">
          <cell r="A17" t="str">
            <v>Earning ratio per share %</v>
          </cell>
          <cell r="B17">
            <v>20.399999999999999</v>
          </cell>
          <cell r="C17">
            <v>8.9</v>
          </cell>
          <cell r="D17">
            <v>9.5</v>
          </cell>
          <cell r="E17">
            <v>14.8</v>
          </cell>
          <cell r="F17">
            <v>16.399999999999999</v>
          </cell>
          <cell r="G17">
            <v>10.7</v>
          </cell>
          <cell r="H17">
            <v>82.2</v>
          </cell>
          <cell r="I17">
            <v>47.7</v>
          </cell>
          <cell r="J17">
            <v>16.3</v>
          </cell>
          <cell r="K17">
            <v>8.6</v>
          </cell>
        </row>
        <row r="18">
          <cell r="A18" t="str">
            <v>Return on Assets (ROA)</v>
          </cell>
          <cell r="B18">
            <v>14.396236646496522</v>
          </cell>
          <cell r="C18">
            <v>18.921303185560472</v>
          </cell>
          <cell r="D18">
            <v>17.31965626138966</v>
          </cell>
          <cell r="E18">
            <v>18.285841733455516</v>
          </cell>
          <cell r="F18">
            <v>16.460106889671007</v>
          </cell>
          <cell r="G18">
            <v>17.97896649873719</v>
          </cell>
          <cell r="H18">
            <v>15.3430696586018</v>
          </cell>
          <cell r="I18">
            <v>16.272703281916545</v>
          </cell>
          <cell r="J18">
            <v>19.134031209593143</v>
          </cell>
          <cell r="K18">
            <v>19.955611418736058</v>
          </cell>
        </row>
        <row r="22">
          <cell r="A22" t="str">
            <v>Leverage Ratios</v>
          </cell>
        </row>
        <row r="23">
          <cell r="A23" t="str">
            <v>Total Equity</v>
          </cell>
          <cell r="B23">
            <v>72</v>
          </cell>
          <cell r="C23">
            <v>68</v>
          </cell>
          <cell r="D23">
            <v>61</v>
          </cell>
          <cell r="E23">
            <v>52</v>
          </cell>
          <cell r="F23">
            <v>47</v>
          </cell>
          <cell r="G23">
            <v>41</v>
          </cell>
          <cell r="H23">
            <v>59</v>
          </cell>
          <cell r="I23">
            <v>38</v>
          </cell>
          <cell r="J23">
            <v>43</v>
          </cell>
          <cell r="K23">
            <v>42</v>
          </cell>
        </row>
        <row r="24">
          <cell r="A24" t="str">
            <v>Debt Ratio</v>
          </cell>
          <cell r="B24">
            <v>70.999234565532745</v>
          </cell>
          <cell r="C24">
            <v>73.005333084367138</v>
          </cell>
          <cell r="D24">
            <v>73.490455333573507</v>
          </cell>
          <cell r="E24">
            <v>73.572706512094726</v>
          </cell>
          <cell r="F24">
            <v>75.492584905092798</v>
          </cell>
          <cell r="G24">
            <v>77.11971990966552</v>
          </cell>
          <cell r="H24">
            <v>79.094062095190338</v>
          </cell>
          <cell r="I24">
            <v>77.564241986607854</v>
          </cell>
          <cell r="J24">
            <v>74.342124684863407</v>
          </cell>
          <cell r="K24">
            <v>75.744527861761284</v>
          </cell>
        </row>
        <row r="25">
          <cell r="A25" t="str">
            <v>Self-financing ratio %</v>
          </cell>
          <cell r="B25">
            <v>279</v>
          </cell>
          <cell r="C25">
            <v>268</v>
          </cell>
          <cell r="D25">
            <v>213</v>
          </cell>
          <cell r="E25">
            <v>272</v>
          </cell>
          <cell r="F25">
            <v>155</v>
          </cell>
          <cell r="G25">
            <v>194</v>
          </cell>
          <cell r="H25">
            <v>64</v>
          </cell>
          <cell r="I25">
            <v>84</v>
          </cell>
          <cell r="J25">
            <v>18</v>
          </cell>
          <cell r="K25">
            <v>118</v>
          </cell>
        </row>
        <row r="26">
          <cell r="A26" t="str">
            <v>Interest Coverage</v>
          </cell>
          <cell r="B26">
            <v>18.5</v>
          </cell>
          <cell r="C26">
            <v>28.1</v>
          </cell>
          <cell r="D26">
            <v>19.5</v>
          </cell>
          <cell r="E26">
            <v>15.3</v>
          </cell>
          <cell r="F26">
            <v>10.3</v>
          </cell>
          <cell r="G26">
            <v>9.1</v>
          </cell>
          <cell r="H26">
            <v>2.2000000000000002</v>
          </cell>
          <cell r="I26">
            <v>2.1</v>
          </cell>
          <cell r="J26">
            <v>6.7</v>
          </cell>
          <cell r="K26">
            <v>9.6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zoomScale="85" workbookViewId="0">
      <selection activeCell="H14" sqref="H14"/>
    </sheetView>
  </sheetViews>
  <sheetFormatPr defaultRowHeight="14.4"/>
  <cols>
    <col min="1" max="1" width="10.6640625" bestFit="1" customWidth="1"/>
    <col min="2" max="2" width="11.44140625" customWidth="1"/>
    <col min="3" max="3" width="9.109375" customWidth="1"/>
    <col min="4" max="4" width="5" customWidth="1"/>
    <col min="5" max="5" width="10.6640625" bestFit="1" customWidth="1"/>
    <col min="6" max="6" width="12.33203125" customWidth="1"/>
    <col min="7" max="7" width="9" bestFit="1" customWidth="1"/>
    <col min="14" max="14" width="18.5546875" bestFit="1" customWidth="1"/>
    <col min="15" max="15" width="11.77734375" bestFit="1" customWidth="1"/>
    <col min="16" max="16" width="13.5546875" bestFit="1" customWidth="1"/>
    <col min="17" max="18" width="11.77734375" bestFit="1" customWidth="1"/>
    <col min="19" max="19" width="12.44140625" bestFit="1" customWidth="1"/>
    <col min="20" max="20" width="11.77734375" bestFit="1" customWidth="1"/>
    <col min="21" max="21" width="12.44140625" bestFit="1" customWidth="1"/>
    <col min="22" max="22" width="12" bestFit="1" customWidth="1"/>
  </cols>
  <sheetData>
    <row r="1" spans="1:22" ht="15" thickBot="1"/>
    <row r="2" spans="1:22" ht="15.6">
      <c r="A2" s="296" t="s">
        <v>2</v>
      </c>
      <c r="B2" s="296"/>
      <c r="C2" s="296"/>
      <c r="D2" s="67"/>
      <c r="E2" s="296" t="s">
        <v>1</v>
      </c>
      <c r="F2" s="296"/>
      <c r="G2" s="296"/>
    </row>
    <row r="3" spans="1:22" ht="46.8" customHeight="1" thickBot="1">
      <c r="A3" s="106" t="s">
        <v>0</v>
      </c>
      <c r="B3" s="107" t="s">
        <v>3</v>
      </c>
      <c r="C3" s="107" t="s">
        <v>4</v>
      </c>
      <c r="D3" s="68"/>
      <c r="E3" s="106" t="s">
        <v>0</v>
      </c>
      <c r="F3" s="107" t="s">
        <v>3</v>
      </c>
      <c r="G3" s="107" t="s">
        <v>4</v>
      </c>
    </row>
    <row r="4" spans="1:22" ht="15.6">
      <c r="A4" s="27">
        <v>42491</v>
      </c>
      <c r="B4" s="28">
        <v>78.042457999999996</v>
      </c>
      <c r="C4" s="29"/>
      <c r="D4" s="26"/>
      <c r="E4" s="27">
        <v>42491</v>
      </c>
      <c r="F4" s="28">
        <v>488.45001200000002</v>
      </c>
      <c r="G4" s="29"/>
      <c r="N4" s="108" t="s">
        <v>5</v>
      </c>
      <c r="O4" s="7"/>
      <c r="P4" s="7"/>
      <c r="Q4" s="7"/>
      <c r="R4" s="7"/>
      <c r="S4" s="7"/>
      <c r="T4" s="7"/>
      <c r="U4" s="7"/>
      <c r="V4" s="8"/>
    </row>
    <row r="5" spans="1:22" ht="16.2" thickBot="1">
      <c r="A5" s="27">
        <v>42522</v>
      </c>
      <c r="B5" s="28">
        <v>69.763312999999997</v>
      </c>
      <c r="C5" s="30">
        <f>LN(B5/B4)*100</f>
        <v>-11.214474205515009</v>
      </c>
      <c r="D5" s="26"/>
      <c r="E5" s="27">
        <v>42522</v>
      </c>
      <c r="F5" s="28">
        <v>470.86999500000002</v>
      </c>
      <c r="G5" s="30">
        <f>LN(F5/F4)*100</f>
        <v>-3.6655099858608402</v>
      </c>
      <c r="N5" s="9"/>
      <c r="O5" s="6"/>
      <c r="P5" s="6"/>
      <c r="Q5" s="6"/>
      <c r="R5" s="6"/>
      <c r="S5" s="6"/>
      <c r="T5" s="6"/>
      <c r="U5" s="6"/>
      <c r="V5" s="10"/>
    </row>
    <row r="6" spans="1:22" ht="15.6">
      <c r="A6" s="27">
        <v>42552</v>
      </c>
      <c r="B6" s="28">
        <v>76.655586</v>
      </c>
      <c r="C6" s="30">
        <f t="shared" ref="C6:C64" si="0">LN(B6/B5)*100</f>
        <v>9.4214209502647464</v>
      </c>
      <c r="D6" s="26"/>
      <c r="E6" s="27">
        <v>42552</v>
      </c>
      <c r="F6" s="28">
        <v>496.47000100000002</v>
      </c>
      <c r="G6" s="30">
        <f t="shared" ref="G6:G64" si="1">LN(F6/F5)*100</f>
        <v>5.29410239053297</v>
      </c>
      <c r="N6" s="11" t="s">
        <v>6</v>
      </c>
      <c r="O6" s="5"/>
      <c r="P6" s="6"/>
      <c r="Q6" s="6"/>
      <c r="R6" s="6"/>
      <c r="S6" s="6"/>
      <c r="T6" s="6"/>
      <c r="U6" s="6"/>
      <c r="V6" s="10"/>
    </row>
    <row r="7" spans="1:22" ht="15.6">
      <c r="A7" s="27">
        <v>42583</v>
      </c>
      <c r="B7" s="28">
        <v>77.370048999999995</v>
      </c>
      <c r="C7" s="30">
        <f t="shared" si="0"/>
        <v>0.92772625067977132</v>
      </c>
      <c r="D7" s="26"/>
      <c r="E7" s="27">
        <v>42583</v>
      </c>
      <c r="F7" s="28">
        <v>508.66000400000001</v>
      </c>
      <c r="G7" s="30">
        <f t="shared" si="1"/>
        <v>2.4256764081127891</v>
      </c>
      <c r="N7" s="12" t="s">
        <v>7</v>
      </c>
      <c r="O7" s="2">
        <v>0.81727015333290221</v>
      </c>
      <c r="P7" s="6"/>
      <c r="Q7" s="6"/>
      <c r="R7" s="6"/>
      <c r="S7" s="6"/>
      <c r="T7" s="6"/>
      <c r="U7" s="6"/>
      <c r="V7" s="10"/>
    </row>
    <row r="8" spans="1:22" ht="15.6">
      <c r="A8" s="27">
        <v>42614</v>
      </c>
      <c r="B8" s="28">
        <v>82.287093999999996</v>
      </c>
      <c r="C8" s="30">
        <f t="shared" si="0"/>
        <v>6.1614536979547507</v>
      </c>
      <c r="D8" s="26"/>
      <c r="E8" s="27">
        <v>42614</v>
      </c>
      <c r="F8" s="28">
        <v>517.830017</v>
      </c>
      <c r="G8" s="30">
        <f t="shared" si="1"/>
        <v>1.786721110170385</v>
      </c>
      <c r="N8" s="12" t="s">
        <v>8</v>
      </c>
      <c r="O8" s="2">
        <v>0.66793050352878547</v>
      </c>
      <c r="P8" s="6"/>
      <c r="Q8" s="6"/>
      <c r="R8" s="6"/>
      <c r="S8" s="6"/>
      <c r="T8" s="6"/>
      <c r="U8" s="6"/>
      <c r="V8" s="10"/>
    </row>
    <row r="9" spans="1:22" ht="15.6">
      <c r="A9" s="27">
        <v>42644</v>
      </c>
      <c r="B9" s="28">
        <v>81.530608999999998</v>
      </c>
      <c r="C9" s="30">
        <f t="shared" si="0"/>
        <v>-0.9235758571120477</v>
      </c>
      <c r="D9" s="26"/>
      <c r="E9" s="27">
        <v>42644</v>
      </c>
      <c r="F9" s="28">
        <v>511.88000499999998</v>
      </c>
      <c r="G9" s="30">
        <f t="shared" si="1"/>
        <v>-1.1556803558704456</v>
      </c>
      <c r="N9" s="12" t="s">
        <v>9</v>
      </c>
      <c r="O9" s="2">
        <v>0.66220516738273005</v>
      </c>
      <c r="P9" s="6"/>
      <c r="Q9" s="6"/>
      <c r="R9" s="6"/>
      <c r="S9" s="6"/>
      <c r="T9" s="6"/>
      <c r="U9" s="6"/>
      <c r="V9" s="10"/>
    </row>
    <row r="10" spans="1:22" ht="15.6">
      <c r="A10" s="27">
        <v>42675</v>
      </c>
      <c r="B10" s="28">
        <v>82.875450000000001</v>
      </c>
      <c r="C10" s="30">
        <f t="shared" si="0"/>
        <v>1.6360358065540426</v>
      </c>
      <c r="D10" s="26"/>
      <c r="E10" s="27">
        <v>42675</v>
      </c>
      <c r="F10" s="28">
        <v>519.09997599999997</v>
      </c>
      <c r="G10" s="30">
        <f t="shared" si="1"/>
        <v>1.4006264262006343</v>
      </c>
      <c r="N10" s="12" t="s">
        <v>10</v>
      </c>
      <c r="O10" s="2">
        <v>4.1186296569363083</v>
      </c>
      <c r="P10" s="6"/>
      <c r="Q10" s="6"/>
      <c r="R10" s="6"/>
      <c r="S10" s="6"/>
      <c r="T10" s="6"/>
      <c r="U10" s="6"/>
      <c r="V10" s="10"/>
    </row>
    <row r="11" spans="1:22" ht="16.2" thickBot="1">
      <c r="A11" s="27">
        <v>42705</v>
      </c>
      <c r="B11" s="28">
        <v>89.431533999999999</v>
      </c>
      <c r="C11" s="30">
        <f t="shared" si="0"/>
        <v>7.6134470936060836</v>
      </c>
      <c r="D11" s="26"/>
      <c r="E11" s="27">
        <v>42705</v>
      </c>
      <c r="F11" s="28">
        <v>534.55999799999995</v>
      </c>
      <c r="G11" s="30">
        <f t="shared" si="1"/>
        <v>2.9347478267735672</v>
      </c>
      <c r="N11" s="13" t="s">
        <v>11</v>
      </c>
      <c r="O11" s="3">
        <v>60</v>
      </c>
      <c r="P11" s="6"/>
      <c r="Q11" s="6"/>
      <c r="R11" s="6"/>
      <c r="S11" s="6"/>
      <c r="T11" s="6"/>
      <c r="U11" s="6"/>
      <c r="V11" s="10"/>
    </row>
    <row r="12" spans="1:22" ht="15.6">
      <c r="A12" s="27">
        <v>42736</v>
      </c>
      <c r="B12" s="28">
        <v>93.970359999999999</v>
      </c>
      <c r="C12" s="30">
        <f t="shared" si="0"/>
        <v>4.9506064105933074</v>
      </c>
      <c r="D12" s="26"/>
      <c r="E12" s="27">
        <v>42736</v>
      </c>
      <c r="F12" s="28">
        <v>541.47997999999995</v>
      </c>
      <c r="G12" s="30">
        <f t="shared" si="1"/>
        <v>1.2862119514727668</v>
      </c>
      <c r="N12" s="9"/>
      <c r="O12" s="6"/>
      <c r="P12" s="6"/>
      <c r="Q12" s="6"/>
      <c r="R12" s="6"/>
      <c r="S12" s="6"/>
      <c r="T12" s="6"/>
      <c r="U12" s="6"/>
      <c r="V12" s="10"/>
    </row>
    <row r="13" spans="1:22" ht="16.2" thickBot="1">
      <c r="A13" s="27">
        <v>42767</v>
      </c>
      <c r="B13" s="28">
        <v>99.097533999999996</v>
      </c>
      <c r="C13" s="30">
        <f t="shared" si="0"/>
        <v>5.3125143673198938</v>
      </c>
      <c r="D13" s="26"/>
      <c r="E13" s="27">
        <v>42767</v>
      </c>
      <c r="F13" s="28">
        <v>557.330017</v>
      </c>
      <c r="G13" s="30">
        <f t="shared" si="1"/>
        <v>2.8851460218203022</v>
      </c>
      <c r="N13" s="9" t="s">
        <v>12</v>
      </c>
      <c r="O13" s="6"/>
      <c r="P13" s="6"/>
      <c r="Q13" s="6"/>
      <c r="R13" s="6"/>
      <c r="S13" s="6"/>
      <c r="T13" s="6"/>
      <c r="U13" s="6"/>
      <c r="V13" s="10"/>
    </row>
    <row r="14" spans="1:22" ht="15.6">
      <c r="A14" s="27">
        <v>42795</v>
      </c>
      <c r="B14" s="28">
        <v>111.201042</v>
      </c>
      <c r="C14" s="30">
        <f t="shared" si="0"/>
        <v>11.523519520544511</v>
      </c>
      <c r="D14" s="26"/>
      <c r="E14" s="27">
        <v>42795</v>
      </c>
      <c r="F14" s="28">
        <v>562.94000200000005</v>
      </c>
      <c r="G14" s="30">
        <f t="shared" si="1"/>
        <v>1.0015499477235774</v>
      </c>
      <c r="N14" s="14"/>
      <c r="O14" s="4" t="s">
        <v>17</v>
      </c>
      <c r="P14" s="4" t="s">
        <v>18</v>
      </c>
      <c r="Q14" s="4" t="s">
        <v>19</v>
      </c>
      <c r="R14" s="4" t="s">
        <v>20</v>
      </c>
      <c r="S14" s="4" t="s">
        <v>21</v>
      </c>
      <c r="T14" s="6"/>
      <c r="U14" s="6"/>
      <c r="V14" s="10"/>
    </row>
    <row r="15" spans="1:22" ht="15.6">
      <c r="A15" s="27">
        <v>42826</v>
      </c>
      <c r="B15" s="28">
        <v>121.791611</v>
      </c>
      <c r="C15" s="30">
        <f>LN(B15/B14)*100</f>
        <v>9.0971725422360059</v>
      </c>
      <c r="D15" s="26"/>
      <c r="E15" s="27">
        <v>42826</v>
      </c>
      <c r="F15" s="28">
        <v>582.70001200000002</v>
      </c>
      <c r="G15" s="30">
        <f t="shared" si="1"/>
        <v>3.4499440665597918</v>
      </c>
      <c r="N15" s="12" t="s">
        <v>13</v>
      </c>
      <c r="O15" s="2">
        <v>1</v>
      </c>
      <c r="P15" s="2">
        <v>1978.9543325185764</v>
      </c>
      <c r="Q15" s="2">
        <v>1978.9543325185764</v>
      </c>
      <c r="R15" s="2">
        <v>116.66223370814107</v>
      </c>
      <c r="S15" s="2">
        <v>1.6523406111065417E-15</v>
      </c>
      <c r="T15" s="6"/>
      <c r="U15" s="6"/>
      <c r="V15" s="10"/>
    </row>
    <row r="16" spans="1:22" ht="15.6">
      <c r="A16" s="27">
        <v>42856</v>
      </c>
      <c r="B16" s="28">
        <v>122.547287</v>
      </c>
      <c r="C16" s="30">
        <f t="shared" si="0"/>
        <v>0.6185494127641501</v>
      </c>
      <c r="D16" s="26"/>
      <c r="E16" s="27">
        <v>42856</v>
      </c>
      <c r="F16" s="28">
        <v>588.46002199999998</v>
      </c>
      <c r="G16" s="30">
        <f t="shared" si="1"/>
        <v>0.98364976194443154</v>
      </c>
      <c r="N16" s="12" t="s">
        <v>14</v>
      </c>
      <c r="O16" s="2">
        <v>58</v>
      </c>
      <c r="P16" s="2">
        <v>983.86039455772686</v>
      </c>
      <c r="Q16" s="2">
        <v>16.963110250995292</v>
      </c>
      <c r="R16" s="2"/>
      <c r="S16" s="2"/>
      <c r="T16" s="6"/>
      <c r="U16" s="6"/>
      <c r="V16" s="10"/>
    </row>
    <row r="17" spans="1:22" ht="16.2" thickBot="1">
      <c r="A17" s="27">
        <v>42887</v>
      </c>
      <c r="B17" s="28">
        <v>123.840889</v>
      </c>
      <c r="C17" s="30">
        <f t="shared" si="0"/>
        <v>1.0500616607044166</v>
      </c>
      <c r="D17" s="26"/>
      <c r="E17" s="27">
        <v>42887</v>
      </c>
      <c r="F17" s="28">
        <v>576.90997300000004</v>
      </c>
      <c r="G17" s="30">
        <f t="shared" si="1"/>
        <v>-1.9822764024016515</v>
      </c>
      <c r="N17" s="13" t="s">
        <v>15</v>
      </c>
      <c r="O17" s="3">
        <v>59</v>
      </c>
      <c r="P17" s="3">
        <v>2962.8147270763034</v>
      </c>
      <c r="Q17" s="3"/>
      <c r="R17" s="3"/>
      <c r="S17" s="3"/>
      <c r="T17" s="6"/>
      <c r="U17" s="6"/>
      <c r="V17" s="10"/>
    </row>
    <row r="18" spans="1:22" ht="16.2" thickBot="1">
      <c r="A18" s="27">
        <v>42917</v>
      </c>
      <c r="B18" s="28">
        <v>118.32150300000001</v>
      </c>
      <c r="C18" s="30">
        <f t="shared" si="0"/>
        <v>-4.5592067271601362</v>
      </c>
      <c r="D18" s="26"/>
      <c r="E18" s="27">
        <v>42917</v>
      </c>
      <c r="F18" s="28">
        <v>559.45001200000002</v>
      </c>
      <c r="G18" s="30">
        <f t="shared" si="1"/>
        <v>-3.0732048634875806</v>
      </c>
      <c r="N18" s="9"/>
      <c r="O18" s="6"/>
      <c r="P18" s="6"/>
      <c r="Q18" s="6"/>
      <c r="R18" s="6"/>
      <c r="S18" s="6"/>
      <c r="T18" s="6"/>
      <c r="U18" s="6"/>
      <c r="V18" s="10"/>
    </row>
    <row r="19" spans="1:22" ht="15.6">
      <c r="A19" s="27">
        <v>42948</v>
      </c>
      <c r="B19" s="28">
        <v>117.027908</v>
      </c>
      <c r="C19" s="30">
        <f t="shared" si="0"/>
        <v>-1.0993084893071636</v>
      </c>
      <c r="D19" s="26"/>
      <c r="E19" s="27">
        <v>42948</v>
      </c>
      <c r="F19" s="28">
        <v>554.90997300000004</v>
      </c>
      <c r="G19" s="30">
        <f t="shared" si="1"/>
        <v>-0.8148289925340686</v>
      </c>
      <c r="N19" s="14"/>
      <c r="O19" s="4" t="s">
        <v>22</v>
      </c>
      <c r="P19" s="4" t="s">
        <v>10</v>
      </c>
      <c r="Q19" s="4" t="s">
        <v>23</v>
      </c>
      <c r="R19" s="4" t="s">
        <v>24</v>
      </c>
      <c r="S19" s="4" t="s">
        <v>25</v>
      </c>
      <c r="T19" s="4" t="s">
        <v>26</v>
      </c>
      <c r="U19" s="4" t="s">
        <v>27</v>
      </c>
      <c r="V19" s="15" t="s">
        <v>28</v>
      </c>
    </row>
    <row r="20" spans="1:22" ht="15.6">
      <c r="A20" s="27">
        <v>42979</v>
      </c>
      <c r="B20" s="28">
        <v>135.39707899999999</v>
      </c>
      <c r="C20" s="30">
        <f t="shared" si="0"/>
        <v>14.579935086023127</v>
      </c>
      <c r="D20" s="26"/>
      <c r="E20" s="27">
        <v>42979</v>
      </c>
      <c r="F20" s="28">
        <v>585.669983</v>
      </c>
      <c r="G20" s="30">
        <f t="shared" si="1"/>
        <v>5.3950572217813928</v>
      </c>
      <c r="N20" s="12" t="s">
        <v>16</v>
      </c>
      <c r="O20" s="2">
        <v>0.29263675453302507</v>
      </c>
      <c r="P20" s="2">
        <v>0.54745767649843657</v>
      </c>
      <c r="Q20" s="2">
        <v>0.53453767678397102</v>
      </c>
      <c r="R20" s="2">
        <v>0.59501283720741882</v>
      </c>
      <c r="S20" s="2">
        <v>-0.8032188483434215</v>
      </c>
      <c r="T20" s="2">
        <v>1.3884923574094716</v>
      </c>
      <c r="U20" s="2">
        <v>-0.8032188483434215</v>
      </c>
      <c r="V20" s="16">
        <v>1.3884923574094716</v>
      </c>
    </row>
    <row r="21" spans="1:22" ht="16.2" thickBot="1">
      <c r="A21" s="27">
        <v>43009</v>
      </c>
      <c r="B21" s="28">
        <v>143.072418</v>
      </c>
      <c r="C21" s="30">
        <f t="shared" si="0"/>
        <v>5.5139134524426714</v>
      </c>
      <c r="D21" s="26"/>
      <c r="E21" s="27">
        <v>43009</v>
      </c>
      <c r="F21" s="28">
        <v>597.15997300000004</v>
      </c>
      <c r="G21" s="30">
        <f t="shared" si="1"/>
        <v>1.942857697553416</v>
      </c>
      <c r="N21" s="13" t="s">
        <v>29</v>
      </c>
      <c r="O21" s="109">
        <v>1.3316675469605257</v>
      </c>
      <c r="P21" s="3">
        <v>0.12329080046850148</v>
      </c>
      <c r="Q21" s="3">
        <v>10.801029289291881</v>
      </c>
      <c r="R21" s="3">
        <v>1.6523406111065417E-15</v>
      </c>
      <c r="S21" s="3">
        <v>1.0848741960284647</v>
      </c>
      <c r="T21" s="3">
        <v>1.5784608978925867</v>
      </c>
      <c r="U21" s="3">
        <v>1.0848741960284647</v>
      </c>
      <c r="V21" s="17">
        <v>1.5784608978925867</v>
      </c>
    </row>
    <row r="22" spans="1:22" ht="15.6">
      <c r="A22" s="27">
        <v>43040</v>
      </c>
      <c r="B22" s="28">
        <v>137.29435699999999</v>
      </c>
      <c r="C22" s="30">
        <f t="shared" si="0"/>
        <v>-4.1223709505401214</v>
      </c>
      <c r="D22" s="26"/>
      <c r="E22" s="27">
        <v>43040</v>
      </c>
      <c r="F22" s="28">
        <v>575.79998799999998</v>
      </c>
      <c r="G22" s="30">
        <f t="shared" si="1"/>
        <v>-3.6424681633869813</v>
      </c>
    </row>
    <row r="23" spans="1:22" ht="15.6">
      <c r="A23" s="27">
        <v>43070</v>
      </c>
      <c r="B23" s="28">
        <v>131.688751</v>
      </c>
      <c r="C23" s="30">
        <f t="shared" si="0"/>
        <v>-4.1686020865824647</v>
      </c>
      <c r="D23" s="26"/>
      <c r="E23" s="27">
        <v>43070</v>
      </c>
      <c r="F23" s="28">
        <v>568.79998799999998</v>
      </c>
      <c r="G23" s="30">
        <f t="shared" si="1"/>
        <v>-1.2231499945521134</v>
      </c>
    </row>
    <row r="24" spans="1:22" ht="15.6">
      <c r="A24" s="27">
        <v>43101</v>
      </c>
      <c r="B24" s="28">
        <v>138.717331</v>
      </c>
      <c r="C24" s="30">
        <f t="shared" si="0"/>
        <v>5.1997081369077245</v>
      </c>
      <c r="D24" s="26"/>
      <c r="E24" s="27">
        <v>43101</v>
      </c>
      <c r="F24" s="28">
        <v>578.29998799999998</v>
      </c>
      <c r="G24" s="30">
        <f t="shared" si="1"/>
        <v>1.6563887021712402</v>
      </c>
    </row>
    <row r="25" spans="1:22" ht="15.6">
      <c r="A25" s="27">
        <v>43132</v>
      </c>
      <c r="B25" s="28">
        <v>135.35394299999999</v>
      </c>
      <c r="C25" s="30">
        <f t="shared" si="0"/>
        <v>-2.4545125134762911</v>
      </c>
      <c r="D25" s="26"/>
      <c r="E25" s="27">
        <v>43132</v>
      </c>
      <c r="F25" s="28">
        <v>573.86999500000002</v>
      </c>
      <c r="G25" s="30">
        <f t="shared" si="1"/>
        <v>-0.76898632937995937</v>
      </c>
    </row>
    <row r="26" spans="1:22" ht="15.6">
      <c r="A26" s="27">
        <v>43160</v>
      </c>
      <c r="B26" s="28">
        <v>131.300659</v>
      </c>
      <c r="C26" s="30">
        <f t="shared" si="0"/>
        <v>-3.04033471797747</v>
      </c>
      <c r="D26" s="26"/>
      <c r="E26" s="27">
        <v>43160</v>
      </c>
      <c r="F26" s="28">
        <v>559.669983</v>
      </c>
      <c r="G26" s="30">
        <f t="shared" si="1"/>
        <v>-2.5055587177098912</v>
      </c>
    </row>
    <row r="27" spans="1:22" ht="15.6">
      <c r="A27" s="27">
        <v>43191</v>
      </c>
      <c r="B27" s="28">
        <v>128.670334</v>
      </c>
      <c r="C27" s="30">
        <f t="shared" si="0"/>
        <v>-2.023621735531711</v>
      </c>
      <c r="D27" s="26"/>
      <c r="E27" s="27">
        <v>43191</v>
      </c>
      <c r="F27" s="28">
        <v>577.45001200000002</v>
      </c>
      <c r="G27" s="30">
        <f t="shared" si="1"/>
        <v>3.1274585399318093</v>
      </c>
    </row>
    <row r="28" spans="1:22" ht="15.6">
      <c r="A28" s="27">
        <v>43221</v>
      </c>
      <c r="B28" s="28">
        <v>137.82965100000001</v>
      </c>
      <c r="C28" s="30">
        <f t="shared" si="0"/>
        <v>6.8764926617171538</v>
      </c>
      <c r="D28" s="26"/>
      <c r="E28" s="27">
        <v>43221</v>
      </c>
      <c r="F28" s="28">
        <v>572.69000200000005</v>
      </c>
      <c r="G28" s="30">
        <f t="shared" si="1"/>
        <v>-0.82773177514050034</v>
      </c>
      <c r="K28" s="6"/>
    </row>
    <row r="29" spans="1:22" ht="15.6">
      <c r="A29" s="27">
        <v>43252</v>
      </c>
      <c r="B29" s="28">
        <v>127.09084300000001</v>
      </c>
      <c r="C29" s="30">
        <f t="shared" si="0"/>
        <v>-8.1116379631737434</v>
      </c>
      <c r="D29" s="26"/>
      <c r="E29" s="27">
        <v>43252</v>
      </c>
      <c r="F29" s="28">
        <v>573.96997099999999</v>
      </c>
      <c r="G29" s="30">
        <f t="shared" si="1"/>
        <v>0.2232518029350157</v>
      </c>
    </row>
    <row r="30" spans="1:22" ht="15.6">
      <c r="A30" s="27">
        <v>43282</v>
      </c>
      <c r="B30" s="28">
        <v>136.809021</v>
      </c>
      <c r="C30" s="30">
        <f t="shared" si="0"/>
        <v>7.3683816030125833</v>
      </c>
      <c r="D30" s="26"/>
      <c r="E30" s="27">
        <v>43282</v>
      </c>
      <c r="F30" s="28">
        <v>597.46997099999999</v>
      </c>
      <c r="G30" s="30">
        <f t="shared" si="1"/>
        <v>4.0126945182056089</v>
      </c>
    </row>
    <row r="31" spans="1:22" ht="15.6">
      <c r="A31" s="27">
        <v>43313</v>
      </c>
      <c r="B31" s="28">
        <v>139.78218100000001</v>
      </c>
      <c r="C31" s="30">
        <f t="shared" si="0"/>
        <v>2.1499415021063708</v>
      </c>
      <c r="D31" s="26"/>
      <c r="E31" s="27">
        <v>43313</v>
      </c>
      <c r="F31" s="28">
        <v>613.03002900000001</v>
      </c>
      <c r="G31" s="30">
        <f t="shared" si="1"/>
        <v>2.5709896883701679</v>
      </c>
    </row>
    <row r="32" spans="1:22" ht="15.6">
      <c r="A32" s="27">
        <v>43344</v>
      </c>
      <c r="B32" s="28">
        <v>139.42716999999999</v>
      </c>
      <c r="C32" s="30">
        <f t="shared" si="0"/>
        <v>-0.25429749400700219</v>
      </c>
      <c r="D32" s="26"/>
      <c r="E32" s="27">
        <v>43344</v>
      </c>
      <c r="F32" s="28">
        <v>612.919983</v>
      </c>
      <c r="G32" s="30">
        <f t="shared" si="1"/>
        <v>-1.7952771192696424E-2</v>
      </c>
    </row>
    <row r="33" spans="1:7" ht="15.6">
      <c r="A33" s="27">
        <v>43374</v>
      </c>
      <c r="B33" s="28">
        <v>121.410805</v>
      </c>
      <c r="C33" s="30">
        <f t="shared" si="0"/>
        <v>-13.836250811802451</v>
      </c>
      <c r="D33" s="26"/>
      <c r="E33" s="27">
        <v>43374</v>
      </c>
      <c r="F33" s="28">
        <v>568.42999299999997</v>
      </c>
      <c r="G33" s="30">
        <f t="shared" si="1"/>
        <v>-7.5356231725785969</v>
      </c>
    </row>
    <row r="34" spans="1:7" ht="15.6">
      <c r="A34" s="27">
        <v>43405</v>
      </c>
      <c r="B34" s="28">
        <v>112.358238</v>
      </c>
      <c r="C34" s="30">
        <f t="shared" si="0"/>
        <v>-7.7487557583922433</v>
      </c>
      <c r="D34" s="26"/>
      <c r="E34" s="27">
        <v>43405</v>
      </c>
      <c r="F34" s="28">
        <v>558.5</v>
      </c>
      <c r="G34" s="30">
        <f t="shared" si="1"/>
        <v>-1.7623543738850684</v>
      </c>
    </row>
    <row r="35" spans="1:7" ht="15.6">
      <c r="A35" s="27">
        <v>43435</v>
      </c>
      <c r="B35" s="28">
        <v>102.90630299999999</v>
      </c>
      <c r="C35" s="30">
        <f t="shared" si="0"/>
        <v>-8.7873425767419224</v>
      </c>
      <c r="D35" s="26"/>
      <c r="E35" s="27">
        <v>43435</v>
      </c>
      <c r="F35" s="28">
        <v>525.15997300000004</v>
      </c>
      <c r="G35" s="30">
        <f t="shared" si="1"/>
        <v>-6.1551691856249784</v>
      </c>
    </row>
    <row r="36" spans="1:7" ht="15.6">
      <c r="A36" s="27">
        <v>43466</v>
      </c>
      <c r="B36" s="28">
        <v>115.420143</v>
      </c>
      <c r="C36" s="30">
        <f t="shared" si="0"/>
        <v>11.475999362704966</v>
      </c>
      <c r="D36" s="26"/>
      <c r="E36" s="27">
        <v>43466</v>
      </c>
      <c r="F36" s="28">
        <v>565.26000999999997</v>
      </c>
      <c r="G36" s="30">
        <f t="shared" si="1"/>
        <v>7.3582893326599663</v>
      </c>
    </row>
    <row r="37" spans="1:7" ht="15.6">
      <c r="A37" s="27">
        <v>43497</v>
      </c>
      <c r="B37" s="28">
        <v>120.70079</v>
      </c>
      <c r="C37" s="30">
        <f t="shared" si="0"/>
        <v>4.4735784999898529</v>
      </c>
      <c r="D37" s="26"/>
      <c r="E37" s="27">
        <v>43497</v>
      </c>
      <c r="F37" s="28">
        <v>587.32000700000003</v>
      </c>
      <c r="G37" s="30">
        <f t="shared" si="1"/>
        <v>3.8284008033676855</v>
      </c>
    </row>
    <row r="38" spans="1:7" ht="15.6">
      <c r="A38" s="27">
        <v>43525</v>
      </c>
      <c r="B38" s="28">
        <v>127.80083500000001</v>
      </c>
      <c r="C38" s="30">
        <f t="shared" si="0"/>
        <v>5.7158402333073761</v>
      </c>
      <c r="D38" s="26"/>
      <c r="E38" s="27">
        <v>43525</v>
      </c>
      <c r="F38" s="28">
        <v>586.63000499999998</v>
      </c>
      <c r="G38" s="30">
        <f t="shared" si="1"/>
        <v>-0.11755220791407482</v>
      </c>
    </row>
    <row r="39" spans="1:7" ht="15.6">
      <c r="A39" s="27">
        <v>43556</v>
      </c>
      <c r="B39" s="28">
        <v>134.90089399999999</v>
      </c>
      <c r="C39" s="30">
        <f t="shared" si="0"/>
        <v>5.4067314754546478</v>
      </c>
      <c r="D39" s="26"/>
      <c r="E39" s="27">
        <v>43556</v>
      </c>
      <c r="F39" s="28">
        <v>622.10998500000005</v>
      </c>
      <c r="G39" s="30">
        <f t="shared" si="1"/>
        <v>5.8722595932225614</v>
      </c>
    </row>
    <row r="40" spans="1:7" ht="15.6">
      <c r="A40" s="27">
        <v>43586</v>
      </c>
      <c r="B40" s="28">
        <v>121.7873</v>
      </c>
      <c r="C40" s="30">
        <f t="shared" si="0"/>
        <v>-10.226430977750764</v>
      </c>
      <c r="D40" s="26"/>
      <c r="E40" s="27">
        <v>43586</v>
      </c>
      <c r="F40" s="28">
        <v>575.53997800000002</v>
      </c>
      <c r="G40" s="30">
        <f t="shared" si="1"/>
        <v>-7.780820956629336</v>
      </c>
    </row>
    <row r="41" spans="1:7" ht="15.6">
      <c r="A41" s="27">
        <v>43617</v>
      </c>
      <c r="B41" s="28">
        <v>135.181625</v>
      </c>
      <c r="C41" s="30">
        <f t="shared" si="0"/>
        <v>10.434316406352993</v>
      </c>
      <c r="D41" s="26"/>
      <c r="E41" s="27">
        <v>43617</v>
      </c>
      <c r="F41" s="28">
        <v>613.71997099999999</v>
      </c>
      <c r="G41" s="30">
        <f t="shared" si="1"/>
        <v>6.4230058524111291</v>
      </c>
    </row>
    <row r="42" spans="1:7" ht="15.6">
      <c r="A42" s="27">
        <v>43647</v>
      </c>
      <c r="B42" s="28">
        <v>132.337616</v>
      </c>
      <c r="C42" s="30">
        <f t="shared" si="0"/>
        <v>-2.1262890393159135</v>
      </c>
      <c r="D42" s="26"/>
      <c r="E42" s="27">
        <v>43647</v>
      </c>
      <c r="F42" s="28">
        <v>615.13000499999998</v>
      </c>
      <c r="G42" s="30">
        <f t="shared" si="1"/>
        <v>0.22948848864658794</v>
      </c>
    </row>
    <row r="43" spans="1:7" ht="15.6">
      <c r="A43" s="27">
        <v>43678</v>
      </c>
      <c r="B43" s="28">
        <v>124.310196</v>
      </c>
      <c r="C43" s="30">
        <f t="shared" si="0"/>
        <v>-6.2576331710038247</v>
      </c>
      <c r="D43" s="26"/>
      <c r="E43" s="27">
        <v>43678</v>
      </c>
      <c r="F43" s="28">
        <v>606.59002699999996</v>
      </c>
      <c r="G43" s="30">
        <f t="shared" si="1"/>
        <v>-1.3980481408994252</v>
      </c>
    </row>
    <row r="44" spans="1:7" ht="15.6">
      <c r="A44" s="27">
        <v>43709</v>
      </c>
      <c r="B44" s="28">
        <v>126.833107</v>
      </c>
      <c r="C44" s="30">
        <f t="shared" si="0"/>
        <v>2.009208163216794</v>
      </c>
      <c r="D44" s="26"/>
      <c r="E44" s="27">
        <v>43709</v>
      </c>
      <c r="F44" s="28">
        <v>624.14001499999995</v>
      </c>
      <c r="G44" s="30">
        <f t="shared" si="1"/>
        <v>2.8521571910488386</v>
      </c>
    </row>
    <row r="45" spans="1:7" ht="15.6">
      <c r="A45" s="27">
        <v>43739</v>
      </c>
      <c r="B45" s="28">
        <v>132.47522000000001</v>
      </c>
      <c r="C45" s="30">
        <f t="shared" si="0"/>
        <v>4.3523504930191406</v>
      </c>
      <c r="D45" s="26"/>
      <c r="E45" s="27">
        <v>43739</v>
      </c>
      <c r="F45" s="28">
        <v>647.48999000000003</v>
      </c>
      <c r="G45" s="30">
        <f t="shared" si="1"/>
        <v>3.6728607782589786</v>
      </c>
    </row>
    <row r="46" spans="1:7" ht="15.6">
      <c r="A46" s="27">
        <v>43770</v>
      </c>
      <c r="B46" s="28">
        <v>135.82380699999999</v>
      </c>
      <c r="C46" s="30">
        <f t="shared" si="0"/>
        <v>2.4962899969927137</v>
      </c>
      <c r="D46" s="26"/>
      <c r="E46" s="27">
        <v>43770</v>
      </c>
      <c r="F46" s="28">
        <v>657.40997300000004</v>
      </c>
      <c r="G46" s="30">
        <f t="shared" si="1"/>
        <v>1.5204497488432231</v>
      </c>
    </row>
    <row r="47" spans="1:7" ht="15.6">
      <c r="A47" s="27">
        <v>43800</v>
      </c>
      <c r="B47" s="28">
        <v>143.942947</v>
      </c>
      <c r="C47" s="30">
        <f t="shared" si="0"/>
        <v>5.8058510640533596</v>
      </c>
      <c r="D47" s="26"/>
      <c r="E47" s="27">
        <v>43800</v>
      </c>
      <c r="F47" s="28">
        <v>680.80999799999995</v>
      </c>
      <c r="G47" s="30">
        <f t="shared" si="1"/>
        <v>3.4975431332088842</v>
      </c>
    </row>
    <row r="48" spans="1:7" ht="15.6">
      <c r="A48" s="27">
        <v>43831</v>
      </c>
      <c r="B48" s="28">
        <v>151.649261</v>
      </c>
      <c r="C48" s="30">
        <f t="shared" si="0"/>
        <v>5.2153341381138754</v>
      </c>
      <c r="D48" s="26"/>
      <c r="E48" s="27">
        <v>43831</v>
      </c>
      <c r="F48" s="28">
        <v>689.05999799999995</v>
      </c>
      <c r="G48" s="30">
        <f t="shared" si="1"/>
        <v>1.2045084233009287</v>
      </c>
    </row>
    <row r="49" spans="1:7" ht="15.6">
      <c r="A49" s="27">
        <v>43862</v>
      </c>
      <c r="B49" s="28">
        <v>136.51187100000001</v>
      </c>
      <c r="C49" s="30">
        <f t="shared" si="0"/>
        <v>-10.515878318317428</v>
      </c>
      <c r="D49" s="26"/>
      <c r="E49" s="27">
        <v>43862</v>
      </c>
      <c r="F49" s="28">
        <v>640.580017</v>
      </c>
      <c r="G49" s="30">
        <f t="shared" si="1"/>
        <v>-7.2954304552700435</v>
      </c>
    </row>
    <row r="50" spans="1:7" ht="15.6">
      <c r="A50" s="27">
        <v>43891</v>
      </c>
      <c r="B50" s="28">
        <v>109.631508</v>
      </c>
      <c r="C50" s="30">
        <f t="shared" si="0"/>
        <v>-21.92867629257892</v>
      </c>
      <c r="D50" s="26"/>
      <c r="E50" s="27">
        <v>43891</v>
      </c>
      <c r="F50" s="28">
        <v>555.59997599999997</v>
      </c>
      <c r="G50" s="30">
        <f t="shared" si="1"/>
        <v>-14.232547481192126</v>
      </c>
    </row>
    <row r="51" spans="1:7" ht="15.6">
      <c r="A51" s="27">
        <v>43922</v>
      </c>
      <c r="B51" s="28">
        <v>115.732338</v>
      </c>
      <c r="C51" s="30">
        <f t="shared" si="0"/>
        <v>5.4155278899909423</v>
      </c>
      <c r="D51" s="26"/>
      <c r="E51" s="27">
        <v>43922</v>
      </c>
      <c r="F51" s="28">
        <v>601.85998500000005</v>
      </c>
      <c r="G51" s="30">
        <f t="shared" si="1"/>
        <v>7.9976267517065684</v>
      </c>
    </row>
    <row r="52" spans="1:7" ht="15.6">
      <c r="A52" s="27">
        <v>43952</v>
      </c>
      <c r="B52" s="28">
        <v>127.82107499999999</v>
      </c>
      <c r="C52" s="30">
        <f t="shared" si="0"/>
        <v>9.9351340600515528</v>
      </c>
      <c r="D52" s="26"/>
      <c r="E52" s="27">
        <v>43952</v>
      </c>
      <c r="F52" s="28">
        <v>632.919983</v>
      </c>
      <c r="G52" s="30">
        <f t="shared" si="1"/>
        <v>5.0319169790438263</v>
      </c>
    </row>
    <row r="53" spans="1:7" ht="15.6">
      <c r="A53" s="27">
        <v>43983</v>
      </c>
      <c r="B53" s="28">
        <v>139.95567299999999</v>
      </c>
      <c r="C53" s="30">
        <f t="shared" si="0"/>
        <v>9.0694316594381501</v>
      </c>
      <c r="D53" s="26"/>
      <c r="E53" s="27">
        <v>43983</v>
      </c>
      <c r="F53" s="28">
        <v>646.580017</v>
      </c>
      <c r="G53" s="30">
        <f t="shared" si="1"/>
        <v>2.1352955090177499</v>
      </c>
    </row>
    <row r="54" spans="1:7" ht="15.6">
      <c r="A54" s="27">
        <v>44013</v>
      </c>
      <c r="B54" s="28">
        <v>144.75196800000001</v>
      </c>
      <c r="C54" s="30">
        <f t="shared" si="0"/>
        <v>3.369596117001874</v>
      </c>
      <c r="D54" s="26"/>
      <c r="E54" s="27">
        <v>44013</v>
      </c>
      <c r="F54" s="28">
        <v>673.57000700000003</v>
      </c>
      <c r="G54" s="30">
        <f t="shared" si="1"/>
        <v>4.0894975430283269</v>
      </c>
    </row>
    <row r="55" spans="1:7" ht="15.6">
      <c r="A55" s="27">
        <v>44044</v>
      </c>
      <c r="B55" s="28">
        <v>158.56527700000001</v>
      </c>
      <c r="C55" s="30">
        <f t="shared" si="0"/>
        <v>9.1144638589273903</v>
      </c>
      <c r="D55" s="26"/>
      <c r="E55" s="27">
        <v>44044</v>
      </c>
      <c r="F55" s="28">
        <v>698.46997099999999</v>
      </c>
      <c r="G55" s="30">
        <f t="shared" si="1"/>
        <v>3.6300251566936899</v>
      </c>
    </row>
    <row r="56" spans="1:7" ht="15.6">
      <c r="A56" s="27">
        <v>44075</v>
      </c>
      <c r="B56" s="28">
        <v>165.999527</v>
      </c>
      <c r="C56" s="30">
        <f t="shared" si="0"/>
        <v>4.5818588150015298</v>
      </c>
      <c r="D56" s="26"/>
      <c r="E56" s="27">
        <v>44075</v>
      </c>
      <c r="F56" s="28">
        <v>728.70001200000002</v>
      </c>
      <c r="G56" s="30">
        <f t="shared" si="1"/>
        <v>4.236995406537357</v>
      </c>
    </row>
    <row r="57" spans="1:7" ht="15.6">
      <c r="A57" s="27">
        <v>44105</v>
      </c>
      <c r="B57" s="28">
        <v>166.09544399999999</v>
      </c>
      <c r="C57" s="30">
        <f t="shared" si="0"/>
        <v>5.7764802868459558E-2</v>
      </c>
      <c r="D57" s="26"/>
      <c r="E57" s="27">
        <v>44105</v>
      </c>
      <c r="F57" s="28">
        <v>683.51000999999997</v>
      </c>
      <c r="G57" s="30">
        <f t="shared" si="1"/>
        <v>-6.4020839878668703</v>
      </c>
    </row>
    <row r="58" spans="1:7" ht="15.6">
      <c r="A58" s="27">
        <v>44136</v>
      </c>
      <c r="B58" s="28">
        <v>186.86338799999999</v>
      </c>
      <c r="C58" s="30">
        <f t="shared" si="0"/>
        <v>11.781521743809812</v>
      </c>
      <c r="D58" s="26"/>
      <c r="E58" s="27">
        <v>44136</v>
      </c>
      <c r="F58" s="28">
        <v>759.73999000000003</v>
      </c>
      <c r="G58" s="30">
        <f t="shared" si="1"/>
        <v>10.573495505821613</v>
      </c>
    </row>
    <row r="59" spans="1:7" ht="15.6">
      <c r="A59" s="27">
        <v>44166</v>
      </c>
      <c r="B59" s="28">
        <v>185.90412900000001</v>
      </c>
      <c r="C59" s="30">
        <f t="shared" si="0"/>
        <v>-0.51466990748782093</v>
      </c>
      <c r="D59" s="26"/>
      <c r="E59" s="27">
        <v>44166</v>
      </c>
      <c r="F59" s="28">
        <v>768.38000499999998</v>
      </c>
      <c r="G59" s="30">
        <f t="shared" si="1"/>
        <v>1.1308152629036128</v>
      </c>
    </row>
    <row r="60" spans="1:7" ht="15.6">
      <c r="A60" s="27">
        <v>44197</v>
      </c>
      <c r="B60" s="28">
        <v>198.374481</v>
      </c>
      <c r="C60" s="30">
        <f t="shared" si="0"/>
        <v>6.4925457239264155</v>
      </c>
      <c r="D60" s="26"/>
      <c r="E60" s="27">
        <v>44197</v>
      </c>
      <c r="F60" s="28">
        <v>787.86999500000002</v>
      </c>
      <c r="G60" s="30">
        <f t="shared" si="1"/>
        <v>2.504868633005358</v>
      </c>
    </row>
    <row r="61" spans="1:7" ht="15.6">
      <c r="A61" s="27">
        <v>44228</v>
      </c>
      <c r="B61" s="28">
        <v>207.487427</v>
      </c>
      <c r="C61" s="30">
        <f t="shared" si="0"/>
        <v>4.491418247779067</v>
      </c>
      <c r="D61" s="26"/>
      <c r="E61" s="27">
        <v>44228</v>
      </c>
      <c r="F61" s="28">
        <v>810.78002900000001</v>
      </c>
      <c r="G61" s="30">
        <f t="shared" si="1"/>
        <v>2.8663687763519174</v>
      </c>
    </row>
    <row r="62" spans="1:7" ht="15.6">
      <c r="A62" s="27">
        <v>44256</v>
      </c>
      <c r="B62" s="28">
        <v>211.89999399999999</v>
      </c>
      <c r="C62" s="30">
        <f t="shared" si="0"/>
        <v>2.1043691895157446</v>
      </c>
      <c r="D62" s="26"/>
      <c r="E62" s="27">
        <v>44256</v>
      </c>
      <c r="F62" s="28">
        <v>873.39001499999995</v>
      </c>
      <c r="G62" s="30">
        <f t="shared" si="1"/>
        <v>7.4385425606626363</v>
      </c>
    </row>
    <row r="63" spans="1:7" ht="15.6">
      <c r="A63" s="27">
        <v>44287</v>
      </c>
      <c r="B63" s="28">
        <v>207.67927599999999</v>
      </c>
      <c r="C63" s="30">
        <f t="shared" si="0"/>
        <v>-2.0119489581872907</v>
      </c>
      <c r="D63" s="26"/>
      <c r="E63" s="27">
        <v>44287</v>
      </c>
      <c r="F63" s="28">
        <v>921.13000499999998</v>
      </c>
      <c r="G63" s="30">
        <f t="shared" si="1"/>
        <v>5.3218973992776695</v>
      </c>
    </row>
    <row r="64" spans="1:7" ht="16.2" thickBot="1">
      <c r="A64" s="31">
        <v>44302</v>
      </c>
      <c r="B64" s="32">
        <v>216.5</v>
      </c>
      <c r="C64" s="33">
        <f t="shared" si="0"/>
        <v>4.1595600065407554</v>
      </c>
      <c r="D64" s="34"/>
      <c r="E64" s="31">
        <v>44302</v>
      </c>
      <c r="F64" s="32">
        <v>921.12548800000002</v>
      </c>
      <c r="G64" s="33">
        <f t="shared" si="1"/>
        <v>-4.9037715096090454E-4</v>
      </c>
    </row>
    <row r="65" spans="1:7" ht="15.6">
      <c r="A65" s="35"/>
      <c r="B65" s="35"/>
      <c r="C65" s="35"/>
      <c r="D65" s="35"/>
      <c r="E65" s="35"/>
      <c r="F65" s="35"/>
      <c r="G65" s="35"/>
    </row>
  </sheetData>
  <mergeCells count="2">
    <mergeCell ref="A2:C2"/>
    <mergeCell ref="E2:G2"/>
  </mergeCells>
  <phoneticPr fontId="3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zoomScale="83" workbookViewId="0">
      <selection activeCell="J25" sqref="J25"/>
    </sheetView>
  </sheetViews>
  <sheetFormatPr defaultRowHeight="14.4"/>
  <cols>
    <col min="1" max="1" width="35" bestFit="1" customWidth="1"/>
    <col min="2" max="2" width="20.109375" bestFit="1" customWidth="1"/>
    <col min="3" max="3" width="9.21875" bestFit="1" customWidth="1"/>
    <col min="4" max="4" width="26.77734375" bestFit="1" customWidth="1"/>
    <col min="5" max="5" width="15" bestFit="1" customWidth="1"/>
    <col min="7" max="7" width="31.44140625" bestFit="1" customWidth="1"/>
    <col min="9" max="9" width="13.5546875" customWidth="1"/>
    <col min="10" max="10" width="14" customWidth="1"/>
    <col min="11" max="11" width="24.33203125" bestFit="1" customWidth="1"/>
    <col min="12" max="12" width="30.6640625" customWidth="1"/>
    <col min="13" max="13" width="18.21875" customWidth="1"/>
  </cols>
  <sheetData>
    <row r="1" spans="1:12" ht="16.2" thickBot="1">
      <c r="A1" s="297" t="s">
        <v>95</v>
      </c>
      <c r="B1" s="298"/>
      <c r="C1" s="299"/>
      <c r="D1" s="35"/>
      <c r="E1" s="35"/>
      <c r="F1" s="25"/>
    </row>
    <row r="2" spans="1:12" ht="15.6">
      <c r="A2" s="42"/>
      <c r="B2" s="40"/>
      <c r="C2" s="46"/>
      <c r="D2" s="35"/>
      <c r="E2" s="35"/>
      <c r="F2" s="25"/>
      <c r="G2" s="301" t="s">
        <v>249</v>
      </c>
      <c r="H2" s="303"/>
      <c r="I2" s="302"/>
      <c r="K2" s="304" t="s">
        <v>251</v>
      </c>
      <c r="L2" s="305"/>
    </row>
    <row r="3" spans="1:12" ht="15.6">
      <c r="A3" s="53" t="s">
        <v>33</v>
      </c>
      <c r="B3" s="54" t="s">
        <v>32</v>
      </c>
      <c r="C3" s="55" t="s">
        <v>31</v>
      </c>
      <c r="D3" s="35"/>
      <c r="E3" s="35"/>
      <c r="F3" s="25"/>
      <c r="G3" s="275" t="s">
        <v>219</v>
      </c>
      <c r="H3" s="66" t="s">
        <v>226</v>
      </c>
      <c r="I3" s="276" t="s">
        <v>230</v>
      </c>
      <c r="K3" s="40" t="s">
        <v>252</v>
      </c>
      <c r="L3" s="40">
        <v>66391</v>
      </c>
    </row>
    <row r="4" spans="1:12" ht="15.6">
      <c r="A4" s="47">
        <v>2015</v>
      </c>
      <c r="B4" s="41">
        <v>312515</v>
      </c>
      <c r="C4" s="48"/>
      <c r="D4" s="35"/>
      <c r="E4" s="35"/>
      <c r="F4" s="25"/>
      <c r="G4" s="42" t="s">
        <v>220</v>
      </c>
      <c r="H4" s="40" t="s">
        <v>227</v>
      </c>
      <c r="I4" s="46">
        <f>(0+4.97)/2</f>
        <v>2.4849999999999999</v>
      </c>
      <c r="K4" s="40" t="s">
        <v>253</v>
      </c>
      <c r="L4" s="40">
        <v>28775</v>
      </c>
    </row>
    <row r="5" spans="1:12" ht="15.6">
      <c r="A5" s="47">
        <v>2016</v>
      </c>
      <c r="B5" s="41">
        <v>301914</v>
      </c>
      <c r="C5" s="49">
        <f>((B5-B4)/B4)</f>
        <v>-3.3921571764555299E-2</v>
      </c>
      <c r="D5" s="35"/>
      <c r="E5" s="35"/>
      <c r="F5" s="25"/>
      <c r="G5" s="42" t="s">
        <v>221</v>
      </c>
      <c r="H5" s="40" t="s">
        <v>228</v>
      </c>
      <c r="I5" s="46">
        <f>(0.4+2.31)/2</f>
        <v>1.355</v>
      </c>
      <c r="K5" s="40" t="s">
        <v>254</v>
      </c>
      <c r="L5" s="40">
        <v>31424</v>
      </c>
    </row>
    <row r="6" spans="1:12" ht="15.6">
      <c r="A6" s="47">
        <v>2017</v>
      </c>
      <c r="B6" s="41">
        <v>334748</v>
      </c>
      <c r="C6" s="49">
        <f t="shared" ref="C6:C9" si="0">((B6-B5)/B5)</f>
        <v>0.10875282365176839</v>
      </c>
      <c r="D6" s="35"/>
      <c r="E6" s="35"/>
      <c r="F6" s="25"/>
      <c r="G6" s="42" t="s">
        <v>222</v>
      </c>
      <c r="H6" s="40" t="s">
        <v>229</v>
      </c>
      <c r="I6" s="46">
        <f>(1.21+2.28)/2</f>
        <v>1.7449999999999999</v>
      </c>
      <c r="K6" s="40" t="s">
        <v>41</v>
      </c>
      <c r="L6" s="40">
        <v>30904</v>
      </c>
    </row>
    <row r="7" spans="1:12" ht="15.6">
      <c r="A7" s="47">
        <v>2018</v>
      </c>
      <c r="B7" s="41">
        <v>390834</v>
      </c>
      <c r="C7" s="49">
        <f t="shared" si="0"/>
        <v>0.16754693082557626</v>
      </c>
      <c r="D7" s="35"/>
      <c r="E7" s="35"/>
      <c r="F7" s="25"/>
      <c r="G7" s="42" t="s">
        <v>223</v>
      </c>
      <c r="H7" s="40">
        <v>2.31</v>
      </c>
      <c r="I7" s="46">
        <v>2.31</v>
      </c>
      <c r="K7" s="40" t="s">
        <v>255</v>
      </c>
      <c r="L7" s="40">
        <v>27354</v>
      </c>
    </row>
    <row r="8" spans="1:12" ht="15.6">
      <c r="A8" s="47">
        <v>2019</v>
      </c>
      <c r="B8" s="41">
        <v>431980</v>
      </c>
      <c r="C8" s="49">
        <f t="shared" si="0"/>
        <v>0.10527743236258873</v>
      </c>
      <c r="D8" s="35"/>
      <c r="E8" s="35"/>
      <c r="F8" s="25"/>
      <c r="G8" s="42" t="s">
        <v>224</v>
      </c>
      <c r="H8" s="40">
        <v>2.96</v>
      </c>
      <c r="I8" s="46">
        <v>2.96</v>
      </c>
      <c r="K8" s="40" t="s">
        <v>180</v>
      </c>
      <c r="L8" s="40">
        <v>59611</v>
      </c>
    </row>
    <row r="9" spans="1:12" ht="16.2" thickBot="1">
      <c r="A9" s="50">
        <v>2020</v>
      </c>
      <c r="B9" s="51">
        <v>338446</v>
      </c>
      <c r="C9" s="52">
        <f t="shared" si="0"/>
        <v>-0.21652391314412706</v>
      </c>
      <c r="D9" s="35"/>
      <c r="E9" s="35"/>
      <c r="F9" s="25"/>
      <c r="G9" s="42" t="s">
        <v>225</v>
      </c>
      <c r="H9" s="40">
        <v>0.7</v>
      </c>
      <c r="I9" s="46">
        <v>0.7</v>
      </c>
      <c r="K9" s="40" t="s">
        <v>174</v>
      </c>
      <c r="L9" s="40">
        <v>56569</v>
      </c>
    </row>
    <row r="10" spans="1:12" ht="15.6">
      <c r="A10" s="35"/>
      <c r="B10" s="35"/>
      <c r="C10" s="35"/>
      <c r="D10" s="35"/>
      <c r="E10" s="35"/>
      <c r="F10" s="25"/>
      <c r="G10" s="275" t="s">
        <v>231</v>
      </c>
      <c r="H10" s="60"/>
      <c r="I10" s="277"/>
      <c r="K10" s="40" t="s">
        <v>256</v>
      </c>
      <c r="L10" s="40">
        <v>11286</v>
      </c>
    </row>
    <row r="11" spans="1:12" ht="15.6">
      <c r="A11" s="35"/>
      <c r="B11" s="36" t="s">
        <v>30</v>
      </c>
      <c r="C11" s="37">
        <f>AVERAGE(C5:C9)</f>
        <v>2.6226340386250203E-2</v>
      </c>
      <c r="D11" s="35"/>
      <c r="E11" s="35"/>
      <c r="F11" s="25"/>
      <c r="G11" s="42" t="s">
        <v>232</v>
      </c>
      <c r="H11" s="40" t="s">
        <v>240</v>
      </c>
      <c r="I11" s="46">
        <f>(0.49+3.03)/2</f>
        <v>1.7599999999999998</v>
      </c>
      <c r="K11" s="343" t="s">
        <v>15</v>
      </c>
      <c r="L11" s="343">
        <f>SUM(L3:L10)</f>
        <v>312314</v>
      </c>
    </row>
    <row r="12" spans="1:12" ht="15.6">
      <c r="A12" s="35"/>
      <c r="B12" s="35"/>
      <c r="C12" s="35"/>
      <c r="D12" s="35"/>
      <c r="E12" s="35"/>
      <c r="F12" s="25"/>
      <c r="G12" s="42" t="s">
        <v>233</v>
      </c>
      <c r="H12" s="40" t="s">
        <v>241</v>
      </c>
      <c r="I12" s="46">
        <f>(0+2.34)/2</f>
        <v>1.17</v>
      </c>
    </row>
    <row r="13" spans="1:12" ht="15.6">
      <c r="A13" s="35"/>
      <c r="B13" s="35"/>
      <c r="C13" s="35"/>
      <c r="D13" s="35"/>
      <c r="E13" s="35"/>
      <c r="F13" s="25"/>
      <c r="G13" s="42" t="s">
        <v>234</v>
      </c>
      <c r="H13" s="40">
        <v>1.43</v>
      </c>
      <c r="I13" s="46">
        <v>1.43</v>
      </c>
    </row>
    <row r="14" spans="1:12" ht="16.2" thickBot="1">
      <c r="A14" s="35"/>
      <c r="B14" s="35"/>
      <c r="C14" s="35"/>
      <c r="D14" s="35"/>
      <c r="E14" s="35"/>
      <c r="F14" s="25"/>
      <c r="G14" s="42" t="s">
        <v>235</v>
      </c>
      <c r="H14" s="40" t="s">
        <v>242</v>
      </c>
      <c r="I14" s="46">
        <f>(5.24+5.91)/2</f>
        <v>5.5750000000000002</v>
      </c>
    </row>
    <row r="15" spans="1:12" ht="15.6">
      <c r="A15" s="301" t="s">
        <v>96</v>
      </c>
      <c r="B15" s="302"/>
      <c r="C15" s="35"/>
      <c r="D15" s="35"/>
      <c r="E15" s="35"/>
      <c r="F15" s="25"/>
      <c r="G15" s="42" t="s">
        <v>236</v>
      </c>
      <c r="H15" s="40" t="s">
        <v>243</v>
      </c>
      <c r="I15" s="46">
        <f>(0.37+1.24)/2</f>
        <v>0.80499999999999994</v>
      </c>
    </row>
    <row r="16" spans="1:12" ht="15.6">
      <c r="A16" s="42" t="s">
        <v>34</v>
      </c>
      <c r="B16" s="43">
        <v>0</v>
      </c>
      <c r="C16" s="35"/>
      <c r="D16" s="35"/>
      <c r="E16" s="35"/>
      <c r="F16" s="25"/>
      <c r="G16" s="42" t="s">
        <v>237</v>
      </c>
      <c r="H16" s="40" t="s">
        <v>244</v>
      </c>
      <c r="I16" s="46">
        <f>(3+12.3)/2</f>
        <v>7.65</v>
      </c>
      <c r="J16" s="22"/>
    </row>
    <row r="17" spans="1:15" ht="15.6">
      <c r="A17" s="42" t="s">
        <v>35</v>
      </c>
      <c r="B17" s="44">
        <v>1.3316675469605257</v>
      </c>
      <c r="C17" s="35"/>
      <c r="D17" s="35"/>
      <c r="E17" s="35"/>
      <c r="F17" s="25"/>
      <c r="G17" s="42" t="s">
        <v>238</v>
      </c>
      <c r="H17" s="40" t="s">
        <v>245</v>
      </c>
      <c r="I17" s="46">
        <f>(0.92+1.52)/2</f>
        <v>1.22</v>
      </c>
    </row>
    <row r="18" spans="1:15" ht="15.6">
      <c r="A18" s="42" t="s">
        <v>36</v>
      </c>
      <c r="B18" s="45">
        <v>4.7199999999999999E-2</v>
      </c>
      <c r="C18" s="35"/>
      <c r="D18" s="35"/>
      <c r="E18" s="35"/>
      <c r="F18" s="25"/>
      <c r="G18" s="42" t="s">
        <v>239</v>
      </c>
      <c r="H18" s="40" t="s">
        <v>246</v>
      </c>
      <c r="I18" s="274">
        <f>(2.7+4.99)/2</f>
        <v>3.8450000000000002</v>
      </c>
      <c r="J18" s="23"/>
    </row>
    <row r="19" spans="1:15" ht="16.2" thickBot="1">
      <c r="A19" s="65" t="s">
        <v>38</v>
      </c>
      <c r="B19" s="64">
        <f>B16+B17*B18</f>
        <v>6.2854708216536812E-2</v>
      </c>
      <c r="C19" s="35"/>
      <c r="D19" s="35"/>
      <c r="E19" s="35"/>
      <c r="F19" s="25"/>
      <c r="G19" s="42"/>
      <c r="H19" s="40"/>
      <c r="I19" s="46"/>
      <c r="K19" s="35"/>
      <c r="L19" s="35"/>
      <c r="M19" s="35"/>
      <c r="N19" s="35"/>
      <c r="O19" s="35"/>
    </row>
    <row r="20" spans="1:15" ht="16.2" thickBot="1">
      <c r="A20" s="35"/>
      <c r="B20" s="35"/>
      <c r="C20" s="35"/>
      <c r="D20" s="35"/>
      <c r="E20" s="35"/>
      <c r="F20" s="25"/>
      <c r="G20" s="63" t="s">
        <v>248</v>
      </c>
      <c r="H20" s="278"/>
      <c r="I20" s="279">
        <f>AVERAGE(I4,I5,I6,I7,I8,I9,I11,I12,I13,I14,I15,I16,I17,I18)</f>
        <v>2.5007142857142854</v>
      </c>
      <c r="K20" s="35"/>
      <c r="L20" s="35"/>
      <c r="M20" s="35"/>
      <c r="N20" s="35"/>
      <c r="O20" s="35"/>
    </row>
    <row r="21" spans="1:15" ht="15.6">
      <c r="A21" s="35"/>
      <c r="B21" s="35"/>
      <c r="C21" s="35"/>
      <c r="D21" s="35"/>
      <c r="E21" s="35"/>
      <c r="F21" s="25"/>
      <c r="G21" s="280"/>
      <c r="H21" s="280"/>
      <c r="I21" s="280"/>
      <c r="K21" s="35"/>
      <c r="N21" s="35"/>
      <c r="O21" s="35"/>
    </row>
    <row r="22" spans="1:15" ht="16.2" thickBot="1">
      <c r="A22" s="35"/>
      <c r="B22" s="35"/>
      <c r="C22" s="35"/>
      <c r="D22" s="35"/>
      <c r="E22" s="35"/>
      <c r="F22" s="25"/>
      <c r="K22" s="35"/>
      <c r="N22" s="35"/>
      <c r="O22" s="35"/>
    </row>
    <row r="23" spans="1:15" ht="15.6">
      <c r="A23" s="301" t="s">
        <v>97</v>
      </c>
      <c r="B23" s="302"/>
      <c r="C23" s="35"/>
      <c r="D23" s="35"/>
      <c r="E23" s="35"/>
      <c r="F23" s="38"/>
      <c r="K23" s="35"/>
      <c r="N23" s="35"/>
      <c r="O23" s="35"/>
    </row>
    <row r="24" spans="1:15" ht="15.6">
      <c r="A24" s="42" t="s">
        <v>98</v>
      </c>
      <c r="B24" s="46">
        <v>1349</v>
      </c>
      <c r="C24" s="35"/>
      <c r="D24" s="35"/>
      <c r="E24" s="35"/>
      <c r="F24" s="25"/>
      <c r="K24" s="35"/>
      <c r="N24" s="35"/>
      <c r="O24" s="35"/>
    </row>
    <row r="25" spans="1:15" ht="15.6">
      <c r="A25" s="42"/>
      <c r="B25" s="46"/>
      <c r="C25" s="35"/>
      <c r="D25" s="35"/>
      <c r="E25" s="35"/>
      <c r="F25" s="25"/>
      <c r="I25" s="19"/>
      <c r="K25" s="35"/>
      <c r="N25" s="35"/>
      <c r="O25" s="35"/>
    </row>
    <row r="26" spans="1:15" ht="15.6">
      <c r="A26" s="61" t="s">
        <v>99</v>
      </c>
      <c r="B26" s="46"/>
      <c r="C26" s="35"/>
      <c r="D26" s="35"/>
      <c r="E26" s="35"/>
      <c r="F26" s="25"/>
      <c r="G26" s="300" t="s">
        <v>89</v>
      </c>
      <c r="H26" s="300"/>
      <c r="K26" s="35"/>
      <c r="N26" s="35"/>
      <c r="O26" s="35"/>
    </row>
    <row r="27" spans="1:15" ht="15.6">
      <c r="A27" s="42" t="s">
        <v>39</v>
      </c>
      <c r="B27" s="46">
        <v>66391</v>
      </c>
      <c r="C27" s="35"/>
      <c r="D27" s="35"/>
      <c r="E27" s="35"/>
      <c r="F27" s="25"/>
      <c r="G27" s="66" t="s">
        <v>56</v>
      </c>
      <c r="H27" s="285">
        <v>5.1650000000000001E-2</v>
      </c>
      <c r="K27" s="35"/>
      <c r="N27" s="35"/>
      <c r="O27" s="35"/>
    </row>
    <row r="28" spans="1:15" ht="15.6">
      <c r="A28" s="42" t="s">
        <v>40</v>
      </c>
      <c r="B28" s="46">
        <v>28775</v>
      </c>
      <c r="C28" s="35"/>
      <c r="D28" s="35"/>
      <c r="E28" s="35"/>
      <c r="F28" s="25"/>
      <c r="G28" s="66" t="s">
        <v>90</v>
      </c>
      <c r="H28" s="286">
        <v>0</v>
      </c>
      <c r="K28" s="35"/>
      <c r="N28" s="35"/>
      <c r="O28" s="35"/>
    </row>
    <row r="29" spans="1:15" ht="15.6">
      <c r="A29" s="42" t="s">
        <v>41</v>
      </c>
      <c r="B29" s="46">
        <v>30904</v>
      </c>
      <c r="C29" s="35"/>
      <c r="D29" s="35"/>
      <c r="E29" s="35"/>
      <c r="F29" s="25"/>
      <c r="G29" s="66" t="s">
        <v>43</v>
      </c>
      <c r="H29" s="286">
        <v>2.5000000000000001E-2</v>
      </c>
      <c r="K29" s="35"/>
      <c r="L29" s="35"/>
      <c r="M29" s="35"/>
      <c r="N29" s="35"/>
      <c r="O29" s="35"/>
    </row>
    <row r="30" spans="1:15" ht="15.6">
      <c r="A30" s="42" t="s">
        <v>42</v>
      </c>
      <c r="B30" s="46">
        <v>27354</v>
      </c>
      <c r="C30" s="35"/>
      <c r="D30" s="35"/>
      <c r="E30" s="35"/>
      <c r="F30" s="25"/>
      <c r="G30" s="66" t="s">
        <v>91</v>
      </c>
      <c r="H30" s="287">
        <v>1.3320000000000001</v>
      </c>
      <c r="K30" s="35"/>
      <c r="L30" s="35"/>
      <c r="M30" s="35"/>
      <c r="N30" s="35"/>
      <c r="O30" s="35"/>
    </row>
    <row r="31" spans="1:15" ht="15.6">
      <c r="A31" s="61" t="s">
        <v>100</v>
      </c>
      <c r="B31" s="62">
        <f>B27+B28+B29+B30</f>
        <v>153424</v>
      </c>
      <c r="C31" s="35"/>
      <c r="D31" s="35"/>
      <c r="E31" s="35"/>
      <c r="F31" s="25"/>
      <c r="G31" s="66" t="s">
        <v>37</v>
      </c>
      <c r="H31" s="286">
        <v>4.7199999999999999E-2</v>
      </c>
    </row>
    <row r="32" spans="1:15" ht="15.6">
      <c r="A32" s="42"/>
      <c r="B32" s="46"/>
      <c r="C32" s="35"/>
      <c r="D32" s="35"/>
      <c r="E32" s="35"/>
      <c r="F32" s="25"/>
      <c r="G32" s="66" t="s">
        <v>92</v>
      </c>
      <c r="H32" s="286">
        <v>6.2899999999999998E-2</v>
      </c>
    </row>
    <row r="33" spans="1:8" ht="16.2" thickBot="1">
      <c r="A33" s="63" t="s">
        <v>43</v>
      </c>
      <c r="B33" s="64">
        <v>2.5000000000000001E-2</v>
      </c>
      <c r="C33" s="35"/>
      <c r="D33" s="35"/>
      <c r="E33" s="35"/>
      <c r="F33" s="25"/>
      <c r="G33" s="66" t="s">
        <v>93</v>
      </c>
      <c r="H33" s="286">
        <v>2.6200000000000001E-2</v>
      </c>
    </row>
    <row r="34" spans="1:8" ht="15.6">
      <c r="A34" s="35"/>
      <c r="B34" s="35"/>
      <c r="C34" s="35"/>
      <c r="D34" s="35"/>
      <c r="E34" s="35"/>
      <c r="F34" s="25"/>
    </row>
    <row r="35" spans="1:8" ht="15.6">
      <c r="A35" s="35"/>
      <c r="B35" s="35"/>
      <c r="C35" s="35"/>
      <c r="D35" s="35"/>
      <c r="E35" s="35"/>
      <c r="F35" s="25"/>
    </row>
    <row r="36" spans="1:8" ht="15.6">
      <c r="A36" s="300" t="s">
        <v>45</v>
      </c>
      <c r="B36" s="300"/>
      <c r="C36" s="35"/>
      <c r="D36" s="35"/>
      <c r="E36" s="35"/>
      <c r="F36" s="25"/>
    </row>
    <row r="37" spans="1:8" ht="15.6">
      <c r="A37" s="40" t="s">
        <v>47</v>
      </c>
      <c r="B37" s="110">
        <v>153424000000</v>
      </c>
      <c r="C37" s="35"/>
      <c r="D37" s="35"/>
      <c r="E37" s="35"/>
      <c r="F37" s="25"/>
    </row>
    <row r="38" spans="1:8" ht="15.6">
      <c r="A38" s="40" t="s">
        <v>46</v>
      </c>
      <c r="B38" s="111">
        <f>E38*E39</f>
        <v>440242376186</v>
      </c>
      <c r="C38" s="35"/>
      <c r="D38" s="39" t="s">
        <v>48</v>
      </c>
      <c r="E38" s="57">
        <v>2033452084</v>
      </c>
      <c r="F38" s="25"/>
    </row>
    <row r="39" spans="1:8" ht="15.6">
      <c r="A39" s="40" t="s">
        <v>50</v>
      </c>
      <c r="B39" s="110">
        <f>B37+B38</f>
        <v>593666376186</v>
      </c>
      <c r="C39" s="35"/>
      <c r="D39" s="39" t="s">
        <v>49</v>
      </c>
      <c r="E39" s="36">
        <v>216.5</v>
      </c>
      <c r="F39" s="25"/>
    </row>
    <row r="40" spans="1:8" ht="15.6">
      <c r="A40" s="40"/>
      <c r="B40" s="40"/>
      <c r="C40" s="35"/>
      <c r="D40" s="58"/>
      <c r="E40" s="58"/>
      <c r="F40" s="25"/>
    </row>
    <row r="41" spans="1:8" ht="15.6">
      <c r="A41" s="112" t="s">
        <v>51</v>
      </c>
      <c r="B41" s="284">
        <f>B37/B39</f>
        <v>0.2584347137624165</v>
      </c>
      <c r="C41" s="35"/>
      <c r="D41" s="39" t="s">
        <v>53</v>
      </c>
      <c r="E41" s="59">
        <v>0.22</v>
      </c>
      <c r="F41" s="25"/>
    </row>
    <row r="42" spans="1:8" ht="15.6">
      <c r="A42" s="112" t="s">
        <v>52</v>
      </c>
      <c r="B42" s="284">
        <f>B38/B39</f>
        <v>0.74156528623758344</v>
      </c>
      <c r="C42" s="35"/>
      <c r="D42" s="35"/>
      <c r="E42" s="35"/>
      <c r="F42" s="25"/>
    </row>
    <row r="43" spans="1:8" ht="15.6">
      <c r="A43" s="35"/>
      <c r="B43" s="35"/>
      <c r="C43" s="35"/>
      <c r="D43" s="35"/>
      <c r="E43" s="35"/>
      <c r="F43" s="25"/>
    </row>
    <row r="44" spans="1:8" ht="15.6">
      <c r="A44" s="35"/>
      <c r="B44" s="35"/>
      <c r="C44" s="35"/>
      <c r="D44" s="35"/>
      <c r="E44" s="35"/>
      <c r="F44" s="25"/>
    </row>
    <row r="45" spans="1:8" ht="15.6">
      <c r="A45" s="39" t="s">
        <v>44</v>
      </c>
      <c r="B45" s="56">
        <f>(B41*B33*(1-E41))+(B42*B19)</f>
        <v>5.1650346608343028E-2</v>
      </c>
      <c r="C45" s="35"/>
      <c r="D45" s="35"/>
      <c r="E45" s="35"/>
      <c r="F45" s="25"/>
    </row>
    <row r="46" spans="1:8" ht="15.6">
      <c r="A46" s="35"/>
      <c r="B46" s="35"/>
      <c r="C46" s="35"/>
      <c r="D46" s="35"/>
      <c r="E46" s="35"/>
      <c r="F46" s="25"/>
    </row>
    <row r="47" spans="1:8" ht="15.6">
      <c r="A47" s="35"/>
      <c r="B47" s="35"/>
      <c r="C47" s="35"/>
      <c r="D47" s="35"/>
      <c r="E47" s="35"/>
      <c r="F47" s="25"/>
    </row>
    <row r="48" spans="1:8">
      <c r="A48" s="25"/>
      <c r="B48" s="25"/>
      <c r="C48" s="25"/>
      <c r="D48" s="25"/>
      <c r="E48" s="25"/>
      <c r="F48" s="25"/>
    </row>
    <row r="49" spans="1:6">
      <c r="A49" s="25"/>
      <c r="B49" s="25"/>
      <c r="C49" s="25"/>
      <c r="D49" s="25"/>
      <c r="E49" s="25"/>
      <c r="F49" s="25"/>
    </row>
    <row r="50" spans="1:6">
      <c r="A50" s="25"/>
      <c r="B50" s="25"/>
      <c r="C50" s="25"/>
      <c r="D50" s="25"/>
      <c r="E50" s="25"/>
      <c r="F50" s="25"/>
    </row>
    <row r="51" spans="1:6">
      <c r="A51" s="25"/>
      <c r="B51" s="25"/>
      <c r="C51" s="25"/>
      <c r="D51" s="25"/>
      <c r="E51" s="25"/>
      <c r="F51" s="25"/>
    </row>
    <row r="52" spans="1:6">
      <c r="A52" s="25"/>
      <c r="B52" s="25"/>
      <c r="C52" s="25"/>
      <c r="D52" s="25"/>
      <c r="E52" s="25"/>
      <c r="F52" s="25"/>
    </row>
    <row r="53" spans="1:6">
      <c r="A53" s="25"/>
      <c r="B53" s="25"/>
      <c r="C53" s="25"/>
      <c r="D53" s="25"/>
      <c r="E53" s="25"/>
      <c r="F53" s="25"/>
    </row>
    <row r="54" spans="1:6">
      <c r="A54" s="25"/>
      <c r="B54" s="25"/>
      <c r="C54" s="25"/>
      <c r="D54" s="25"/>
      <c r="E54" s="25"/>
      <c r="F54" s="25"/>
    </row>
    <row r="55" spans="1:6">
      <c r="A55" s="25"/>
      <c r="B55" s="25"/>
      <c r="C55" s="25"/>
      <c r="D55" s="25"/>
      <c r="E55" s="25"/>
      <c r="F55" s="25"/>
    </row>
    <row r="56" spans="1:6">
      <c r="A56" s="25"/>
      <c r="B56" s="25"/>
      <c r="C56" s="25"/>
      <c r="D56" s="25"/>
      <c r="E56" s="25"/>
      <c r="F56" s="25"/>
    </row>
    <row r="57" spans="1:6">
      <c r="A57" s="25"/>
      <c r="B57" s="25"/>
      <c r="C57" s="25"/>
      <c r="D57" s="25"/>
      <c r="E57" s="25"/>
      <c r="F57" s="25"/>
    </row>
    <row r="58" spans="1:6">
      <c r="A58" s="25"/>
      <c r="B58" s="25"/>
      <c r="C58" s="25"/>
      <c r="D58" s="25"/>
      <c r="E58" s="25"/>
      <c r="F58" s="25"/>
    </row>
    <row r="59" spans="1:6">
      <c r="A59" s="25"/>
      <c r="B59" s="25"/>
      <c r="C59" s="25"/>
      <c r="D59" s="25"/>
      <c r="E59" s="25"/>
      <c r="F59" s="25"/>
    </row>
  </sheetData>
  <mergeCells count="7">
    <mergeCell ref="A1:C1"/>
    <mergeCell ref="G26:H26"/>
    <mergeCell ref="A15:B15"/>
    <mergeCell ref="A23:B23"/>
    <mergeCell ref="A36:B36"/>
    <mergeCell ref="G2:I2"/>
    <mergeCell ref="K2:L2"/>
  </mergeCells>
  <phoneticPr fontId="3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E16" sqref="E16"/>
    </sheetView>
  </sheetViews>
  <sheetFormatPr defaultRowHeight="14.4"/>
  <cols>
    <col min="1" max="1" width="22" bestFit="1" customWidth="1"/>
    <col min="2" max="2" width="12.109375" bestFit="1" customWidth="1"/>
    <col min="3" max="3" width="17.33203125" bestFit="1" customWidth="1"/>
    <col min="4" max="4" width="13.44140625" customWidth="1"/>
    <col min="5" max="5" width="12.88671875" customWidth="1"/>
    <col min="6" max="6" width="12" bestFit="1" customWidth="1"/>
    <col min="7" max="7" width="9.109375" bestFit="1" customWidth="1"/>
    <col min="9" max="9" width="9.33203125" style="18" bestFit="1" customWidth="1"/>
    <col min="13" max="13" width="33" bestFit="1" customWidth="1"/>
    <col min="14" max="14" width="9.109375" bestFit="1" customWidth="1"/>
    <col min="17" max="17" width="9.109375" bestFit="1" customWidth="1"/>
  </cols>
  <sheetData>
    <row r="1" spans="1:18" ht="15.6">
      <c r="A1" s="117"/>
      <c r="B1" s="103">
        <v>2020</v>
      </c>
      <c r="C1" s="103">
        <v>2021</v>
      </c>
      <c r="D1" s="103">
        <v>2022</v>
      </c>
      <c r="E1" s="103">
        <v>2023</v>
      </c>
      <c r="F1" s="103">
        <v>2024</v>
      </c>
      <c r="G1" s="104" t="s">
        <v>54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 ht="15.6">
      <c r="A2" s="118" t="s">
        <v>55</v>
      </c>
      <c r="B2" s="69">
        <f>N7</f>
        <v>20688.22</v>
      </c>
      <c r="C2" s="70">
        <f>B2*(1+N8)</f>
        <v>21230.796299705631</v>
      </c>
      <c r="D2" s="70">
        <f>C2*(1+N8)</f>
        <v>21787.602390132852</v>
      </c>
      <c r="E2" s="70">
        <f>D2*(1+N8)</f>
        <v>22359.011466616754</v>
      </c>
      <c r="F2" s="70">
        <f>E2*(1+N8)</f>
        <v>22945.406512040314</v>
      </c>
      <c r="G2" s="84">
        <f>B2*(1+N8)/(N9-N8)</f>
        <v>835068.87601595221</v>
      </c>
      <c r="H2" s="35"/>
      <c r="I2" s="35"/>
      <c r="J2" s="35"/>
      <c r="K2" s="35"/>
      <c r="L2" s="35"/>
      <c r="M2" s="304" t="s">
        <v>57</v>
      </c>
      <c r="N2" s="305"/>
      <c r="O2" s="35"/>
      <c r="P2" s="35"/>
      <c r="Q2" s="35"/>
      <c r="R2" s="35"/>
    </row>
    <row r="3" spans="1:18" ht="15.6">
      <c r="A3" s="118" t="s">
        <v>56</v>
      </c>
      <c r="B3" s="71">
        <f>1+N9</f>
        <v>1.0516503466083431</v>
      </c>
      <c r="C3" s="71">
        <f>B3^2</f>
        <v>1.1059684515214483</v>
      </c>
      <c r="D3" s="71">
        <f>B3^3</f>
        <v>1.1630921053804235</v>
      </c>
      <c r="E3" s="71">
        <f>B3^4</f>
        <v>1.2231662157607501</v>
      </c>
      <c r="F3" s="71">
        <f>B3^5</f>
        <v>1.2863431747644083</v>
      </c>
      <c r="G3" s="84"/>
      <c r="H3" s="35"/>
      <c r="I3" s="35"/>
      <c r="J3" s="35"/>
      <c r="K3" s="35"/>
      <c r="L3" s="35"/>
      <c r="M3" s="60" t="s">
        <v>58</v>
      </c>
      <c r="N3" s="77">
        <v>30610</v>
      </c>
      <c r="O3" s="35"/>
      <c r="R3" s="35"/>
    </row>
    <row r="4" spans="1:18" ht="15.6">
      <c r="A4" s="118" t="s">
        <v>64</v>
      </c>
      <c r="B4" s="72">
        <f>B2/B3</f>
        <v>19672.146799286638</v>
      </c>
      <c r="C4" s="72">
        <f>C2/C3</f>
        <v>19196.565933231683</v>
      </c>
      <c r="D4" s="72">
        <f>D2/D3</f>
        <v>18732.482397003783</v>
      </c>
      <c r="E4" s="72">
        <f>E2/E3</f>
        <v>18279.618238728523</v>
      </c>
      <c r="F4" s="72">
        <f>F2/F3</f>
        <v>17837.702226112971</v>
      </c>
      <c r="G4" s="84"/>
      <c r="H4" s="35"/>
      <c r="I4" s="35"/>
      <c r="J4" s="35"/>
      <c r="K4" s="35"/>
      <c r="L4" s="35"/>
      <c r="M4" s="60" t="s">
        <v>59</v>
      </c>
      <c r="N4" s="66">
        <f>Workings!B24</f>
        <v>1349</v>
      </c>
      <c r="O4" s="35"/>
      <c r="P4" s="35"/>
      <c r="Q4" s="35"/>
      <c r="R4" s="35"/>
    </row>
    <row r="5" spans="1:18" ht="15.6">
      <c r="A5" s="118" t="s">
        <v>65</v>
      </c>
      <c r="B5" s="72">
        <f>SUM(B4:F4)</f>
        <v>93718.515594363605</v>
      </c>
      <c r="C5" s="74"/>
      <c r="D5" s="74"/>
      <c r="E5" s="74"/>
      <c r="F5" s="74"/>
      <c r="G5" s="84"/>
      <c r="H5" s="35"/>
      <c r="I5" s="73"/>
      <c r="J5" s="35"/>
      <c r="K5" s="35"/>
      <c r="L5" s="35"/>
      <c r="M5" s="60" t="s">
        <v>60</v>
      </c>
      <c r="N5" s="78">
        <f>N4*N10</f>
        <v>296.78000000000003</v>
      </c>
      <c r="O5" s="35"/>
      <c r="P5" s="35"/>
      <c r="Q5" s="35"/>
      <c r="R5" s="35"/>
    </row>
    <row r="6" spans="1:18" ht="15.6">
      <c r="A6" s="118" t="s">
        <v>66</v>
      </c>
      <c r="B6" s="74">
        <f>G2/F3</f>
        <v>649180.47718400939</v>
      </c>
      <c r="C6" s="74"/>
      <c r="D6" s="74"/>
      <c r="E6" s="74"/>
      <c r="F6" s="74"/>
      <c r="G6" s="84"/>
      <c r="H6" s="35"/>
      <c r="I6" s="35"/>
      <c r="J6" s="35"/>
      <c r="K6" s="35"/>
      <c r="L6" s="35"/>
      <c r="M6" s="60" t="s">
        <v>61</v>
      </c>
      <c r="N6" s="79">
        <v>10974</v>
      </c>
      <c r="O6" s="35"/>
      <c r="P6" s="35"/>
      <c r="Q6" s="35"/>
      <c r="R6" s="35"/>
    </row>
    <row r="7" spans="1:18" ht="15.6">
      <c r="A7" s="118" t="s">
        <v>67</v>
      </c>
      <c r="B7" s="72">
        <f>B5+B6</f>
        <v>742898.99277837295</v>
      </c>
      <c r="C7" s="74"/>
      <c r="D7" s="74"/>
      <c r="E7" s="74"/>
      <c r="F7" s="74"/>
      <c r="G7" s="84"/>
      <c r="H7" s="35"/>
      <c r="I7" s="73"/>
      <c r="J7" s="35"/>
      <c r="K7" s="35"/>
      <c r="L7" s="35"/>
      <c r="M7" s="60" t="s">
        <v>62</v>
      </c>
      <c r="N7" s="77">
        <f>N3+N4-N5-N6</f>
        <v>20688.22</v>
      </c>
      <c r="O7" s="35"/>
      <c r="P7" s="35"/>
      <c r="Q7" s="35"/>
      <c r="R7" s="35"/>
    </row>
    <row r="8" spans="1:18" ht="15.6">
      <c r="A8" s="118" t="s">
        <v>68</v>
      </c>
      <c r="B8" s="74">
        <f>Workings!L11</f>
        <v>312314</v>
      </c>
      <c r="C8" s="74"/>
      <c r="D8" s="74"/>
      <c r="E8" s="74"/>
      <c r="F8" s="74"/>
      <c r="G8" s="84"/>
      <c r="H8" s="35"/>
      <c r="I8" s="35"/>
      <c r="J8" s="35"/>
      <c r="K8" s="35"/>
      <c r="L8" s="35"/>
      <c r="M8" s="60" t="s">
        <v>63</v>
      </c>
      <c r="N8" s="283">
        <f>Workings!C11</f>
        <v>2.6226340386250203E-2</v>
      </c>
      <c r="O8" s="35"/>
      <c r="P8" s="35"/>
      <c r="Q8" s="35"/>
      <c r="R8" s="35"/>
    </row>
    <row r="9" spans="1:18" ht="15.6">
      <c r="A9" s="118" t="s">
        <v>69</v>
      </c>
      <c r="B9" s="72">
        <f>B7-B8</f>
        <v>430584.99277837295</v>
      </c>
      <c r="C9" s="72">
        <f>B9*1000000</f>
        <v>430584992778.37292</v>
      </c>
      <c r="D9" s="74"/>
      <c r="E9" s="74"/>
      <c r="F9" s="74"/>
      <c r="G9" s="84"/>
      <c r="H9" s="35"/>
      <c r="I9" s="73"/>
      <c r="J9" s="35"/>
      <c r="K9" s="35"/>
      <c r="L9" s="35"/>
      <c r="M9" s="60" t="s">
        <v>56</v>
      </c>
      <c r="N9" s="271">
        <f>Workings!B45</f>
        <v>5.1650346608343028E-2</v>
      </c>
      <c r="O9" s="35"/>
      <c r="P9" s="35"/>
      <c r="Q9" s="35"/>
      <c r="R9" s="35"/>
    </row>
    <row r="10" spans="1:18" ht="16.2" thickBot="1">
      <c r="A10" s="119" t="s">
        <v>70</v>
      </c>
      <c r="B10" s="87"/>
      <c r="C10" s="120">
        <f>Workings!E38</f>
        <v>2033452084</v>
      </c>
      <c r="D10" s="87"/>
      <c r="E10" s="87"/>
      <c r="F10" s="87"/>
      <c r="G10" s="91"/>
      <c r="H10" s="35"/>
      <c r="I10" s="35"/>
      <c r="J10" s="35"/>
      <c r="K10" s="35"/>
      <c r="L10" s="35"/>
      <c r="M10" s="75" t="s">
        <v>53</v>
      </c>
      <c r="N10" s="76">
        <v>0.22</v>
      </c>
      <c r="O10" s="35"/>
      <c r="P10" s="35"/>
      <c r="Q10" s="35"/>
      <c r="R10" s="35"/>
    </row>
    <row r="11" spans="1:18" ht="15.6">
      <c r="A11" s="114"/>
      <c r="B11" s="26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1:18" ht="15.6">
      <c r="A12" s="115" t="s">
        <v>71</v>
      </c>
      <c r="B12" s="113">
        <f>C9/C10</f>
        <v>211.75074454243835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  <row r="13" spans="1:18" ht="15.6">
      <c r="A13" s="115" t="s">
        <v>72</v>
      </c>
      <c r="B13" s="344">
        <v>216.5</v>
      </c>
      <c r="C13" s="35"/>
      <c r="D13" s="35"/>
      <c r="E13" s="35"/>
      <c r="F13" s="35"/>
      <c r="G13" s="35"/>
      <c r="H13" s="35"/>
      <c r="I13" s="35"/>
      <c r="J13" s="35"/>
      <c r="K13" s="35"/>
      <c r="N13" s="35"/>
      <c r="O13" s="35"/>
      <c r="P13" s="35"/>
      <c r="Q13" s="35"/>
    </row>
    <row r="14" spans="1:18" ht="15.6">
      <c r="A14" s="116" t="s">
        <v>101</v>
      </c>
      <c r="B14" s="288" t="s">
        <v>257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</row>
    <row r="15" spans="1:18" ht="15.6">
      <c r="A15" s="35"/>
      <c r="B15" s="35"/>
      <c r="H15" s="35"/>
      <c r="I15" s="35"/>
      <c r="J15" s="35"/>
      <c r="K15" s="35"/>
      <c r="L15" s="35"/>
      <c r="M15" s="35"/>
      <c r="N15" s="35"/>
      <c r="O15" s="35"/>
      <c r="P15" s="35"/>
      <c r="Q15" s="35"/>
    </row>
    <row r="16" spans="1:18" ht="15.6">
      <c r="A16" s="35"/>
      <c r="B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1:9" ht="15.6">
      <c r="A17" s="35"/>
      <c r="B17" s="35"/>
      <c r="E17" s="35"/>
      <c r="I17"/>
    </row>
    <row r="18" spans="1:9" ht="15.6">
      <c r="A18" s="35"/>
      <c r="B18" s="35"/>
      <c r="E18" s="35"/>
      <c r="I18"/>
    </row>
    <row r="19" spans="1:9" ht="15.6">
      <c r="E19" s="35"/>
      <c r="I19"/>
    </row>
    <row r="20" spans="1:9" ht="15.6">
      <c r="E20" s="35"/>
      <c r="I20"/>
    </row>
    <row r="21" spans="1:9">
      <c r="I21"/>
    </row>
    <row r="22" spans="1:9">
      <c r="I22"/>
    </row>
    <row r="23" spans="1:9">
      <c r="I23"/>
    </row>
    <row r="24" spans="1:9">
      <c r="I24"/>
    </row>
    <row r="25" spans="1:9">
      <c r="I25"/>
    </row>
    <row r="26" spans="1:9">
      <c r="I26"/>
    </row>
  </sheetData>
  <mergeCells count="1">
    <mergeCell ref="M2:N2"/>
  </mergeCells>
  <phoneticPr fontId="39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workbookViewId="0">
      <selection activeCell="G17" sqref="G17"/>
    </sheetView>
  </sheetViews>
  <sheetFormatPr defaultRowHeight="14.4"/>
  <cols>
    <col min="1" max="1" width="18.33203125" customWidth="1"/>
    <col min="2" max="2" width="17.88671875" bestFit="1" customWidth="1"/>
    <col min="3" max="3" width="14.5546875" bestFit="1" customWidth="1"/>
    <col min="4" max="4" width="14.44140625" bestFit="1" customWidth="1"/>
    <col min="5" max="5" width="15.6640625" bestFit="1" customWidth="1"/>
    <col min="8" max="8" width="5.44140625" bestFit="1" customWidth="1"/>
    <col min="9" max="9" width="18.5546875" bestFit="1" customWidth="1"/>
    <col min="13" max="13" width="9.33203125" bestFit="1" customWidth="1"/>
    <col min="14" max="14" width="13.21875" bestFit="1" customWidth="1"/>
    <col min="15" max="15" width="52.77734375" bestFit="1" customWidth="1"/>
  </cols>
  <sheetData>
    <row r="1" spans="1:16" ht="16.2" thickBot="1">
      <c r="A1" s="306" t="s">
        <v>102</v>
      </c>
      <c r="B1" s="307"/>
      <c r="C1" s="307"/>
      <c r="D1" s="307"/>
      <c r="E1" s="307"/>
      <c r="F1" s="307"/>
      <c r="G1" s="307"/>
      <c r="H1" s="307"/>
      <c r="I1" s="308"/>
    </row>
    <row r="2" spans="1:16" ht="15.6">
      <c r="A2" s="80"/>
      <c r="B2" s="81" t="s">
        <v>73</v>
      </c>
      <c r="C2" s="81" t="s">
        <v>74</v>
      </c>
      <c r="D2" s="81" t="s">
        <v>75</v>
      </c>
      <c r="E2" s="81" t="s">
        <v>76</v>
      </c>
      <c r="F2" s="81" t="s">
        <v>77</v>
      </c>
      <c r="G2" s="81" t="s">
        <v>78</v>
      </c>
      <c r="H2" s="81" t="s">
        <v>79</v>
      </c>
      <c r="I2" s="82" t="s">
        <v>83</v>
      </c>
    </row>
    <row r="3" spans="1:16" ht="15.6">
      <c r="A3" s="83" t="s">
        <v>80</v>
      </c>
      <c r="B3" s="72">
        <f>154310000000*N4/1000000</f>
        <v>1302376.3999999999</v>
      </c>
      <c r="C3" s="72">
        <f>36665048000/1000000</f>
        <v>36665.048000000003</v>
      </c>
      <c r="D3" s="72">
        <f>56.73*1070000000*N4/1000000</f>
        <v>512317.28399999999</v>
      </c>
      <c r="E3" s="72">
        <f>93.3*8.44*I3/1000000</f>
        <v>842573.6399999999</v>
      </c>
      <c r="F3" s="74">
        <v>0.64</v>
      </c>
      <c r="G3" s="74">
        <v>22.97</v>
      </c>
      <c r="H3" s="74">
        <v>1.64</v>
      </c>
      <c r="I3" s="272">
        <v>1070000000</v>
      </c>
    </row>
    <row r="4" spans="1:16" ht="15.6">
      <c r="A4" s="83" t="s">
        <v>258</v>
      </c>
      <c r="B4" s="72">
        <f>35430000000/1000000</f>
        <v>35430</v>
      </c>
      <c r="C4" s="72">
        <f>8.01*I4/1000000</f>
        <v>1060.4439</v>
      </c>
      <c r="D4" s="72">
        <f>162.32*I4/1000000</f>
        <v>21489.5448</v>
      </c>
      <c r="E4" s="72">
        <f>241.4*I4/1000000</f>
        <v>31958.946</v>
      </c>
      <c r="F4" s="74">
        <v>1.27</v>
      </c>
      <c r="G4" s="74">
        <v>30.21</v>
      </c>
      <c r="H4" s="74">
        <v>2.57</v>
      </c>
      <c r="I4" s="272">
        <v>132390000</v>
      </c>
      <c r="M4" s="105" t="s">
        <v>81</v>
      </c>
      <c r="N4" s="105">
        <v>8.44</v>
      </c>
    </row>
    <row r="5" spans="1:16" ht="15.6">
      <c r="A5" s="83" t="s">
        <v>247</v>
      </c>
      <c r="B5" s="72">
        <f>18730000000*N4/1000000</f>
        <v>158081.20000000001</v>
      </c>
      <c r="C5" s="72">
        <f>24.88*I5*N4/1000000</f>
        <v>72894.956607999993</v>
      </c>
      <c r="D5" s="72">
        <f>29.98*I5*N4/1000000</f>
        <v>87837.250767999998</v>
      </c>
      <c r="E5" s="72">
        <f>94.07*I5*N4/1000000</f>
        <v>275612.08071199997</v>
      </c>
      <c r="F5" s="74">
        <v>1.72</v>
      </c>
      <c r="G5" s="74">
        <v>24.84</v>
      </c>
      <c r="H5" s="72">
        <v>3.1</v>
      </c>
      <c r="I5" s="272">
        <v>347140000</v>
      </c>
      <c r="M5" s="105" t="s">
        <v>82</v>
      </c>
      <c r="N5" s="105">
        <v>7.8E-2</v>
      </c>
    </row>
    <row r="6" spans="1:16" ht="16.2" thickBot="1">
      <c r="A6" s="85" t="s">
        <v>85</v>
      </c>
      <c r="B6" s="86">
        <v>338446</v>
      </c>
      <c r="C6" s="86">
        <f>9.5*I6/1000000</f>
        <v>19317.794797999999</v>
      </c>
      <c r="D6" s="86">
        <f>71.45*I6/1000000</f>
        <v>145290.15140180002</v>
      </c>
      <c r="E6" s="87"/>
      <c r="F6" s="87"/>
      <c r="G6" s="87"/>
      <c r="H6" s="87"/>
      <c r="I6" s="88">
        <v>2033452084</v>
      </c>
    </row>
    <row r="7" spans="1:16" ht="15.6">
      <c r="A7" s="80"/>
      <c r="B7" s="89" t="s">
        <v>84</v>
      </c>
      <c r="C7" s="90" t="s">
        <v>85</v>
      </c>
      <c r="D7" s="89"/>
      <c r="E7" s="89"/>
      <c r="F7" s="89"/>
      <c r="G7" s="89"/>
      <c r="H7" s="89"/>
      <c r="I7" s="121"/>
      <c r="M7" s="24"/>
      <c r="N7" s="20"/>
    </row>
    <row r="8" spans="1:16" ht="15.6">
      <c r="A8" s="83" t="s">
        <v>73</v>
      </c>
      <c r="B8" s="74">
        <f>(F3+F4+F5)/3</f>
        <v>1.21</v>
      </c>
      <c r="C8" s="72">
        <v>338446</v>
      </c>
      <c r="D8" s="84">
        <f>B8*C8</f>
        <v>409519.66</v>
      </c>
      <c r="E8" s="74"/>
      <c r="F8" s="74"/>
      <c r="G8" s="74"/>
      <c r="H8" s="74"/>
      <c r="I8" s="84"/>
    </row>
    <row r="9" spans="1:16" ht="15.6">
      <c r="A9" s="83" t="s">
        <v>86</v>
      </c>
      <c r="B9" s="74">
        <f>(G3+G4+G5)/3</f>
        <v>26.006666666666664</v>
      </c>
      <c r="C9" s="72">
        <v>19317.794797999999</v>
      </c>
      <c r="D9" s="84">
        <f>B9*C9</f>
        <v>502391.45004665328</v>
      </c>
      <c r="E9" s="74"/>
      <c r="F9" s="74"/>
      <c r="G9" s="74"/>
      <c r="H9" s="74"/>
      <c r="I9" s="84"/>
    </row>
    <row r="10" spans="1:16" ht="16.2" thickBot="1">
      <c r="A10" s="85" t="s">
        <v>87</v>
      </c>
      <c r="B10" s="87">
        <f>(H3+H4+H5)/3</f>
        <v>2.436666666666667</v>
      </c>
      <c r="C10" s="86">
        <v>145290.15140180002</v>
      </c>
      <c r="D10" s="91">
        <f>B10*C10</f>
        <v>354023.66891571943</v>
      </c>
      <c r="E10" s="74"/>
      <c r="F10" s="74"/>
      <c r="G10" s="74"/>
      <c r="H10" s="74"/>
      <c r="I10" s="84"/>
    </row>
    <row r="11" spans="1:16" ht="16.2" thickBot="1">
      <c r="A11" s="85" t="s">
        <v>88</v>
      </c>
      <c r="B11" s="34"/>
      <c r="C11" s="34"/>
      <c r="D11" s="87">
        <f>AVERAGE(D8:D10)</f>
        <v>421978.25965412427</v>
      </c>
      <c r="E11" s="92">
        <f>(D11*1000000)/I6</f>
        <v>207.51817216368903</v>
      </c>
      <c r="F11" s="34"/>
      <c r="G11" s="34"/>
      <c r="H11" s="34"/>
      <c r="I11" s="93"/>
    </row>
    <row r="12" spans="1:16" ht="15.6">
      <c r="A12" s="35"/>
      <c r="B12" s="35"/>
      <c r="C12" s="35"/>
      <c r="D12" s="35"/>
      <c r="E12" s="35"/>
      <c r="F12" s="35"/>
      <c r="G12" s="35"/>
      <c r="H12" s="35"/>
      <c r="I12" s="35"/>
      <c r="O12" s="20"/>
      <c r="P12" s="20"/>
    </row>
    <row r="25" spans="3:4">
      <c r="C25" s="1"/>
    </row>
    <row r="26" spans="3:4">
      <c r="C26" s="1"/>
      <c r="D26" s="18"/>
    </row>
    <row r="27" spans="3:4">
      <c r="C27" s="1"/>
      <c r="D27" s="18"/>
    </row>
  </sheetData>
  <mergeCells count="1">
    <mergeCell ref="A1:I1"/>
  </mergeCells>
  <phoneticPr fontId="39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9"/>
  <sheetViews>
    <sheetView workbookViewId="0">
      <selection activeCell="R7" sqref="R7"/>
    </sheetView>
  </sheetViews>
  <sheetFormatPr defaultRowHeight="14.4"/>
  <cols>
    <col min="1" max="1" width="13.44140625" bestFit="1" customWidth="1"/>
    <col min="2" max="2" width="16" bestFit="1" customWidth="1"/>
    <col min="3" max="6" width="11.77734375" bestFit="1" customWidth="1"/>
    <col min="7" max="13" width="9" bestFit="1" customWidth="1"/>
  </cols>
  <sheetData>
    <row r="2" spans="1:17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7" ht="15.6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</row>
    <row r="4" spans="1:17" ht="16.2" thickBo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</row>
    <row r="5" spans="1:17" ht="15.6">
      <c r="A5" s="80"/>
      <c r="B5" s="306" t="s">
        <v>103</v>
      </c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8"/>
    </row>
    <row r="6" spans="1:17" ht="15.6">
      <c r="A6" s="83"/>
      <c r="B6" s="309" t="s">
        <v>94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1"/>
    </row>
    <row r="7" spans="1:17" ht="15.6">
      <c r="A7" s="83"/>
      <c r="B7" s="289"/>
      <c r="C7" s="290">
        <f t="shared" ref="C7:E7" si="0">D7-0.5%</f>
        <v>3.1650346608343038E-2</v>
      </c>
      <c r="D7" s="290">
        <f t="shared" si="0"/>
        <v>3.6650346608343036E-2</v>
      </c>
      <c r="E7" s="290">
        <f t="shared" si="0"/>
        <v>4.1650346608343033E-2</v>
      </c>
      <c r="F7" s="290">
        <f>G7-0.5%</f>
        <v>4.6650346608343031E-2</v>
      </c>
      <c r="G7" s="291">
        <v>5.1650346608343028E-2</v>
      </c>
      <c r="H7" s="290">
        <f>G7+0.5%</f>
        <v>5.6650346608343026E-2</v>
      </c>
      <c r="I7" s="290">
        <f t="shared" ref="I7:M7" si="1">H7+0.5%</f>
        <v>6.1650346608343023E-2</v>
      </c>
      <c r="J7" s="290">
        <f t="shared" si="1"/>
        <v>6.6650346608343028E-2</v>
      </c>
      <c r="K7" s="290">
        <f t="shared" si="1"/>
        <v>7.1650346608343032E-2</v>
      </c>
      <c r="L7" s="290">
        <f t="shared" si="1"/>
        <v>7.6650346608343037E-2</v>
      </c>
      <c r="M7" s="292">
        <f t="shared" si="1"/>
        <v>8.1650346608343041E-2</v>
      </c>
    </row>
    <row r="8" spans="1:17" ht="15.6">
      <c r="A8" s="122" t="s">
        <v>63</v>
      </c>
      <c r="B8" s="293">
        <v>1.1199999999999998E-2</v>
      </c>
      <c r="C8" s="26">
        <v>971750.92728401162</v>
      </c>
      <c r="D8" s="26">
        <v>781605.19090920256</v>
      </c>
      <c r="E8" s="26">
        <v>653885.72926135047</v>
      </c>
      <c r="F8" s="26">
        <v>562178.81705554726</v>
      </c>
      <c r="G8" s="95">
        <v>493130.53829446383</v>
      </c>
      <c r="H8" s="96">
        <v>439263.22822526837</v>
      </c>
      <c r="I8" s="96">
        <v>396063.57554103347</v>
      </c>
      <c r="J8" s="96">
        <v>360646.13281683112</v>
      </c>
      <c r="K8" s="96">
        <v>331080.09337749495</v>
      </c>
      <c r="L8" s="96">
        <v>306024.64854496741</v>
      </c>
      <c r="M8" s="97">
        <v>284519.62136046926</v>
      </c>
    </row>
    <row r="9" spans="1:17" ht="15.6">
      <c r="A9" s="83"/>
      <c r="B9" s="293">
        <v>1.6199999999999999E-2</v>
      </c>
      <c r="C9" s="26">
        <v>1261706.946427274</v>
      </c>
      <c r="D9" s="26">
        <v>954621.35929684108</v>
      </c>
      <c r="E9" s="26">
        <v>768164.46750139631</v>
      </c>
      <c r="F9" s="26">
        <v>642914.82995897625</v>
      </c>
      <c r="G9" s="68">
        <v>552974.73440528964</v>
      </c>
      <c r="H9" s="96">
        <v>485251.13691891625</v>
      </c>
      <c r="I9" s="96">
        <v>432412.44461666769</v>
      </c>
      <c r="J9" s="96">
        <v>390033.50579345674</v>
      </c>
      <c r="K9" s="96">
        <v>355285.23051522212</v>
      </c>
      <c r="L9" s="96">
        <v>326274.51981567743</v>
      </c>
      <c r="M9" s="97">
        <v>301686.74672816461</v>
      </c>
    </row>
    <row r="10" spans="1:17" ht="15.6">
      <c r="A10" s="83"/>
      <c r="B10" s="293">
        <v>2.12E-2</v>
      </c>
      <c r="C10" s="26">
        <v>1828234.7585100126</v>
      </c>
      <c r="D10" s="26">
        <v>1239032.7281181712</v>
      </c>
      <c r="E10" s="26">
        <v>937891.44410855882</v>
      </c>
      <c r="F10" s="26">
        <v>755034.22128616308</v>
      </c>
      <c r="G10" s="68">
        <v>632194.84105775447</v>
      </c>
      <c r="H10" s="26">
        <v>543979.06478781137</v>
      </c>
      <c r="I10" s="96">
        <v>477548.38155991095</v>
      </c>
      <c r="J10" s="96">
        <v>425713.72110071871</v>
      </c>
      <c r="K10" s="96">
        <v>384135.94938881637</v>
      </c>
      <c r="L10" s="96">
        <v>350040.96488567459</v>
      </c>
      <c r="M10" s="97">
        <v>321572.46043908846</v>
      </c>
    </row>
    <row r="11" spans="1:17" ht="15.6">
      <c r="A11" s="83"/>
      <c r="B11" s="294">
        <v>2.6200000000000001E-2</v>
      </c>
      <c r="C11" s="68">
        <v>3432467.4441278758</v>
      </c>
      <c r="D11" s="68">
        <v>1794718.5406566407</v>
      </c>
      <c r="E11" s="68">
        <v>1216890.194246934</v>
      </c>
      <c r="F11" s="68">
        <v>921549.92525503715</v>
      </c>
      <c r="G11" s="98">
        <v>742205.77083065326</v>
      </c>
      <c r="H11" s="68">
        <v>621718.79741565173</v>
      </c>
      <c r="I11" s="95">
        <v>535186.06449033425</v>
      </c>
      <c r="J11" s="95">
        <v>470017.4390144489</v>
      </c>
      <c r="K11" s="95">
        <v>419162.92704546545</v>
      </c>
      <c r="L11" s="95">
        <v>378367.3324671319</v>
      </c>
      <c r="M11" s="99">
        <v>344910.21275385848</v>
      </c>
    </row>
    <row r="12" spans="1:17" ht="15.6">
      <c r="A12" s="83"/>
      <c r="B12" s="293">
        <v>3.1200000000000002E-2</v>
      </c>
      <c r="C12" s="26">
        <v>40637636.232248411</v>
      </c>
      <c r="D12" s="26">
        <v>3368233.3054429693</v>
      </c>
      <c r="E12" s="26">
        <v>1761992.2633943155</v>
      </c>
      <c r="F12" s="26">
        <v>1195264.3322379</v>
      </c>
      <c r="G12" s="68">
        <v>905585.91554122197</v>
      </c>
      <c r="H12" s="26">
        <v>729670.717653548</v>
      </c>
      <c r="I12" s="26">
        <v>611479.95943806367</v>
      </c>
      <c r="J12" s="96">
        <v>526590.17459728266</v>
      </c>
      <c r="K12" s="96">
        <v>462653.63058358058</v>
      </c>
      <c r="L12" s="96">
        <v>412756.06301803014</v>
      </c>
      <c r="M12" s="97">
        <v>372724.19395786658</v>
      </c>
    </row>
    <row r="13" spans="1:17" ht="15.6">
      <c r="A13" s="83"/>
      <c r="B13" s="293">
        <v>3.6200000000000003E-2</v>
      </c>
      <c r="C13" s="26">
        <v>-3930892.7357343086</v>
      </c>
      <c r="D13" s="26">
        <v>39860791.883709438</v>
      </c>
      <c r="E13" s="26">
        <v>3305520.9660033854</v>
      </c>
      <c r="F13" s="26">
        <v>1730033.5659757487</v>
      </c>
      <c r="G13" s="68">
        <v>1174140.6228780306</v>
      </c>
      <c r="H13" s="26">
        <v>889988.88324610284</v>
      </c>
      <c r="I13" s="26">
        <v>717420.9357199925</v>
      </c>
      <c r="J13" s="96">
        <v>601471.80475564033</v>
      </c>
      <c r="K13" s="96">
        <v>518186.01421366341</v>
      </c>
      <c r="L13" s="96">
        <v>455452.42644145794</v>
      </c>
      <c r="M13" s="97">
        <v>406489.25603232987</v>
      </c>
      <c r="Q13" s="21"/>
    </row>
    <row r="14" spans="1:17" ht="16.2" thickBot="1">
      <c r="A14" s="85"/>
      <c r="B14" s="295">
        <v>4.1200000000000001E-2</v>
      </c>
      <c r="C14" s="34">
        <v>-1828079.8429266782</v>
      </c>
      <c r="D14" s="34">
        <v>-3854072.2096529528</v>
      </c>
      <c r="E14" s="34">
        <v>39102449.311218858</v>
      </c>
      <c r="F14" s="34">
        <v>3244287.2392161461</v>
      </c>
      <c r="G14" s="100">
        <v>1698820.823805064</v>
      </c>
      <c r="H14" s="34">
        <v>1153505.0218581448</v>
      </c>
      <c r="I14" s="34">
        <v>874748.63890501484</v>
      </c>
      <c r="J14" s="34">
        <v>705448.56137353461</v>
      </c>
      <c r="K14" s="101">
        <v>591688.02024620329</v>
      </c>
      <c r="L14" s="101">
        <v>509968.37396695389</v>
      </c>
      <c r="M14" s="102">
        <v>448409.44023440953</v>
      </c>
      <c r="Q14" s="21"/>
    </row>
    <row r="15" spans="1:17" ht="15.6">
      <c r="B15" s="9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7" ht="15.6">
      <c r="B16" s="94"/>
    </row>
    <row r="18" spans="17:17">
      <c r="Q18" s="273"/>
    </row>
    <row r="19" spans="17:17">
      <c r="Q19" s="21"/>
    </row>
  </sheetData>
  <mergeCells count="2">
    <mergeCell ref="B5:M5"/>
    <mergeCell ref="B6:M6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A16" zoomScale="98" zoomScaleNormal="98" workbookViewId="0">
      <selection activeCell="M30" sqref="M30"/>
    </sheetView>
  </sheetViews>
  <sheetFormatPr defaultRowHeight="14.4"/>
  <cols>
    <col min="1" max="1" width="28" bestFit="1" customWidth="1"/>
    <col min="3" max="3" width="10.44140625" bestFit="1" customWidth="1"/>
  </cols>
  <sheetData>
    <row r="1" spans="1:20" ht="18" thickBot="1">
      <c r="A1" s="132"/>
      <c r="B1" s="133"/>
      <c r="C1" s="134"/>
      <c r="D1" s="134"/>
      <c r="E1" s="134"/>
      <c r="F1" s="135"/>
      <c r="G1" s="135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0" ht="21" thickBot="1">
      <c r="A2" s="315" t="s">
        <v>104</v>
      </c>
      <c r="B2" s="316"/>
      <c r="C2" s="316"/>
      <c r="D2" s="316"/>
      <c r="E2" s="316"/>
      <c r="F2" s="316"/>
      <c r="G2" s="316"/>
      <c r="H2" s="316"/>
      <c r="I2" s="316"/>
      <c r="J2" s="316"/>
      <c r="K2" s="317"/>
      <c r="L2" s="137"/>
      <c r="M2" s="137"/>
      <c r="N2" s="137"/>
      <c r="O2" s="137"/>
      <c r="P2" s="137"/>
      <c r="Q2" s="137"/>
      <c r="R2" s="137"/>
      <c r="S2" s="137"/>
      <c r="T2" s="137"/>
    </row>
    <row r="3" spans="1:20" ht="21" thickBot="1">
      <c r="A3" s="318" t="s">
        <v>105</v>
      </c>
      <c r="B3" s="316"/>
      <c r="C3" s="316"/>
      <c r="D3" s="316"/>
      <c r="E3" s="316"/>
      <c r="F3" s="316"/>
      <c r="G3" s="316"/>
      <c r="H3" s="316"/>
      <c r="I3" s="316"/>
      <c r="J3" s="316"/>
      <c r="K3" s="317"/>
      <c r="L3" s="137"/>
      <c r="M3" s="137"/>
      <c r="N3" s="137"/>
      <c r="O3" s="137"/>
      <c r="P3" s="137"/>
      <c r="Q3" s="137"/>
      <c r="R3" s="137"/>
      <c r="S3" s="137"/>
      <c r="T3" s="137"/>
    </row>
    <row r="4" spans="1:20" ht="18" thickBot="1">
      <c r="A4" s="138"/>
      <c r="B4" s="139">
        <v>2020</v>
      </c>
      <c r="C4" s="140">
        <v>2019</v>
      </c>
      <c r="D4" s="139">
        <v>2018</v>
      </c>
      <c r="E4" s="140">
        <v>2017</v>
      </c>
      <c r="F4" s="139">
        <v>2016</v>
      </c>
      <c r="G4" s="140">
        <v>2015</v>
      </c>
      <c r="H4" s="139">
        <v>2014</v>
      </c>
      <c r="I4" s="140">
        <v>2013</v>
      </c>
      <c r="J4" s="139">
        <v>2012</v>
      </c>
      <c r="K4" s="140">
        <v>2011</v>
      </c>
      <c r="L4" s="126"/>
      <c r="M4" s="137"/>
      <c r="N4" s="137"/>
      <c r="O4" s="137"/>
      <c r="P4" s="137"/>
      <c r="Q4" s="137"/>
      <c r="R4" s="137"/>
      <c r="S4" s="137"/>
      <c r="T4" s="137"/>
    </row>
    <row r="5" spans="1:20" ht="19.2" customHeight="1">
      <c r="A5" s="141"/>
      <c r="B5" s="142" t="s">
        <v>106</v>
      </c>
      <c r="C5" s="143" t="s">
        <v>106</v>
      </c>
      <c r="D5" s="142" t="s">
        <v>106</v>
      </c>
      <c r="E5" s="143" t="s">
        <v>106</v>
      </c>
      <c r="F5" s="142" t="s">
        <v>106</v>
      </c>
      <c r="G5" s="143" t="s">
        <v>106</v>
      </c>
      <c r="H5" s="142" t="s">
        <v>106</v>
      </c>
      <c r="I5" s="143" t="s">
        <v>106</v>
      </c>
      <c r="J5" s="142" t="s">
        <v>106</v>
      </c>
      <c r="K5" s="144" t="s">
        <v>106</v>
      </c>
      <c r="L5" s="127"/>
      <c r="M5" s="137"/>
      <c r="N5" s="137"/>
      <c r="O5" s="137"/>
      <c r="P5" s="137"/>
      <c r="Q5" s="137"/>
      <c r="R5" s="137"/>
      <c r="S5" s="137"/>
      <c r="T5" s="137"/>
    </row>
    <row r="6" spans="1:20" ht="19.2" customHeight="1">
      <c r="A6" s="145" t="s">
        <v>107</v>
      </c>
      <c r="B6" s="146">
        <f>338446/47625</f>
        <v>7.1064776902887141</v>
      </c>
      <c r="C6" s="146">
        <f>431980/56644</f>
        <v>7.626226961372784</v>
      </c>
      <c r="D6" s="146">
        <f>390834/65783</f>
        <v>5.9412614201237401</v>
      </c>
      <c r="E6" s="146">
        <f>334748/52701</f>
        <v>6.3518339310449514</v>
      </c>
      <c r="F6" s="146">
        <f>301914/48287</f>
        <v>6.2524903183051341</v>
      </c>
      <c r="G6" s="146">
        <f>312515/44390</f>
        <v>7.0402117594052713</v>
      </c>
      <c r="H6" s="146">
        <f>282948/45533</f>
        <v>6.2141304109107685</v>
      </c>
      <c r="I6" s="146">
        <f>272622/41153</f>
        <v>6.6245960197312472</v>
      </c>
      <c r="J6" s="146">
        <f>303647/40409</f>
        <v>7.5143408646588634</v>
      </c>
      <c r="K6" s="146">
        <f>310367/44599</f>
        <v>6.959057377968116</v>
      </c>
      <c r="L6" s="147"/>
      <c r="M6" s="148"/>
      <c r="N6" s="148"/>
      <c r="O6" s="148"/>
      <c r="P6" s="148"/>
      <c r="Q6" s="148"/>
      <c r="R6" s="148"/>
      <c r="S6" s="148"/>
      <c r="T6" s="148"/>
    </row>
    <row r="7" spans="1:20" ht="19.2" customHeight="1">
      <c r="A7" s="145" t="s">
        <v>108</v>
      </c>
      <c r="B7" s="146">
        <f>338446/510821</f>
        <v>0.66255302738141153</v>
      </c>
      <c r="C7" s="146">
        <f>431980/524837</f>
        <v>0.8230745926830616</v>
      </c>
      <c r="D7" s="146">
        <f>390834/474663</f>
        <v>0.82339259643157359</v>
      </c>
      <c r="E7" s="146">
        <f>334748/412494</f>
        <v>0.81152210698822291</v>
      </c>
      <c r="F7" s="146">
        <f>301914/398916</f>
        <v>0.75683602562945584</v>
      </c>
      <c r="G7" s="146">
        <f>312515/374165</f>
        <v>0.83523311907848141</v>
      </c>
      <c r="H7" s="146">
        <f>282948/382896</f>
        <v>0.73896828381597091</v>
      </c>
      <c r="I7" s="146">
        <f>272622/344829</f>
        <v>0.79060055853770994</v>
      </c>
      <c r="J7" s="146">
        <f>303647/338742</f>
        <v>0.89639607725053283</v>
      </c>
      <c r="K7" s="146">
        <f>310367/353244</f>
        <v>0.87861931129757331</v>
      </c>
      <c r="L7" s="147"/>
      <c r="M7" s="148"/>
      <c r="N7" s="148"/>
      <c r="O7" s="148"/>
      <c r="P7" s="148"/>
      <c r="Q7" s="148"/>
      <c r="R7" s="148"/>
      <c r="S7" s="148"/>
      <c r="T7" s="148"/>
    </row>
    <row r="8" spans="1:20" ht="19.2" customHeight="1">
      <c r="A8" s="145" t="s">
        <v>109</v>
      </c>
      <c r="B8" s="149">
        <f>35660/338446*365</f>
        <v>38.457833746003793</v>
      </c>
      <c r="C8" s="149">
        <f>37723/431980*365</f>
        <v>31.873917773971019</v>
      </c>
      <c r="D8" s="149">
        <v>33</v>
      </c>
      <c r="E8" s="149">
        <v>35</v>
      </c>
      <c r="F8" s="149">
        <v>33</v>
      </c>
      <c r="G8" s="149">
        <v>37</v>
      </c>
      <c r="H8" s="149">
        <v>39</v>
      </c>
      <c r="I8" s="149">
        <v>40</v>
      </c>
      <c r="J8" s="149">
        <v>32</v>
      </c>
      <c r="K8" s="149">
        <v>39</v>
      </c>
      <c r="L8" s="147"/>
      <c r="M8" s="148"/>
      <c r="N8" s="148"/>
      <c r="O8" s="148"/>
      <c r="P8" s="148"/>
      <c r="Q8" s="148"/>
      <c r="R8" s="148"/>
      <c r="S8" s="148"/>
      <c r="T8" s="148"/>
    </row>
    <row r="9" spans="1:20" ht="19.2" customHeight="1">
      <c r="A9" s="145" t="s">
        <v>110</v>
      </c>
      <c r="B9" s="149">
        <f>59611/338446*365</f>
        <v>64.287995721621755</v>
      </c>
      <c r="C9" s="149">
        <f>66866/431980*365</f>
        <v>56.498194360850036</v>
      </c>
      <c r="D9" s="150">
        <v>83</v>
      </c>
      <c r="E9" s="150">
        <v>87</v>
      </c>
      <c r="F9" s="150">
        <v>83</v>
      </c>
      <c r="G9" s="149">
        <v>86</v>
      </c>
      <c r="H9" s="150">
        <v>92</v>
      </c>
      <c r="I9" s="149">
        <v>86</v>
      </c>
      <c r="J9" s="150">
        <v>81</v>
      </c>
      <c r="K9" s="149">
        <v>80</v>
      </c>
      <c r="L9" s="151"/>
      <c r="M9" s="148"/>
      <c r="N9" s="148"/>
      <c r="O9" s="148"/>
      <c r="P9" s="148"/>
      <c r="Q9" s="148"/>
      <c r="R9" s="148"/>
      <c r="S9" s="148"/>
      <c r="T9" s="148"/>
    </row>
    <row r="10" spans="1:20" ht="19.2" customHeight="1" thickBot="1">
      <c r="A10" s="319" t="s">
        <v>111</v>
      </c>
      <c r="B10" s="320"/>
      <c r="C10" s="320"/>
      <c r="D10" s="320"/>
      <c r="E10" s="320"/>
      <c r="F10" s="320"/>
      <c r="G10" s="320"/>
      <c r="H10" s="320"/>
      <c r="I10" s="320"/>
      <c r="J10" s="320"/>
      <c r="K10" s="321"/>
      <c r="L10" s="126"/>
      <c r="M10" s="137"/>
      <c r="N10" s="137"/>
      <c r="O10" s="137"/>
      <c r="P10" s="137"/>
      <c r="Q10" s="137"/>
      <c r="R10" s="137"/>
      <c r="S10" s="137"/>
      <c r="T10" s="137"/>
    </row>
    <row r="11" spans="1:20" ht="19.2" customHeight="1" thickBot="1">
      <c r="A11" s="152" t="s">
        <v>112</v>
      </c>
      <c r="B11" s="153">
        <v>12.8</v>
      </c>
      <c r="C11" s="154">
        <v>15</v>
      </c>
      <c r="D11" s="155">
        <v>12.1</v>
      </c>
      <c r="E11" s="154">
        <v>12.6</v>
      </c>
      <c r="F11" s="155">
        <v>10.8</v>
      </c>
      <c r="G11" s="154">
        <v>11.2</v>
      </c>
      <c r="H11" s="155">
        <v>6.1</v>
      </c>
      <c r="I11" s="154">
        <v>7.6</v>
      </c>
      <c r="J11" s="155">
        <v>9.5</v>
      </c>
      <c r="K11" s="154">
        <v>12.3</v>
      </c>
      <c r="L11" s="156"/>
      <c r="M11" s="137"/>
      <c r="N11" s="137"/>
      <c r="O11" s="137"/>
      <c r="P11" s="137"/>
      <c r="Q11" s="137"/>
      <c r="R11" s="137"/>
      <c r="S11" s="137"/>
      <c r="T11" s="137"/>
    </row>
    <row r="12" spans="1:20" ht="19.2" customHeight="1" thickBot="1">
      <c r="A12" s="157" t="s">
        <v>113</v>
      </c>
      <c r="B12" s="158">
        <v>22.5</v>
      </c>
      <c r="C12" s="159">
        <v>23.7</v>
      </c>
      <c r="D12" s="160">
        <v>21.7</v>
      </c>
      <c r="E12" s="159">
        <v>23.3</v>
      </c>
      <c r="F12" s="160">
        <v>22.5</v>
      </c>
      <c r="G12" s="159">
        <v>22.2</v>
      </c>
      <c r="H12" s="160">
        <v>21.3</v>
      </c>
      <c r="I12" s="159">
        <v>21.1</v>
      </c>
      <c r="J12" s="160">
        <v>21.9</v>
      </c>
      <c r="K12" s="159">
        <v>23.7</v>
      </c>
      <c r="L12" s="156"/>
      <c r="M12" s="137"/>
      <c r="N12" s="137"/>
      <c r="O12" s="137"/>
      <c r="P12" s="137"/>
      <c r="Q12" s="137"/>
      <c r="R12" s="137"/>
      <c r="S12" s="137"/>
      <c r="T12" s="137"/>
    </row>
    <row r="13" spans="1:20" ht="19.2" customHeight="1" thickBot="1">
      <c r="A13" s="161" t="s">
        <v>114</v>
      </c>
      <c r="B13" s="162">
        <v>14.7</v>
      </c>
      <c r="C13" s="163">
        <v>28.4</v>
      </c>
      <c r="D13" s="164">
        <v>22.4</v>
      </c>
      <c r="E13" s="163" t="s">
        <v>115</v>
      </c>
      <c r="F13" s="164" t="s">
        <v>115</v>
      </c>
      <c r="G13" s="163" t="s">
        <v>115</v>
      </c>
      <c r="H13" s="164" t="s">
        <v>115</v>
      </c>
      <c r="I13" s="163" t="s">
        <v>115</v>
      </c>
      <c r="J13" s="164" t="s">
        <v>115</v>
      </c>
      <c r="K13" s="163" t="s">
        <v>115</v>
      </c>
      <c r="L13" s="156"/>
      <c r="M13" s="137"/>
      <c r="N13" s="137"/>
      <c r="O13" s="137"/>
      <c r="P13" s="137"/>
      <c r="Q13" s="137"/>
      <c r="R13" s="137"/>
      <c r="S13" s="137"/>
      <c r="T13" s="137"/>
    </row>
    <row r="14" spans="1:20" ht="19.2" customHeight="1" thickBot="1">
      <c r="A14" s="165" t="s">
        <v>116</v>
      </c>
      <c r="B14" s="166">
        <f>27484/338446*100</f>
        <v>8.120645538727004</v>
      </c>
      <c r="C14" s="167">
        <f>49531/431980*100</f>
        <v>11.466040094448816</v>
      </c>
      <c r="D14" s="168">
        <f>34478/390834*100</f>
        <v>8.8216480654190779</v>
      </c>
      <c r="E14" s="167">
        <f>30327/334748*100</f>
        <v>9.0596508418272848</v>
      </c>
      <c r="F14" s="168">
        <f>20826/301914*100</f>
        <v>6.8979908185774761</v>
      </c>
      <c r="G14" s="167">
        <f>23318/312515*100</f>
        <v>7.4614018527110693</v>
      </c>
      <c r="H14" s="168">
        <f>5824/282948*100</f>
        <v>2.058328738849541</v>
      </c>
      <c r="I14" s="167">
        <f>7138/272622*100</f>
        <v>2.6182773217128479</v>
      </c>
      <c r="J14" s="168">
        <f>17622/303647*100</f>
        <v>5.8034494001258041</v>
      </c>
      <c r="K14" s="167">
        <f>26899/310367*100</f>
        <v>8.6668363582468508</v>
      </c>
      <c r="L14" s="156"/>
      <c r="M14" s="137"/>
      <c r="N14" s="137"/>
      <c r="O14" s="137"/>
      <c r="P14" s="137"/>
      <c r="Q14" s="137"/>
      <c r="R14" s="137"/>
      <c r="S14" s="137"/>
      <c r="T14" s="137"/>
    </row>
    <row r="15" spans="1:20" ht="19.2" customHeight="1" thickBot="1">
      <c r="A15" s="165" t="s">
        <v>117</v>
      </c>
      <c r="B15" s="169">
        <f>20074/338446*100</f>
        <v>5.9312268426868684</v>
      </c>
      <c r="C15" s="170">
        <f>36495/431980*100</f>
        <v>8.4483077920274088</v>
      </c>
      <c r="D15" s="171">
        <f>25363/390834*100</f>
        <v>6.4894558815251484</v>
      </c>
      <c r="E15" s="170">
        <f>21283/334748*100</f>
        <v>6.357917000250934</v>
      </c>
      <c r="F15" s="171">
        <f>13223/301914*100</f>
        <v>4.379724027372033</v>
      </c>
      <c r="G15" s="170">
        <f>15099/312515*100</f>
        <v>4.8314480904916568</v>
      </c>
      <c r="H15" s="171">
        <f>2235/282948*100</f>
        <v>0.78989779040671781</v>
      </c>
      <c r="I15" s="170">
        <f>3802/272622*100</f>
        <v>1.3946049841905643</v>
      </c>
      <c r="J15" s="171">
        <f>11258/303647*100</f>
        <v>3.7075946740787824</v>
      </c>
      <c r="K15" s="170">
        <f>18115/310367*100</f>
        <v>5.8366385601562021</v>
      </c>
      <c r="L15" s="156"/>
      <c r="M15" s="137"/>
      <c r="N15" s="137"/>
      <c r="O15" s="137"/>
      <c r="P15" s="137"/>
      <c r="Q15" s="137"/>
      <c r="R15" s="137"/>
      <c r="S15" s="137"/>
      <c r="T15" s="137"/>
    </row>
    <row r="16" spans="1:20" ht="19.2" customHeight="1" thickBot="1">
      <c r="A16" s="172" t="s">
        <v>118</v>
      </c>
      <c r="B16" s="158">
        <v>13.8</v>
      </c>
      <c r="C16" s="159">
        <v>27</v>
      </c>
      <c r="D16" s="160">
        <v>21.3</v>
      </c>
      <c r="E16" s="159">
        <v>20.8</v>
      </c>
      <c r="F16" s="160">
        <v>14.9</v>
      </c>
      <c r="G16" s="159">
        <v>18.399999999999999</v>
      </c>
      <c r="H16" s="160">
        <v>2.8</v>
      </c>
      <c r="I16" s="159">
        <v>5</v>
      </c>
      <c r="J16" s="160">
        <v>12.9</v>
      </c>
      <c r="K16" s="159">
        <v>23.1</v>
      </c>
      <c r="L16" s="156"/>
      <c r="M16" s="137"/>
      <c r="N16" s="137"/>
      <c r="O16" s="137"/>
      <c r="P16" s="137"/>
      <c r="Q16" s="137"/>
      <c r="R16" s="137"/>
      <c r="S16" s="137"/>
      <c r="T16" s="137"/>
    </row>
    <row r="17" spans="1:20" ht="19.2" customHeight="1" thickBot="1">
      <c r="A17" s="161" t="s">
        <v>119</v>
      </c>
      <c r="B17" s="158">
        <v>20.399999999999999</v>
      </c>
      <c r="C17" s="159">
        <v>8.9</v>
      </c>
      <c r="D17" s="160">
        <v>9.5</v>
      </c>
      <c r="E17" s="159">
        <v>14.8</v>
      </c>
      <c r="F17" s="160">
        <v>16.399999999999999</v>
      </c>
      <c r="G17" s="159">
        <v>10.7</v>
      </c>
      <c r="H17" s="160">
        <v>82.2</v>
      </c>
      <c r="I17" s="159">
        <v>47.7</v>
      </c>
      <c r="J17" s="160">
        <v>16.3</v>
      </c>
      <c r="K17" s="159">
        <v>8.6</v>
      </c>
      <c r="L17" s="156"/>
      <c r="M17" s="137"/>
      <c r="N17" s="137"/>
      <c r="O17" s="137"/>
      <c r="P17" s="137"/>
      <c r="Q17" s="137"/>
      <c r="R17" s="137"/>
      <c r="S17" s="137"/>
      <c r="T17" s="137"/>
    </row>
    <row r="18" spans="1:20" ht="19.2" customHeight="1" thickBot="1">
      <c r="A18" s="173" t="s">
        <v>120</v>
      </c>
      <c r="B18" s="174">
        <v>14.396236646496522</v>
      </c>
      <c r="C18" s="175">
        <v>18.921303185560472</v>
      </c>
      <c r="D18" s="176">
        <v>17.31965626138966</v>
      </c>
      <c r="E18" s="175">
        <v>18.285841733455516</v>
      </c>
      <c r="F18" s="176">
        <v>16.460106889671007</v>
      </c>
      <c r="G18" s="175">
        <v>17.97896649873719</v>
      </c>
      <c r="H18" s="177">
        <v>15.3430696586018</v>
      </c>
      <c r="I18" s="178">
        <v>16.272703281916545</v>
      </c>
      <c r="J18" s="177">
        <v>19.134031209593143</v>
      </c>
      <c r="K18" s="178">
        <v>19.955611418736058</v>
      </c>
      <c r="L18" s="179"/>
      <c r="M18" s="179"/>
      <c r="N18" s="137"/>
      <c r="O18" s="137"/>
      <c r="P18" s="137"/>
      <c r="Q18" s="137"/>
      <c r="R18" s="137"/>
      <c r="S18" s="137"/>
      <c r="T18" s="137"/>
    </row>
    <row r="19" spans="1:20" ht="19.2" customHeight="1" thickBot="1">
      <c r="A19" s="322" t="s">
        <v>121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1"/>
      <c r="L19" s="180"/>
      <c r="M19" s="137"/>
      <c r="N19" s="137"/>
      <c r="O19" s="137"/>
      <c r="P19" s="137"/>
      <c r="Q19" s="137"/>
      <c r="R19" s="137"/>
      <c r="S19" s="137"/>
      <c r="T19" s="137"/>
    </row>
    <row r="20" spans="1:20" ht="19.2" customHeight="1" thickBot="1">
      <c r="A20" s="123" t="s">
        <v>122</v>
      </c>
      <c r="B20" s="281">
        <f>(280116-47625)/190324</f>
        <v>1.2215537714633993</v>
      </c>
      <c r="C20" s="282">
        <f>(282187-56644)/194410</f>
        <v>1.160140939252096</v>
      </c>
      <c r="D20" s="181" t="s">
        <v>250</v>
      </c>
      <c r="E20" s="182" t="s">
        <v>250</v>
      </c>
      <c r="F20" s="183" t="s">
        <v>250</v>
      </c>
      <c r="G20" s="182" t="s">
        <v>250</v>
      </c>
      <c r="H20" s="183" t="s">
        <v>250</v>
      </c>
      <c r="I20" s="182" t="s">
        <v>250</v>
      </c>
      <c r="J20" s="183" t="s">
        <v>250</v>
      </c>
      <c r="K20" s="182" t="s">
        <v>250</v>
      </c>
      <c r="L20" s="128"/>
      <c r="M20" s="137"/>
      <c r="N20" s="137"/>
      <c r="O20" s="137"/>
      <c r="P20" s="137"/>
      <c r="Q20" s="137"/>
      <c r="R20" s="137"/>
      <c r="S20" s="137"/>
      <c r="T20" s="137"/>
    </row>
    <row r="21" spans="1:20" ht="19.2" customHeight="1" thickTop="1" thickBot="1">
      <c r="A21" s="124" t="s">
        <v>123</v>
      </c>
      <c r="B21" s="175">
        <f>280116/190324</f>
        <v>1.4717849561799878</v>
      </c>
      <c r="C21" s="184">
        <f>282127/194410</f>
        <v>1.4511959261354868</v>
      </c>
      <c r="D21" s="185" t="s">
        <v>250</v>
      </c>
      <c r="E21" s="186" t="s">
        <v>250</v>
      </c>
      <c r="F21" s="187" t="s">
        <v>250</v>
      </c>
      <c r="G21" s="186" t="s">
        <v>250</v>
      </c>
      <c r="H21" s="187" t="s">
        <v>250</v>
      </c>
      <c r="I21" s="186" t="s">
        <v>250</v>
      </c>
      <c r="J21" s="187" t="s">
        <v>250</v>
      </c>
      <c r="K21" s="186" t="s">
        <v>250</v>
      </c>
      <c r="L21" s="129"/>
      <c r="M21" s="137"/>
      <c r="N21" s="137"/>
      <c r="O21" s="137"/>
      <c r="P21" s="137"/>
      <c r="Q21" s="137"/>
      <c r="R21" s="137"/>
      <c r="S21" s="137"/>
      <c r="T21" s="137"/>
    </row>
    <row r="22" spans="1:20" ht="19.2" customHeight="1" thickBot="1">
      <c r="A22" s="312" t="s">
        <v>124</v>
      </c>
      <c r="B22" s="313"/>
      <c r="C22" s="313"/>
      <c r="D22" s="323"/>
      <c r="E22" s="323"/>
      <c r="F22" s="323"/>
      <c r="G22" s="323"/>
      <c r="H22" s="323"/>
      <c r="I22" s="323"/>
      <c r="J22" s="323"/>
      <c r="K22" s="324"/>
      <c r="L22" s="130"/>
      <c r="M22" s="137"/>
      <c r="N22" s="137"/>
      <c r="O22" s="137"/>
      <c r="P22" s="137"/>
      <c r="Q22" s="137"/>
      <c r="R22" s="137"/>
      <c r="S22" s="137"/>
      <c r="T22" s="137"/>
    </row>
    <row r="23" spans="1:20" ht="19.2" customHeight="1" thickBot="1">
      <c r="A23" s="123" t="s">
        <v>125</v>
      </c>
      <c r="B23" s="159">
        <v>72</v>
      </c>
      <c r="C23" s="159">
        <v>68</v>
      </c>
      <c r="D23" s="160">
        <v>61</v>
      </c>
      <c r="E23" s="159">
        <v>52</v>
      </c>
      <c r="F23" s="159">
        <v>47</v>
      </c>
      <c r="G23" s="160">
        <v>41</v>
      </c>
      <c r="H23" s="159">
        <v>59</v>
      </c>
      <c r="I23" s="160">
        <v>38</v>
      </c>
      <c r="J23" s="159">
        <v>43</v>
      </c>
      <c r="K23" s="188">
        <v>42</v>
      </c>
      <c r="L23" s="130"/>
      <c r="M23" s="137"/>
      <c r="N23" s="137"/>
      <c r="O23" s="137"/>
      <c r="P23" s="137"/>
      <c r="Q23" s="137"/>
      <c r="R23" s="137"/>
      <c r="S23" s="137"/>
      <c r="T23" s="137"/>
    </row>
    <row r="24" spans="1:20" ht="19.2" customHeight="1" thickBot="1">
      <c r="A24" s="125" t="s">
        <v>126</v>
      </c>
      <c r="B24" s="167">
        <v>70.999234565532745</v>
      </c>
      <c r="C24" s="189">
        <v>73.005333084367138</v>
      </c>
      <c r="D24" s="190">
        <v>73.490455333573507</v>
      </c>
      <c r="E24" s="189">
        <v>73.572706512094726</v>
      </c>
      <c r="F24" s="189">
        <v>75.492584905092798</v>
      </c>
      <c r="G24" s="190">
        <v>77.11971990966552</v>
      </c>
      <c r="H24" s="189">
        <v>79.094062095190338</v>
      </c>
      <c r="I24" s="190">
        <v>77.564241986607854</v>
      </c>
      <c r="J24" s="189">
        <v>74.342124684863407</v>
      </c>
      <c r="K24" s="191">
        <v>75.744527861761284</v>
      </c>
      <c r="L24" s="180"/>
      <c r="M24" s="137"/>
      <c r="N24" s="137"/>
      <c r="O24" s="137"/>
      <c r="P24" s="137"/>
      <c r="Q24" s="137"/>
      <c r="R24" s="137"/>
      <c r="S24" s="137"/>
      <c r="T24" s="137"/>
    </row>
    <row r="25" spans="1:20" ht="19.2" customHeight="1" thickBot="1">
      <c r="A25" s="192" t="s">
        <v>127</v>
      </c>
      <c r="B25" s="158">
        <v>279</v>
      </c>
      <c r="C25" s="159">
        <v>268</v>
      </c>
      <c r="D25" s="160">
        <v>213</v>
      </c>
      <c r="E25" s="159">
        <v>272</v>
      </c>
      <c r="F25" s="160">
        <v>155</v>
      </c>
      <c r="G25" s="159">
        <v>194</v>
      </c>
      <c r="H25" s="160">
        <v>64</v>
      </c>
      <c r="I25" s="159">
        <v>84</v>
      </c>
      <c r="J25" s="160">
        <v>18</v>
      </c>
      <c r="K25" s="159">
        <v>118</v>
      </c>
      <c r="L25" s="164"/>
      <c r="M25" s="137"/>
      <c r="N25" s="137"/>
      <c r="O25" s="137"/>
      <c r="P25" s="137"/>
      <c r="Q25" s="137"/>
      <c r="R25" s="137"/>
      <c r="S25" s="137"/>
      <c r="T25" s="137"/>
    </row>
    <row r="26" spans="1:20" ht="19.2" customHeight="1" thickBot="1">
      <c r="A26" s="157" t="s">
        <v>128</v>
      </c>
      <c r="B26" s="163">
        <v>18.5</v>
      </c>
      <c r="C26" s="164">
        <v>28.1</v>
      </c>
      <c r="D26" s="162">
        <v>19.5</v>
      </c>
      <c r="E26" s="163">
        <v>15.3</v>
      </c>
      <c r="F26" s="193">
        <v>10.3</v>
      </c>
      <c r="G26" s="164">
        <v>9.1</v>
      </c>
      <c r="H26" s="163">
        <v>2.2000000000000002</v>
      </c>
      <c r="I26" s="164">
        <v>2.1</v>
      </c>
      <c r="J26" s="163">
        <v>6.7</v>
      </c>
      <c r="K26" s="193">
        <v>9.6</v>
      </c>
      <c r="L26" s="180"/>
      <c r="M26" s="137"/>
      <c r="N26" s="137"/>
      <c r="O26" s="137"/>
      <c r="P26" s="137"/>
      <c r="Q26" s="137"/>
      <c r="R26" s="137"/>
      <c r="S26" s="137"/>
      <c r="T26" s="137"/>
    </row>
    <row r="27" spans="1:20" ht="19.2" customHeight="1" thickBot="1">
      <c r="A27" s="312" t="s">
        <v>129</v>
      </c>
      <c r="B27" s="313"/>
      <c r="C27" s="313"/>
      <c r="D27" s="313"/>
      <c r="E27" s="313"/>
      <c r="F27" s="313"/>
      <c r="G27" s="313"/>
      <c r="H27" s="313"/>
      <c r="I27" s="313"/>
      <c r="J27" s="313"/>
      <c r="K27" s="314"/>
      <c r="L27" s="194"/>
      <c r="M27" s="137"/>
      <c r="N27" s="137"/>
      <c r="O27" s="137"/>
      <c r="P27" s="137"/>
      <c r="Q27" s="137"/>
      <c r="R27" s="137"/>
      <c r="S27" s="137"/>
      <c r="T27" s="137"/>
    </row>
    <row r="28" spans="1:20" ht="19.2" customHeight="1" thickBot="1">
      <c r="A28" s="195" t="s">
        <v>119</v>
      </c>
      <c r="B28" s="159">
        <v>20.399999999999999</v>
      </c>
      <c r="C28" s="160">
        <v>8.9</v>
      </c>
      <c r="D28" s="159">
        <v>9.5</v>
      </c>
      <c r="E28" s="160">
        <v>14.8</v>
      </c>
      <c r="F28" s="159">
        <v>16.399999999999999</v>
      </c>
      <c r="G28" s="160">
        <v>10.7</v>
      </c>
      <c r="H28" s="159">
        <v>82.2</v>
      </c>
      <c r="I28" s="160">
        <v>47.7</v>
      </c>
      <c r="J28" s="159">
        <v>16.3</v>
      </c>
      <c r="K28" s="188">
        <v>8.6</v>
      </c>
      <c r="L28" s="194"/>
      <c r="M28" s="137"/>
      <c r="N28" s="137"/>
      <c r="O28" s="137"/>
      <c r="P28" s="137"/>
      <c r="Q28" s="137"/>
      <c r="R28" s="137"/>
      <c r="S28" s="137"/>
      <c r="T28" s="137"/>
    </row>
    <row r="29" spans="1:20" ht="19.2" customHeight="1" thickBot="1">
      <c r="A29" s="196" t="s">
        <v>130</v>
      </c>
      <c r="B29" s="159">
        <v>158</v>
      </c>
      <c r="C29" s="197">
        <v>0</v>
      </c>
      <c r="D29" s="159">
        <v>82</v>
      </c>
      <c r="E29" s="198">
        <v>41</v>
      </c>
      <c r="F29" s="199">
        <v>50</v>
      </c>
      <c r="G29" s="199">
        <v>40</v>
      </c>
      <c r="H29" s="199">
        <v>291</v>
      </c>
      <c r="I29" s="200">
        <v>169</v>
      </c>
      <c r="J29" s="159">
        <v>55</v>
      </c>
      <c r="K29" s="201">
        <v>34</v>
      </c>
      <c r="L29" s="194"/>
      <c r="M29" s="137"/>
      <c r="N29" s="137"/>
      <c r="O29" s="137"/>
      <c r="P29" s="137"/>
      <c r="Q29" s="137"/>
      <c r="R29" s="137"/>
      <c r="S29" s="137"/>
      <c r="T29" s="137"/>
    </row>
    <row r="30" spans="1:20" ht="19.2" customHeight="1">
      <c r="A30" s="202"/>
      <c r="B30" s="203"/>
      <c r="C30" s="137"/>
      <c r="D30" s="137"/>
      <c r="E30" s="137"/>
      <c r="F30" s="137"/>
      <c r="G30" s="137"/>
      <c r="H30" s="137"/>
      <c r="I30" s="137"/>
      <c r="J30" s="137"/>
      <c r="K30" s="137"/>
      <c r="L30" s="131"/>
      <c r="M30" s="137"/>
      <c r="N30" s="137"/>
      <c r="O30" s="137"/>
      <c r="P30" s="137"/>
      <c r="Q30" s="137"/>
      <c r="R30" s="137"/>
      <c r="S30" s="137"/>
      <c r="T30" s="137"/>
    </row>
    <row r="31" spans="1:20" ht="19.2" customHeight="1"/>
    <row r="32" spans="1:20" ht="19.2" customHeight="1"/>
    <row r="33" ht="19.2" customHeight="1"/>
    <row r="34" ht="19.2" customHeight="1"/>
    <row r="35" ht="19.2" customHeight="1"/>
    <row r="36" ht="19.2" customHeight="1"/>
  </sheetData>
  <mergeCells count="6">
    <mergeCell ref="A27:K27"/>
    <mergeCell ref="A2:K2"/>
    <mergeCell ref="A3:K3"/>
    <mergeCell ref="A10:K10"/>
    <mergeCell ref="A19:K19"/>
    <mergeCell ref="A22:K22"/>
  </mergeCells>
  <phoneticPr fontId="39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H15" sqref="H15"/>
    </sheetView>
  </sheetViews>
  <sheetFormatPr defaultRowHeight="14.4"/>
  <cols>
    <col min="1" max="1" width="53.6640625" customWidth="1"/>
    <col min="2" max="2" width="24.44140625" customWidth="1"/>
  </cols>
  <sheetData>
    <row r="3" spans="1:2" ht="15" thickBot="1"/>
    <row r="4" spans="1:2" ht="20.399999999999999" customHeight="1">
      <c r="A4" s="325" t="s">
        <v>131</v>
      </c>
      <c r="B4" s="326"/>
    </row>
    <row r="5" spans="1:2" ht="20.399999999999999" customHeight="1">
      <c r="A5" s="204"/>
      <c r="B5" s="205" t="s">
        <v>132</v>
      </c>
    </row>
    <row r="6" spans="1:2" ht="20.399999999999999" customHeight="1">
      <c r="A6" s="206" t="s">
        <v>32</v>
      </c>
      <c r="B6" s="207">
        <v>338446</v>
      </c>
    </row>
    <row r="7" spans="1:2" ht="20.399999999999999" customHeight="1" thickBot="1">
      <c r="A7" s="208" t="s">
        <v>133</v>
      </c>
      <c r="B7" s="209">
        <v>-259319</v>
      </c>
    </row>
    <row r="8" spans="1:2" ht="20.399999999999999" customHeight="1" thickBot="1">
      <c r="A8" s="210" t="s">
        <v>134</v>
      </c>
      <c r="B8" s="211">
        <f>(B6-B7)</f>
        <v>597765</v>
      </c>
    </row>
    <row r="9" spans="1:2" ht="20.399999999999999" customHeight="1">
      <c r="A9" s="212" t="s">
        <v>135</v>
      </c>
      <c r="B9" s="213">
        <v>-16798</v>
      </c>
    </row>
    <row r="10" spans="1:2" ht="20.399999999999999" customHeight="1">
      <c r="A10" s="214" t="s">
        <v>136</v>
      </c>
      <c r="B10" s="215">
        <v>-26510</v>
      </c>
    </row>
    <row r="11" spans="1:2" ht="20.399999999999999" customHeight="1">
      <c r="A11" s="214" t="s">
        <v>137</v>
      </c>
      <c r="B11" s="215">
        <v>-4621</v>
      </c>
    </row>
    <row r="12" spans="1:2" ht="20.399999999999999" customHeight="1">
      <c r="A12" s="214" t="s">
        <v>138</v>
      </c>
      <c r="B12" s="215">
        <v>-5459</v>
      </c>
    </row>
    <row r="13" spans="1:2" ht="20.399999999999999" customHeight="1">
      <c r="A13" s="214" t="s">
        <v>139</v>
      </c>
      <c r="B13" s="216">
        <v>-3</v>
      </c>
    </row>
    <row r="14" spans="1:2" ht="20.399999999999999" customHeight="1" thickBot="1">
      <c r="A14" s="208" t="s">
        <v>140</v>
      </c>
      <c r="B14" s="217">
        <v>1749</v>
      </c>
    </row>
    <row r="15" spans="1:2" ht="20.399999999999999" customHeight="1" thickBot="1">
      <c r="A15" s="218" t="s">
        <v>141</v>
      </c>
      <c r="B15" s="211">
        <v>27484</v>
      </c>
    </row>
    <row r="16" spans="1:2" ht="20.399999999999999" customHeight="1">
      <c r="A16" s="212" t="s">
        <v>142</v>
      </c>
      <c r="B16" s="219">
        <v>25917</v>
      </c>
    </row>
    <row r="17" spans="1:2" ht="20.399999999999999" customHeight="1" thickBot="1">
      <c r="A17" s="220" t="s">
        <v>143</v>
      </c>
      <c r="B17" s="209">
        <v>-5843</v>
      </c>
    </row>
    <row r="18" spans="1:2" ht="20.399999999999999" customHeight="1" thickBot="1">
      <c r="A18" s="218" t="s">
        <v>144</v>
      </c>
      <c r="B18" s="211">
        <v>20074</v>
      </c>
    </row>
  </sheetData>
  <mergeCells count="1">
    <mergeCell ref="A4:B4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workbookViewId="0">
      <selection activeCell="J20" sqref="J20"/>
    </sheetView>
  </sheetViews>
  <sheetFormatPr defaultRowHeight="14.4"/>
  <cols>
    <col min="1" max="1" width="47.5546875" customWidth="1"/>
    <col min="2" max="2" width="26.21875" customWidth="1"/>
  </cols>
  <sheetData>
    <row r="2" spans="1:2">
      <c r="A2" s="136"/>
      <c r="B2" s="136"/>
    </row>
    <row r="3" spans="1:2" ht="17.399999999999999">
      <c r="A3" s="329" t="s">
        <v>145</v>
      </c>
      <c r="B3" s="329"/>
    </row>
    <row r="4" spans="1:2" ht="15.6">
      <c r="A4" s="221"/>
      <c r="B4" s="222" t="s">
        <v>132</v>
      </c>
    </row>
    <row r="5" spans="1:2" ht="17.399999999999999">
      <c r="A5" s="330" t="s">
        <v>185</v>
      </c>
      <c r="B5" s="331"/>
    </row>
    <row r="6" spans="1:2" ht="17.399999999999999">
      <c r="A6" s="332" t="s">
        <v>186</v>
      </c>
      <c r="B6" s="332"/>
    </row>
    <row r="7" spans="1:2" ht="15.6">
      <c r="A7" s="223" t="s">
        <v>146</v>
      </c>
      <c r="B7" s="224">
        <v>34577</v>
      </c>
    </row>
    <row r="8" spans="1:2" ht="15.6">
      <c r="A8" s="223" t="s">
        <v>147</v>
      </c>
      <c r="B8" s="224">
        <v>49053</v>
      </c>
    </row>
    <row r="9" spans="1:2" ht="15.6">
      <c r="A9" s="223" t="s">
        <v>148</v>
      </c>
      <c r="B9" s="225">
        <v>60</v>
      </c>
    </row>
    <row r="10" spans="1:2" ht="15.6">
      <c r="A10" s="223" t="s">
        <v>149</v>
      </c>
      <c r="B10" s="224">
        <v>37962</v>
      </c>
    </row>
    <row r="11" spans="1:2" ht="15.6">
      <c r="A11" s="223" t="s">
        <v>150</v>
      </c>
      <c r="B11" s="224">
        <v>98458</v>
      </c>
    </row>
    <row r="12" spans="1:2" ht="15.6">
      <c r="A12" s="223" t="s">
        <v>151</v>
      </c>
      <c r="B12" s="226">
        <v>10595</v>
      </c>
    </row>
    <row r="13" spans="1:2" ht="15.6">
      <c r="A13" s="227" t="s">
        <v>152</v>
      </c>
      <c r="B13" s="228">
        <f>SUM(B7:B12)</f>
        <v>230705</v>
      </c>
    </row>
    <row r="14" spans="1:2" ht="17.399999999999999">
      <c r="A14" s="327" t="s">
        <v>153</v>
      </c>
      <c r="B14" s="332"/>
    </row>
    <row r="15" spans="1:2" ht="15.6">
      <c r="A15" s="229" t="s">
        <v>154</v>
      </c>
      <c r="B15" s="230">
        <v>47625</v>
      </c>
    </row>
    <row r="16" spans="1:2" ht="15.6">
      <c r="A16" s="229" t="s">
        <v>155</v>
      </c>
      <c r="B16" s="230">
        <v>57985</v>
      </c>
    </row>
    <row r="17" spans="1:2" ht="15.6">
      <c r="A17" s="229" t="s">
        <v>156</v>
      </c>
      <c r="B17" s="230">
        <v>2187</v>
      </c>
    </row>
    <row r="18" spans="1:2" ht="15.6">
      <c r="A18" s="229" t="s">
        <v>157</v>
      </c>
      <c r="B18" s="230">
        <v>1686</v>
      </c>
    </row>
    <row r="19" spans="1:2" ht="15.6">
      <c r="A19" s="229" t="s">
        <v>158</v>
      </c>
      <c r="B19" s="230">
        <v>35660</v>
      </c>
    </row>
    <row r="20" spans="1:2" ht="15.6">
      <c r="A20" s="229" t="s">
        <v>159</v>
      </c>
      <c r="B20" s="230">
        <v>15258</v>
      </c>
    </row>
    <row r="21" spans="1:2" ht="15.6">
      <c r="A21" s="229" t="s">
        <v>160</v>
      </c>
      <c r="B21" s="230">
        <v>213</v>
      </c>
    </row>
    <row r="22" spans="1:2" ht="15.6">
      <c r="A22" s="229" t="s">
        <v>161</v>
      </c>
      <c r="B22" s="230">
        <v>85206</v>
      </c>
    </row>
    <row r="23" spans="1:2" ht="15.6">
      <c r="A23" s="229" t="s">
        <v>162</v>
      </c>
      <c r="B23" s="230">
        <v>34296</v>
      </c>
    </row>
    <row r="24" spans="1:2" ht="16.2" thickBot="1">
      <c r="A24" s="231" t="s">
        <v>163</v>
      </c>
      <c r="B24" s="232">
        <f>SUM(B15:B23)</f>
        <v>280116</v>
      </c>
    </row>
    <row r="25" spans="1:2" ht="16.2" thickBot="1">
      <c r="A25" s="233" t="s">
        <v>164</v>
      </c>
      <c r="B25" s="234">
        <f>SUM(B13+B24)</f>
        <v>510821</v>
      </c>
    </row>
    <row r="26" spans="1:2" ht="17.399999999999999">
      <c r="A26" s="333" t="s">
        <v>165</v>
      </c>
      <c r="B26" s="334"/>
    </row>
    <row r="27" spans="1:2">
      <c r="A27" s="235" t="s">
        <v>166</v>
      </c>
      <c r="B27" s="236">
        <v>148142</v>
      </c>
    </row>
    <row r="28" spans="1:2" ht="15.6">
      <c r="A28" s="237" t="s">
        <v>167</v>
      </c>
      <c r="B28" s="238">
        <v>18430</v>
      </c>
    </row>
    <row r="29" spans="1:2" ht="15.6">
      <c r="A29" s="237" t="s">
        <v>168</v>
      </c>
      <c r="B29" s="238">
        <v>3265</v>
      </c>
    </row>
    <row r="30" spans="1:2" ht="15.6">
      <c r="A30" s="237" t="s">
        <v>169</v>
      </c>
      <c r="B30" s="238">
        <v>10918</v>
      </c>
    </row>
    <row r="31" spans="1:2" ht="15.6">
      <c r="A31" s="239" t="s">
        <v>170</v>
      </c>
      <c r="B31" s="236">
        <f>SUM(B28:B30)</f>
        <v>32613</v>
      </c>
    </row>
    <row r="32" spans="1:2" ht="15.6">
      <c r="A32" s="327" t="s">
        <v>171</v>
      </c>
      <c r="B32" s="328"/>
    </row>
    <row r="33" spans="1:2">
      <c r="A33" s="240" t="s">
        <v>172</v>
      </c>
      <c r="B33" s="230">
        <v>66391</v>
      </c>
    </row>
    <row r="34" spans="1:2">
      <c r="A34" s="240" t="s">
        <v>173</v>
      </c>
      <c r="B34" s="230">
        <v>28775</v>
      </c>
    </row>
    <row r="35" spans="1:2">
      <c r="A35" s="240" t="s">
        <v>174</v>
      </c>
      <c r="B35" s="230">
        <v>31424</v>
      </c>
    </row>
    <row r="36" spans="1:2">
      <c r="A36" s="235" t="s">
        <v>175</v>
      </c>
      <c r="B36" s="241">
        <f>SUM(B33:B35)</f>
        <v>126590</v>
      </c>
    </row>
    <row r="37" spans="1:2" ht="15.6">
      <c r="A37" s="327" t="s">
        <v>176</v>
      </c>
      <c r="B37" s="328"/>
    </row>
    <row r="38" spans="1:2" ht="15.6">
      <c r="A38" s="242" t="s">
        <v>177</v>
      </c>
      <c r="B38" s="236">
        <v>13153</v>
      </c>
    </row>
    <row r="39" spans="1:2">
      <c r="A39" s="240" t="s">
        <v>178</v>
      </c>
      <c r="B39" s="238">
        <v>30904</v>
      </c>
    </row>
    <row r="40" spans="1:2">
      <c r="A40" s="240" t="s">
        <v>179</v>
      </c>
      <c r="B40" s="238">
        <v>27354</v>
      </c>
    </row>
    <row r="41" spans="1:2">
      <c r="A41" s="240" t="s">
        <v>180</v>
      </c>
      <c r="B41" s="238">
        <v>59611</v>
      </c>
    </row>
    <row r="42" spans="1:2">
      <c r="A42" s="240" t="s">
        <v>181</v>
      </c>
      <c r="B42" s="238">
        <v>4599</v>
      </c>
    </row>
    <row r="43" spans="1:2">
      <c r="A43" s="240" t="s">
        <v>174</v>
      </c>
      <c r="B43" s="238">
        <v>56569</v>
      </c>
    </row>
    <row r="44" spans="1:2">
      <c r="A44" s="240" t="s">
        <v>182</v>
      </c>
      <c r="B44" s="238">
        <v>11286</v>
      </c>
    </row>
    <row r="45" spans="1:2" ht="15" thickBot="1">
      <c r="A45" s="243" t="s">
        <v>183</v>
      </c>
      <c r="B45" s="244">
        <f>SUM(B39:B44)</f>
        <v>190323</v>
      </c>
    </row>
    <row r="46" spans="1:2" ht="15" thickBot="1">
      <c r="A46" s="245" t="s">
        <v>184</v>
      </c>
      <c r="B46" s="246">
        <f>SUM(B27,B31,B36,B38,B45)</f>
        <v>510821</v>
      </c>
    </row>
  </sheetData>
  <mergeCells count="7">
    <mergeCell ref="A37:B37"/>
    <mergeCell ref="A3:B3"/>
    <mergeCell ref="A5:B5"/>
    <mergeCell ref="A6:B6"/>
    <mergeCell ref="A14:B14"/>
    <mergeCell ref="A26:B26"/>
    <mergeCell ref="A32:B32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topLeftCell="A10" workbookViewId="0">
      <selection activeCell="L17" sqref="L17"/>
    </sheetView>
  </sheetViews>
  <sheetFormatPr defaultRowHeight="14.4"/>
  <cols>
    <col min="1" max="1" width="45" customWidth="1"/>
    <col min="2" max="2" width="24.77734375" customWidth="1"/>
  </cols>
  <sheetData>
    <row r="2" spans="1:2" ht="15" thickBot="1">
      <c r="A2" s="136"/>
      <c r="B2" s="136"/>
    </row>
    <row r="3" spans="1:2" ht="18" thickBot="1">
      <c r="A3" s="335" t="s">
        <v>187</v>
      </c>
      <c r="B3" s="336"/>
    </row>
    <row r="4" spans="1:2" ht="16.2" thickBot="1">
      <c r="A4" s="247"/>
      <c r="B4" s="248" t="s">
        <v>132</v>
      </c>
    </row>
    <row r="5" spans="1:2" ht="15.6">
      <c r="A5" s="337" t="s">
        <v>188</v>
      </c>
      <c r="B5" s="338"/>
    </row>
    <row r="6" spans="1:2" ht="15.6">
      <c r="A6" s="249" t="s">
        <v>141</v>
      </c>
      <c r="B6" s="250">
        <v>27484</v>
      </c>
    </row>
    <row r="7" spans="1:2" ht="15.6">
      <c r="A7" s="249" t="s">
        <v>189</v>
      </c>
      <c r="B7" s="250">
        <v>3143</v>
      </c>
    </row>
    <row r="8" spans="1:2" ht="15.6">
      <c r="A8" s="251" t="s">
        <v>190</v>
      </c>
      <c r="B8" s="250">
        <v>17456</v>
      </c>
    </row>
    <row r="9" spans="1:2" ht="15.6">
      <c r="A9" s="251" t="s">
        <v>191</v>
      </c>
      <c r="B9" s="250">
        <v>1217</v>
      </c>
    </row>
    <row r="10" spans="1:2" ht="15.6">
      <c r="A10" s="249" t="s">
        <v>192</v>
      </c>
      <c r="B10" s="252">
        <v>-27363</v>
      </c>
    </row>
    <row r="11" spans="1:2" ht="15.6">
      <c r="A11" s="249" t="s">
        <v>193</v>
      </c>
      <c r="B11" s="250">
        <v>1070</v>
      </c>
    </row>
    <row r="12" spans="1:2" ht="15.6">
      <c r="A12" s="249" t="s">
        <v>194</v>
      </c>
      <c r="B12" s="253" t="s">
        <v>195</v>
      </c>
    </row>
    <row r="13" spans="1:2" ht="15.6">
      <c r="A13" s="249" t="s">
        <v>196</v>
      </c>
      <c r="B13" s="252">
        <v>-1102</v>
      </c>
    </row>
    <row r="14" spans="1:2" ht="15.6">
      <c r="A14" s="249" t="s">
        <v>197</v>
      </c>
      <c r="B14" s="254" t="s">
        <v>198</v>
      </c>
    </row>
    <row r="15" spans="1:2" ht="16.2" thickBot="1">
      <c r="A15" s="255" t="s">
        <v>199</v>
      </c>
      <c r="B15" s="256">
        <v>-4927</v>
      </c>
    </row>
    <row r="16" spans="1:2" ht="16.2" thickBot="1">
      <c r="A16" s="257" t="s">
        <v>200</v>
      </c>
      <c r="B16" s="258">
        <v>30610</v>
      </c>
    </row>
    <row r="17" spans="1:2" ht="16.2" thickBot="1">
      <c r="A17" s="339" t="s">
        <v>201</v>
      </c>
      <c r="B17" s="340"/>
    </row>
    <row r="18" spans="1:2" ht="15.6">
      <c r="A18" s="259" t="s">
        <v>202</v>
      </c>
      <c r="B18" s="260">
        <v>-3023</v>
      </c>
    </row>
    <row r="19" spans="1:2" ht="15.6">
      <c r="A19" s="249" t="s">
        <v>203</v>
      </c>
      <c r="B19" s="252">
        <v>-5733</v>
      </c>
    </row>
    <row r="20" spans="1:2" ht="15.6">
      <c r="A20" s="249" t="s">
        <v>204</v>
      </c>
      <c r="B20" s="252">
        <v>-8564</v>
      </c>
    </row>
    <row r="21" spans="1:2" ht="15.6">
      <c r="A21" s="249" t="s">
        <v>205</v>
      </c>
      <c r="B21" s="252">
        <v>6346</v>
      </c>
    </row>
    <row r="22" spans="1:2" ht="15.6">
      <c r="A22" s="249" t="s">
        <v>206</v>
      </c>
      <c r="B22" s="252">
        <v>-475</v>
      </c>
    </row>
    <row r="23" spans="1:2" ht="15.6">
      <c r="A23" s="249" t="s">
        <v>207</v>
      </c>
      <c r="B23" s="252">
        <v>13</v>
      </c>
    </row>
    <row r="24" spans="1:2" ht="15.6">
      <c r="A24" s="249" t="s">
        <v>208</v>
      </c>
      <c r="B24" s="252">
        <v>-10</v>
      </c>
    </row>
    <row r="25" spans="1:2" ht="15.6">
      <c r="A25" s="249" t="s">
        <v>209</v>
      </c>
      <c r="B25" s="252">
        <v>435</v>
      </c>
    </row>
    <row r="26" spans="1:2" ht="16.2" thickBot="1">
      <c r="A26" s="255" t="s">
        <v>210</v>
      </c>
      <c r="B26" s="256">
        <v>1070</v>
      </c>
    </row>
    <row r="27" spans="1:2" ht="16.2" thickBot="1">
      <c r="A27" s="261" t="s">
        <v>211</v>
      </c>
      <c r="B27" s="262">
        <v>20669</v>
      </c>
    </row>
    <row r="28" spans="1:2" ht="16.2" thickBot="1">
      <c r="A28" s="341" t="s">
        <v>212</v>
      </c>
      <c r="B28" s="342"/>
    </row>
    <row r="29" spans="1:2" ht="15.6">
      <c r="A29" s="259" t="s">
        <v>213</v>
      </c>
      <c r="B29" s="263">
        <v>128453</v>
      </c>
    </row>
    <row r="30" spans="1:2" ht="15.6">
      <c r="A30" s="264" t="s">
        <v>214</v>
      </c>
      <c r="B30" s="265">
        <v>121132</v>
      </c>
    </row>
    <row r="31" spans="1:2" ht="15.6">
      <c r="A31" s="266" t="s">
        <v>215</v>
      </c>
      <c r="B31" s="267">
        <v>-778</v>
      </c>
    </row>
    <row r="32" spans="1:2" ht="15.6">
      <c r="A32" s="266" t="s">
        <v>216</v>
      </c>
      <c r="B32" s="267">
        <v>-99</v>
      </c>
    </row>
    <row r="33" spans="1:2" ht="16.2" thickBot="1">
      <c r="A33" s="268" t="s">
        <v>217</v>
      </c>
      <c r="B33" s="269">
        <v>-3368</v>
      </c>
    </row>
    <row r="34" spans="1:2" ht="16.2" thickBot="1">
      <c r="A34" s="257" t="s">
        <v>218</v>
      </c>
      <c r="B34" s="270">
        <v>23745</v>
      </c>
    </row>
  </sheetData>
  <mergeCells count="4">
    <mergeCell ref="A3:B3"/>
    <mergeCell ref="A5:B5"/>
    <mergeCell ref="A17:B17"/>
    <mergeCell ref="A28:B28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VOLV-B.ST</vt:lpstr>
      <vt:lpstr>Workings</vt:lpstr>
      <vt:lpstr>DCF Valuation</vt:lpstr>
      <vt:lpstr>Price Relative Estimates</vt:lpstr>
      <vt:lpstr>Sensitivity Analysis</vt:lpstr>
      <vt:lpstr>Ratio</vt:lpstr>
      <vt:lpstr>Income Statement</vt:lpstr>
      <vt:lpstr>Balance sheet</vt:lpstr>
      <vt:lpstr>Cash Flow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 nalluri</dc:creator>
  <cp:lastModifiedBy>unaza</cp:lastModifiedBy>
  <dcterms:created xsi:type="dcterms:W3CDTF">2021-04-18T12:52:21Z</dcterms:created>
  <dcterms:modified xsi:type="dcterms:W3CDTF">2021-04-23T10:08:05Z</dcterms:modified>
</cp:coreProperties>
</file>