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Documents/"/>
    </mc:Choice>
  </mc:AlternateContent>
  <xr:revisionPtr revIDLastSave="0" documentId="13_ncr:1_{1407C667-C370-0743-BC5D-4F865E0B36BA}" xr6:coauthVersionLast="36" xr6:coauthVersionMax="36" xr10:uidLastSave="{00000000-0000-0000-0000-000000000000}"/>
  <bookViews>
    <workbookView xWindow="0" yWindow="460" windowWidth="33600" windowHeight="18540" activeTab="1" xr2:uid="{AF6982D2-F06A-F943-9AFE-A0E824318276}"/>
  </bookViews>
  <sheets>
    <sheet name="PLAN" sheetId="1" r:id="rId1"/>
    <sheet name="Oct 2019" sheetId="2" r:id="rId2"/>
    <sheet name="Sheet1" sheetId="3" r:id="rId3"/>
  </sheets>
  <definedNames>
    <definedName name="_xlnm._FilterDatabase" localSheetId="1" hidden="1">'Oct 2019'!$B$9:$G$41</definedName>
    <definedName name="expand_transaction_from_arrow_3" localSheetId="2">Sheet1!$A$4</definedName>
    <definedName name="expand_transaction_from_arrow_4" localSheetId="2">Sheet1!$A$3</definedName>
    <definedName name="expand_transaction_from_arrow_5" localSheetId="2">Sheet1!$A$2</definedName>
    <definedName name="expand_transaction_from_arrow_6" localSheetId="2">Sheet1!$A$1</definedName>
    <definedName name="expand_transaction_from_description_3" localSheetId="2">Sheet1!$B$4</definedName>
    <definedName name="expand_transaction_from_description_4" localSheetId="2">Sheet1!$B$3</definedName>
    <definedName name="expand_transaction_from_description_5" localSheetId="2">Sheet1!$B$2</definedName>
    <definedName name="expand_transaction_from_description_6" localSheetId="2">Sheet1!$B$1</definedName>
  </definedNames>
  <calcPr calcId="181029"/>
  <pivotCaches>
    <pivotCache cacheId="0" r:id="rId4"/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2" l="1"/>
  <c r="P27" i="2"/>
  <c r="P26" i="2"/>
  <c r="P25" i="2"/>
  <c r="O28" i="2"/>
  <c r="N26" i="2"/>
  <c r="N25" i="2"/>
  <c r="N28" i="2" s="1"/>
  <c r="O27" i="2"/>
  <c r="O26" i="2"/>
  <c r="O25" i="2"/>
  <c r="G39" i="2" l="1"/>
  <c r="G12" i="2"/>
  <c r="G11" i="2"/>
  <c r="C17" i="1"/>
  <c r="C5" i="1"/>
  <c r="D5" i="1" s="1"/>
  <c r="D26" i="1"/>
  <c r="E2" i="1"/>
  <c r="D18" i="1"/>
  <c r="D16" i="1"/>
  <c r="D15" i="1"/>
  <c r="D14" i="1"/>
  <c r="D13" i="1"/>
  <c r="D12" i="1"/>
  <c r="D11" i="1"/>
  <c r="C24" i="1"/>
  <c r="D24" i="1" s="1"/>
  <c r="C25" i="1"/>
  <c r="C20" i="1"/>
  <c r="D20" i="1" s="1"/>
  <c r="K6" i="1"/>
  <c r="K5" i="1"/>
  <c r="F4" i="2"/>
  <c r="D3" i="2"/>
  <c r="D25" i="1" l="1"/>
  <c r="D27" i="1" s="1"/>
  <c r="E5" i="1"/>
  <c r="C3" i="1"/>
  <c r="C27" i="1"/>
  <c r="K7" i="1"/>
  <c r="L5" i="1" s="1"/>
  <c r="D4" i="2"/>
  <c r="D5" i="2" l="1"/>
  <c r="C4" i="1"/>
  <c r="D4" i="1" s="1"/>
  <c r="E3" i="1"/>
  <c r="D3" i="1"/>
  <c r="L6" i="1"/>
  <c r="L7" i="1" s="1"/>
  <c r="E4" i="1" l="1"/>
  <c r="C6" i="1"/>
  <c r="C7" i="1" s="1"/>
  <c r="E7" i="1"/>
  <c r="D7" i="1"/>
  <c r="D6" i="1"/>
  <c r="E6" i="1"/>
</calcChain>
</file>

<file path=xl/sharedStrings.xml><?xml version="1.0" encoding="utf-8"?>
<sst xmlns="http://schemas.openxmlformats.org/spreadsheetml/2006/main" count="209" uniqueCount="110">
  <si>
    <t>Expenses</t>
  </si>
  <si>
    <t>Home Rest</t>
  </si>
  <si>
    <t xml:space="preserve">Utility </t>
  </si>
  <si>
    <t>Electricity Bill</t>
  </si>
  <si>
    <t>Internet</t>
  </si>
  <si>
    <t>Martial Art</t>
  </si>
  <si>
    <t>IXL</t>
  </si>
  <si>
    <t>Hulu</t>
  </si>
  <si>
    <t>Grocery Expense</t>
  </si>
  <si>
    <t>Outside Lunch</t>
  </si>
  <si>
    <t>BOFA</t>
  </si>
  <si>
    <t>CHASE</t>
  </si>
  <si>
    <t>15TH</t>
  </si>
  <si>
    <t>30TH</t>
  </si>
  <si>
    <t>TOTAL</t>
  </si>
  <si>
    <t>GRAND TOTAL</t>
  </si>
  <si>
    <t>%</t>
  </si>
  <si>
    <t>BANK DEPOSIT</t>
  </si>
  <si>
    <t>DOLLOR</t>
  </si>
  <si>
    <t>VARIABLE EXPENSES</t>
  </si>
  <si>
    <t>STANDARD EXPENSES</t>
  </si>
  <si>
    <t>TOTAL INCOME</t>
  </si>
  <si>
    <t>TOTAL STD EXPENSE</t>
  </si>
  <si>
    <t xml:space="preserve">BUDGET </t>
  </si>
  <si>
    <t>STD EXP</t>
  </si>
  <si>
    <t>VAR</t>
  </si>
  <si>
    <t>VAR EXP</t>
  </si>
  <si>
    <t>TOTAL EXP</t>
  </si>
  <si>
    <t>MONTHLY</t>
  </si>
  <si>
    <t>YEARLY</t>
  </si>
  <si>
    <t>All expenses (std &amp; var) must be charged to CHASE account</t>
  </si>
  <si>
    <t>All saving goes to BOFA account</t>
  </si>
  <si>
    <t>Minimum expense target 43%; Left over must be spent to family wish list</t>
  </si>
  <si>
    <t>Maximum allowed expense is 45%; if crocess over then next month expense should be talied.</t>
  </si>
  <si>
    <t>MANAGEMENT RULES</t>
  </si>
  <si>
    <t>✯</t>
  </si>
  <si>
    <t>Buffer</t>
  </si>
  <si>
    <t>SAVINGS</t>
  </si>
  <si>
    <t>TYPE</t>
  </si>
  <si>
    <t>Dollar</t>
  </si>
  <si>
    <t>COSTCO WHSE #0387</t>
  </si>
  <si>
    <t>OLIVE GARDEN #00015511</t>
  </si>
  <si>
    <t>WALGREENS #6760</t>
  </si>
  <si>
    <t>Date</t>
  </si>
  <si>
    <t>Type</t>
  </si>
  <si>
    <t xml:space="preserve"> +/-</t>
  </si>
  <si>
    <t>Category</t>
  </si>
  <si>
    <t>Food Expense</t>
  </si>
  <si>
    <t>Medical Expense</t>
  </si>
  <si>
    <t>Kavi (H20)</t>
  </si>
  <si>
    <t>Karthik (H20)</t>
  </si>
  <si>
    <t>KIM Martial Art</t>
  </si>
  <si>
    <t>H2O (18.63 + 27.77)</t>
  </si>
  <si>
    <t>Electricity Bill (Variable)</t>
  </si>
  <si>
    <t>Utility (Variable)</t>
  </si>
  <si>
    <t>CIRCLE K (Gas)</t>
  </si>
  <si>
    <t>Movie (Bloomington)</t>
  </si>
  <si>
    <t>Post Interview =="</t>
  </si>
  <si>
    <t>GRO</t>
  </si>
  <si>
    <t>Grocery</t>
  </si>
  <si>
    <t>Valli Produce</t>
  </si>
  <si>
    <t>Monthly Maintance - Variable</t>
  </si>
  <si>
    <t>Monthly Maintance - Standard</t>
  </si>
  <si>
    <t>MMV</t>
  </si>
  <si>
    <t>MMS</t>
  </si>
  <si>
    <t>Car Maintanance</t>
  </si>
  <si>
    <t>ENT</t>
  </si>
  <si>
    <t>Entertaiment</t>
  </si>
  <si>
    <t>COSTCO GAS #0387</t>
  </si>
  <si>
    <t>STD</t>
  </si>
  <si>
    <t>Grand Total</t>
  </si>
  <si>
    <t>Balance Budget</t>
  </si>
  <si>
    <t>Laundry</t>
  </si>
  <si>
    <t>Lake Geneva</t>
  </si>
  <si>
    <t>Gas (Bloom)</t>
  </si>
  <si>
    <t xml:space="preserve">Movie - Lion King </t>
  </si>
  <si>
    <t>NCH - Urgency Care Payment</t>
  </si>
  <si>
    <t>MED</t>
  </si>
  <si>
    <t>CAR</t>
  </si>
  <si>
    <t>FOD</t>
  </si>
  <si>
    <t>UNN</t>
  </si>
  <si>
    <t>Row Labels</t>
  </si>
  <si>
    <t>Sum of Dollar</t>
  </si>
  <si>
    <t>SHO</t>
  </si>
  <si>
    <t>Shopping</t>
  </si>
  <si>
    <t>ENT : Shoping/TRIP/MOVIES/OTHERs</t>
  </si>
  <si>
    <t>Costco</t>
  </si>
  <si>
    <t> Pending</t>
  </si>
  <si>
    <t>Expand transaction for Transaction date: Pending ILSOS SCHAUMBURG DRIVE</t>
  </si>
  <si>
    <t>Type Temporary Transactions </t>
  </si>
  <si>
    <r>
      <t> </t>
    </r>
    <r>
      <rPr>
        <sz val="10"/>
        <color rgb="FF333333"/>
        <rFont val="Verdana"/>
        <family val="2"/>
      </rPr>
      <t>10/14/2019</t>
    </r>
  </si>
  <si>
    <t>Expand transaction for Transaction date: 10/14/2019 PANDA EXPRESS #1450 SCHAUMBURG IL</t>
  </si>
  <si>
    <t>Type Purchases </t>
  </si>
  <si>
    <t>Expand transaction for Transaction date: 10/14/2019 MARSHALLS #0544 SCHAUMBURG IL</t>
  </si>
  <si>
    <t>Expand transaction for Transaction date: 10/14/2019 COSTCO WHSE #0387 SCHAUMBURG IL</t>
  </si>
  <si>
    <t>PANDA EXP</t>
  </si>
  <si>
    <t>Driving License Test</t>
  </si>
  <si>
    <t xml:space="preserve">MARSHALLS </t>
  </si>
  <si>
    <t>MISC</t>
  </si>
  <si>
    <t>Misc Exp</t>
  </si>
  <si>
    <t>DAKSHIN INDIAN CUISINE</t>
  </si>
  <si>
    <t xml:space="preserve">Costco </t>
  </si>
  <si>
    <t>COSTCO GAS</t>
  </si>
  <si>
    <t>PATEL BROTHERS</t>
  </si>
  <si>
    <t>H MART</t>
  </si>
  <si>
    <t>AMC S BARRINGTON</t>
  </si>
  <si>
    <t>AMITA Health Care (Balance)</t>
  </si>
  <si>
    <t>(blank)</t>
  </si>
  <si>
    <t>Utlization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</si>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</sst>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12"/>
      <color theme="0"/>
      <name val="Consolas"/>
      <family val="2"/>
    </font>
    <font>
      <b/>
      <sz val="12"/>
      <color theme="5" tint="-0.499984740745262"/>
      <name val="Calibri"/>
      <family val="2"/>
      <scheme val="minor"/>
    </font>
    <font>
      <sz val="12"/>
      <color rgb="FF414042"/>
      <name val="Helvetica Neue"/>
      <family val="2"/>
    </font>
    <font>
      <sz val="12"/>
      <color rgb="FF414042"/>
      <name val="Helvetica Neue"/>
      <family val="2"/>
    </font>
    <font>
      <sz val="12"/>
      <color theme="1" tint="0.34998626667073579"/>
      <name val="Calibri"/>
      <family val="2"/>
      <scheme val="minor"/>
    </font>
    <font>
      <sz val="12"/>
      <color theme="1" tint="0.34998626667073579"/>
      <name val="Helvetica Neue"/>
      <family val="2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0"/>
      <color rgb="FF333333"/>
      <name val="Verdana"/>
      <family val="2"/>
    </font>
    <font>
      <sz val="10"/>
      <color rgb="FF651C7E"/>
      <name val="Verdana"/>
      <family val="2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0" borderId="1" xfId="0" applyFont="1" applyBorder="1"/>
    <xf numFmtId="44" fontId="0" fillId="0" borderId="3" xfId="1" applyNumberFormat="1" applyFont="1" applyBorder="1"/>
    <xf numFmtId="9" fontId="0" fillId="0" borderId="2" xfId="2" applyNumberFormat="1" applyFont="1" applyBorder="1"/>
    <xf numFmtId="0" fontId="0" fillId="4" borderId="0" xfId="0" applyFill="1" applyAlignment="1">
      <alignment horizontal="right"/>
    </xf>
    <xf numFmtId="44" fontId="0" fillId="4" borderId="0" xfId="1" applyFont="1" applyFill="1"/>
    <xf numFmtId="0" fontId="0" fillId="0" borderId="0" xfId="0" applyFill="1"/>
    <xf numFmtId="0" fontId="0" fillId="0" borderId="0" xfId="0" applyFill="1" applyAlignment="1">
      <alignment horizontal="right"/>
    </xf>
    <xf numFmtId="44" fontId="0" fillId="0" borderId="0" xfId="1" applyFont="1" applyFill="1"/>
    <xf numFmtId="0" fontId="3" fillId="3" borderId="4" xfId="0" applyFont="1" applyFill="1" applyBorder="1"/>
    <xf numFmtId="0" fontId="3" fillId="3" borderId="5" xfId="0" applyFont="1" applyFill="1" applyBorder="1"/>
    <xf numFmtId="0" fontId="2" fillId="2" borderId="4" xfId="0" applyFont="1" applyFill="1" applyBorder="1"/>
    <xf numFmtId="44" fontId="2" fillId="2" borderId="5" xfId="1" applyNumberFormat="1" applyFont="1" applyFill="1" applyBorder="1"/>
    <xf numFmtId="0" fontId="3" fillId="3" borderId="6" xfId="0" applyFont="1" applyFill="1" applyBorder="1"/>
    <xf numFmtId="0" fontId="0" fillId="2" borderId="4" xfId="0" applyFont="1" applyFill="1" applyBorder="1"/>
    <xf numFmtId="44" fontId="0" fillId="2" borderId="6" xfId="1" applyNumberFormat="1" applyFont="1" applyFill="1" applyBorder="1"/>
    <xf numFmtId="9" fontId="0" fillId="2" borderId="5" xfId="2" applyNumberFormat="1" applyFont="1" applyFill="1" applyBorder="1"/>
    <xf numFmtId="0" fontId="3" fillId="3" borderId="0" xfId="0" applyFont="1" applyFill="1" applyBorder="1"/>
    <xf numFmtId="9" fontId="2" fillId="2" borderId="0" xfId="2" applyFont="1" applyFill="1" applyBorder="1"/>
    <xf numFmtId="44" fontId="4" fillId="4" borderId="0" xfId="1" applyFont="1" applyFill="1"/>
    <xf numFmtId="0" fontId="6" fillId="5" borderId="0" xfId="0" applyFont="1" applyFill="1" applyAlignment="1">
      <alignment horizontal="center"/>
    </xf>
    <xf numFmtId="0" fontId="7" fillId="4" borderId="0" xfId="0" applyFont="1" applyFill="1" applyAlignment="1">
      <alignment horizontal="right"/>
    </xf>
    <xf numFmtId="44" fontId="8" fillId="4" borderId="0" xfId="1" applyFont="1" applyFill="1"/>
    <xf numFmtId="9" fontId="7" fillId="4" borderId="0" xfId="2" applyFont="1" applyFill="1"/>
    <xf numFmtId="0" fontId="9" fillId="4" borderId="0" xfId="0" applyFont="1" applyFill="1" applyAlignment="1">
      <alignment horizontal="right"/>
    </xf>
    <xf numFmtId="44" fontId="9" fillId="4" borderId="0" xfId="1" applyFont="1" applyFill="1"/>
    <xf numFmtId="9" fontId="9" fillId="4" borderId="0" xfId="1" applyNumberFormat="1" applyFont="1" applyFill="1"/>
    <xf numFmtId="44" fontId="10" fillId="4" borderId="0" xfId="1" applyFont="1" applyFill="1"/>
    <xf numFmtId="9" fontId="9" fillId="4" borderId="0" xfId="2" applyFont="1" applyFill="1"/>
    <xf numFmtId="0" fontId="11" fillId="4" borderId="0" xfId="0" applyFont="1" applyFill="1" applyAlignment="1">
      <alignment horizontal="right"/>
    </xf>
    <xf numFmtId="44" fontId="11" fillId="4" borderId="0" xfId="1" applyFont="1" applyFill="1"/>
    <xf numFmtId="9" fontId="11" fillId="4" borderId="0" xfId="2" applyFont="1" applyFill="1"/>
    <xf numFmtId="9" fontId="2" fillId="2" borderId="4" xfId="2" applyFont="1" applyFill="1" applyBorder="1"/>
    <xf numFmtId="44" fontId="2" fillId="2" borderId="4" xfId="1" applyFont="1" applyFill="1" applyBorder="1"/>
    <xf numFmtId="0" fontId="12" fillId="5" borderId="1" xfId="0" applyFont="1" applyFill="1" applyBorder="1"/>
    <xf numFmtId="44" fontId="12" fillId="5" borderId="2" xfId="1" applyNumberFormat="1" applyFont="1" applyFill="1" applyBorder="1"/>
    <xf numFmtId="9" fontId="12" fillId="5" borderId="0" xfId="2" applyFont="1" applyFill="1" applyBorder="1"/>
    <xf numFmtId="44" fontId="3" fillId="5" borderId="0" xfId="0" applyNumberFormat="1" applyFont="1" applyFill="1"/>
    <xf numFmtId="9" fontId="3" fillId="5" borderId="0" xfId="0" applyNumberFormat="1" applyFont="1" applyFill="1"/>
    <xf numFmtId="0" fontId="13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8" fontId="15" fillId="0" borderId="0" xfId="0" applyNumberFormat="1" applyFont="1"/>
    <xf numFmtId="15" fontId="14" fillId="0" borderId="0" xfId="0" applyNumberFormat="1" applyFont="1"/>
    <xf numFmtId="0" fontId="3" fillId="5" borderId="7" xfId="0" applyFont="1" applyFill="1" applyBorder="1"/>
    <xf numFmtId="17" fontId="3" fillId="5" borderId="7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5" fillId="2" borderId="8" xfId="0" applyFont="1" applyFill="1" applyBorder="1"/>
    <xf numFmtId="44" fontId="5" fillId="2" borderId="6" xfId="0" applyNumberFormat="1" applyFont="1" applyFill="1" applyBorder="1"/>
    <xf numFmtId="15" fontId="16" fillId="0" borderId="7" xfId="0" applyNumberFormat="1" applyFont="1" applyFill="1" applyBorder="1"/>
    <xf numFmtId="0" fontId="16" fillId="0" borderId="7" xfId="0" applyFont="1" applyFill="1" applyBorder="1"/>
    <xf numFmtId="0" fontId="16" fillId="0" borderId="7" xfId="0" applyFont="1" applyFill="1" applyBorder="1" applyAlignment="1">
      <alignment horizontal="center" vertical="center"/>
    </xf>
    <xf numFmtId="44" fontId="16" fillId="0" borderId="7" xfId="1" applyFont="1" applyFill="1" applyBorder="1"/>
    <xf numFmtId="44" fontId="16" fillId="0" borderId="7" xfId="0" applyNumberFormat="1" applyFont="1" applyFill="1" applyBorder="1"/>
    <xf numFmtId="15" fontId="17" fillId="0" borderId="7" xfId="0" applyNumberFormat="1" applyFont="1" applyFill="1" applyBorder="1"/>
    <xf numFmtId="0" fontId="17" fillId="0" borderId="7" xfId="0" applyFont="1" applyFill="1" applyBorder="1"/>
    <xf numFmtId="15" fontId="18" fillId="0" borderId="7" xfId="0" applyNumberFormat="1" applyFont="1" applyBorder="1"/>
    <xf numFmtId="0" fontId="18" fillId="0" borderId="7" xfId="0" applyFont="1" applyBorder="1"/>
    <xf numFmtId="0" fontId="18" fillId="0" borderId="7" xfId="0" applyFont="1" applyBorder="1" applyAlignment="1">
      <alignment horizontal="center"/>
    </xf>
    <xf numFmtId="44" fontId="18" fillId="0" borderId="7" xfId="1" applyFont="1" applyBorder="1"/>
    <xf numFmtId="0" fontId="0" fillId="0" borderId="0" xfId="0" applyNumberFormat="1"/>
    <xf numFmtId="0" fontId="3" fillId="5" borderId="0" xfId="0" applyFont="1" applyFill="1" applyAlignment="1">
      <alignment horizontal="center"/>
    </xf>
    <xf numFmtId="15" fontId="19" fillId="0" borderId="7" xfId="0" applyNumberFormat="1" applyFont="1" applyBorder="1"/>
    <xf numFmtId="0" fontId="19" fillId="0" borderId="7" xfId="0" applyFont="1" applyBorder="1"/>
    <xf numFmtId="0" fontId="19" fillId="0" borderId="7" xfId="0" applyFont="1" applyBorder="1" applyAlignment="1">
      <alignment horizontal="center"/>
    </xf>
    <xf numFmtId="44" fontId="19" fillId="0" borderId="7" xfId="1" applyFont="1" applyBorder="1"/>
    <xf numFmtId="44" fontId="19" fillId="0" borderId="7" xfId="1" applyFont="1" applyBorder="1" applyAlignment="1">
      <alignment horizontal="center"/>
    </xf>
    <xf numFmtId="0" fontId="21" fillId="0" borderId="0" xfId="0" applyFont="1"/>
    <xf numFmtId="0" fontId="20" fillId="0" borderId="0" xfId="0" applyFont="1"/>
    <xf numFmtId="8" fontId="20" fillId="0" borderId="0" xfId="0" applyNumberFormat="1" applyFont="1"/>
    <xf numFmtId="6" fontId="18" fillId="0" borderId="7" xfId="1" applyNumberFormat="1" applyFont="1" applyBorder="1"/>
    <xf numFmtId="0" fontId="0" fillId="0" borderId="0" xfId="0" applyAlignment="1">
      <alignment horizontal="left" indent="1"/>
    </xf>
    <xf numFmtId="44" fontId="22" fillId="4" borderId="0" xfId="0" applyNumberFormat="1" applyFont="1" applyFill="1"/>
    <xf numFmtId="44" fontId="23" fillId="6" borderId="0" xfId="0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 patternType="solid">
          <fgColor auto="1"/>
          <bgColor indexed="65"/>
        </patternFill>
      </fill>
    </dxf>
    <dxf>
      <font>
        <color rgb="FF00B050"/>
      </font>
    </dxf>
    <dxf>
      <font>
        <color rgb="FF00B050"/>
      </font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165100</xdr:rowOff>
    </xdr:to>
    <xdr:pic>
      <xdr:nvPicPr>
        <xdr:cNvPr id="2" name="Picture 1" descr="Expand transaction for Transaction date: Pending ILSOS SCHAUMBURG DRIVE">
          <a:extLst>
            <a:ext uri="{FF2B5EF4-FFF2-40B4-BE49-F238E27FC236}">
              <a16:creationId xmlns:a16="http://schemas.microsoft.com/office/drawing/2014/main" id="{ABBB2685-EDEA-174C-B6D0-F3CB22528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165100</xdr:rowOff>
    </xdr:to>
    <xdr:pic>
      <xdr:nvPicPr>
        <xdr:cNvPr id="3" name="Picture 2" descr="Expand transaction for Transaction date: 10/14/2019 PANDA EXPRESS #1450 SCHAUMBURG IL">
          <a:extLst>
            <a:ext uri="{FF2B5EF4-FFF2-40B4-BE49-F238E27FC236}">
              <a16:creationId xmlns:a16="http://schemas.microsoft.com/office/drawing/2014/main" id="{B2440F64-06F0-1346-A921-8A70AE120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1524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165100</xdr:rowOff>
    </xdr:to>
    <xdr:pic>
      <xdr:nvPicPr>
        <xdr:cNvPr id="4" name="Picture 3" descr="Expand transaction for Transaction date: 10/14/2019 MARSHALLS #0544 SCHAUMBURG IL">
          <a:extLst>
            <a:ext uri="{FF2B5EF4-FFF2-40B4-BE49-F238E27FC236}">
              <a16:creationId xmlns:a16="http://schemas.microsoft.com/office/drawing/2014/main" id="{5A27569E-551A-3944-8B13-EAE046107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"/>
          <a:ext cx="1524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165100</xdr:rowOff>
    </xdr:to>
    <xdr:pic>
      <xdr:nvPicPr>
        <xdr:cNvPr id="5" name="Picture 4" descr="Expand transaction for Transaction date: 10/14/2019 COSTCO WHSE #0387 SCHAUMBURG IL">
          <a:extLst>
            <a:ext uri="{FF2B5EF4-FFF2-40B4-BE49-F238E27FC236}">
              <a16:creationId xmlns:a16="http://schemas.microsoft.com/office/drawing/2014/main" id="{A08C01E9-0028-8840-B950-DF1D5A00E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52400" cy="16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43.980381597219" createdVersion="6" refreshedVersion="6" minRefreshableVersion="3" recordCount="20" xr:uid="{70C03D9B-95FE-4941-B7B4-A8C8A481BD79}">
  <cacheSource type="worksheet">
    <worksheetSource ref="B9:F28" sheet="Oct 2019"/>
  </cacheSource>
  <cacheFields count="5">
    <cacheField name="Date" numFmtId="0">
      <sharedItems containsNonDate="0" containsDate="1" containsString="0" containsBlank="1" minDate="2019-10-01T00:00:00" maxDate="2019-10-26T00:00:00"/>
    </cacheField>
    <cacheField name="Expenses" numFmtId="0">
      <sharedItems containsBlank="1" count="18">
        <s v="Home Rest"/>
        <s v="Utility "/>
        <s v="Electricity Bill"/>
        <s v="Internet"/>
        <s v="KIM Martial Art"/>
        <s v="IXL"/>
        <s v="Hulu"/>
        <s v="Kavi (H20)"/>
        <s v="Karthik (H20)"/>
        <s v="CIRCLE K (Gas)"/>
        <s v="Movie (Bloomington)"/>
        <s v="COSTCO WHSE #0387"/>
        <s v="OLIVE GARDEN #00015511"/>
        <s v="WALGREENS #6760"/>
        <s v="Post Interview ==&quot;"/>
        <s v="Valli Produce"/>
        <s v="COSTCO GAS #0387"/>
        <m/>
      </sharedItems>
    </cacheField>
    <cacheField name="Type" numFmtId="0">
      <sharedItems containsBlank="1" count="3">
        <s v="STD"/>
        <s v="VAR"/>
        <m/>
      </sharedItems>
    </cacheField>
    <cacheField name="Category" numFmtId="0">
      <sharedItems containsBlank="1"/>
    </cacheField>
    <cacheField name="Dollar" numFmtId="0">
      <sharedItems containsString="0" containsBlank="1" containsNumber="1" minValue="5.2" maxValue="1430" count="18">
        <n v="1430"/>
        <n v="83.63"/>
        <n v="51.69"/>
        <n v="50"/>
        <n v="247"/>
        <n v="9.9499999999999993"/>
        <n v="11.99"/>
        <n v="18.53"/>
        <n v="27.77"/>
        <n v="22.21"/>
        <n v="5.2"/>
        <n v="106.93"/>
        <n v="43.41"/>
        <n v="15.12"/>
        <n v="10.81"/>
        <n v="48.33"/>
        <n v="12.4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57.385453703704" createdVersion="6" refreshedVersion="6" minRefreshableVersion="3" recordCount="36" xr:uid="{75C5E142-E97E-4F49-8D2A-DFC0F80A7DFD}">
  <cacheSource type="worksheet">
    <worksheetSource ref="B9:G45" sheet="Oct 2019"/>
  </cacheSource>
  <cacheFields count="6">
    <cacheField name="Date" numFmtId="15">
      <sharedItems containsNonDate="0" containsDate="1" containsString="0" containsBlank="1" minDate="2019-10-01T00:00:00" maxDate="2019-10-26T00:00:00"/>
    </cacheField>
    <cacheField name="Expenses" numFmtId="0">
      <sharedItems containsBlank="1"/>
    </cacheField>
    <cacheField name="Type" numFmtId="0">
      <sharedItems containsBlank="1" count="3">
        <s v="STD"/>
        <s v="VAR"/>
        <m/>
      </sharedItems>
    </cacheField>
    <cacheField name="Category" numFmtId="0">
      <sharedItems containsBlank="1" count="11">
        <s v="MMS"/>
        <s v="MMV"/>
        <s v="ENT"/>
        <s v="CAR"/>
        <s v="MISC"/>
        <s v="UNN"/>
        <s v="GRO"/>
        <s v="FOD"/>
        <s v="MED"/>
        <s v="SHO"/>
        <m/>
      </sharedItems>
    </cacheField>
    <cacheField name="Dollar" numFmtId="0">
      <sharedItems containsString="0" containsBlank="1" containsNumber="1" minValue="3" maxValue="1430"/>
    </cacheField>
    <cacheField name=" +/-" numFmtId="0">
      <sharedItems containsString="0" containsBlank="1" containsNumber="1" minValue="0" maxValue="48.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19-10-01T00:00:00"/>
    <x v="0"/>
    <x v="0"/>
    <s v="MMS"/>
    <x v="0"/>
  </r>
  <r>
    <d v="2019-10-01T00:00:00"/>
    <x v="1"/>
    <x v="0"/>
    <s v="MMV"/>
    <x v="1"/>
  </r>
  <r>
    <d v="2019-10-01T00:00:00"/>
    <x v="2"/>
    <x v="0"/>
    <s v="MMV"/>
    <x v="2"/>
  </r>
  <r>
    <d v="2019-10-24T00:00:00"/>
    <x v="3"/>
    <x v="0"/>
    <s v="MMS"/>
    <x v="3"/>
  </r>
  <r>
    <d v="2019-10-16T00:00:00"/>
    <x v="4"/>
    <x v="0"/>
    <s v="MMS"/>
    <x v="4"/>
  </r>
  <r>
    <d v="2019-10-25T00:00:00"/>
    <x v="5"/>
    <x v="0"/>
    <s v="MMS"/>
    <x v="5"/>
  </r>
  <r>
    <d v="2019-10-03T00:00:00"/>
    <x v="6"/>
    <x v="0"/>
    <s v="MMS"/>
    <x v="6"/>
  </r>
  <r>
    <d v="2019-10-03T00:00:00"/>
    <x v="7"/>
    <x v="0"/>
    <s v="MMS"/>
    <x v="7"/>
  </r>
  <r>
    <d v="2019-10-19T00:00:00"/>
    <x v="8"/>
    <x v="0"/>
    <s v="MMS"/>
    <x v="8"/>
  </r>
  <r>
    <d v="2019-10-03T00:00:00"/>
    <x v="9"/>
    <x v="1"/>
    <s v="CM"/>
    <x v="9"/>
  </r>
  <r>
    <d v="2019-10-02T00:00:00"/>
    <x v="10"/>
    <x v="1"/>
    <s v="ENT"/>
    <x v="10"/>
  </r>
  <r>
    <d v="2019-10-05T00:00:00"/>
    <x v="11"/>
    <x v="1"/>
    <s v="GRO"/>
    <x v="11"/>
  </r>
  <r>
    <d v="2019-10-05T00:00:00"/>
    <x v="12"/>
    <x v="1"/>
    <s v="FE"/>
    <x v="12"/>
  </r>
  <r>
    <d v="2019-10-04T00:00:00"/>
    <x v="13"/>
    <x v="1"/>
    <s v="ME"/>
    <x v="13"/>
  </r>
  <r>
    <d v="2019-10-04T00:00:00"/>
    <x v="14"/>
    <x v="1"/>
    <s v="MMS"/>
    <x v="14"/>
  </r>
  <r>
    <d v="2019-10-05T00:00:00"/>
    <x v="15"/>
    <x v="1"/>
    <s v="GRO"/>
    <x v="15"/>
  </r>
  <r>
    <d v="2019-10-05T00:00:00"/>
    <x v="16"/>
    <x v="1"/>
    <s v="CM"/>
    <x v="16"/>
  </r>
  <r>
    <m/>
    <x v="17"/>
    <x v="2"/>
    <m/>
    <x v="17"/>
  </r>
  <r>
    <m/>
    <x v="17"/>
    <x v="2"/>
    <m/>
    <x v="17"/>
  </r>
  <r>
    <m/>
    <x v="17"/>
    <x v="2"/>
    <m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d v="2019-10-01T00:00:00"/>
    <s v="Home Rest"/>
    <x v="0"/>
    <x v="0"/>
    <n v="1430"/>
    <n v="0"/>
  </r>
  <r>
    <d v="2019-10-01T00:00:00"/>
    <s v="Utility "/>
    <x v="0"/>
    <x v="1"/>
    <n v="83.63"/>
    <n v="16.370000000000005"/>
  </r>
  <r>
    <d v="2019-10-01T00:00:00"/>
    <s v="Electricity Bill"/>
    <x v="0"/>
    <x v="1"/>
    <n v="51.69"/>
    <n v="48.31"/>
  </r>
  <r>
    <d v="2019-10-02T00:00:00"/>
    <s v="Movie (Bloomington)"/>
    <x v="1"/>
    <x v="2"/>
    <n v="5.2"/>
    <m/>
  </r>
  <r>
    <d v="2019-10-03T00:00:00"/>
    <s v="Hulu"/>
    <x v="0"/>
    <x v="0"/>
    <n v="11.99"/>
    <n v="0"/>
  </r>
  <r>
    <d v="2019-10-03T00:00:00"/>
    <s v="Kavi (H20)"/>
    <x v="0"/>
    <x v="0"/>
    <n v="18.53"/>
    <n v="0"/>
  </r>
  <r>
    <d v="2019-10-03T00:00:00"/>
    <s v="CIRCLE K (Gas)"/>
    <x v="1"/>
    <x v="3"/>
    <n v="22.21"/>
    <m/>
  </r>
  <r>
    <d v="2019-10-04T00:00:00"/>
    <s v="WALGREENS #6760"/>
    <x v="1"/>
    <x v="4"/>
    <n v="15.12"/>
    <m/>
  </r>
  <r>
    <d v="2019-10-04T00:00:00"/>
    <s v="Post Interview ==&quot;"/>
    <x v="1"/>
    <x v="5"/>
    <n v="10.81"/>
    <m/>
  </r>
  <r>
    <d v="2019-10-05T00:00:00"/>
    <s v="COSTCO WHSE #0387"/>
    <x v="1"/>
    <x v="6"/>
    <n v="106.93"/>
    <m/>
  </r>
  <r>
    <d v="2019-10-05T00:00:00"/>
    <s v="OLIVE GARDEN #00015511"/>
    <x v="1"/>
    <x v="7"/>
    <n v="43.41"/>
    <m/>
  </r>
  <r>
    <d v="2019-10-05T00:00:00"/>
    <s v="Valli Produce"/>
    <x v="1"/>
    <x v="6"/>
    <n v="48.33"/>
    <m/>
  </r>
  <r>
    <d v="2019-10-05T00:00:00"/>
    <s v="COSTCO GAS #0387"/>
    <x v="1"/>
    <x v="3"/>
    <n v="12.41"/>
    <m/>
  </r>
  <r>
    <d v="2019-10-06T00:00:00"/>
    <s v="Lake Geneva"/>
    <x v="1"/>
    <x v="2"/>
    <n v="3"/>
    <m/>
  </r>
  <r>
    <d v="2019-10-07T00:00:00"/>
    <s v="Gas (Bloom)"/>
    <x v="1"/>
    <x v="3"/>
    <n v="11"/>
    <m/>
  </r>
  <r>
    <d v="2019-10-10T00:00:00"/>
    <s v="Movie - Lion King "/>
    <x v="1"/>
    <x v="2"/>
    <n v="47.06"/>
    <m/>
  </r>
  <r>
    <d v="2019-10-10T00:00:00"/>
    <s v="AMC S BARRINGTON"/>
    <x v="1"/>
    <x v="2"/>
    <n v="47.06"/>
    <m/>
  </r>
  <r>
    <d v="2019-10-11T00:00:00"/>
    <s v="PATEL BROTHERS"/>
    <x v="1"/>
    <x v="6"/>
    <n v="39.090000000000003"/>
    <m/>
  </r>
  <r>
    <d v="2019-10-12T00:00:00"/>
    <s v="H MART"/>
    <x v="1"/>
    <x v="6"/>
    <n v="14.62"/>
    <m/>
  </r>
  <r>
    <d v="2019-10-12T00:00:00"/>
    <s v="Costco "/>
    <x v="1"/>
    <x v="6"/>
    <n v="44.89"/>
    <m/>
  </r>
  <r>
    <d v="2019-10-12T00:00:00"/>
    <s v="COSTCO GAS"/>
    <x v="1"/>
    <x v="3"/>
    <n v="16.66"/>
    <m/>
  </r>
  <r>
    <d v="2019-10-12T00:00:00"/>
    <s v="NCH - Urgency Care Payment"/>
    <x v="1"/>
    <x v="8"/>
    <n v="37.25"/>
    <m/>
  </r>
  <r>
    <d v="2019-10-14T00:00:00"/>
    <s v="Costco"/>
    <x v="1"/>
    <x v="9"/>
    <n v="64.849999999999994"/>
    <m/>
  </r>
  <r>
    <d v="2019-10-14T00:00:00"/>
    <s v="MARSHALLS "/>
    <x v="1"/>
    <x v="9"/>
    <n v="94.53"/>
    <m/>
  </r>
  <r>
    <d v="2019-10-14T00:00:00"/>
    <s v="PANDA EXP"/>
    <x v="1"/>
    <x v="7"/>
    <n v="17.46"/>
    <m/>
  </r>
  <r>
    <d v="2019-10-16T00:00:00"/>
    <s v="KIM Martial Art"/>
    <x v="0"/>
    <x v="0"/>
    <n v="247"/>
    <n v="0"/>
  </r>
  <r>
    <d v="2019-10-18T00:00:00"/>
    <s v="Driving License Test"/>
    <x v="1"/>
    <x v="4"/>
    <n v="11"/>
    <m/>
  </r>
  <r>
    <d v="2019-10-18T00:00:00"/>
    <s v="DAKSHIN INDIAN CUISINE"/>
    <x v="1"/>
    <x v="7"/>
    <n v="46.95"/>
    <m/>
  </r>
  <r>
    <d v="2019-10-19T00:00:00"/>
    <s v="Karthik (H20)"/>
    <x v="0"/>
    <x v="0"/>
    <n v="27.77"/>
    <n v="0"/>
  </r>
  <r>
    <d v="2019-10-24T00:00:00"/>
    <s v="Internet"/>
    <x v="0"/>
    <x v="0"/>
    <n v="50"/>
    <n v="44.8"/>
  </r>
  <r>
    <d v="2019-10-25T00:00:00"/>
    <s v="IXL"/>
    <x v="0"/>
    <x v="0"/>
    <n v="9.9499999999999993"/>
    <n v="0"/>
  </r>
  <r>
    <d v="2019-10-19T00:00:00"/>
    <s v="AMITA Health Care (Balance)"/>
    <x v="1"/>
    <x v="8"/>
    <n v="100"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87ACB-06A7-8348-9A16-AFAD7DFF703A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1:J36" firstHeaderRow="1" firstDataRow="1" firstDataCol="1"/>
  <pivotFields count="6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12">
        <item x="3"/>
        <item x="2"/>
        <item x="7"/>
        <item x="6"/>
        <item x="8"/>
        <item x="4"/>
        <item x="0"/>
        <item x="1"/>
        <item x="9"/>
        <item x="10"/>
        <item x="5"/>
        <item t="default"/>
      </items>
    </pivotField>
    <pivotField dataField="1" showAll="0"/>
    <pivotField showAll="0"/>
  </pivotFields>
  <rowFields count="2">
    <field x="2"/>
    <field x="3"/>
  </rowFields>
  <rowItems count="15">
    <i>
      <x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10"/>
    </i>
    <i>
      <x v="2"/>
    </i>
    <i r="1">
      <x v="9"/>
    </i>
    <i t="grand">
      <x/>
    </i>
  </rowItems>
  <colItems count="1">
    <i/>
  </colItems>
  <dataFields count="1">
    <dataField name="Sum of Dolla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8A9E5-1DEA-1F42-85B3-5C308973839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YPE">
  <location ref="B2:C5" firstHeaderRow="1" firstDataRow="1" firstDataCol="1"/>
  <pivotFields count="5">
    <pivotField showAll="0"/>
    <pivotField showAll="0">
      <items count="19">
        <item x="9"/>
        <item x="16"/>
        <item x="11"/>
        <item x="2"/>
        <item x="0"/>
        <item x="6"/>
        <item x="3"/>
        <item x="5"/>
        <item x="8"/>
        <item x="7"/>
        <item x="4"/>
        <item x="10"/>
        <item x="12"/>
        <item x="14"/>
        <item x="1"/>
        <item x="15"/>
        <item x="13"/>
        <item x="17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dataField="1" showAll="0">
      <items count="19">
        <item x="10"/>
        <item x="5"/>
        <item x="14"/>
        <item x="6"/>
        <item x="16"/>
        <item x="13"/>
        <item x="7"/>
        <item x="9"/>
        <item x="8"/>
        <item x="12"/>
        <item x="15"/>
        <item x="3"/>
        <item x="2"/>
        <item x="1"/>
        <item x="11"/>
        <item x="4"/>
        <item x="0"/>
        <item x="17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TOTAL" fld="4" baseField="0" baseItem="0" numFmtId="4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5FA0-961D-8C42-8815-1536E44B6C40}">
  <dimension ref="B1:M27"/>
  <sheetViews>
    <sheetView showGridLines="0" topLeftCell="A6" zoomScale="125" workbookViewId="0">
      <selection activeCell="B23" sqref="B23:C27"/>
    </sheetView>
  </sheetViews>
  <sheetFormatPr baseColWidth="10" defaultRowHeight="16" x14ac:dyDescent="0.2"/>
  <cols>
    <col min="2" max="2" width="39.33203125" bestFit="1" customWidth="1"/>
    <col min="3" max="3" width="17.6640625" bestFit="1" customWidth="1"/>
    <col min="4" max="4" width="14" customWidth="1"/>
    <col min="5" max="5" width="19.33203125" bestFit="1" customWidth="1"/>
    <col min="6" max="6" width="14" bestFit="1" customWidth="1"/>
    <col min="8" max="8" width="16.1640625" bestFit="1" customWidth="1"/>
    <col min="10" max="10" width="13.1640625" bestFit="1" customWidth="1"/>
  </cols>
  <sheetData>
    <row r="1" spans="2:13" ht="16" customHeight="1" x14ac:dyDescent="0.2">
      <c r="C1" s="23" t="s">
        <v>28</v>
      </c>
      <c r="E1" s="23" t="s">
        <v>29</v>
      </c>
    </row>
    <row r="2" spans="2:13" ht="21" x14ac:dyDescent="0.25">
      <c r="B2" s="27" t="s">
        <v>21</v>
      </c>
      <c r="C2" s="28">
        <v>8450</v>
      </c>
      <c r="D2" s="29">
        <v>1</v>
      </c>
      <c r="E2" s="30">
        <f t="shared" ref="E2:E7" si="0">C2*12</f>
        <v>101400</v>
      </c>
    </row>
    <row r="3" spans="2:13" x14ac:dyDescent="0.2">
      <c r="B3" s="24" t="s">
        <v>24</v>
      </c>
      <c r="C3" s="25">
        <f>C20</f>
        <v>1995.3400000000001</v>
      </c>
      <c r="D3" s="26">
        <f>C3/C2</f>
        <v>0.23613491124260358</v>
      </c>
      <c r="E3" s="25">
        <f t="shared" si="0"/>
        <v>23944.080000000002</v>
      </c>
      <c r="G3" s="9"/>
      <c r="H3" s="9"/>
      <c r="I3" s="9"/>
      <c r="J3" s="9"/>
      <c r="K3" s="9"/>
      <c r="L3" s="9"/>
      <c r="M3" s="9"/>
    </row>
    <row r="4" spans="2:13" x14ac:dyDescent="0.2">
      <c r="B4" s="24" t="s">
        <v>26</v>
      </c>
      <c r="C4" s="25">
        <f>C27</f>
        <v>1260</v>
      </c>
      <c r="D4" s="26">
        <f>C4/C2</f>
        <v>0.14911242603550295</v>
      </c>
      <c r="E4" s="25">
        <f t="shared" si="0"/>
        <v>15120</v>
      </c>
      <c r="H4" s="12" t="s">
        <v>17</v>
      </c>
      <c r="I4" s="16" t="s">
        <v>12</v>
      </c>
      <c r="J4" s="16" t="s">
        <v>13</v>
      </c>
      <c r="K4" s="16" t="s">
        <v>14</v>
      </c>
      <c r="L4" s="13" t="s">
        <v>16</v>
      </c>
    </row>
    <row r="5" spans="2:13" x14ac:dyDescent="0.2">
      <c r="B5" s="24" t="s">
        <v>36</v>
      </c>
      <c r="C5" s="25">
        <f>C26</f>
        <v>500</v>
      </c>
      <c r="D5" s="26">
        <f>C5/C2</f>
        <v>5.9171597633136092E-2</v>
      </c>
      <c r="E5" s="25">
        <f t="shared" si="0"/>
        <v>6000</v>
      </c>
      <c r="H5" s="17" t="s">
        <v>10</v>
      </c>
      <c r="I5" s="18">
        <v>2425</v>
      </c>
      <c r="J5" s="18">
        <v>2425</v>
      </c>
      <c r="K5" s="18">
        <f>SUM(I5:J5)</f>
        <v>4850</v>
      </c>
      <c r="L5" s="19">
        <f>K5/K7</f>
        <v>0.57396449704142016</v>
      </c>
    </row>
    <row r="6" spans="2:13" ht="21" x14ac:dyDescent="0.25">
      <c r="B6" s="27" t="s">
        <v>27</v>
      </c>
      <c r="C6" s="30">
        <f>C3+C4</f>
        <v>3255.34</v>
      </c>
      <c r="D6" s="31">
        <f>C6/C2</f>
        <v>0.38524733727810651</v>
      </c>
      <c r="E6" s="30">
        <f t="shared" si="0"/>
        <v>39064.080000000002</v>
      </c>
      <c r="H6" s="4" t="s">
        <v>11</v>
      </c>
      <c r="I6" s="5">
        <v>1800</v>
      </c>
      <c r="J6" s="5">
        <v>1800</v>
      </c>
      <c r="K6" s="5">
        <f>SUM(I6:J6)</f>
        <v>3600</v>
      </c>
      <c r="L6" s="6">
        <f>K6/K7</f>
        <v>0.42603550295857989</v>
      </c>
    </row>
    <row r="7" spans="2:13" ht="26" x14ac:dyDescent="0.3">
      <c r="B7" s="32" t="s">
        <v>37</v>
      </c>
      <c r="C7" s="33">
        <f>C2-C6</f>
        <v>5194.66</v>
      </c>
      <c r="D7" s="34">
        <f>C7/C2</f>
        <v>0.61475266272189344</v>
      </c>
      <c r="E7" s="33">
        <f t="shared" si="0"/>
        <v>62335.92</v>
      </c>
      <c r="J7" s="37" t="s">
        <v>15</v>
      </c>
      <c r="K7" s="40">
        <f>SUM(K5:K6)</f>
        <v>8450</v>
      </c>
      <c r="L7" s="41">
        <f>L5+L6</f>
        <v>1</v>
      </c>
    </row>
    <row r="8" spans="2:13" x14ac:dyDescent="0.2">
      <c r="B8" s="7"/>
      <c r="C8" s="22"/>
      <c r="D8" s="8"/>
      <c r="E8" s="22"/>
    </row>
    <row r="9" spans="2:13" s="9" customFormat="1" x14ac:dyDescent="0.2">
      <c r="B9" s="10"/>
      <c r="C9" s="11"/>
      <c r="D9" s="11"/>
      <c r="G9"/>
      <c r="H9"/>
      <c r="I9"/>
      <c r="J9"/>
      <c r="K9"/>
      <c r="L9" s="3"/>
      <c r="M9"/>
    </row>
    <row r="10" spans="2:13" x14ac:dyDescent="0.2">
      <c r="B10" s="12" t="s">
        <v>20</v>
      </c>
      <c r="C10" s="13" t="s">
        <v>18</v>
      </c>
      <c r="D10" s="20" t="s">
        <v>16</v>
      </c>
      <c r="F10" s="2"/>
    </row>
    <row r="11" spans="2:13" x14ac:dyDescent="0.2">
      <c r="B11" s="14" t="s">
        <v>1</v>
      </c>
      <c r="C11" s="15">
        <v>1430</v>
      </c>
      <c r="D11" s="21">
        <f t="shared" ref="D11:D16" si="1">C11/$C$2</f>
        <v>0.16923076923076924</v>
      </c>
      <c r="G11" s="65" t="s">
        <v>34</v>
      </c>
      <c r="H11" s="65"/>
      <c r="I11" s="65"/>
      <c r="J11" s="65"/>
    </row>
    <row r="12" spans="2:13" x14ac:dyDescent="0.2">
      <c r="B12" s="14" t="s">
        <v>54</v>
      </c>
      <c r="C12" s="15">
        <v>100</v>
      </c>
      <c r="D12" s="21">
        <f t="shared" si="1"/>
        <v>1.1834319526627219E-2</v>
      </c>
      <c r="F12" s="42" t="s">
        <v>35</v>
      </c>
      <c r="G12" s="43" t="s">
        <v>30</v>
      </c>
      <c r="H12" s="43"/>
    </row>
    <row r="13" spans="2:13" x14ac:dyDescent="0.2">
      <c r="B13" s="14" t="s">
        <v>53</v>
      </c>
      <c r="C13" s="15">
        <v>100</v>
      </c>
      <c r="D13" s="21">
        <f t="shared" si="1"/>
        <v>1.1834319526627219E-2</v>
      </c>
      <c r="F13" s="42" t="s">
        <v>35</v>
      </c>
      <c r="G13" s="43" t="s">
        <v>31</v>
      </c>
      <c r="H13" s="43"/>
    </row>
    <row r="14" spans="2:13" x14ac:dyDescent="0.2">
      <c r="B14" s="14" t="s">
        <v>4</v>
      </c>
      <c r="C14" s="15">
        <v>50</v>
      </c>
      <c r="D14" s="21">
        <f t="shared" si="1"/>
        <v>5.9171597633136093E-3</v>
      </c>
      <c r="F14" s="42" t="s">
        <v>35</v>
      </c>
      <c r="G14" s="43" t="s">
        <v>32</v>
      </c>
      <c r="H14" s="43"/>
    </row>
    <row r="15" spans="2:13" x14ac:dyDescent="0.2">
      <c r="B15" s="14" t="s">
        <v>5</v>
      </c>
      <c r="C15" s="15">
        <v>247</v>
      </c>
      <c r="D15" s="21">
        <f t="shared" si="1"/>
        <v>2.923076923076923E-2</v>
      </c>
      <c r="F15" s="42" t="s">
        <v>35</v>
      </c>
      <c r="G15" s="43" t="s">
        <v>33</v>
      </c>
      <c r="H15" s="43"/>
    </row>
    <row r="16" spans="2:13" x14ac:dyDescent="0.2">
      <c r="B16" s="14" t="s">
        <v>6</v>
      </c>
      <c r="C16" s="15">
        <v>9.9499999999999993</v>
      </c>
      <c r="D16" s="21">
        <f t="shared" si="1"/>
        <v>1.1775147928994082E-3</v>
      </c>
      <c r="F16" s="42" t="s">
        <v>35</v>
      </c>
      <c r="G16" s="43"/>
      <c r="H16" s="43"/>
    </row>
    <row r="17" spans="2:8" x14ac:dyDescent="0.2">
      <c r="B17" s="14" t="s">
        <v>52</v>
      </c>
      <c r="C17" s="15">
        <f>27.77+18.63</f>
        <v>46.4</v>
      </c>
      <c r="D17" s="21"/>
      <c r="F17" s="42"/>
      <c r="G17" s="43"/>
      <c r="H17" s="43"/>
    </row>
    <row r="18" spans="2:8" x14ac:dyDescent="0.2">
      <c r="B18" s="14" t="s">
        <v>7</v>
      </c>
      <c r="C18" s="15">
        <v>11.99</v>
      </c>
      <c r="D18" s="21">
        <f>C18/$C$2</f>
        <v>1.4189349112426037E-3</v>
      </c>
      <c r="F18" s="43"/>
      <c r="G18" s="43"/>
      <c r="H18" s="43"/>
    </row>
    <row r="19" spans="2:8" x14ac:dyDescent="0.2">
      <c r="B19" s="14" t="s">
        <v>72</v>
      </c>
      <c r="C19" s="15">
        <v>25</v>
      </c>
      <c r="D19" s="21"/>
      <c r="F19" s="43"/>
      <c r="G19" s="43"/>
      <c r="H19" s="43"/>
    </row>
    <row r="20" spans="2:8" x14ac:dyDescent="0.2">
      <c r="B20" s="37" t="s">
        <v>22</v>
      </c>
      <c r="C20" s="38">
        <f>SUM(C11:C18)</f>
        <v>1995.3400000000001</v>
      </c>
      <c r="D20" s="39">
        <f>C20/C2</f>
        <v>0.23613491124260358</v>
      </c>
    </row>
    <row r="21" spans="2:8" x14ac:dyDescent="0.2">
      <c r="C21" s="1"/>
      <c r="D21" s="1"/>
      <c r="H21" s="3"/>
    </row>
    <row r="22" spans="2:8" x14ac:dyDescent="0.2">
      <c r="H22" s="3"/>
    </row>
    <row r="23" spans="2:8" x14ac:dyDescent="0.2">
      <c r="B23" s="12" t="s">
        <v>19</v>
      </c>
      <c r="C23" s="13" t="s">
        <v>23</v>
      </c>
      <c r="D23" s="13" t="s">
        <v>16</v>
      </c>
      <c r="H23" s="3"/>
    </row>
    <row r="24" spans="2:8" x14ac:dyDescent="0.2">
      <c r="B24" s="14" t="s">
        <v>8</v>
      </c>
      <c r="C24" s="36">
        <f>4*150</f>
        <v>600</v>
      </c>
      <c r="D24" s="35">
        <f>C24/C2</f>
        <v>7.1005917159763315E-2</v>
      </c>
      <c r="H24" s="3"/>
    </row>
    <row r="25" spans="2:8" x14ac:dyDescent="0.2">
      <c r="B25" s="14" t="s">
        <v>9</v>
      </c>
      <c r="C25" s="36">
        <f>4*40</f>
        <v>160</v>
      </c>
      <c r="D25" s="35">
        <f>C25/C2</f>
        <v>1.8934911242603551E-2</v>
      </c>
    </row>
    <row r="26" spans="2:8" x14ac:dyDescent="0.2">
      <c r="B26" s="14" t="s">
        <v>85</v>
      </c>
      <c r="C26" s="36">
        <v>500</v>
      </c>
      <c r="D26" s="35">
        <f>C26/C2</f>
        <v>5.9171597633136092E-2</v>
      </c>
      <c r="G26" s="3"/>
      <c r="H26" s="3"/>
    </row>
    <row r="27" spans="2:8" x14ac:dyDescent="0.2">
      <c r="B27" s="37" t="s">
        <v>22</v>
      </c>
      <c r="C27" s="40">
        <f>SUM(C24:C26)</f>
        <v>1260</v>
      </c>
      <c r="D27" s="41">
        <f>SUM(D24:D26)</f>
        <v>0.14911242603550295</v>
      </c>
      <c r="F27" s="3"/>
    </row>
  </sheetData>
  <mergeCells count="1">
    <mergeCell ref="G11:J11"/>
  </mergeCells>
  <pageMargins left="0.7" right="0.7" top="0.75" bottom="0.75" header="0.3" footer="0.3"/>
  <pageSetup orientation="portrait" horizontalDpi="0" verticalDpi="0"/>
  <ignoredErrors>
    <ignoredError sqref="D24:D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370B-075A-794E-BE86-76310A3B1D36}">
  <dimension ref="B2:Q45"/>
  <sheetViews>
    <sheetView showGridLines="0" tabSelected="1" topLeftCell="B4" zoomScale="110" zoomScaleNormal="130" workbookViewId="0">
      <selection activeCell="N38" sqref="N38"/>
    </sheetView>
  </sheetViews>
  <sheetFormatPr baseColWidth="10" defaultRowHeight="16" x14ac:dyDescent="0.2"/>
  <cols>
    <col min="2" max="2" width="13" bestFit="1" customWidth="1"/>
    <col min="3" max="3" width="27.1640625" bestFit="1" customWidth="1"/>
    <col min="4" max="4" width="16.1640625" customWidth="1"/>
    <col min="5" max="5" width="16.6640625" customWidth="1"/>
    <col min="9" max="9" width="13" bestFit="1" customWidth="1"/>
    <col min="10" max="11" width="12.83203125" bestFit="1" customWidth="1"/>
    <col min="13" max="13" width="39.33203125" bestFit="1" customWidth="1"/>
    <col min="14" max="16" width="11.6640625" bestFit="1" customWidth="1"/>
  </cols>
  <sheetData>
    <row r="2" spans="2:11" x14ac:dyDescent="0.2">
      <c r="B2" s="49" t="s">
        <v>38</v>
      </c>
      <c r="C2" t="s">
        <v>14</v>
      </c>
      <c r="D2" s="51" t="s">
        <v>71</v>
      </c>
    </row>
    <row r="3" spans="2:11" x14ac:dyDescent="0.2">
      <c r="B3" s="50" t="s">
        <v>69</v>
      </c>
      <c r="C3" s="3">
        <v>1930.5600000000002</v>
      </c>
      <c r="D3" s="3">
        <f>PLAN!C20-GETPIVOTDATA("Dollar",'Oct 2019'!$B$2,"Type","STD")</f>
        <v>64.779999999999973</v>
      </c>
    </row>
    <row r="4" spans="2:11" x14ac:dyDescent="0.2">
      <c r="B4" s="50" t="s">
        <v>25</v>
      </c>
      <c r="C4" s="3">
        <v>264.42</v>
      </c>
      <c r="D4" s="3">
        <f>PLAN!C27-GETPIVOTDATA("Dollar",'Oct 2019'!$B$2,"Type","VAR")</f>
        <v>995.57999999999993</v>
      </c>
      <c r="F4">
        <f>3600-GETPIVOTDATA("Dollar",$B$2)</f>
        <v>1405.02</v>
      </c>
    </row>
    <row r="5" spans="2:11" x14ac:dyDescent="0.2">
      <c r="B5" s="50" t="s">
        <v>70</v>
      </c>
      <c r="C5" s="3">
        <v>2194.98</v>
      </c>
      <c r="D5" s="52">
        <f>SUM(D3:D4)</f>
        <v>1060.3599999999999</v>
      </c>
    </row>
    <row r="8" spans="2:11" x14ac:dyDescent="0.2">
      <c r="J8" t="s">
        <v>64</v>
      </c>
      <c r="K8" t="s">
        <v>62</v>
      </c>
    </row>
    <row r="9" spans="2:11" x14ac:dyDescent="0.2">
      <c r="B9" s="47" t="s">
        <v>43</v>
      </c>
      <c r="C9" s="48" t="s">
        <v>0</v>
      </c>
      <c r="D9" s="47" t="s">
        <v>44</v>
      </c>
      <c r="E9" s="47" t="s">
        <v>46</v>
      </c>
      <c r="F9" s="47" t="s">
        <v>39</v>
      </c>
      <c r="G9" s="47" t="s">
        <v>45</v>
      </c>
      <c r="J9" t="s">
        <v>63</v>
      </c>
      <c r="K9" t="s">
        <v>61</v>
      </c>
    </row>
    <row r="10" spans="2:11" x14ac:dyDescent="0.2">
      <c r="B10" s="53">
        <v>43739</v>
      </c>
      <c r="C10" s="54" t="s">
        <v>1</v>
      </c>
      <c r="D10" s="55" t="s">
        <v>69</v>
      </c>
      <c r="E10" s="55" t="s">
        <v>64</v>
      </c>
      <c r="F10" s="56">
        <v>1430</v>
      </c>
      <c r="G10" s="57">
        <v>0</v>
      </c>
      <c r="J10" t="s">
        <v>79</v>
      </c>
      <c r="K10" t="s">
        <v>47</v>
      </c>
    </row>
    <row r="11" spans="2:11" x14ac:dyDescent="0.2">
      <c r="B11" s="53">
        <v>43739</v>
      </c>
      <c r="C11" s="54" t="s">
        <v>2</v>
      </c>
      <c r="D11" s="55" t="s">
        <v>69</v>
      </c>
      <c r="E11" s="55" t="s">
        <v>63</v>
      </c>
      <c r="F11" s="56">
        <v>83.63</v>
      </c>
      <c r="G11" s="57">
        <f>PLAN!C12-'Oct 2019'!F11</f>
        <v>16.370000000000005</v>
      </c>
      <c r="J11" t="s">
        <v>77</v>
      </c>
      <c r="K11" t="s">
        <v>48</v>
      </c>
    </row>
    <row r="12" spans="2:11" x14ac:dyDescent="0.2">
      <c r="B12" s="53">
        <v>43739</v>
      </c>
      <c r="C12" s="54" t="s">
        <v>3</v>
      </c>
      <c r="D12" s="55" t="s">
        <v>69</v>
      </c>
      <c r="E12" s="55" t="s">
        <v>63</v>
      </c>
      <c r="F12" s="56">
        <v>51.69</v>
      </c>
      <c r="G12" s="57">
        <f>PLAN!C13-'Oct 2019'!F12</f>
        <v>48.31</v>
      </c>
      <c r="J12" t="s">
        <v>98</v>
      </c>
      <c r="K12" t="s">
        <v>99</v>
      </c>
    </row>
    <row r="13" spans="2:11" x14ac:dyDescent="0.2">
      <c r="B13" s="53">
        <v>43740</v>
      </c>
      <c r="C13" s="54" t="s">
        <v>56</v>
      </c>
      <c r="D13" s="55" t="s">
        <v>25</v>
      </c>
      <c r="E13" s="55" t="s">
        <v>66</v>
      </c>
      <c r="F13" s="56">
        <v>5.2</v>
      </c>
      <c r="G13" s="54"/>
      <c r="J13" t="s">
        <v>58</v>
      </c>
      <c r="K13" t="s">
        <v>59</v>
      </c>
    </row>
    <row r="14" spans="2:11" x14ac:dyDescent="0.2">
      <c r="B14" s="53">
        <v>43741</v>
      </c>
      <c r="C14" s="54" t="s">
        <v>7</v>
      </c>
      <c r="D14" s="55" t="s">
        <v>69</v>
      </c>
      <c r="E14" s="55" t="s">
        <v>64</v>
      </c>
      <c r="F14" s="56">
        <v>11.99</v>
      </c>
      <c r="G14" s="57">
        <v>0</v>
      </c>
      <c r="J14" t="s">
        <v>78</v>
      </c>
      <c r="K14" t="s">
        <v>65</v>
      </c>
    </row>
    <row r="15" spans="2:11" x14ac:dyDescent="0.2">
      <c r="B15" s="53">
        <v>43741</v>
      </c>
      <c r="C15" s="54" t="s">
        <v>49</v>
      </c>
      <c r="D15" s="55" t="s">
        <v>69</v>
      </c>
      <c r="E15" s="55" t="s">
        <v>64</v>
      </c>
      <c r="F15" s="56">
        <v>18.53</v>
      </c>
      <c r="G15" s="57">
        <v>0</v>
      </c>
      <c r="J15" t="s">
        <v>66</v>
      </c>
      <c r="K15" t="s">
        <v>67</v>
      </c>
    </row>
    <row r="16" spans="2:11" x14ac:dyDescent="0.2">
      <c r="B16" s="53">
        <v>43741</v>
      </c>
      <c r="C16" s="54" t="s">
        <v>55</v>
      </c>
      <c r="D16" s="55" t="s">
        <v>25</v>
      </c>
      <c r="E16" s="55" t="s">
        <v>78</v>
      </c>
      <c r="F16" s="56">
        <v>22.21</v>
      </c>
      <c r="G16" s="54"/>
      <c r="J16" t="s">
        <v>83</v>
      </c>
      <c r="K16" t="s">
        <v>84</v>
      </c>
    </row>
    <row r="17" spans="2:17" x14ac:dyDescent="0.2">
      <c r="B17" s="58">
        <v>43742</v>
      </c>
      <c r="C17" s="59" t="s">
        <v>42</v>
      </c>
      <c r="D17" s="55" t="s">
        <v>25</v>
      </c>
      <c r="E17" s="55" t="s">
        <v>98</v>
      </c>
      <c r="F17" s="56">
        <v>15.12</v>
      </c>
      <c r="G17" s="54"/>
    </row>
    <row r="18" spans="2:17" x14ac:dyDescent="0.2">
      <c r="B18" s="53">
        <v>43742</v>
      </c>
      <c r="C18" s="54" t="s">
        <v>57</v>
      </c>
      <c r="D18" s="55" t="s">
        <v>25</v>
      </c>
      <c r="E18" s="55" t="s">
        <v>80</v>
      </c>
      <c r="F18" s="56">
        <v>10.81</v>
      </c>
      <c r="G18" s="54"/>
    </row>
    <row r="19" spans="2:17" x14ac:dyDescent="0.2">
      <c r="B19" s="58">
        <v>43743</v>
      </c>
      <c r="C19" s="59" t="s">
        <v>40</v>
      </c>
      <c r="D19" s="55" t="s">
        <v>25</v>
      </c>
      <c r="E19" s="55" t="s">
        <v>58</v>
      </c>
      <c r="F19" s="56">
        <v>106.93</v>
      </c>
      <c r="G19" s="54"/>
    </row>
    <row r="20" spans="2:17" x14ac:dyDescent="0.2">
      <c r="B20" s="58">
        <v>43743</v>
      </c>
      <c r="C20" s="59" t="s">
        <v>41</v>
      </c>
      <c r="D20" s="55" t="s">
        <v>25</v>
      </c>
      <c r="E20" s="55" t="s">
        <v>79</v>
      </c>
      <c r="F20" s="56">
        <v>43.41</v>
      </c>
      <c r="G20" s="54"/>
      <c r="O20" s="44"/>
      <c r="P20" s="45"/>
    </row>
    <row r="21" spans="2:17" x14ac:dyDescent="0.2">
      <c r="B21" s="53">
        <v>43743</v>
      </c>
      <c r="C21" s="54" t="s">
        <v>60</v>
      </c>
      <c r="D21" s="55" t="s">
        <v>25</v>
      </c>
      <c r="E21" s="55" t="s">
        <v>58</v>
      </c>
      <c r="F21" s="56">
        <v>48.33</v>
      </c>
      <c r="G21" s="54"/>
      <c r="I21" s="49" t="s">
        <v>81</v>
      </c>
      <c r="J21" t="s">
        <v>82</v>
      </c>
      <c r="O21" s="46"/>
      <c r="P21" s="44"/>
      <c r="Q21" s="45"/>
    </row>
    <row r="22" spans="2:17" x14ac:dyDescent="0.2">
      <c r="B22" s="53">
        <v>43743</v>
      </c>
      <c r="C22" s="54" t="s">
        <v>68</v>
      </c>
      <c r="D22" s="55" t="s">
        <v>25</v>
      </c>
      <c r="E22" s="55" t="s">
        <v>78</v>
      </c>
      <c r="F22" s="56">
        <v>12.41</v>
      </c>
      <c r="G22" s="54"/>
      <c r="I22" s="50" t="s">
        <v>69</v>
      </c>
      <c r="J22" s="64">
        <v>1930.56</v>
      </c>
      <c r="O22" s="46"/>
      <c r="P22" s="44"/>
      <c r="Q22" s="45"/>
    </row>
    <row r="23" spans="2:17" x14ac:dyDescent="0.2">
      <c r="B23" s="66">
        <v>43744</v>
      </c>
      <c r="C23" s="67" t="s">
        <v>73</v>
      </c>
      <c r="D23" s="68" t="s">
        <v>25</v>
      </c>
      <c r="E23" s="68" t="s">
        <v>66</v>
      </c>
      <c r="F23" s="69">
        <v>3</v>
      </c>
      <c r="G23" s="67"/>
      <c r="I23" s="75" t="s">
        <v>64</v>
      </c>
      <c r="J23" s="64">
        <v>1795.24</v>
      </c>
      <c r="O23" s="46"/>
      <c r="P23" s="44"/>
      <c r="Q23" s="45"/>
    </row>
    <row r="24" spans="2:17" x14ac:dyDescent="0.2">
      <c r="B24" s="66">
        <v>43745</v>
      </c>
      <c r="C24" s="67" t="s">
        <v>74</v>
      </c>
      <c r="D24" s="68" t="s">
        <v>25</v>
      </c>
      <c r="E24" s="68" t="s">
        <v>78</v>
      </c>
      <c r="F24" s="69">
        <v>11</v>
      </c>
      <c r="G24" s="67"/>
      <c r="I24" s="75" t="s">
        <v>63</v>
      </c>
      <c r="J24" s="64">
        <v>135.32</v>
      </c>
      <c r="M24" s="12" t="s">
        <v>19</v>
      </c>
      <c r="N24" s="13" t="s">
        <v>23</v>
      </c>
      <c r="O24" s="13" t="s">
        <v>108</v>
      </c>
      <c r="P24" s="13" t="s">
        <v>109</v>
      </c>
    </row>
    <row r="25" spans="2:17" x14ac:dyDescent="0.2">
      <c r="B25" s="66">
        <v>43748</v>
      </c>
      <c r="C25" s="67" t="s">
        <v>75</v>
      </c>
      <c r="D25" s="68" t="s">
        <v>25</v>
      </c>
      <c r="E25" s="68" t="s">
        <v>66</v>
      </c>
      <c r="F25" s="70">
        <v>47.06</v>
      </c>
      <c r="G25" s="67"/>
      <c r="I25" s="50" t="s">
        <v>25</v>
      </c>
      <c r="J25" s="64">
        <v>859.83999999999992</v>
      </c>
      <c r="M25" s="14" t="s">
        <v>8</v>
      </c>
      <c r="N25" s="36">
        <f>4*150</f>
        <v>600</v>
      </c>
      <c r="O25" s="36">
        <f>GETPIVOTDATA("Dollar",$I$21,"Category","GRO")</f>
        <v>253.86</v>
      </c>
      <c r="P25" s="36">
        <f>N25-O25</f>
        <v>346.14</v>
      </c>
    </row>
    <row r="26" spans="2:17" x14ac:dyDescent="0.2">
      <c r="B26" s="60">
        <v>43748</v>
      </c>
      <c r="C26" s="61" t="s">
        <v>105</v>
      </c>
      <c r="D26" s="62" t="s">
        <v>25</v>
      </c>
      <c r="E26" s="62" t="s">
        <v>66</v>
      </c>
      <c r="F26" s="63">
        <v>47.06</v>
      </c>
      <c r="G26" s="61"/>
      <c r="I26" s="75" t="s">
        <v>78</v>
      </c>
      <c r="J26" s="64">
        <v>62.28</v>
      </c>
      <c r="M26" s="14" t="s">
        <v>9</v>
      </c>
      <c r="N26" s="36">
        <f>4*40</f>
        <v>160</v>
      </c>
      <c r="O26" s="36">
        <f>GETPIVOTDATA("Dollar",$I$21,"Category","FOD")</f>
        <v>107.82</v>
      </c>
      <c r="P26" s="36">
        <f>N26-O26</f>
        <v>52.180000000000007</v>
      </c>
    </row>
    <row r="27" spans="2:17" x14ac:dyDescent="0.2">
      <c r="B27" s="60">
        <v>43749</v>
      </c>
      <c r="C27" s="61" t="s">
        <v>103</v>
      </c>
      <c r="D27" s="62" t="s">
        <v>25</v>
      </c>
      <c r="E27" s="62" t="s">
        <v>58</v>
      </c>
      <c r="F27" s="63">
        <v>39.090000000000003</v>
      </c>
      <c r="G27" s="61"/>
      <c r="I27" s="75" t="s">
        <v>66</v>
      </c>
      <c r="J27" s="64">
        <v>102.32000000000001</v>
      </c>
      <c r="M27" s="14" t="s">
        <v>85</v>
      </c>
      <c r="N27" s="36">
        <v>500</v>
      </c>
      <c r="O27" s="36">
        <f>GETPIVOTDATA("Dollar",$I$21,"Category","SHO")+GETPIVOTDATA("Dollar",$I$21,"Category","ENT")+GETPIVOTDATA("Dollar",$I$21,"Category","MISC")</f>
        <v>287.82</v>
      </c>
      <c r="P27" s="36">
        <f>N27-O27</f>
        <v>212.18</v>
      </c>
    </row>
    <row r="28" spans="2:17" x14ac:dyDescent="0.2">
      <c r="B28" s="60">
        <v>43750</v>
      </c>
      <c r="C28" s="61" t="s">
        <v>104</v>
      </c>
      <c r="D28" s="62" t="s">
        <v>25</v>
      </c>
      <c r="E28" s="62" t="s">
        <v>58</v>
      </c>
      <c r="F28" s="63">
        <v>14.62</v>
      </c>
      <c r="G28" s="61"/>
      <c r="I28" s="75" t="s">
        <v>79</v>
      </c>
      <c r="J28" s="64">
        <v>107.82</v>
      </c>
      <c r="M28" s="37" t="s">
        <v>22</v>
      </c>
      <c r="N28" s="40">
        <f>SUM(N25:N27)</f>
        <v>1260</v>
      </c>
      <c r="O28" s="76">
        <f>SUM(O25:O27)</f>
        <v>649.5</v>
      </c>
      <c r="P28" s="77">
        <f>SUM(P25:P27)</f>
        <v>610.5</v>
      </c>
    </row>
    <row r="29" spans="2:17" x14ac:dyDescent="0.2">
      <c r="B29" s="60">
        <v>43750</v>
      </c>
      <c r="C29" s="61" t="s">
        <v>101</v>
      </c>
      <c r="D29" s="62" t="s">
        <v>25</v>
      </c>
      <c r="E29" s="62" t="s">
        <v>58</v>
      </c>
      <c r="F29" s="63">
        <v>44.89</v>
      </c>
      <c r="G29" s="61"/>
      <c r="I29" s="75" t="s">
        <v>58</v>
      </c>
      <c r="J29" s="64">
        <v>253.86</v>
      </c>
    </row>
    <row r="30" spans="2:17" x14ac:dyDescent="0.2">
      <c r="B30" s="60">
        <v>43750</v>
      </c>
      <c r="C30" s="61" t="s">
        <v>102</v>
      </c>
      <c r="D30" s="62" t="s">
        <v>25</v>
      </c>
      <c r="E30" s="62" t="s">
        <v>78</v>
      </c>
      <c r="F30" s="63">
        <v>16.66</v>
      </c>
      <c r="G30" s="61"/>
      <c r="I30" s="75" t="s">
        <v>77</v>
      </c>
      <c r="J30" s="64">
        <v>137.25</v>
      </c>
    </row>
    <row r="31" spans="2:17" x14ac:dyDescent="0.2">
      <c r="B31" s="60">
        <v>43750</v>
      </c>
      <c r="C31" s="61" t="s">
        <v>76</v>
      </c>
      <c r="D31" s="62" t="s">
        <v>25</v>
      </c>
      <c r="E31" s="62" t="s">
        <v>77</v>
      </c>
      <c r="F31" s="63">
        <v>37.25</v>
      </c>
      <c r="G31" s="61"/>
      <c r="I31" s="75" t="s">
        <v>98</v>
      </c>
      <c r="J31" s="64">
        <v>26.119999999999997</v>
      </c>
    </row>
    <row r="32" spans="2:17" x14ac:dyDescent="0.2">
      <c r="B32" s="60">
        <v>43752</v>
      </c>
      <c r="C32" s="61" t="s">
        <v>86</v>
      </c>
      <c r="D32" s="62" t="s">
        <v>25</v>
      </c>
      <c r="E32" s="62" t="s">
        <v>83</v>
      </c>
      <c r="F32" s="63">
        <v>64.849999999999994</v>
      </c>
      <c r="G32" s="61"/>
      <c r="I32" s="75" t="s">
        <v>83</v>
      </c>
      <c r="J32" s="64">
        <v>159.38</v>
      </c>
    </row>
    <row r="33" spans="2:11" x14ac:dyDescent="0.2">
      <c r="B33" s="60">
        <v>43752</v>
      </c>
      <c r="C33" s="61" t="s">
        <v>97</v>
      </c>
      <c r="D33" s="62" t="s">
        <v>25</v>
      </c>
      <c r="E33" s="62" t="s">
        <v>83</v>
      </c>
      <c r="F33" s="63">
        <v>94.53</v>
      </c>
      <c r="G33" s="61"/>
      <c r="I33" s="75" t="s">
        <v>80</v>
      </c>
      <c r="J33" s="64">
        <v>10.81</v>
      </c>
    </row>
    <row r="34" spans="2:11" x14ac:dyDescent="0.2">
      <c r="B34" s="60">
        <v>43752</v>
      </c>
      <c r="C34" s="61" t="s">
        <v>95</v>
      </c>
      <c r="D34" s="62" t="s">
        <v>25</v>
      </c>
      <c r="E34" s="62" t="s">
        <v>79</v>
      </c>
      <c r="F34" s="63">
        <v>17.46</v>
      </c>
      <c r="G34" s="61"/>
      <c r="I34" s="50" t="s">
        <v>107</v>
      </c>
      <c r="J34" s="64"/>
    </row>
    <row r="35" spans="2:11" x14ac:dyDescent="0.2">
      <c r="B35" s="53">
        <v>43754</v>
      </c>
      <c r="C35" s="54" t="s">
        <v>51</v>
      </c>
      <c r="D35" s="55" t="s">
        <v>69</v>
      </c>
      <c r="E35" s="55" t="s">
        <v>64</v>
      </c>
      <c r="F35" s="56">
        <v>247</v>
      </c>
      <c r="G35" s="57">
        <v>0</v>
      </c>
      <c r="I35" s="75" t="s">
        <v>107</v>
      </c>
      <c r="J35" s="64"/>
    </row>
    <row r="36" spans="2:11" x14ac:dyDescent="0.2">
      <c r="B36" s="60">
        <v>43756</v>
      </c>
      <c r="C36" s="61" t="s">
        <v>96</v>
      </c>
      <c r="D36" s="62" t="s">
        <v>25</v>
      </c>
      <c r="E36" s="62" t="s">
        <v>98</v>
      </c>
      <c r="F36" s="63">
        <v>11</v>
      </c>
      <c r="G36" s="61"/>
      <c r="I36" s="50" t="s">
        <v>70</v>
      </c>
      <c r="J36" s="64">
        <v>2790.4</v>
      </c>
    </row>
    <row r="37" spans="2:11" x14ac:dyDescent="0.2">
      <c r="B37" s="60">
        <v>43756</v>
      </c>
      <c r="C37" s="61" t="s">
        <v>100</v>
      </c>
      <c r="D37" s="62" t="s">
        <v>25</v>
      </c>
      <c r="E37" s="62" t="s">
        <v>79</v>
      </c>
      <c r="F37" s="63">
        <v>46.95</v>
      </c>
      <c r="G37" s="61"/>
    </row>
    <row r="38" spans="2:11" x14ac:dyDescent="0.2">
      <c r="B38" s="53">
        <v>43757</v>
      </c>
      <c r="C38" s="54" t="s">
        <v>50</v>
      </c>
      <c r="D38" s="55" t="s">
        <v>69</v>
      </c>
      <c r="E38" s="55" t="s">
        <v>64</v>
      </c>
      <c r="F38" s="56">
        <v>27.77</v>
      </c>
      <c r="G38" s="57">
        <v>0</v>
      </c>
    </row>
    <row r="39" spans="2:11" x14ac:dyDescent="0.2">
      <c r="B39" s="53">
        <v>43762</v>
      </c>
      <c r="C39" s="54" t="s">
        <v>4</v>
      </c>
      <c r="D39" s="55" t="s">
        <v>69</v>
      </c>
      <c r="E39" s="55" t="s">
        <v>64</v>
      </c>
      <c r="F39" s="56">
        <v>50</v>
      </c>
      <c r="G39" s="57">
        <f>PLAN!C14-'Oct 2019'!F13</f>
        <v>44.8</v>
      </c>
    </row>
    <row r="40" spans="2:11" x14ac:dyDescent="0.2">
      <c r="B40" s="53">
        <v>43763</v>
      </c>
      <c r="C40" s="54" t="s">
        <v>6</v>
      </c>
      <c r="D40" s="55" t="s">
        <v>69</v>
      </c>
      <c r="E40" s="55" t="s">
        <v>64</v>
      </c>
      <c r="F40" s="56">
        <v>9.9499999999999993</v>
      </c>
      <c r="G40" s="57">
        <v>0</v>
      </c>
      <c r="K40" s="3"/>
    </row>
    <row r="41" spans="2:11" x14ac:dyDescent="0.2">
      <c r="B41" s="60">
        <v>43757</v>
      </c>
      <c r="C41" s="61" t="s">
        <v>106</v>
      </c>
      <c r="D41" s="62" t="s">
        <v>25</v>
      </c>
      <c r="E41" s="62" t="s">
        <v>77</v>
      </c>
      <c r="F41" s="74">
        <v>100</v>
      </c>
      <c r="G41" s="61"/>
      <c r="K41" s="3"/>
    </row>
    <row r="42" spans="2:11" x14ac:dyDescent="0.2">
      <c r="B42" s="60"/>
      <c r="C42" s="61"/>
      <c r="D42" s="62"/>
      <c r="E42" s="62"/>
      <c r="F42" s="63"/>
      <c r="G42" s="61"/>
    </row>
    <row r="43" spans="2:11" x14ac:dyDescent="0.2">
      <c r="B43" s="60"/>
      <c r="C43" s="61"/>
      <c r="D43" s="62"/>
      <c r="E43" s="62"/>
      <c r="F43" s="63"/>
      <c r="G43" s="61"/>
    </row>
    <row r="44" spans="2:11" x14ac:dyDescent="0.2">
      <c r="B44" s="60"/>
      <c r="C44" s="61"/>
      <c r="D44" s="62"/>
      <c r="E44" s="62"/>
      <c r="F44" s="63"/>
      <c r="G44" s="61"/>
    </row>
    <row r="45" spans="2:11" x14ac:dyDescent="0.2">
      <c r="B45" s="60"/>
      <c r="C45" s="61"/>
      <c r="D45" s="62"/>
      <c r="E45" s="62"/>
      <c r="F45" s="63"/>
      <c r="G45" s="61"/>
    </row>
  </sheetData>
  <autoFilter ref="B9:G41" xr:uid="{42DB263D-2265-EB43-B806-58B40974689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932E-75B9-CB49-A5C5-1E91EA00CF65}">
  <dimension ref="A1:E4"/>
  <sheetViews>
    <sheetView workbookViewId="0">
      <selection activeCell="D2" sqref="D2"/>
    </sheetView>
  </sheetViews>
  <sheetFormatPr baseColWidth="10" defaultRowHeight="16" x14ac:dyDescent="0.2"/>
  <cols>
    <col min="1" max="1" width="11.5" bestFit="1" customWidth="1"/>
    <col min="2" max="2" width="84.1640625" bestFit="1" customWidth="1"/>
  </cols>
  <sheetData>
    <row r="1" spans="1:5" x14ac:dyDescent="0.2">
      <c r="A1" s="71" t="s">
        <v>87</v>
      </c>
      <c r="B1" s="71" t="s">
        <v>88</v>
      </c>
      <c r="C1" s="72" t="s">
        <v>89</v>
      </c>
      <c r="D1" s="73">
        <v>11</v>
      </c>
      <c r="E1" s="73">
        <v>256.95</v>
      </c>
    </row>
    <row r="2" spans="1:5" x14ac:dyDescent="0.2">
      <c r="A2" s="71" t="s">
        <v>90</v>
      </c>
      <c r="B2" s="71" t="s">
        <v>91</v>
      </c>
      <c r="C2" s="72" t="s">
        <v>92</v>
      </c>
      <c r="D2" s="73">
        <v>17.46</v>
      </c>
      <c r="E2" s="73">
        <v>245.95</v>
      </c>
    </row>
    <row r="3" spans="1:5" x14ac:dyDescent="0.2">
      <c r="A3" s="71" t="s">
        <v>90</v>
      </c>
      <c r="B3" s="71" t="s">
        <v>93</v>
      </c>
      <c r="C3" s="72" t="s">
        <v>92</v>
      </c>
      <c r="D3" s="73">
        <v>94.53</v>
      </c>
      <c r="E3" s="73">
        <v>228.49</v>
      </c>
    </row>
    <row r="4" spans="1:5" x14ac:dyDescent="0.2">
      <c r="A4" s="71" t="s">
        <v>90</v>
      </c>
      <c r="B4" s="71" t="s">
        <v>94</v>
      </c>
      <c r="C4" s="72" t="s">
        <v>92</v>
      </c>
      <c r="D4" s="73">
        <v>64.849999999999994</v>
      </c>
      <c r="E4" s="73">
        <v>133.96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PLAN</vt:lpstr>
      <vt:lpstr>Oct 2019</vt:lpstr>
      <vt:lpstr>Sheet1</vt:lpstr>
      <vt:lpstr>Sheet1!expand_transaction_from_arrow_3</vt:lpstr>
      <vt:lpstr>Sheet1!expand_transaction_from_arrow_4</vt:lpstr>
      <vt:lpstr>Sheet1!expand_transaction_from_arrow_5</vt:lpstr>
      <vt:lpstr>Sheet1!expand_transaction_from_arrow_6</vt:lpstr>
      <vt:lpstr>Sheet1!expand_transaction_from_description_3</vt:lpstr>
      <vt:lpstr>Sheet1!expand_transaction_from_description_4</vt:lpstr>
      <vt:lpstr>Sheet1!expand_transaction_from_description_5</vt:lpstr>
      <vt:lpstr>Sheet1!expand_transaction_from_description_6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2019-10-05T23:38:35Z</dcterms:created>
  <dcterms:modified xsi:type="dcterms:W3CDTF">2019-10-19T14:21:20Z</dcterms:modified>
</cp:coreProperties>
</file>