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User inputs" sheetId="2" r:id="rId4"/>
    <sheet state="visible" name="Moral weights" sheetId="3" r:id="rId5"/>
    <sheet state="visible" name="Results" sheetId="4" r:id="rId6"/>
    <sheet state="visible" name="Bednets" sheetId="5" r:id="rId7"/>
    <sheet state="visible" name="Cash" sheetId="6" r:id="rId8"/>
    <sheet state="visible" name="Deworming - DtW" sheetId="7" r:id="rId9"/>
    <sheet state="visible" name="Deworming - END" sheetId="8" r:id="rId10"/>
    <sheet state="visible" name="Deworming - SCI" sheetId="9" r:id="rId11"/>
    <sheet state="visible" name="Deworming - SS" sheetId="10" r:id="rId12"/>
    <sheet state="visible" name="SMC" sheetId="11" r:id="rId13"/>
    <sheet state="visible" name="VAS" sheetId="12" r:id="rId14"/>
    <sheet state="visible" name="Counterfactual non-philanthropi" sheetId="13" r:id="rId15"/>
    <sheet state="visible" name="InclusionExclusion" sheetId="14" r:id="rId16"/>
    <sheet state="visible" name="Sources" sheetId="15" r:id="rId17"/>
    <sheet state="visible" name="Helper sheet" sheetId="16" r:id="rId18"/>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I have not had time to engage on these parameters sufficiently to be able to come up with my own estimates. As a result, I have deferred to user input owners in all cases. (See Natalie's column.)</t>
      </text>
    </comment>
    <comment authorId="0" ref="G1">
      <text>
        <t xml:space="preserve">Explanation for my choices is in this document: https://docs.google.com/document/d/10IHht0DzsEyMZBTC5LQX57_U_lCDjzo6uQo12Sg6a9M/edit#heading=h.wpx6subbl8j5</t>
      </text>
    </comment>
    <comment authorId="0" ref="Q1">
      <text>
        <t xml:space="preserve">Defer to Josh.</t>
      </text>
    </comment>
    <comment authorId="0" ref="A3">
      <text>
        <t xml:space="preserve">The discount rate adjusts for benefits that occur at different points in time. For a number of reasons, individuals may believe it is preferable for a good thing to happen today than for that same good thing to happen at some point in the future.</t>
      </text>
    </comment>
    <comment authorId="0" ref="E3">
      <text>
        <t xml:space="preserve">Averaging James and Caitlin, the parameter owners</t>
      </text>
    </comment>
    <comment authorId="0" ref="F3">
      <text>
        <t xml:space="preserve">Please note: this discount rate is not intended to reflect intergenerational discounting over very long time horizons, but rather relative valuations of expected consumption now vs expected consumption later for GiveWell's beneficiaries. None of GiveWell’s current interventions operate over an intergenerational horizon. 
I propose a higher discount rate than many at GiveWell for a few main reasons:
(i) the discount rate should incorporate a risk premium in case expected benefits fail to materialize as conditions change over time. The more distant an expected outcome is, the more likely that it could be affected by changes in economic fundamentals, disease burdens, etc. We’re relying on past outcomes in time-specific contexts to draw inference about future incomes, and this process is inherently uncertain. I don’t believe we can adequately adjust for temporal uncertainty in other parameters, because (a) it is unpredictable by definition and (b) we often don’t know exactly how an intervention interacts with contextual factors at the time a trial was run, so we couldn’t necessarily adjust for changes in these factors even if we had strong predictions over them. 
(ii) the marginal utility of consumption could change over time, and in general I expect it to fall in most cases as developing economies continue to grow. For this reason, I prefer consumption to households at subsistence level now over similar percentage-wise consumption increases to these households later, when they may already be at higher levels of consumption due to outside factors. 
(iii) beneficiaries could experience additional returns over time when near-term benefits enable them to make investments.  
My actual input value is a rough estimate on the low end of the real interest rate on 10-year government bonds in developing countries. I think of this as a proxy for current medium-horizon, low-risk returns on investment in these contexts (private rates of return could be higher). I intend to spend more time honing my value for this input over time.
Additional thoughts and interaction with James about the discount rate for the 2018 giving season is available here: https://docs.google.com/document/d/1xE6S2i-DH4fOp_cUUt1AOD-He1UCd9QlCE35kIhf1m0/edit?usp=sharing. 
</t>
      </text>
    </comment>
    <comment authorId="0" ref="H3">
      <text>
        <t xml:space="preserve">Averaging Caitlin and James' values.</t>
      </text>
    </comment>
    <comment authorId="0" ref="I3">
      <text>
        <t xml:space="preserve">The rationale for my discount rate is here: https://docs.google.com/document/d/154cTbw2wBRrbwpGXqdGn2CSHHb-lMcXmlJpp1lyzM6s/edit#heading=h.4bkjc7386rdh
And an update is here:
https://docs.google.com/document/d/1LmEmAVz3JeBA-QWwo7iIDd22DaeNFeWPQzAUjSFWPos/edit#</t>
      </text>
    </comment>
    <comment authorId="0" ref="J3">
      <text>
        <t xml:space="preserve">Josh:
Deferring to James (see his cell note).
For archive reasons, my old input (4%) explanation is here:
I lay out my reasoning in this spreadsheet: https://docs.google.com/spreadsheets/d/1BW1TqDRi9OGaVnMrf2ziy2uYzuHFl--Enm5bxOmVC6o/edit?usp=sharing
In brief, the primary reason I'm discounting is that I expect good done today will have positive flow-through effects/compounding returns, so it's better to cause good things to happen now instead of later. I'm highly uncertain about the best value to use to account for that factor.
I think the main way that this discount rate makes a material difference to our model is that it penalizes deworming since many of its benefits accrue ~10-40 years in the future. (It also affects cash a bit, but the cost-effectiveness doesn't change nearly as much.) Therefore when I'm thinking about the discount rate I'm asking myself, "Is this reason for discounting relevant to thinking about giving to deworming vs. other programs?"</t>
      </text>
    </comment>
    <comment authorId="0" ref="K3">
      <text>
        <t xml:space="preserve">https://docs.google.com/document/d/1Jwe0PzDhCIIE3ymH_1Ct8btAaQ8_C_wXl23AxDgZi9M/edit?usp=sharing</t>
      </text>
    </comment>
    <comment authorId="0" ref="L3">
      <text>
        <t xml:space="preserve">Rationale at bottom of doc here: 
https://docs.google.com/document/d/1GXng3thRWkQ6zNZZ1Z6HUHliPhDKYHmnyv4fUlxmv7w/edit#heading=h.jlmngje36sdl</t>
      </text>
    </comment>
    <comment authorId="0" ref="M3">
      <text>
        <t xml:space="preserve">Averaging James and Caitlin, the parameter owners</t>
      </text>
    </comment>
    <comment authorId="0" ref="N3">
      <text>
        <t xml:space="preserve">Output of this model, rows 87-120: 
https://docs.google.com/spreadsheets/d/1QhL8K2Xain0IlZiOY43B0V608ZbTydSabyqQ-k6jFQ0/edit#gid=2105843636</t>
      </text>
    </comment>
    <comment authorId="0" ref="O3">
      <text>
        <t xml:space="preserve">Average of Caitlin and James</t>
      </text>
    </comment>
    <comment authorId="0" ref="P3">
      <text>
        <t xml:space="preserve">I derived this value using Marinella's workbook (link below).  Briefly, I discount for improving circumstances (0.59%), future uncertainty (1%) and the opportunity cost of investment (1.9%), but not for donor time preference or beneficiary time preference.
Write-up:
https://docs.google.com/document/d/1VSSV2U4oFmGZjcLiLQ8-GlLl_dnKzmXdpOeCTMLhkVs/edit?usp=sharing
Marinella's workbook with my inputs for discount rate:
https://docs.google.com/spreadsheets/d/1XwIKLrZ2Su9VmLO_fVqJAQIacJDV9arbFNbrr42VLmU/edit#gid=2105843636&amp;range=A87:D87</t>
      </text>
    </comment>
    <comment authorId="0" ref="A6">
      <text>
        <t xml:space="preserve">The consumption increase found by Baird et al. may not accurately represent the true impact deworming had on the population being studied. Individuals have sometimes used this input to also account for any external validity concerns not captured in the other inputs. A 90% value for this parameter implies a 10% penalty.</t>
      </text>
    </comment>
    <comment authorId="0" ref="E6">
      <text>
        <t xml:space="preserve">Andrew:
Following Josh, the parameter owner, on this input.</t>
      </text>
    </comment>
    <comment authorId="0" ref="F6">
      <text>
        <t xml:space="preserve">I'm largely following and agreeing with Josh here to update based on updates on deworming's impact from KLPS-4, our 20-year follow-up to the original Miguel &amp; Kremer deworming RCT. 
I have a few additional concerns based on what we learned from KLPS 4 that led me to positively update by half as much as Josh:
- I put more weight on the increase in uncertainty created by widening confidence intervals to include zero. In a frequentist framework, we can’t rule out no effect of the intervention, yet our best-guess input of an ~11% income increase is fairly large.
-The lack of consumption results for women in KLPS 4 is problematic for my understanding of mechanisms. We currently lack evidence that women benefit economically from deworming. This seems at odds with health-based mechanisms of impact that shouldn't disparately affect boys and girls treated. This is confusing to me and a small negative update (note that these heterogeneous effect sizes are already factored into the overall effect size input). 
- Men in the deworming treatment group are significantly more likely to have moved to urban centers. I'm wondering if this difference has increased the cost of living for the sub-group that benefits from deworming relative to others, and whether we should reduce our estimate of net economic benefits as a result. </t>
      </text>
    </comment>
    <comment authorId="0" ref="H6">
      <text>
        <t xml:space="preserve">Isabel: Averaging Josh and Caitlin's values because I don't have a sense of which is more likely to be accurate. Both seem reasonable and I think they're using the same approaches for the other deworming parameters such that averaging isn't problematic.</t>
      </text>
    </comment>
    <comment authorId="0" ref="I6">
      <text>
        <t xml:space="preserve">Following Josh</t>
      </text>
    </comment>
    <comment authorId="0" ref="J6">
      <text>
        <t xml:space="preserve">More on the reasoning behind this input is linked from this document: https://docs.google.com/document/d/1-p8dPRDafXwmTnSX44wR03li03G4eU9LJ9DlmqXXhfU/
Additional context on our deworming replicability adjustment is here: https://docs.google.com/document/d/1Ey0WaDGxMUdYxyZzsMepCTTJ8IpxqHsQfbqPFDJQcoA/</t>
      </text>
    </comment>
    <comment authorId="0" ref="K6">
      <text>
        <t xml:space="preserve">Deferring to Josh - read through his reasoning and seems compelling</t>
      </text>
    </comment>
    <comment authorId="0" ref="L6">
      <text>
        <t xml:space="preserve">Defer to the parameter owner, Josh, after looking at his reasoning. 
Similarly to others, I understand that this parameter only refers to internal validity considerations.</t>
      </text>
    </comment>
    <comment authorId="0" ref="M6">
      <text>
        <t xml:space="preserve">Following Josh, the parameter owner</t>
      </text>
    </comment>
    <comment authorId="0" ref="N6">
      <text>
        <t xml:space="preserve">Following Josh</t>
      </text>
    </comment>
    <comment authorId="0" ref="P6">
      <text>
        <t xml:space="preserve">Following Josh, the parameter owner</t>
      </text>
    </comment>
    <comment authorId="0" ref="F9">
      <text>
        <t xml:space="preserve">Following Haushofer Shapiro 2013. </t>
      </text>
    </comment>
    <comment authorId="0" ref="H9">
      <text>
        <t xml:space="preserve">Following Caitlin (parameter owner) for this and the below two parameters.</t>
      </text>
    </comment>
    <comment authorId="0" ref="I9">
      <text>
        <t xml:space="preserve">James:
Deferring to GiveWell consensus</t>
      </text>
    </comment>
    <comment authorId="0" ref="L9">
      <text>
        <t xml:space="preserve">Deferring to parameter owner.</t>
      </text>
    </comment>
    <comment authorId="0" ref="M9">
      <text>
        <t xml:space="preserve">Following Caitlin, the parameter owner</t>
      </text>
    </comment>
    <comment authorId="0" ref="P9">
      <text>
        <t xml:space="preserve">Following Caitlin, the parameter owner</t>
      </text>
    </comment>
    <comment authorId="0" ref="S9">
      <text>
        <t xml:space="preserve">"Households invest part of the transfers: the value of non-land assets increased by USD 279 on average; this represents 58 percent of the control group mean USD 478, and 39 percent of the average transfer." Haushofer &amp; Shapiro 2013, Pg 20.</t>
      </text>
    </comment>
    <comment authorId="0" ref="A10">
      <text>
        <t xml:space="preserve">The annual return that you expect from the portion of the transfer that is invested.</t>
      </text>
    </comment>
    <comment authorId="0" ref="F10">
      <text>
        <t xml:space="preserve">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L10">
      <text>
        <t xml:space="preserve">Deferring to parameter owner, Caitlin.
I model more pessimistic fade out effects in the parameter "duration of investment benefits" </t>
      </text>
    </comment>
    <comment authorId="0" ref="M10">
      <text>
        <t xml:space="preserve">Following Caitlin, the parameter owner</t>
      </text>
    </comment>
    <comment authorId="0" ref="P10">
      <text>
        <t xml:space="preserve">Following Caitlin, the parameter owner</t>
      </text>
    </comment>
    <comment authorId="0" ref="A11">
      <text>
        <t xml:space="preserve">For how long do you expect the invested portion of a transfer will receive returns? 
E.g. an iron roof may eventually decay and need to be replaced. Cattle may die. Unexpected expenses or drops in income may necessitate individuals selling their assets.</t>
      </text>
    </comment>
    <comment authorId="0" ref="F11">
      <text>
        <t xml:space="preserve">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See Michael's cell note for helpful resources. 
</t>
      </text>
    </comment>
    <comment authorId="0" ref="I11">
      <text>
        <t xml:space="preserve">I found Michael's argument compelling (although I haven't looked deeply). Ideally, I'd like to spend more time on this but updating in the interim because I think I'm more likely to update towards Michael's view than not</t>
      </text>
    </comment>
    <comment authorId="0" ref="L11">
      <text>
        <t xml:space="preserve">Recent evidence (from Uganda, Ethiopia &amp; Nairobi) makes me generally pessimistic on the long-term (&gt; 5 year) impacts of GiveDirectly-style cash transfers.
My write-up here: https://docs.google.com/document/d/1-EIu9b7VKS-krLAoBAmIIFlttqku0E0UKFHwyWeKcDE/edit#</t>
      </text>
    </comment>
    <comment authorId="0" ref="M11">
      <text>
        <t xml:space="preserve">Following Caitlin, the parameter owner</t>
      </text>
    </comment>
    <comment authorId="0" ref="P11">
      <text>
        <t xml:space="preserve">Following Caitlin, the parameter owner</t>
      </text>
    </comment>
    <comment authorId="0" ref="A13">
      <text>
        <t xml:space="preserve">Toggle the dropdown menu in the "Results" tab to change which staff inputs are used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beneficiaries of our top charities about the relative value they place on different good outcomes. (https://www.givewell.org/research/incubation-grants/IDinsight-beneficiary-preferences-march-2019)
IDinsight has shared the results of its survey with us. We plan to deeply vet this study and revisit our framework for moral weights over the next year, so we do not yet have robust conclusions on what our moral weights will be going forward.
In the interim, we are planning to use these moral weights. The direction of these updates was driven by IDinsight's survey and additional arguments from staff in favor of putting more weight on health relative to income.</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This set of moral weights is combined with the median values for items on the "User inputs" tab to arrive at final cost-effectiveness figures.</t>
      </text>
    </comment>
    <comment authorId="0" ref="A3">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3">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6">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E6">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E7">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10">
      <text>
        <t xml:space="preserve">This input captures the value you place on preserving the life of a child protected with SMC.
Malaria chemoprevention likely prevents deaths at slightly later ages than ITN coverage, since individuals younger than 3 months old are not treated in malaria chemoprevention programs. </t>
      </text>
    </comment>
    <comment authorId="0" ref="E10">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E13">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A15">
      <text>
        <t xml:space="preserve">Toggle the dropdown menu in the "Results" tab to change which staff inputs are used</t>
      </text>
    </comment>
  </commentList>
</comments>
</file>

<file path=xl/comments3.xml><?xml version="1.0" encoding="utf-8"?>
<comments xmlns:r="http://schemas.openxmlformats.org/officeDocument/2006/relationships" xmlns="http://schemas.openxmlformats.org/spreadsheetml/2006/main">
  <authors>
    <author/>
  </authors>
  <commentList>
    <comment authorId="0" ref="A5">
      <text>
        <t xml:space="preserve">Toggle the dropdown menu at the right to select which data is pulled.</t>
      </text>
    </comment>
    <comment authorId="0" ref="A15">
      <text>
        <t xml:space="preserve">"Leverage" refers to our charities causing other entities to spend more on the program than they otherwise would have; "Funging" refers to our charities causing other entities to spend less on the program than they otherwise would have. 
For more discussion, see https://blog.givewell.org/2018/02/13/revisiting-leverage/</t>
      </text>
    </comment>
    <comment authorId="0" ref="A19">
      <text>
        <t xml:space="preserve">These metrics compare the expected cost-effectiveness of each charity to GiveDirectly's expected cost-effectiveness, before additional adjustments.</t>
      </text>
    </comment>
    <comment authorId="0" ref="A29">
      <text>
        <t xml:space="preserve">You can select the outcome of your choice with the dropdown menu to the right. 
We use the "Cost per outcome as good as" field to compare different good outcomes (such as averting deaths vs. increasing incomes) achieved by our charities. The conversion is based on the staff "moral weights" inputs in our model. For example, the "Cost per outcome as good as: averting the death of an individual under 5 - AMF" is an estimate of how much money would be needed to achieve an outcome that is equivalent to averting the death of an individual under 5 by donating to the Against Malaria Foundation (AMF).
</t>
      </text>
    </comment>
    <comment authorId="0" ref="A39">
      <text>
        <t xml:space="preserve">Outcomes are assigned units of value on the "User inputs" tab. One "unit of value" represents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51">
      <text>
        <t xml:space="preserve">In general, we have high confidence that our model accounts for short-term consumption gains in a reasonably precise manner.</t>
      </text>
    </comment>
    <comment authorId="0" ref="A52">
      <text>
        <t xml:space="preserve">In general, we have low to moderate confidence that our model accounts for investment income following cash transfers in a reasonably precise manner.</t>
      </text>
    </comment>
    <comment authorId="0" ref="A55">
      <text>
        <t xml:space="preserve">In general, we have moderate to high confidence that our model accounts for reducing mortality in children under 5 in a reasonably precise manner.</t>
      </text>
    </comment>
    <comment authorId="0" ref="A56">
      <text>
        <t xml:space="preserve">In general, we have low to moderate confidence that our model accounts for reducing mortality in individuals age 5 and over in a reasonably precise manner.</t>
      </text>
    </comment>
    <comment authorId="0" ref="A57">
      <text>
        <t xml:space="preserve">In general, we have low confidence that our model accounts for development effects following bednet coverage in a reasonably precise manner.</t>
      </text>
    </comment>
    <comment authorId="0" ref="A60">
      <text>
        <t xml:space="preserve">In general, we have moderate to high confidence that our model accounts for reducing mortality in children under 5 in a reasonably precise manner.</t>
      </text>
    </comment>
    <comment authorId="0" ref="A61">
      <text>
        <t xml:space="preserve">In general, we have low confidence that our model accounts for reducing mortality in individuals 5 and older in a reasonably precise manner.</t>
      </text>
    </comment>
    <comment authorId="0" ref="A62">
      <text>
        <t xml:space="preserve">In general, we have low confidence that our model accounts for development effects of SMC coverage in a reasonably precise manner.</t>
      </text>
    </comment>
    <comment authorId="0" ref="A6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The justification for our estimate is in this document: https://docs.google.com/document/d/1X7D0l3CKLMv84uIzutAEH-mTquoRVlEV67VQfUNyJdI/edit#</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To see cost-effectiveness estimates for specific countries, go to the "Results" sheet and change the inputs selected in the dropdown menus. </t>
      </text>
    </comment>
    <comment authorId="0" ref="A7">
      <text>
        <t xml:space="preserve">This represents the percentage of funding we expect the charity would allocate to each country if it were to receive additional funding. Since we don't have a strong prediction for where AMF will spend marginal funding, we use estimates of the amounts of funding AMF would require to continue supporting LLIN distributions in its current countries of operation over the next three years.
Source: https://docs.google.com/spreadsheets/d/1XbOTBE3Xcd1wy1cRbv6w6hnHA8Y4FyT82dWVtY9oDRg/edit#gid=1328690555&amp;range=G4:G14</t>
      </text>
    </comment>
    <comment authorId="0" ref="A11">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12">
      <text>
        <t xml:space="preserve">See GiveWell's 2019 analysis of AMF's cost per net, only accessible to GiveWell staff: https://docs.google.com/spreadsheets/d/11cfz7gZqsVkfgxADi1KMVtbkTWM-Z1jwGdpPzIgZfiU/</t>
      </text>
    </comment>
    <comment authorId="0" ref="C12">
      <text>
        <t xml:space="preserve">This is different from the 'overall' figure in our cost analysis, because the country weights are different. The cost analysis weights by past expenditure. </t>
      </text>
    </comment>
    <comment authorId="0" ref="L12">
      <text>
        <t xml:space="preserve">We do not have cost data for Nigeria, so we used the 'overall' figure (weighted by past expenditure) from our cost per net analysis.</t>
      </text>
    </comment>
    <comment authorId="0" ref="A13">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http://www.givewell.org/international/technical/programs/insecticide-treated-nets#footnote8_zqhtlcm</t>
      </text>
    </comment>
    <comment authorId="0" ref="A20">
      <text>
        <t xml:space="preserve">DHS and MIS reports available at http://dhsprogram.com/publications/index.cfm</t>
      </text>
    </comment>
    <comment authorId="0" ref="D20">
      <text>
        <t xml:space="preserve">Source: 2013-14 DRC DHS Report, https://dhsprogram.com/pubs/pdf/FR300/FR300.pdf, p. 26</t>
      </text>
    </comment>
    <comment authorId="0" ref="E20">
      <text>
        <t xml:space="preserve">Source: 2016 Ghana MIS Report,
https://dhsprogram.com/pubs/pdf/MIS26/MIS26.pdf, p. 19</t>
      </text>
    </comment>
    <comment authorId="0" ref="F20">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G20">
      <text>
        <t xml:space="preserve">Source: 2015-16 Malawi DHS Report, https://dhsprogram.com/publications/publication-FR319-DHS-Final-Reports.cfm, p. 22</t>
      </text>
    </comment>
    <comment authorId="0" ref="H20">
      <text>
        <t xml:space="preserve">Source: https://hiip.wpro.who.int/portal/Countryprofiles/PapuaNewGuinea.aspx</t>
      </text>
    </comment>
    <comment authorId="0" ref="I20">
      <text>
        <t xml:space="preserve">Source: 2013-2014 Togo DHS report, https://dhsprogram.com/pubs/pdf/FR301/FR301.pdf, p. 24</t>
      </text>
    </comment>
    <comment authorId="0" ref="J20">
      <text>
        <t xml:space="preserve">Source: 2014-15 Uganda MIS, https://dhsprogram.com/pubs/pdf/MIS21/MIS21.pdf, p. 17</t>
      </text>
    </comment>
    <comment authorId="0" ref="K20">
      <text>
        <t xml:space="preserve">Source: https://www.dhsprogram.com/pubs/pdf/FR304/FR304.pdf, p. 22</t>
      </text>
    </comment>
    <comment authorId="0" ref="L20">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21">
      <text>
        <t xml:space="preserve">DHS and MIS reports available at http://dhsprogram.com/publications/index.cfm</t>
      </text>
    </comment>
    <comment authorId="0" ref="D21">
      <text>
        <t xml:space="preserve">Source: 2013-14 DRC DHS Report, https://dhsprogram.com/pubs/pdf/FR300/FR300.pdf, p. 26</t>
      </text>
    </comment>
    <comment authorId="0" ref="E21">
      <text>
        <t xml:space="preserve">Source: 2016 Ghana MIS Report,
https://dhsprogram.com/pubs/pdf/MIS26/MIS26.pdf, p. 19</t>
      </text>
    </comment>
    <comment authorId="0" ref="F21">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G21">
      <text>
        <t xml:space="preserve">Source: 2015-16 Malawi DHS Report, https://dhsprogram.com/publications/publication-FR319-DHS-Final-Reports.cfm, p. 22</t>
      </text>
    </comment>
    <comment authorId="0" ref="H21">
      <text>
        <t xml:space="preserve">The data we have for Papua New Guinea is not broken down by 5-9 and 10-14 age ranges; the values we use here are guesses. </t>
      </text>
    </comment>
    <comment authorId="0" ref="I21">
      <text>
        <t xml:space="preserve">Source: 2013-2014 Togo DHS report, https://dhsprogram.com/pubs/pdf/FR301/FR301.pdf, p. 24</t>
      </text>
    </comment>
    <comment authorId="0" ref="J21">
      <text>
        <t xml:space="preserve">Source: 2014-15 Uganda MIS, https://dhsprogram.com/pubs/pdf/MIS21/MIS21.pdf, p. 17</t>
      </text>
    </comment>
    <comment authorId="0" ref="K21">
      <text>
        <t xml:space="preserve">Source: https://www.dhsprogram.com/pubs/pdf/FR304/FR304.pdf, p. 22</t>
      </text>
    </comment>
    <comment authorId="0" ref="L21">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22">
      <text>
        <t xml:space="preserve">DHS and MIS reports available at http://dhsprogram.com/publications/index.cfm</t>
      </text>
    </comment>
    <comment authorId="0" ref="D22">
      <text>
        <t xml:space="preserve">Source: 2013-14 DRC DHS Report, https://dhsprogram.com/pubs/pdf/FR300/FR300.pdf, p. 26</t>
      </text>
    </comment>
    <comment authorId="0" ref="E22">
      <text>
        <t xml:space="preserve">Source: 2016 Ghana MIS Report,
https://dhsprogram.com/pubs/pdf/MIS26/MIS26.pdf, p. 19</t>
      </text>
    </comment>
    <comment authorId="0" ref="F22">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G22">
      <text>
        <t xml:space="preserve">Source: 2015-16 Malawi DHS Report, https://dhsprogram.com/publications/publication-FR319-DHS-Final-Reports.cfm, p. 22</t>
      </text>
    </comment>
    <comment authorId="0" ref="H22">
      <text>
        <t xml:space="preserve">The data we have for Papua New Guinea is not broken down by 5-9 and 10-14 age ranges; the values we use here are guesses. </t>
      </text>
    </comment>
    <comment authorId="0" ref="I22">
      <text>
        <t xml:space="preserve">Source: 2013-2014 Togo DHS report, https://dhsprogram.com/pubs/pdf/FR301/FR301.pdf, p. 24</t>
      </text>
    </comment>
    <comment authorId="0" ref="J22">
      <text>
        <t xml:space="preserve">Source: 2014-15 Uganda MIS, https://dhsprogram.com/pubs/pdf/MIS21/MIS21.pdf, p. 17</t>
      </text>
    </comment>
    <comment authorId="0" ref="K22">
      <text>
        <t xml:space="preserve">Source: https://www.dhsprogram.com/pubs/pdf/FR304/FR304.pdf, p. 22</t>
      </text>
    </comment>
    <comment authorId="0" ref="L22">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C23">
      <text>
        <t xml:space="preserve">Note that this does not equal the sum of the two cells above because we do not have specific information on the 5-9 and 10-14 age brackets for PNG, which means we are slightly underestimating the total population in each of these age brackets. </t>
      </text>
    </comment>
    <comment authorId="0" ref="H23">
      <text>
        <t xml:space="preserve">Value taken from source below. Not a calculated number.
https://hiip.wpro.who.int/portal/Countryprofiles/PapuaNewGuinea.aspx</t>
      </text>
    </comment>
    <comment authorId="0" ref="A27">
      <text>
        <t xml:space="preserve">For all countries except DRC, the default value of 2.22 is drawn from the decay model discussed at https://www.givewell.org/international/technical/programs/insecticide-treated-nets/decay-model.
In our review of AMF, we note that "the data we have seen from AMF's distributions in DRC provide some evidence that LLINs decayed considerably more quickly than expected." (https://www.givewell.org/charities/amf#Results). We roughly adjust our LLIN lifespan estimate for DRC downwards by 10% to account for this difference. </t>
      </text>
    </comment>
    <comment authorId="0" ref="A35">
      <text>
        <t xml:space="preserve">"The summary rate difference, which expresses how many lives can be saved for every 1000 children protected, was 5.53 deaths averted per 1000 children protected per year (95% CI 3.39 to 7.67; Analysis 1.2). I performed a regression analysis of the natural logarithm of the rate difference on the entomological inoculation rate and could not find a trend (r 2 = 0.52, F = 3.2 on 1,3 degrees of freedom, P = 0.2). In contrast to protective efficacies, the risk differences seemed to have a tendency towards a higher effect with a higher entomological inoculation rate. This apparent paradox is because the baseline mortality rates are higher in areas with high entomological inoculation rates." Lengeler 2004, Pg 8. Author has confirmed that "protection" means "has received an ITN", not "has been confirmed to be using an ITN."</t>
      </text>
    </comment>
    <comment authorId="0" ref="A38">
      <text>
        <t xml:space="preserve">The calculation behind the 34.8 figure can be seen in the section of our supplementary calculations labeled "All-cause mortality in Lengeler 2004" at https://docs.google.com/spreadsheets/d/1ElRYRZjJjOQw0LHVBCixIV4RmnZtVqrcqNsHXn9n5w8/edit#gid=0</t>
      </text>
    </comment>
    <comment authorId="0" ref="A39">
      <text>
        <t xml:space="preserve">We have stored this data at https://givewell.box.com/s/2mjlseid0v0oxl5f06o83iverqgmbse2
The original source of the data is the GBD Results Tool at http://ghdx.healthdata.org/gbd-results-tool</t>
      </text>
    </comment>
    <comment authorId="0" ref="A41">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We have limited confidence in the default figure, but we believe 25% is a reasonable estimate. See Eisele et al. 2012 (https://malariajournal.biomedcentral.com/articles/10.1186/1475-2875-11-93) for more information about the role ITNs have played in mortality declines.
</t>
      </text>
    </comment>
    <comment authorId="0" ref="A42">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5">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The value here is a guess and is based on the average lifespan of nets, the interval between campaigns (generally 3 or more years), and AMF data from Malawi where data on existing nets was collected.</t>
      </text>
    </comment>
    <comment authorId="0" ref="A46">
      <text>
        <t xml:space="preserve">When a net is distributed to an individual who already has a usable net, the new net may eventually be used. 
This input accounts for the average proportion of the lifespan of a LLIN that extra nets are eventually used for.
The value we use here is a guess; the true value of this input is highly uncertain.</t>
      </text>
    </comment>
    <comment authorId="0" ref="A50">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1">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2">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3">
      <text>
        <t xml:space="preserve">See our calculations at https://docs.google.com/spreadsheets/d/1ElRYRZjJjOQw0LHVBCixIV4RmnZtVqrcqNsHXn9n5w8/edit#gid=0
Our estimate of how effectively ITNs avert deaths is based on the summary effect from Lengeler 2004 (https://www.ncbi.nlm.nih.gov/pubmed/15106149),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4">
      <text>
        <t xml:space="preserve">The adjustments listed here reflect our views on insecticide resistance as of September 2019. 
See GiveWell's analysis of the efficacy reduction due to insecticide resistance: https://docs.google.com/spreadsheets/d/1t_I6aXsjPwTxGHQQTrBTyzc0OzX_SR5umWAhl0HbrRA/
Further discussion is at https://www.givewell.org/international/technical/programs/insecticide-treated-nets/insecticide-resistance-malaria-control#How_does_insecticide_resistance_affect_the_expected_cost-effectiveness_of_donations_to_AMF.
</t>
      </text>
    </comment>
    <comment authorId="0" ref="A67">
      <text>
        <t xml:space="preserve">We have stored this data at https://givewell.box.com/s/rt4ghbax0ofa610piifrkecfivjuks5f
The original source of the data is the GBD Results Tool at http://ghdx.healthdata.org/gbd-results-tool</t>
      </text>
    </comment>
    <comment authorId="0" ref="A68">
      <text>
        <t xml:space="preserve">We have stored this data at https://givewell.box.com/s/rt4ghbax0ofa610piifrkecfivjuks5f
The original source of the data is the GBD Results Tool at http://ghdx.healthdata.org/gbd-results-tool</t>
      </text>
    </comment>
    <comment authorId="0" ref="A71">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account for this factor.
3) Final discount: 100% - 15% - 15% + 10% = 80%</t>
      </text>
    </comment>
    <comment authorId="0" ref="A86">
      <text>
        <t xml:space="preserve">"The effect of ITNs on uncomplicated clinical episodes ofmalaria is shown by large effect estimates in all trials. Overall, thereduction in clinical episodes was around 50% for all subgroups(stable and unstable malaria; [compared with] no nets and untreated nets) and for both P. falciparumandP. vivax." Lengeler 2004, Pg 9.
We also considered using the relative reduction from analyses of (i) parasite prevalence (13%), and (ii) splenomegaly.
"In areas of stable malaria, impact on prevalence of infection(measured through cross-sectional surveys) was small: 13%reduction when the control group did not have any nets and 10% reduction when the control group had untreated nets." Lengeler 2004, Pg 9.
"Splenomegaly was significantly reduced for both types of controls:there is a 30% protective efficacy when controls were not using nets, and a 23% protective efficacy when the control group used untreated nets." Lengeler 2004, Pg 9.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87">
      <text>
        <t xml:space="preserve">We assume a reduction in incidence will have a similar effect on reduction in prevalence.</t>
      </text>
    </comment>
    <comment authorId="0" ref="A90">
      <text>
        <t xml:space="preserve">We have stored this data at https://givewell.box.com/s/2mjlseid0v0oxl5f06o83iverqgmbse2
The original source of the data is the GBD Results Tool at http://ghdx.healthdata.org/gbd-results-tool</t>
      </text>
    </comment>
    <comment authorId="0" ref="A91">
      <text>
        <t xml:space="preserve">We have stored this data at https://givewell.box.com/s/2mjlseid0v0oxl5f06o83iverqgmbse2
The original source of the data is the GBD Results Tool at http://ghdx.healthdata.org/gbd-results-tool</t>
      </text>
    </comment>
    <comment authorId="0" ref="A92">
      <text>
        <t xml:space="preserve">We have stored this data at https://givewell.box.com/s/2mjlseid0v0oxl5f06o83iverqgmbse2
The original source of the data is the GBD Results Tool at http://ghdx.healthdata.org/gbd-results-tool</t>
      </text>
    </comment>
    <comment authorId="0" ref="A94">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5">
      <text>
        <t xml:space="preserve">How many fewer children under the age of 5 do we expect to be infected with malaria at a given point in time for the arbitrary donation size given above?</t>
      </text>
    </comment>
    <comment authorId="0" ref="A106">
      <text>
        <t xml:space="preserve">How many fewer children between the ages of 5 and 14 do we expect to be infected with malaria at a given point in time for the arbitrary donation size given above?</t>
      </text>
    </comment>
    <comment authorId="0" ref="A109">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0">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4">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17">
      <text>
        <t xml:space="preserve">For consistency, we use the same figure here as we do for our deworming CEA. This is our estimate of the length of an adult's career.</t>
      </text>
    </comment>
    <comment authorId="0" ref="A119">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37">
      <text>
        <t xml:space="preserve">We cannot share the fraction of costs paid by the Global Fund. Therefore, the calculations for the Nets leverage/funging adjustment is on a separate workbook, accessible only to GiveWell staff: https://docs.google.com/spreadsheets/d/1eUoaMBbd9crDQ8h7V2rL11JriD4e2zp59ErRd01txzo/
Another input into our leverage and funging adjustment are the probabilities of four possible scenarios for what would happen in the absence of philanthropic funding. We are able to share these probabilities:
1) Government costs would replace philanthropic costs: 10%
2) Global Fund costs would replace philanthropic costs: 20%
3) Government financial costs would stay the same: 0%
4) Distributions would go unfunded: 70%
"Leverage"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63">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170">
      <text>
        <t xml:space="preserve">How much more cost-effective do we estimate this funding gap to be relative to GiveDirectly cash transfers?</t>
      </text>
    </comment>
    <comment authorId="0" ref="A17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175">
      <text>
        <t xml:space="preserve">This possibility is captured elsewhere in the cost-effectiveness model.</t>
      </text>
    </comment>
    <comment authorId="0" ref="C176">
      <text>
        <t xml:space="preserve">Our cost-effectiveness model adjusts for expected longevity of nets in terms of number and size of holes. We haven't looked into whether there are concerns about the quality of insecticide on nets that might apply to AMF's programs. Our (unverified) understanding is that the manufacturers that AMF uses are monitored by World Health Organization processes.</t>
      </text>
    </comment>
    <comment authorId="0" ref="C177">
      <text>
        <t xml:space="preserve">Our cost per net analysis does not adjust for nets that are purchased and do not reach households, so we adjust for that here.</t>
      </text>
    </comment>
    <comment authorId="0" ref="C181">
      <text>
        <t xml:space="preserve">With some delay, we've received monitoring results from all of the large-scale distributions that AMF completed by the end of 2018. Some rounds of monitoring have been skipped.</t>
      </text>
    </comment>
    <comment authorId="0" ref="C182">
      <text>
        <t xml:space="preserve">We have some concerns about AMF's monitoring results due concerns about quality control (more in this blog post: https://blog.givewell.org/2016/09/21/updates-amfs-transparency-monitoring/) and lack of reliable methodology information for recent monitoring. There are some ways to triangulate results since coverage is measured at several points in time, but it is difficult to draw strong conclusions from these comparisons.</t>
      </text>
    </comment>
    <comment authorId="0" ref="C186">
      <text>
        <t xml:space="preserve">We have enough experience with AMF that our cost per LLIN analysis is capturing our best guess of the proportion of funds we expect AMF to use for other purposes in the future.</t>
      </text>
    </comment>
    <comment authorId="0" ref="C187">
      <text>
        <t xml:space="preserve">AMF has often been slower to spend funding than it has projected, but overall has spent funding within a few years of receiving it.</t>
      </text>
    </comment>
    <comment authorId="0" ref="C188">
      <text>
        <t xml:space="preserve">Not applicable: single program organization.</t>
      </text>
    </comment>
  </commentList>
</comments>
</file>

<file path=xl/comments5.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https://www.princeton.edu/~joha/publications/Haushofer_Shapiro_UCT_2013.pdf)</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1">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48">
      <text>
        <t xml:space="preserve">How much more cost-effective do we estimate this funding gap to be relative to GiveDirectly cash transfers?</t>
      </text>
    </comment>
    <comment authorId="0" ref="A5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B53">
      <text>
        <t xml:space="preserve">Not applicable.</t>
      </text>
    </comment>
    <comment authorId="0" ref="B54">
      <text>
        <t xml:space="preserve">Not applicable</t>
      </text>
    </comment>
    <comment authorId="0" ref="B55">
      <text>
        <t xml:space="preserve">In our analysis of cost per dollar delivered, we use the amount that GiveDirectly sends to recipients, not adjusted for cash that doesn't ultimately reach recipients through bribery/theft or cases of staff fraud.</t>
      </text>
    </comment>
    <comment authorId="0" ref="B59">
      <text>
        <t xml:space="preserve">We've consistently received comprehensive monitoring results from GiveDirectly. (We chose not to revisit the GiveDirectly's monitoring in 2019 and therefore have not updated this.)</t>
      </text>
    </comment>
    <comment authorId="0" ref="B60">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B64">
      <text>
        <t xml:space="preserve">Our cost per dollar delivered calculation captures spending on priorities other than delivery of cash transfers.</t>
      </text>
    </comment>
    <comment authorId="0" ref="B65">
      <text>
        <t xml:space="preserve">Has been able to spend funding quickly.</t>
      </text>
    </comment>
    <comment authorId="0" ref="B66">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State in India</t>
      </text>
    </comment>
    <comment authorId="0" ref="E1">
      <text>
        <t xml:space="preserve">State in India</t>
      </text>
    </comment>
    <comment authorId="0" ref="F1">
      <text>
        <t xml:space="preserve">State in India</t>
      </text>
    </comment>
    <comment authorId="0" ref="H1">
      <text>
        <t xml:space="preserve">State in India</t>
      </text>
    </comment>
    <comment authorId="0" ref="I1">
      <text>
        <t xml:space="preserve">State in India</t>
      </text>
    </comment>
    <comment authorId="0" ref="N1">
      <text>
        <t xml:space="preserve">State in Nigeria.
We use an overall cost figure for Nigeria rather than a state-specific cost figure.</t>
      </text>
    </comment>
    <comment authorId="0" ref="O1">
      <text>
        <t xml:space="preserve">State in Nigeria</t>
      </text>
    </comment>
    <comment authorId="0" ref="P1">
      <text>
        <t xml:space="preserve">State in Nigeria</t>
      </text>
    </comment>
    <comment authorId="0" ref="Q1">
      <text>
        <t xml:space="preserve">State in Nigeria</t>
      </text>
    </comment>
    <comment authorId="0" ref="R1">
      <text>
        <t xml:space="preserve">State in Nigeria</t>
      </text>
    </comment>
    <comment authorId="0" ref="A2">
      <text>
        <t xml:space="preserve">To see cost-effectiveness estimates for specific countries, go to the "Results" sheet and change the inputs selected in the dropdown menus. </t>
      </text>
    </commen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t>
      </text>
    </comment>
    <comment authorId="0" ref="A9">
      <text>
        <t xml:space="preserve">In Baird et al. 2016, the authors state, "Take-up rates were approximately 75% in the treatment group and 5% in the control group." (p. 8).
</t>
      </text>
    </comment>
    <comment authorId="0" ref="A10">
      <text>
        <t xml:space="preserve">This calculation estimates the effect of deworming on treated individuals assuming there were no positive spillovers.
</t>
      </text>
    </comment>
    <comment authorId="0" ref="A14">
      <text>
        <t xml:space="preserve">Baird et al. 2016 reports that those in its treatment group were assigned 2.41 additional years of deworming on average. </t>
      </text>
    </comment>
    <comment authorId="0" ref="A18">
      <text>
        <t xml:space="preserve">Information about the default value used for this input can be found at https://docs.google.com/document/d/1NxN6SO8GNv1AhpHMy1-IGu-tStT7py29W8AFU0u_bLw/edit?ts=599b4840</t>
      </text>
    </comment>
    <comment authorId="0" ref="A19">
      <text>
        <t xml:space="preserve">This is discounted back geometrically because of the delay between being dewormed as a child and working for income as an adult. </t>
      </text>
    </comment>
    <comment authorId="0" ref="A20">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4">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30">
      <text>
        <t xml:space="preserve">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Deworm the World are currently based on the percentage of funding allocated to each country (calculated based on the cost per person dewormed per year and the percentage of children dewormed in each country). </t>
      </text>
    </comment>
    <comment authorId="0" ref="A34">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35">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36">
      <text>
        <t xml:space="preserve">The calculations behind our worm intensity adjustments can be found at 
https://docs.google.com/spreadsheets/d/1uArEn2C1obwTGBi2nf42Xxns8MaiCk6Zu4nbHhLs60k/edit?usp=sharing</t>
      </text>
    </comment>
    <comment authorId="0" ref="K36">
      <text>
        <t xml:space="preserve">Temporary</t>
      </text>
    </comment>
    <comment authorId="0" ref="L36">
      <text>
        <t xml:space="preserve">Temporary</t>
      </text>
    </comment>
    <comment authorId="0" ref="M36">
      <text>
        <t xml:space="preserve">Temporary</t>
      </text>
    </comment>
    <comment authorId="0" ref="A40">
      <text>
        <t xml:space="preserve">Values are drawn from GiveWell's 2019 analysis of Deworm the World's cost per treatment.
See 
https://docs.google.com/spreadsheets/d/1Usb4HxLTYaxUq77OAJU5NJHKhiIhau8r4GDCBkXKOmQ/edit#gid=1422275365</t>
      </text>
    </comment>
    <comment authorId="0" ref="A42">
      <text>
        <t xml:space="preserve">These values are calculated using data on the proportion of treatments delivered by country from our worm intensity workbook: https://docs.google.com/spreadsheets/d/1uArEn2C1obwTGBi2nf42Xxns8MaiCk6Zu4nbHhLs60k/edit#gid=2041655207&amp;range=C18:C26
We do not expect Deworm the World to spend additional funding it receives at this time in Nigeria, so we've set the weight of Nigerian states to 0. See our 2019 room for more funding analyis of Deworm the World: https://docs.google.com/spreadsheets/d/1iBilfyOvTpGlh3WX8a-0y0X9Fgzk5czXo0vawYr2k2k/edit?usp=sharing
In this row, our calculations normalize the proportions of treatments delivered by country to 100% overall.
</t>
      </text>
    </comment>
    <comment authorId="0" ref="A58">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60">
      <text>
        <t xml:space="preserve">Values are drawn from GiveWell's 2019 analysis of Deworm the World's cost per treatment.
See 
https://docs.google.com/spreadsheets/d/1Usb4HxLTYaxUq77OAJU5NJHKhiIhau8r4GDCBkXKOmQ/edit#gid=1422275365</t>
      </text>
    </comment>
    <comment authorId="0" ref="A76">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77">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84">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85">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86">
      <text>
        <t xml:space="preserve">The government would continue funding the program at the same level as it currently does. Government financial costs are neither leveraged nor funged.</t>
      </text>
    </comment>
    <comment authorId="0" ref="A87">
      <text>
        <t xml:space="preserve">The program would not happen without the donation. So the philanthropic funding leverages government costs. </t>
      </text>
    </comment>
    <comment authorId="0" ref="A101">
      <text>
        <t xml:space="preserve">Assumes government staff costs are given as a constant proportion of upstream costs.</t>
      </text>
    </comment>
    <comment authorId="0" ref="A103">
      <text>
        <t xml:space="preserve">Assumes donated drugs are given as a constant proportion of upstream costs</t>
      </text>
    </comment>
    <comment authorId="0" ref="A106">
      <text>
        <t xml:space="preserve">Assumes government staff costs are given as a constant proportion of philanthropic costs (rather than upstream costs).</t>
      </text>
    </comment>
    <comment authorId="0" ref="A108">
      <text>
        <t xml:space="preserve">Assumes donated drugs costs are given as a constant proportion of philanthropic costs (rather than upstream costs).</t>
      </text>
    </comment>
    <comment authorId="0" ref="A161">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163">
      <text>
        <t xml:space="preserve">How much more cost-effective do we estimate this funding gap to be relative to GiveDirectly cash transfers?</t>
      </text>
    </comment>
    <comment authorId="0" ref="A165">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168">
      <text>
        <t xml:space="preserve">This possibility is captured in the exclusion list of our cost-effectiveness model.</t>
      </text>
    </comment>
    <comment authorId="0" ref="C169">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C170">
      <text>
        <t xml:space="preserve">Not applicable. Our cost/child-treated estimate uses total costs and estimates of children reached.</t>
      </text>
    </comment>
    <comment authorId="0" ref="C174">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C175">
      <text>
        <t xml:space="preserve">There are multiple ways in which Deworm the World checks for program coverage, using independent monitors. We haven't analyzed in depth how consistent these results are.</t>
      </text>
    </comment>
    <comment authorId="0" ref="C179">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C180">
      <text>
        <t xml:space="preserve">Has at times been slow to spend GiveWell-directed funding, though less so in the last couple of years.</t>
      </text>
    </comment>
    <comment authorId="0" ref="C181">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List>
</comments>
</file>

<file path=xl/comments7.xml><?xml version="1.0" encoding="utf-8"?>
<comments xmlns:r="http://schemas.openxmlformats.org/officeDocument/2006/relationships" xmlns="http://schemas.openxmlformats.org/spreadsheetml/2006/main">
  <authors>
    <author/>
  </authors>
  <commentList>
    <comment authorId="0" ref="A2">
      <text>
        <t xml:space="preserve">To see cost-effectiveness estimates for specific countries, go to the "Results" sheet and change the inputs selected in the dropdown menus. </t>
      </text>
    </comment>
    <comment authorId="0" ref="A7">
      <text>
        <t xml:space="preserve">This represents the percentage of funding we expect the charity would allocate to each country if it were to receive additional funding. These are our best guesses based on conversations with the charity.
Since we don't have a strong prediction for where this charity will spend marginal funding, we use past spending here.
Source: https://docs.google.com/spreadsheets/d/1ehv3obVRXZQcI3W_7g-7Lhrld2_zKmFjx5_ecU3x1X4/edit#gid=962198646</t>
      </text>
    </comment>
    <comment authorId="0" ref="A11">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12">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3">
      <text>
        <t xml:space="preserve">The calculations behind our worm intensity adjustments can be found at 
https://docs.google.com/spreadsheets/d/1uArEn2C1obwTGBi2nf42Xxns8MaiCk6Zu4nbHhLs60k/edit?usp=sharing</t>
      </text>
    </comment>
    <comment authorId="0" ref="E13">
      <text>
        <t xml:space="preserve">Average of two countries (anonymized).</t>
      </text>
    </comment>
    <comment authorId="0" ref="A18">
      <text>
        <t xml:space="preserve">The default value of $0.81 comes from GiveWell's 2017 analysis of the END Fund's cost per treatment. See https://docs.google.com/spreadsheets/d/1Zlw1ljkp151-81q_MY2moGHUPse_HlkUQtOwqnMntgk/edit#gid=1292813484.</t>
      </text>
    </comment>
    <comment authorId="0" ref="A32">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34">
      <text>
        <t xml:space="preserve">See GiveWell's estimates of END fund's cost per treatment [2017]
https://docs.google.com/spreadsheets/d/1Zlw1ljkp151-81q_MY2moGHUPse_HlkUQtOwqnMntgk/edit#gid=1292813484</t>
      </text>
    </comment>
    <comment authorId="0" ref="A50">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51">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59">
      <text>
        <t xml:space="preserve">The government would provide additional funding to fully cover the intervention. The philanthropic donation therefore funges with the government and value of donating is equivalent to the marginal value of government funds.
On several occasions, we have asked the organizations we recommend for deworming and others whether they were aware of any cases of governments contributing financially to deworming programs they support. What we have heard is that India and South Africa, both middle-income countries, fund their own deworming programs. Rwanda has said it will do so starting in 2019. Other examples have been for funding at a small scale.
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60">
      <text>
        <t xml:space="preserve">The government would continue funding the program at the same level as it currently does. Government financial costs are neither leveraged nor funged.</t>
      </text>
    </comment>
    <comment authorId="0" ref="A61">
      <text>
        <t xml:space="preserve">The program would not happen without the donation. So the philanthropic funding leverages government costs. </t>
      </text>
    </comment>
    <comment authorId="0" ref="A75">
      <text>
        <t xml:space="preserve">Assumes government staff costs are given as a constant proportion of upstream costs.</t>
      </text>
    </comment>
    <comment authorId="0" ref="A77">
      <text>
        <t xml:space="preserve">Assumes donated drugs are given as a constant proportion of upstream costs</t>
      </text>
    </comment>
    <comment authorId="0" ref="A80">
      <text>
        <t xml:space="preserve">Assumes government staff costs are given as a constant proportion of philanthropic costs (rather than upstream costs).</t>
      </text>
    </comment>
    <comment authorId="0" ref="A82">
      <text>
        <t xml:space="preserve">Assumes donated drugs costs are given as a constant proportion of philanthropic costs (rather than upstream costs).</t>
      </text>
    </comment>
    <comment authorId="0" ref="A135">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137">
      <text>
        <t xml:space="preserve">How much more cost-effective do we estimate this funding gap to be relative to GiveDirectly cash transfers?</t>
      </text>
    </comment>
    <comment authorId="0" ref="A139">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142">
      <text>
        <t xml:space="preserve">This possibility is captured in the exclusion list of our cost-effectiveness model.</t>
      </text>
    </comment>
    <comment authorId="0" ref="C143">
      <text>
        <t xml:space="preserve">Drugs are donated by manufacturers in developed countries. Seems very unlikely that drugs are lower quality than in the research studies we have relied on in our cost-effectiveness analysis.</t>
      </text>
    </comment>
    <comment authorId="0" ref="C144">
      <text>
        <t xml:space="preserve">Not applicable. Our cost/child-treated estimate uses total costs and estimates of children reached.</t>
      </text>
    </comment>
    <comment authorId="0" ref="C148">
      <text>
        <t xml:space="preserve">We have seen monitoring for (a non-random sample of) about 70% of the END Fund's relevant work. (We chose not to revisit the END Fund's monitoring in 2019 and therefore have not updated this.)</t>
      </text>
    </comment>
    <comment authorId="0" ref="C149">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C153">
      <text>
        <t xml:space="preserve">We have adjusted for fungibility in our cost/child-treated analysis.</t>
      </text>
    </comment>
    <comment authorId="0" ref="C154">
      <text>
        <t xml:space="preserve">Has been able to spend funding quickly.</t>
      </text>
    </comment>
    <comment authorId="0" ref="C155">
      <text>
        <t xml:space="preserve">We have adjusted for fungibility in our cost/child-treated analysis.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
      <text>
        <t xml:space="preserve">To see cost-effectiveness estimates for specific countries, go to the "Results" sheet and change the inputs selected in the dropdown menus. </t>
      </text>
    </comment>
    <comment authorId="0" ref="A7">
      <text>
        <t xml:space="preserve">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SCI are currently based on the percentage of funding allocated to each country (calculated based on the cost per person dewormed per year and the percentage of children dewormed in each country). </t>
      </text>
    </comment>
    <comment authorId="0" ref="A11">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12">
      <text>
        <t xml:space="preserve">See this spreadsheet for more detail: 
https://docs.google.com/spreadsheets/d/1SUXY9ocyO5WE_SXqilVavHWEZOxUx93X4sUbqfiVzCc/edit#gid=176755548</t>
      </text>
    </comment>
    <comment authorId="0" ref="A13">
      <text>
        <t xml:space="preserve">The calculations behind our worm intensity adjustments can be found at 
https://docs.google.com/spreadsheets/d/1uArEn2C1obwTGBi2nf42Xxns8MaiCk6Zu4nbHhLs60k/edit?usp=sharing</t>
      </text>
    </comment>
    <comment authorId="0" ref="A18">
      <text>
        <t xml:space="preserve">From GiveWell's 2018 analysis of SCI's cost per treatment. See 
https://docs.google.com/spreadsheets/d/1OLeAPOhTt7K_rZZ8uO4XUpeQ8HLysRRFfKnQbqmz2VU/edit#gid=0</t>
      </text>
    </comment>
    <comment authorId="0" ref="A20">
      <text>
        <t xml:space="preserve">These values are calculated using data on the estimated number of treatments delivered in SCI-supported programs between SCI's FY 2014-15 and FY 2018-19. See our worm intensity workbook here: https://docs.google.com/spreadsheets/d/1uArEn2C1obwTGBi2nf42Xxns8MaiCk6Zu4nbHhLs60k/edit#gid=2041655207&amp;range=C6:C15
In this row, our calculations normalize the proportions of treatments delivered by country to 100% overall. </t>
      </text>
    </comment>
    <comment authorId="0" ref="A37">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39">
      <text>
        <t xml:space="preserve">GiveWell's 2018 analysis of SCI's cost per treatment	https://docs.google.com/spreadsheets/d/1OLeAPOhTt7K_rZZ8uO4XUpeQ8HLysRRFfKnQbqmz2VU/edit#gid=0</t>
      </text>
    </comment>
    <comment authorId="0" ref="A55">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56">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63">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64">
      <text>
        <t xml:space="preserve">The government would provide additional funding to fully cover the intervention. The philanthropic donation therefore funges with the government and value of donating is equivalent to the marginal value of government funds.
On several occasions, we have asked the organizations we recommend for deworming and others whether they were aware of any cases of governments contributing financially to deworming programs they support. What we have heard is that India and South Africa, both middle-income countries, fund their own deworming programs. Rwanda has said it will do so starting in 2019. Other examples have been for funding at a small scale.
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65">
      <text>
        <t xml:space="preserve">The government would continue funding the program at the same level as it currently does. Government financial costs are neither leveraged nor funged.</t>
      </text>
    </comment>
    <comment authorId="0" ref="A66">
      <text>
        <t xml:space="preserve">The program would not happen without the donation. So the philanthropic funding leverages government costs. </t>
      </text>
    </comment>
    <comment authorId="0" ref="A80">
      <text>
        <t xml:space="preserve">Assumes government staff costs are given as a constant proportion of upstream costs.</t>
      </text>
    </comment>
    <comment authorId="0" ref="A82">
      <text>
        <t xml:space="preserve">Assumes donated drugs are given as a constant proportion of upstream costs</t>
      </text>
    </comment>
    <comment authorId="0" ref="A85">
      <text>
        <t xml:space="preserve">Assumes government staff costs are given as a constant proportion of philanthropic costs (rather than upstream costs).</t>
      </text>
    </comment>
    <comment authorId="0" ref="A87">
      <text>
        <t xml:space="preserve">Assumes donated drugs costs are given as a constant proportion of philanthropic costs (rather than upstream costs).</t>
      </text>
    </comment>
    <comment authorId="0" ref="A140">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142">
      <text>
        <t xml:space="preserve">How much more cost-effective do we estimate this funding gap to be relative to GiveDirectly cash transfers?</t>
      </text>
    </comment>
    <comment authorId="0" ref="A144">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147">
      <text>
        <t xml:space="preserve">This possibility is captured in the exclusion list of our cost-effectiveness model.</t>
      </text>
    </comment>
    <comment authorId="0" ref="C148">
      <text>
        <t xml:space="preserve">Drugs are donated by manufacturers in developed countries. Seems very unlikely that drugs are lower quality than in the  research studies we have relied on in our cost-effectiveness analysis.</t>
      </text>
    </comment>
    <comment authorId="0" ref="C149">
      <text>
        <t xml:space="preserve">Not applicable. Our cost/child-treated estimate uses total costs and estimates of children reached.</t>
      </text>
    </comment>
    <comment authorId="0" ref="C153">
      <text>
        <t xml:space="preserve">We have received monitoring results from a non-random half of SCI-supported programs over the last few years.</t>
      </text>
    </comment>
    <comment authorId="0" ref="C154">
      <text>
        <t xml:space="preserve">SCI has limited oversight of surveyors or ways to triangulate results. We have some concerns about respondent recall.</t>
      </text>
    </comment>
    <comment authorId="0" ref="C158">
      <text>
        <t xml:space="preserve">SCI has consistently used funds for deworming MDA over a long period. We have incorporated other uses of funds (e.g. research spending) in our cost/child-treated analysis.</t>
      </text>
    </comment>
    <comment authorId="0" ref="C159">
      <text>
        <t xml:space="preserve">Has been able to spend funding quickly.</t>
      </text>
    </comment>
    <comment authorId="0" ref="C160">
      <text>
        <t xml:space="preserve">Not applicable: single program organization.</t>
      </text>
    </comment>
  </commentList>
</comments>
</file>

<file path=xl/comments9.xml><?xml version="1.0" encoding="utf-8"?>
<comments xmlns:r="http://schemas.openxmlformats.org/officeDocument/2006/relationships" xmlns="http://schemas.openxmlformats.org/spreadsheetml/2006/main">
  <authors>
    <author/>
  </authors>
  <commentList>
    <comment authorId="0" ref="H1">
      <text>
        <t xml:space="preserve">Nigeria</t>
      </text>
    </comment>
    <comment authorId="0" ref="I1">
      <text>
        <t xml:space="preserve">Nigeria</t>
      </text>
    </comment>
    <comment authorId="0" ref="J1">
      <text>
        <t xml:space="preserve">Nigeria</t>
      </text>
    </comment>
    <comment authorId="0" ref="K1">
      <text>
        <t xml:space="preserve">Nigeria</t>
      </text>
    </comment>
    <comment authorId="0" ref="L1">
      <text>
        <t xml:space="preserve">Nigeria</t>
      </text>
    </comment>
    <comment authorId="0" ref="M1">
      <text>
        <t xml:space="preserve">Nigeria</t>
      </text>
    </comment>
    <comment authorId="0" ref="N1">
      <text>
        <t xml:space="preserve">Nigeria</t>
      </text>
    </comment>
    <comment authorId="0" ref="A2">
      <text>
        <t xml:space="preserve">To see cost-effectiveness estimates for specific countries, go to the "Results" sheet and change the inputs selected in the dropdown menus. </t>
      </text>
    </comment>
    <comment authorId="0" ref="A7">
      <text>
        <t xml:space="preserve">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Sightsavers are currently based on the percentage of funding allocated to each country (calculated based on the cost per person dewormed per year and the percentage of children dewormed in each country). </t>
      </text>
    </comment>
    <comment authorId="0" ref="A11">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12">
      <text>
        <t xml:space="preserve">We believe that treatments going to adults have been excluded from our cost per treatment analysis. Accordingly, we assume 100% of Sightsavers treatments go to children.</t>
      </text>
    </comment>
    <comment authorId="0" ref="A13">
      <text>
        <t xml:space="preserve">The calculations behind our worm intensity adjustments can be found at 
https://docs.google.com/spreadsheets/d/1uArEn2C1obwTGBi2nf42Xxns8MaiCk6Zu4nbHhLs60k/edit?usp=sharing</t>
      </text>
    </comment>
    <comment authorId="0" ref="G13">
      <text>
        <t xml:space="preserve">Average of three priority levels for Cameroon.</t>
      </text>
    </comment>
    <comment authorId="0" ref="A18">
      <text>
        <t xml:space="preserve">From GiveWell's 2019 analysis of Sightsavers' cost per treatment. 
https://docs.google.com/spreadsheets/d/1kNpwuG7DP-5YlJlh_kIkgHjlHFwHLXoVU5FR8AtFTQw</t>
      </text>
    </comment>
    <comment authorId="0" ref="H18">
      <text>
        <t xml:space="preserve">Used 'overall' estimate.</t>
      </text>
    </comment>
    <comment authorId="0" ref="A20">
      <text>
        <t xml:space="preserve">These values are calculated using data on the proportion of treatments delivered by country from our worm intensity workbook: https://docs.google.com/spreadsheets/d/1uArEn2C1obwTGBi2nf42Xxns8MaiCk6Zu4nbHhLs60k/edit#gid=2041655207&amp;range=C38:C50
In this row, our calculations normalize the proportions of treatments delivered by country to 100% overall.
</t>
      </text>
    </comment>
    <comment authorId="0" ref="A36">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38">
      <text>
        <t xml:space="preserve">See GiveWell's estimates of Sightsavers's cost per treatment (2019)
https://docs.google.com/spreadsheets/d/1kNpwuG7DP-5YlJlh_kIkgHjlHFwHLXoVU5FR8AtFTQw/</t>
      </text>
    </comment>
    <comment authorId="0" ref="H43">
      <text>
        <t xml:space="preserve">Used 'overall' estimate.</t>
      </text>
    </comment>
    <comment authorId="0" ref="A54">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55">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63">
      <text>
        <t xml:space="preserve">The government would provide additional funding to fully cover the intervention. The philanthropic donation therefore funges with the government and value of donating is equivalent to the marginal value of government funds.
On several occasions, we have asked the organizations we recommend for deworming and others whether they were aware of any cases of governments contributing financially to deworming programs they support. What we have heard is that India and South Africa, both middle-income countries, fund their own deworming programs. Rwanda has said it will do so starting in 2019. Other examples have been for funding at a small scale.
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64">
      <text>
        <t xml:space="preserve">The government would continue funding the program at the same level as it currently does. Government financial costs are neither leveraged nor funged.</t>
      </text>
    </comment>
    <comment authorId="0" ref="A65">
      <text>
        <t xml:space="preserve">The program would not happen without the donation. So the philanthropic funding leverages government costs. </t>
      </text>
    </comment>
    <comment authorId="0" ref="A79">
      <text>
        <t xml:space="preserve">Assumes government staff costs are given as a constant proportion of upstream costs.</t>
      </text>
    </comment>
    <comment authorId="0" ref="A81">
      <text>
        <t xml:space="preserve">Assumes donated drugs are given as a constant proportion of upstream costs</t>
      </text>
    </comment>
    <comment authorId="0" ref="A84">
      <text>
        <t xml:space="preserve">Assumes government staff costs are given as a constant proportion of philanthropic costs (rather than upstream costs).</t>
      </text>
    </comment>
    <comment authorId="0" ref="A86">
      <text>
        <t xml:space="preserve">Assumes donated drugs costs are given as a constant proportion of philanthropic costs (rather than upstream costs).</t>
      </text>
    </comment>
    <comment authorId="0" ref="A139">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141">
      <text>
        <t xml:space="preserve">How much more cost-effective do we estimate this funding gap to be relative to GiveDirectly cash transfers?</t>
      </text>
    </comment>
    <comment authorId="0" ref="A14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146">
      <text>
        <t xml:space="preserve">This possibility is captured in the exclusion list of our cost-effectiveness model.</t>
      </text>
    </comment>
    <comment authorId="0" ref="C147">
      <text>
        <t xml:space="preserve">Drugs are donated by manufacturers in developed countries. Seems very unlikely that drugs are lower quality than in the research studies we have relied on in our cost-effectiveness analysis.</t>
      </text>
    </comment>
    <comment authorId="0" ref="C148">
      <text>
        <t xml:space="preserve">Not applicable. Our cost/child-treated estimate uses total costs and estimates of children reached.</t>
      </text>
    </comment>
    <comment authorId="0" ref="C152">
      <text>
        <t xml:space="preserve">In 2018, we saw monitoring from a high percentage of Sightsavers' relevant work (80%). In 2019, we received monitoring from 1 of the 5 of the relevant countries, covering less than 20% of Sightsavers work.</t>
      </text>
    </comment>
    <comment authorId="0" ref="C153">
      <text>
        <t xml:space="preserve">Sightsavers has limited oversight of surveyors or ways to triangulate results. We have some concerns about respondent recall.</t>
      </text>
    </comment>
    <comment authorId="0" ref="C157">
      <text>
        <t xml:space="preserve">Sightsavers has used funding in the way we expected it to be used, but we have a somewhat limited understanding of how Sightsavers might choose to use funding.</t>
      </text>
    </comment>
    <comment authorId="0" ref="C158">
      <text>
        <t xml:space="preserve">Has been able to spend funding quickly.</t>
      </text>
    </comment>
    <comment authorId="0" ref="C159">
      <text>
        <t xml:space="preserve">Sightsavers has limited unrestricted funding relative to the size of this program. Fundraising efforts may be redirected to other programs as a result of more funding being available for this program.</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
      <text>
        <t xml:space="preserve">To see cost-effectiveness estimates for specific countries, go to the "Results" sheet and change the inputs selected in the dropdown menus. </t>
      </text>
    </comment>
    <comment authorId="0" ref="A7">
      <text>
        <t xml:space="preserve">This represents the percentage of funding we expect the charity would allocate to each country if it were to receive additional funding. It is based on taking the charity's room for more funding in different countries as of November 2019, and subtracting the funding gaps filled by our giving season 2019 allocation (which was almost entirely composed of a recommendation to the Open Philanthropy Project).
To see details on our 2019 giving season allocation, see https://docs.google.com/spreadsheets/d/1C5_U6vt73omdX4RH30kNodQIau3Qkpl7Avmy4jGYpcI/edit#gid=1047766491</t>
      </text>
    </comment>
    <comment authorId="0" ref="A11">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13">
      <text>
        <t xml:space="preserve">### Sources
Unless otherwise specified, GiveWell's 2019 estimate of MC's cost per treatment. https://docs.google.com/spreadsheets/d/1k6EZ-GStBPPEOxTrBJyZOPgRbFhsWB909A11_iB6QnQ/edit?usp=sharing
For some countries, we use GiveWell's 2018 analysis of MC's cost per treatment
https://docs.google.com/spreadsheets/d/1heb0B3TZhbkW2wq73ia5XQ336IYrC2h5J4h4kXDXNQQ/edit#gid=1670911500
### Special cases
Guinea-Bissau: we use the estimate for this country from 2018
Mauritania: we use the Guinea-Bissau estimate because Mauritania and Guinea-Bissau have similar target populations.
Niger: we use the overall cost estimate (2019)
Togo: we use overall cost estimate (2019)
### Adherence adjustment
The cost per child treated includes an adjustment for imperfect adherence to treatment.</t>
      </text>
    </comment>
    <comment authorId="0" ref="G13">
      <text>
        <t xml:space="preserve">Overall figure from cost per treatment sheet (2019)</t>
      </text>
    </comment>
    <comment authorId="0" ref="A19">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21">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2">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3">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2">
      <text>
        <t xml:space="preserve">These figures are available through the GBD Results Tool at http://ghdx.healthdata.org/gbd-results-tool?params=gbd-api-2017-permalink/1af51d596c2755d0bd4e63e7828725b2</t>
      </text>
    </comment>
    <comment authorId="0" ref="A33">
      <text>
        <t xml:space="preserve">These figures are available through the GBD Results Tool at http://ghdx.healthdata.org/gbd-results-tool?params=gbd-api-2017-permalink/1af51d596c2755d0bd4e63e7828725b2</t>
      </text>
    </comment>
    <comment authorId="0" ref="A34">
      <text>
        <t xml:space="preserve">These figures are available through the GBD Results Tool at http://ghdx.healthdata.org/gbd-results-tool?params=gbd-api-2017-permalink/1af51d596c2755d0bd4e63e7828725b2</t>
      </text>
    </comment>
    <comment authorId="0" ref="A35">
      <text>
        <t xml:space="preserve">These figures are available through the GBD Results Tool at http://ghdx.healthdata.org/gbd-results-tool?params=gbd-api-2017-permalink/1af51d596c2755d0bd4e63e7828725b2</t>
      </text>
    </comment>
    <comment authorId="0" ref="A36">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7">
      <text>
        <t xml:space="preserve">This calculation assumes that malaria deaths are spread evenly across the 11-month post neonatal period. </t>
      </text>
    </comment>
    <comment authorId="0" ref="A38">
      <text>
        <t xml:space="preserve">This calculation is based on an arbitrary assumption about the portion of post-neonatal deaths that occur in 1-2 month-olds. We recommend trying different values.</t>
      </text>
    </comment>
    <comment authorId="0" ref="A39">
      <text>
        <t xml:space="preserve">This calculation is based on an arbitrary assumption about the portion of post-neonatal deaths that occur in 1-2 month-olds. We recommend trying different values.
</t>
      </text>
    </comment>
    <comment authorId="0" ref="A42">
      <text>
        <t xml:space="preserve">These figures are available through the GBD Results Tool at http://ghdx.healthdata.org/gbd-results-tool?params=gbd-api-2017-permalink/93e9a75c2db602bc86b768cc7b35ac57</t>
      </text>
    </comment>
    <comment authorId="0" ref="A43">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7">
      <text>
        <t xml:space="preserve">Copied from above.</t>
      </text>
    </comment>
    <comment authorId="0" ref="A48">
      <text>
        <t xml:space="preserve">These figures are available through the GBD Results Tool at http://ghdx.healthdata.org/gbd-results-tool?params=gbd-api-2017-permalink/f19b6d940262aa4cb9e59bc55318bba2</t>
      </text>
    </comment>
    <comment authorId="0" ref="A53">
      <text>
        <t xml:space="preserve">We use prevalence estimates for children ages 1-4 from the Global Burden of Disease Project as a proxy for prevalence in children 3-59 months old. See http://ghdx.healthdata.org/gbd-results-tool?params=gbd-api-2016-permalink/cb948c2caebce626343c134334343dfb</t>
      </text>
    </comment>
    <comment authorId="0" ref="A54">
      <text>
        <t xml:space="preserve">We use prevalence estimates from the Global Burden of Disease Project. See http://ghdx.healthdata.org/gbd-results-tool?params=gbd-api-2016-permalink/43ce9772f8b382b800f58622d9bacdcc
</t>
      </text>
    </comment>
    <comment authorId="0" ref="A55">
      <text>
        <t xml:space="preserve">We use prevalence estimates from the Global Burden of Disease Project. See http://ghdx.healthdata.org/gbd-results-tool?params=gbd-api-2016-permalink/fc8d25e15b74d4ac0b6aa6ccff89771a</t>
      </text>
    </comment>
    <comment authorId="0" ref="A61">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2">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3">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65">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7">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8">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0">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2">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4">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5">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6">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7">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80">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2">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4">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1">
      <text>
        <t xml:space="preserve">We use prevalence estimates for children ages 1-4 from the Global Burden of Disease Project as a proxy for prevalence in children 3-59 months old. See the "Country selection" tab for calculations and a source link.</t>
      </text>
    </comment>
    <comment authorId="0" ref="A92">
      <text>
        <t xml:space="preserve">We use prevalence estimates from the Global Burden of Disease Project. See the "Country selection" tab for calculations and a source link.</t>
      </text>
    </comment>
    <comment authorId="0" ref="A93">
      <text>
        <t xml:space="preserve">We assume that the reduction in prevalence from SMC is roughly equal to the reduction in incidence</t>
      </text>
    </comment>
    <comment authorId="0" ref="A94">
      <text>
        <t xml:space="preserve">We assume that the reduction in prevalence from SMC is roughly equal to the reduction in incidence</t>
      </text>
    </comment>
    <comment authorId="0" ref="A95">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96">
      <text>
        <t xml:space="preserve">Global Burden of Disease Study 2017 (GBD 2017) Population Estimates 
We have stored this data at: https://givewell.box.com/s/sl9los6g538nc77sl2jg6dc78iz7j4gk
The original source can be found at: http://ghdx.healthdata.org/record/ihme-data/gbd-2017-population-estimates-1950-2017</t>
      </text>
    </comment>
    <comment authorId="0" ref="A101">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2">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4">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09">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20">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3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3">
      <text>
        <t xml:space="preserve">See notes in parameter Cost per equivalent child treated with all 4 cycles of SMC</t>
      </text>
    </comment>
    <comment authorId="0" ref="A134">
      <text>
        <t xml:space="preserve">Source: GiveWell's 2019 estimate of MC's cost per treatment. https://docs.google.com/spreadsheets/d/1k6EZ-GStBPPEOxTrBJyZOPgRbFhsWB909A11_iB6QnQ/edit?usp=sharing
</t>
      </text>
    </comment>
    <comment authorId="0" ref="A135">
      <text>
        <t xml:space="preserve">Source: GiveWell's 2019 estimate of MC's cost per treatment. https://docs.google.com/spreadsheets/d/1k6EZ-GStBPPEOxTrBJyZOPgRbFhsWB909A11_iB6QnQ/edit?usp=sharing
</t>
      </text>
    </comment>
    <comment authorId="0" ref="A149">
      <text>
        <t xml:space="preserve">The government would provide additional funding to fully cover the intervention. The philanthropic donation therefore funges with the government and value of donating is equivalent to the marginal value of government funds.
SMC is a fairly new intervention. Our understanding is that the first large-scale programs started in 2015 with funding from UNITAID, and that several other major funders (including the Global Fund, PMI, and DFID) have contributed funding to SMC since then. We are aware of a small number of examples of governments funding SMC:
- Malaria Consortium told us that Mali is funding SMC in 4-7 districts (out of 75 eligible districts) per year.
- Malaria Consortium told us in 2017 that the government of Chad would be funding SMC in 4 districts (of 59 eligible districts) in 2017; in early 2018, we received an update from Malaria Consortium that did not include any funding from the government of Chad for 2017. It seems possible to us that the government changed its plans in response to the availability of funding from Malaria Consortium, though we do not know more detail about this case.
- Burkina Faso, Mali, and Niger have financed SMC in a significant number of districts with loan funding from the World Bank. We are unsure whether to consider this "government funding" of the program or whether the loans are in design or practice like donor funding.
A significant proportion of the total global need for SMC is unfunded, which leads us to believe that it is fairly unlikely that Malaria Consortium is pushing out government or Global Fund funding. However, much of the remaining gap is in northern Nigeria, and there may be non-funding bottlenecks to filling that gap such that the true funding gap is much smaller. Malaria Consortium has told us that it does not expect a significant increase in countries' allocation of Global Fund funding to SMC over the next few years unless total Global Fund funding for malaria in SMC-eligible countries increases. 
Based on the above, our best guesses are that:
- There is a low chance (10%) that government costs would replace Malaria Consortium's costs in its absence, since we have encountered only a small number of cases of governments funding SMC. 
- There is a low chance (15%) that Global Fund costs would replace Malaria Consortium costs.
- We are estimating a 0% chance that government financial costs would stay the same because we are not currently modeling any government financial costs for SMC in the countries where Malaria Consortium works. </t>
      </text>
    </comment>
    <comment authorId="0" ref="A150">
      <text>
        <t xml:space="preserve">The global fund would provide additional funding to fully cover the intervention. The philanthropic donation therefore funges with the global fund and value of donating is equivalent to the marginal value of global fund money.
Global Fund allocations to SMC are expected to increase significantly in the next few years and near the point where governments and the Global Fund may see SMC as fully funded and further expansion of SMC as a lower priority than other work that has existing funding gaps. In the absence of Malaria Consortium funding, governments and the Global Fund might have expanded SMC further with Global Fund funding because larger gaps would have existed.</t>
      </text>
    </comment>
    <comment authorId="0" ref="A151">
      <text>
        <t xml:space="preserve">The government would continue funding the program at the same level as it currently does. Government financial costs are neither leveraged nor funged.</t>
      </text>
    </comment>
    <comment authorId="0" ref="A152">
      <text>
        <t xml:space="preserve">The program would not happen without the donation. So the philanthropic funding leverages government costs. </t>
      </text>
    </comment>
    <comment authorId="0" ref="A207">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209">
      <text>
        <t xml:space="preserve">How much more cost-effective do we estimate this funding gap to be relative to GiveDirectly cash transfers?</t>
      </text>
    </comment>
    <comment authorId="0" ref="A211">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214">
      <text>
        <t xml:space="preserve">Intuitively seems unlikely that children are getting preventative treatment from another source.</t>
      </text>
    </comment>
    <comment authorId="0" ref="C215">
      <text>
        <t xml:space="preserve">Drugs are purchased from World Health Organization-qualified manufacturers.</t>
      </text>
    </comment>
    <comment authorId="0" ref="C216">
      <text>
        <t xml:space="preserve">Not applicable. Our cost/child-treated estimate uses total costs and estimates of children reached.</t>
      </text>
    </comment>
    <comment authorId="0" ref="C220">
      <text>
        <t xml:space="preserve">We've received coverage survey results from all locations and all years.</t>
      </text>
    </comment>
    <comment authorId="0" ref="C221">
      <text>
        <t xml:space="preserve">There appears to be limited oversight of enumerators, but triangulation is possible through post-cycle and post-round surveys; these have yielded consistent results in many surveys and helped uncover methodologial problems in one case.</t>
      </text>
    </comment>
    <comment authorId="0" ref="C225">
      <text>
        <t xml:space="preserve">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t>
      </text>
    </comment>
    <comment authorId="0" ref="C226">
      <text>
        <t xml:space="preserve">Has been able to spend funding quickly.</t>
      </text>
    </comment>
    <comment authorId="0" ref="C227">
      <text>
        <t xml:space="preserve">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A2">
      <text>
        <t xml:space="preserve">To see cost-effectiveness estimates for specific countries, go to the "Results" sheet and change the inputs selected in the dropdown menus. </t>
      </text>
    </comment>
    <comment authorId="0" ref="A7">
      <text>
        <t xml:space="preserve">This represents the percentage of funding we expect the charity would allocate to each country if it were to receive additional funding. It is based on taking the charity's room for more funding in different countries as of November 2019, and subtracting the funding gaps filled by our giving season 2019 allocation (which was almost entirely composed of a recommendation to the Open Philanthropy Project).
To see details on our 2019 giving season allocation, see https://docs.google.com/spreadsheets/d/1ta2MzARlUNWSliMlpDFyvxui8A2fevkgEtq3f_I36gk/</t>
      </text>
    </comment>
    <comment authorId="0" ref="A11">
      <text>
        <t xml:space="preserve">We use $0.01 instead of $0 for countries where the percentage of funding to be allocated to each country with marginal donations is 0. This allows us to still calculate the cost-effectiveness of hypothetical spending in that country.</t>
      </text>
    </comment>
    <comment authorId="0" ref="A12">
      <text>
        <t xml:space="preserve">Values for this parameter are drawn from GiveWell's 2019 analysis of HKI's cost per treatment. See 
https://docs.google.com/spreadsheets/d/1E_upkAHds_TSNnB_MxRPyeifPq2HQ_G83B8_mieIu64/edit#gid=1325491090</t>
      </text>
    </comment>
    <comment authorId="0" ref="E12">
      <text>
        <t xml:space="preserve">We rely on the overall cost estimate rather than a county-specific cost estimate in Cameroon.</t>
      </text>
    </comment>
    <comment authorId="0" ref="F12">
      <text>
        <t xml:space="preserve">We rely on the overall cost estimate rather than a county-specific cost estimate in CI.</t>
      </text>
    </comment>
    <comment authorId="0" ref="G12">
      <text>
        <t xml:space="preserve">We rely on the overall cost estimate rather than a county-specific cost estimate in the DRC.</t>
      </text>
    </comment>
    <comment authorId="0" ref="I12">
      <text>
        <t xml:space="preserve">We rely on the overall cost estimate rather than a county-specific cost estimate in Kenya.</t>
      </text>
    </comment>
    <comment authorId="0" ref="K12">
      <text>
        <t xml:space="preserve">We rely on the overall cost estimate rather than a county-specific cost estimate in Niger.</t>
      </text>
    </comment>
    <comment authorId="0" ref="L12">
      <text>
        <t xml:space="preserve">We rely on the overall cost estimate rather than a county-specific cost estimate in Nigeria.</t>
      </text>
    </comment>
    <comment authorId="0" ref="A13">
      <text>
        <t xml:space="preserve">HKI plans to support two rounds of VAS distribution per year.</t>
      </text>
    </comment>
    <comment authorId="0" ref="A20">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2">
      <text>
        <t xml:space="preserve">Coverage estimates from RCTs of vitamin A supplementation included in Imdad et al 2017 meta-analysis https://docs.google.com/spreadsheets/d/1J997Om048dWrI-H9QskHeCkcgq8FA6xff6MNlhYS6TA/edit?usp=sharing</t>
      </text>
    </comment>
    <comment authorId="0" ref="A27">
      <text>
        <t xml:space="preserve">Global Burden of Disease study 2017.
The calculations behind this figure can be found in a workbook at https://docs.google.com/spreadsheets/d/1CRb5nNd_1eO59KUjI-Q3Xef4sY5bEMjOGxTPVaCHCXs/edit#gid=0</t>
      </text>
    </comment>
    <comment authorId="0" ref="A30">
      <text>
        <t xml:space="preserve">We think the confidence we have in the point estimate for VAS from the meta-analysis is meaningfully but not hugely lower than for nets or SMC. This is mainly because there is a question of whether we should use the fixed effects or random effects estimate. Fixed effects is half the size of the random effects. We use random effects. So we adjust somewhat toward fixed effects by lowering the internal validity adjustment.</t>
      </text>
    </comment>
    <comment authorId="0" ref="A31">
      <text>
        <t xml:space="preserve">The calculations behind this figure can be found in a workbook at https://docs.google.com/spreadsheets/d/1fpFcEhc7GMrxb_VeLWAiRfq6l-TG8JJJw0bMPsUP3Uc/edit?usp=sharing
Our external validity adjustment for HKI takes changes in the prevalence of VAD between the VAS trials and areas where HKI works today and changes in the composition of causes of child mortality into account.
Last year our external validity adjustment was 23% overall, but this year our estimate is approximately 40% overall. The main driver of this change was switching from our best guess of VAD prevalence to the Institute for Health Metrics and Evaluation's estimates. For more discussion, see https://docs.google.com/document/d/1pc0iyCPnO64fjrTn2B1YvGZnm4WM6jmgnqqxD0tgeRI/edit#</t>
      </text>
    </comment>
    <comment authorId="0" ref="A33">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34">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38">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The justification for our estimate is in this document: https://docs.google.com/document/d/1X7D0l3CKLMv84uIzutAEH-mTquoRVlEV67VQfUNyJdI/edit#</t>
      </text>
    </comment>
    <comment authorId="0" ref="A53">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56">
      <text>
        <t xml:space="preserve">GiveWell's 2019 analysis of HKI's cost per treatment	https://docs.google.com/spreadsheets/d/1E_upkAHds_TSNnB_MxRPyeifPq2HQ_G83B8_mieIu64/edit#gid=1325491090
We model leverage and funging from the perspective all all philanthropic funders combined. (This excludes the global fund.) This means we model philanthropic funders as incapable of being funged. 
</t>
      </text>
    </comment>
    <comment authorId="0" ref="E56">
      <text>
        <t xml:space="preserve">We rely on the overall cost estimate rather than a county-specific cost estimate.</t>
      </text>
    </comment>
    <comment authorId="0" ref="F56">
      <text>
        <t xml:space="preserve">We rely on the overall cost estimate rather than a county-specific cost estimate.</t>
      </text>
    </comment>
    <comment authorId="0" ref="G56">
      <text>
        <t xml:space="preserve">We rely on the overall cost estimate rather than a county-specific cost estimate.</t>
      </text>
    </comment>
    <comment authorId="0" ref="I56">
      <text>
        <t xml:space="preserve">We rely on the overall cost estimate rather than a county-specific cost estimate.</t>
      </text>
    </comment>
    <comment authorId="0" ref="K56">
      <text>
        <t xml:space="preserve">We rely on the overall cost estimate rather than a county-specific cost estimate.</t>
      </text>
    </comment>
    <comment authorId="0" ref="L56">
      <text>
        <t xml:space="preserve">We rely on the overall cost estimate rather than a county-specific cost estimate.</t>
      </text>
    </comment>
    <comment authorId="0" ref="A57">
      <text>
        <t xml:space="preserve">GiveWell's 2019 analysis of HKI's cost per treatment	https://docs.google.com/spreadsheets/d/1E_upkAHds_TSNnB_MxRPyeifPq2HQ_G83B8_mieIu64/edit#gid=1325491090</t>
      </text>
    </comment>
    <comment authorId="0" ref="A62">
      <text>
        <t xml:space="preserve">We model leverage and funging from the perspective all all philanthropic funders combined. (This excludes the global fund.) This means we model philanthropic funders as incapable of being funged. 
</t>
      </text>
    </comment>
    <comment authorId="0" ref="A69">
      <text>
        <t xml:space="preserve">Our best guess for HKI's additional spending opportunities is that there is a 15% likelihood the government would replace HKI's funding if HKI was not present. This is based on evidence from previous years that VAS campaigns were skipped when HKI ran out of funding. For more information, see https://www.givewell.org/charities/helen-keller-international#Additional_spending_opportunities.</t>
      </text>
    </comment>
    <comment authorId="0" ref="A70">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71">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72">
      <text>
        <t xml:space="preserve">The program would not happen without the donation. So the philanthropic funding leverages government costs. </t>
      </text>
    </comment>
    <comment authorId="0" ref="A106">
      <text>
        <t xml:space="preserve">We use the "Cost per outcome as good as" field to compare different good outcomes (such as averting deaths vs. increasing incomes) achieved by our charities. The conversion is based on the staff "moral weights" inputs in our model. The "Cost per outcome as good as: averting the death of an individual under 5 - AMF" is an estimate of how much money would be needed to achieve an outcome that is equivalent to averting the death of an individual under 5 by donating to the Against Malaria Foundation (AMF).
You can compare the top charities according to different outcome metrics in the 'Outcome metric' section of the results tab.</t>
      </text>
    </comment>
    <comment authorId="0" ref="A108">
      <text>
        <t xml:space="preserve">How much more cost-effective do we estimate this funding gap to be relative to GiveDirectly cash transfers?</t>
      </text>
    </comment>
    <comment authorId="0" ref="A11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C113">
      <text>
        <t xml:space="preserve">Vitamin A supplementation may be delivered through both routine (facility-based) systems and mass campaigns.</t>
      </text>
    </comment>
    <comment authorId="0" ref="C114">
      <text>
        <t xml:space="preserve">Our understanding is that drugs are donated by manufacturers in developed countries. Seems very unlikely that drugs are lower quality than in the research studies we have relied on in our cost-effectiveness analysis.</t>
      </text>
    </comment>
    <comment authorId="0" ref="C115">
      <text>
        <t xml:space="preserve">Not applicable. Our cost/child-treated estimate uses total costs and estimates of children reached.</t>
      </text>
    </comment>
    <comment authorId="0" ref="C119">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C120">
      <text>
        <t xml:space="preserve">In two of five surveys conducted in 2018, HKI conducted backchecks, interviewing a sub-set of households a second time to check enumerator accuracy. We have some concerns about respondent recall.</t>
      </text>
    </comment>
    <comment authorId="0" ref="C124">
      <text>
        <t xml:space="preserve">We have followed HKI for less time than we have other top charities. We have information on how it spent GiveWell-directed funding in one year (2018).</t>
      </text>
    </comment>
    <comment authorId="0" ref="C125">
      <text>
        <t xml:space="preserve">Has been able to spend funding quickly.</t>
      </text>
    </comment>
    <comment authorId="0" ref="C126">
      <text>
        <t xml:space="preserve">HKI has limited unrestricted funding relative to the size of this program. Fundraising efforts may be redirected to other programs as a result of more funding being available for this program.</t>
      </text>
    </comment>
  </commentList>
</comments>
</file>

<file path=xl/comments12.xml><?xml version="1.0" encoding="utf-8"?>
<comments xmlns:r="http://schemas.openxmlformats.org/officeDocument/2006/relationships" xmlns="http://schemas.openxmlformats.org/spreadsheetml/2006/main">
  <authors>
    <author/>
  </authors>
  <commentList>
    <comment authorId="0" ref="C3">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4">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6">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7">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11">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15">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32">
      <text>
        <t xml:space="preserve">We expect the majority of government costs spent on deworming would otherwise have been spent on education because teachers are used to deliver the drugs.</t>
      </text>
    </comment>
    <comment authorId="0" ref="C33">
      <text>
        <t xml:space="preserve">We expect the majority of government costs spent on malaria and vitamin A would have otherwise been spent on other health programs, as they are spent on ministry of health staff.</t>
      </text>
    </comment>
    <comment authorId="0" ref="C34">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
If you want to use a different benchmark, you can use the calculations at the bottom of this sheet.</t>
      </text>
    </comment>
    <comment authorId="0" ref="C35">
      <text>
        <t xml:space="preserve">See this sheet for more details on our comparison between Global Fund and AMF: https://docs.google.com/spreadsheets/d/14k7XhbrDA_7Ponj_jdeI3HVXohwtYYworwYNCPWlgeI/edit#gid=1132437895
If you want to use a different benchmark, you can use the calculations at the bottom of this sheet.</t>
      </text>
    </comment>
  </commentList>
</comments>
</file>

<file path=xl/comments13.xml><?xml version="1.0" encoding="utf-8"?>
<comments xmlns:r="http://schemas.openxmlformats.org/officeDocument/2006/relationships" xmlns="http://schemas.openxmlformats.org/spreadsheetml/2006/main">
  <authors>
    <author/>
  </authors>
  <commentList>
    <comment authorId="0" ref="C1">
      <text>
        <t xml:space="preserve">This column indicates whether an item is explicitly included in the CEA. Some items that are not explicitly included may be accounted for indirectly through the parameter values individuals use.</t>
      </text>
    </comment>
    <comment authorId="0" ref="D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J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
      <text>
        <t xml:space="preserve">Note that this list of sources is not exhaustive. Many sources the CEA draws on are referenced in cell notes on the relevant rows and cells. </t>
      </text>
    </comment>
    <comment authorId="0" ref="B3">
      <text>
        <t xml:space="preserve">Some documents contain researchers' and/or organizations' unpublished data and cannot be published.</t>
      </text>
    </comment>
  </commentList>
</comments>
</file>

<file path=xl/sharedStrings.xml><?xml version="1.0" encoding="utf-8"?>
<sst xmlns="http://schemas.openxmlformats.org/spreadsheetml/2006/main" count="1742" uniqueCount="846">
  <si>
    <t>Notes on how to engage with our cost-effectiveness analysis</t>
  </si>
  <si>
    <t>Published: November 25, 2019</t>
  </si>
  <si>
    <t>This workbook contains our cost-effectiveness analysis.
Individual staff estimates for a few parameters are included in the "User inputs" and "Moral weights" tabs. If you'd like to see how our results would change based on different inputs for these parameters, you can enter your own values in the "Anyone" columns in these two sheets, then select "Anyone" from the dropdown menus in the "Results" tab. You can also select an individual staff member's name from the dropdown menu to see how the results would change if we used their values. To see the results for programs in specific countries, select a country from the dropdown menus in the "Results" tab.
Expanding the formula bar at the top of the page (by clicking and dragging the bottom boundary) may make it easier to read the contents of explanatory cells.</t>
  </si>
  <si>
    <t>Notes on color coding</t>
  </si>
  <si>
    <t>Blue text: direct input</t>
  </si>
  <si>
    <t>Green text: pulling from another cell in this workbook</t>
  </si>
  <si>
    <t>Black text: calculation</t>
  </si>
  <si>
    <t>Index</t>
  </si>
  <si>
    <t>User inputs</t>
  </si>
  <si>
    <t>Allows staff members or anyone else to easily suppy their estimates for particularly uncertain parameters.</t>
  </si>
  <si>
    <t>Moral weights</t>
  </si>
  <si>
    <t>Allows staff members or anyone else to easily suppy numbers used to trade off different good outcomes.</t>
  </si>
  <si>
    <t>Results</t>
  </si>
  <si>
    <t>Shows cost-effectiveness estimates for each charity.</t>
  </si>
  <si>
    <t>Bednets</t>
  </si>
  <si>
    <t>Cost-effectiveness analysis for Long-lasting insecticide-treated net distributions by the Against Malaria Foundation.</t>
  </si>
  <si>
    <t>Cash</t>
  </si>
  <si>
    <t>Cost-effectiveness analysis for uncondtional cash transfers by GiveDirectly.</t>
  </si>
  <si>
    <t>Deworming - DtW</t>
  </si>
  <si>
    <t>Cost-effectiveness analysis for deworming by Deworm the World</t>
  </si>
  <si>
    <t>Deworming - END</t>
  </si>
  <si>
    <t>Cost-effectiveness analysis for deworming by The END Fund</t>
  </si>
  <si>
    <t>Deworming - SCI</t>
  </si>
  <si>
    <t>Cost-effectiveness analysis for deworming by SCI Foundation</t>
  </si>
  <si>
    <t>Deworming - SS</t>
  </si>
  <si>
    <t>Cost-effectiveness analysis for deworming by Sightsavers</t>
  </si>
  <si>
    <t>SMC</t>
  </si>
  <si>
    <t>Cost-effectiveness analysis for seasonal malaria chemoprevention by Malaria Consortium</t>
  </si>
  <si>
    <t>VAS</t>
  </si>
  <si>
    <t>Cost-effectiveness analysis for vitamin A supplementation by Helen Keller International</t>
  </si>
  <si>
    <t>Counterfactual non-philanthropic</t>
  </si>
  <si>
    <t>Used in the leverage and funging adjustment to our cost-effectiveness analyses.</t>
  </si>
  <si>
    <t>Inclusion/Exclusion</t>
  </si>
  <si>
    <t>Used in the adjustment for excluded effects of our cost-effectivenes analyses.</t>
  </si>
  <si>
    <t>Sources</t>
  </si>
  <si>
    <t>Links to sources</t>
  </si>
  <si>
    <t>Helper sheet</t>
  </si>
  <si>
    <t>Used to simplify formulae on another sheet</t>
  </si>
  <si>
    <t>Helpful GiveWell references</t>
  </si>
  <si>
    <t>Active</t>
  </si>
  <si>
    <t>Staff aggregate</t>
  </si>
  <si>
    <t>Alex</t>
  </si>
  <si>
    <t>Andrew</t>
  </si>
  <si>
    <t>Caitlin</t>
  </si>
  <si>
    <t>Dan</t>
  </si>
  <si>
    <t>Isabel</t>
  </si>
  <si>
    <t>James</t>
  </si>
  <si>
    <t>Josh</t>
  </si>
  <si>
    <t>Marinella</t>
  </si>
  <si>
    <t>Michael</t>
  </si>
  <si>
    <t>Natalie</t>
  </si>
  <si>
    <t>Nicole</t>
  </si>
  <si>
    <t>Olivia</t>
  </si>
  <si>
    <t>Stephan</t>
  </si>
  <si>
    <t>Tom</t>
  </si>
  <si>
    <t>Anyone</t>
  </si>
  <si>
    <t>Relevant links</t>
  </si>
  <si>
    <t>comments</t>
  </si>
  <si>
    <t>Shared</t>
  </si>
  <si>
    <t>Discount rate</t>
  </si>
  <si>
    <t>Deworming — General</t>
  </si>
  <si>
    <t>Replicability adjustment for deworming</t>
  </si>
  <si>
    <t>Cash — GiveDirectly</t>
  </si>
  <si>
    <t>Percentage of transfers invested</t>
  </si>
  <si>
    <t>Return on investment</t>
  </si>
  <si>
    <t>Chris Smith, a former GiveWell Research Analyst, wrote up the following reasoning for the value he chose for this parameter. Since some current staff members have based their decisions on Chris's logic, we are including his reasoning here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t>
  </si>
  <si>
    <t>Duration of investment benefits (in years)</t>
  </si>
  <si>
    <t>Active column pulls from:</t>
  </si>
  <si>
    <t>Moral Weights</t>
  </si>
  <si>
    <t>GiveWell 2019</t>
  </si>
  <si>
    <t>Conventional</t>
  </si>
  <si>
    <t>Notes</t>
  </si>
  <si>
    <t>Consumption Increases</t>
  </si>
  <si>
    <t>Value assigned to doubling consumption for one person for one year</t>
  </si>
  <si>
    <t>AMF</t>
  </si>
  <si>
    <t>Value assigned to averting the death of an individual under 5 — AMF</t>
  </si>
  <si>
    <t>Value assigned to averting the death of an individual 5 or older</t>
  </si>
  <si>
    <t>Malaria Consortium</t>
  </si>
  <si>
    <t>Value assigned to averting the death of a 3- to 59-month old child— SMC</t>
  </si>
  <si>
    <t>Helen Keller International (HKI)</t>
  </si>
  <si>
    <t>Value assigned to averting the death of a 6- to 59-month old child — HKI</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</si>
  <si>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</si>
  <si>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</si>
  <si>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</si>
  <si>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</si>
  <si>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</si>
  <si>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</si>
  <si>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</si>
  <si>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(AMF) relative to an under-5 life saved (AMF)</t>
  </si>
  <si>
    <t>Value of doubling consumption for one person for one year relative to saving the life of a child under-5 (AMF)</t>
  </si>
  <si>
    <t>Value of an under-5 life saved (AMF) relative to an under-5 life saved (SMC)</t>
  </si>
  <si>
    <t>Make more comparisons on the "Values explorer" tab</t>
  </si>
  <si>
    <t>Cell notes in Row 1 give details on how individuals approached their input choices</t>
  </si>
  <si>
    <r>
      <rPr>
        <rFont val="Calibri"/>
        <b/>
        <i/>
        <color rgb="FF000000"/>
        <sz val="11.0"/>
      </rPr>
      <t>To engage with this sheet</t>
    </r>
    <r>
      <rPr>
        <rFont val="Calibri"/>
        <i/>
        <color rgb="FF000000"/>
        <sz val="11.0"/>
      </rPr>
      <t>: Make a copy of the CEA using File --&gt; Make a copy. Cells B6 - B13 will populate with dropdown menus that can be used to change which values are used for staff inputs (in the "User inputs" and "Moral weights" sheets) and country programs (in all of the other sheets listed here).  Cell B29 will populate with a dropdown menu that can be used to compare charities according to different outcome metrics. You can choose different values in the dropdowns in column C to compare the effect of different parameters.</t>
    </r>
  </si>
  <si>
    <t>Drop-down settings</t>
  </si>
  <si>
    <t>Country for bednets</t>
  </si>
  <si>
    <t>Overall</t>
  </si>
  <si>
    <t>Country for deworming: Deworm the World</t>
  </si>
  <si>
    <t>Country for deworming: The END Fund</t>
  </si>
  <si>
    <t>Country for deworming: SCI</t>
  </si>
  <si>
    <t>Country for deworming: Sightsavers</t>
  </si>
  <si>
    <t>Country for seasonal malaria chemoprevention</t>
  </si>
  <si>
    <t>Country for vitamin A supplementation</t>
  </si>
  <si>
    <t>Adjust for leverage and funging?</t>
  </si>
  <si>
    <t>Include leverage/funging adjustments</t>
  </si>
  <si>
    <t>Include additional adjustments?</t>
  </si>
  <si>
    <t>Do not include additional adjustments</t>
  </si>
  <si>
    <t>Charity vs. cash</t>
  </si>
  <si>
    <t>Against Malaria Foundation vs Cash</t>
  </si>
  <si>
    <t>GiveDirectly vs Cash</t>
  </si>
  <si>
    <t>Deworm the World vs Cash</t>
  </si>
  <si>
    <t>The END Fund vs Cash</t>
  </si>
  <si>
    <t>Schistosomiasis Control Initiative vs Cash</t>
  </si>
  <si>
    <t>Sightsavers vs Cash</t>
  </si>
  <si>
    <t>Malaria Consortium vs Cash</t>
  </si>
  <si>
    <t>Helen Keller International vs Cash</t>
  </si>
  <si>
    <t>Outcome metric</t>
  </si>
  <si>
    <t>Cost per outcome as good as: averting the death of an individual under 5 — AMF</t>
  </si>
  <si>
    <t>Against Malaria Foundation</t>
  </si>
  <si>
    <t>GiveDirectly</t>
  </si>
  <si>
    <t>Deworm the World</t>
  </si>
  <si>
    <t>The END Fund</t>
  </si>
  <si>
    <t>Schistosomiasis Control Initiative</t>
  </si>
  <si>
    <t>Sightsavers</t>
  </si>
  <si>
    <t>Helen Keller International</t>
  </si>
  <si>
    <t>Total units of value per $100,000 donated</t>
  </si>
  <si>
    <t>Contribution of each outcome to overall cost-effectiveness</t>
  </si>
  <si>
    <t>Percent of cash's modeled benefits coming from short-term consumption increases</t>
  </si>
  <si>
    <t>Percent of cash's modeled benefits coming from investment returns in the future</t>
  </si>
  <si>
    <t>Percent of nets' modeled benefits coming from under 5 mortality reduction</t>
  </si>
  <si>
    <t>Percent of nets' modeled benefits coming from age 5 and over mortality reduction</t>
  </si>
  <si>
    <t>Percent of nets' modeled benefits coming from development effects</t>
  </si>
  <si>
    <t>Seasonal Malaria Chemoprevention</t>
  </si>
  <si>
    <t>Percent of SMC's modeled benefits coming from mortality reduction (ages 3 to 59 months)</t>
  </si>
  <si>
    <t>Percent of SMC's modeled benefits coming from mortality reduction (ages &gt;59 months)</t>
  </si>
  <si>
    <t>Percent of SMC's modeled benefits coming from development effects</t>
  </si>
  <si>
    <t>Vitamin A supplementation</t>
  </si>
  <si>
    <t>Estimated percentage of total benefits of VAS that come from development effects</t>
  </si>
  <si>
    <t>Estimated percentage of total benefits of VAS that come from mortality effects</t>
  </si>
  <si>
    <t>DRC</t>
  </si>
  <si>
    <t>Ghana</t>
  </si>
  <si>
    <t>Guinea</t>
  </si>
  <si>
    <t>Malawi</t>
  </si>
  <si>
    <t>PNG</t>
  </si>
  <si>
    <t>Togo</t>
  </si>
  <si>
    <t>Uganda</t>
  </si>
  <si>
    <t>Zambia</t>
  </si>
  <si>
    <t>Nigeria</t>
  </si>
  <si>
    <t>"Active" column pulls data from:</t>
  </si>
  <si>
    <t>Funding allocation</t>
  </si>
  <si>
    <t>Percentage of funding to be allocated to each country with marginal donations</t>
  </si>
  <si>
    <t/>
  </si>
  <si>
    <t>Geographical distribution of net coverage</t>
  </si>
  <si>
    <t>Arbitrary donation size</t>
  </si>
  <si>
    <t>Cost per long-lasting insecticide-treated net (LLIN)</t>
  </si>
  <si>
    <t>Number of people covered with each net</t>
  </si>
  <si>
    <t>Cost per person covered</t>
  </si>
  <si>
    <t>Total number of people covered per hypothetical donation ($100,000)</t>
  </si>
  <si>
    <t>Of all people covered by hypothetical donation, percentage who reside in each country</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</si>
  <si>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</si>
  <si>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</si>
  <si>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</si>
  <si>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</si>
  <si>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</si>
  <si>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</si>
  <si>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</si>
  <si>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Lifespan of an LLIN</t>
  </si>
  <si>
    <t>Person-years of coverage for under 5s</t>
  </si>
  <si>
    <t>Person-years of coverage for ages 5-14</t>
  </si>
  <si>
    <t>Person-years of coverage for under 15s</t>
  </si>
  <si>
    <t>Mortality reduction in children under 5</t>
  </si>
  <si>
    <t>Deaths averted per protected 1-59 month-old child (summary effect from Lengeler 2004 meta-analysis)</t>
  </si>
  <si>
    <t>Adjustment for relative mortality in AMF distributions and Lengeler 2004</t>
  </si>
  <si>
    <t>1-59 month-old all-cause mortality from trials included in Lengeler 2004 (per 1,000 child-years)</t>
  </si>
  <si>
    <t>1-59 month-old all-cause mortality in AMF countries (per 1,000 child-years) (GBD 2017)</t>
  </si>
  <si>
    <t>Mortality in AMF contexts relative to study contexts</t>
  </si>
  <si>
    <t>Portion of mortality difference attributed to ITNs</t>
  </si>
  <si>
    <t>Mortality in AMF contexts relative to study contexts (effect of ITNs stripped out)</t>
  </si>
  <si>
    <t>Pre-existing net adjustment</t>
  </si>
  <si>
    <t>Percent of all individuals owning nets (in absence of a distribution)</t>
  </si>
  <si>
    <t>Proportion of "extra" nets distributed that are eventually used</t>
  </si>
  <si>
    <t>Final adjustment for pre-existing nets</t>
  </si>
  <si>
    <t>Other adjustments</t>
  </si>
  <si>
    <t>Net use adjustment</t>
  </si>
  <si>
    <t>Internal validity adjustment — Nets</t>
  </si>
  <si>
    <t>External validity adjustment — Nets</t>
  </si>
  <si>
    <t>Proportion of mortality attributed to malaria in areas AMF works vs. the contexts of trials in Lengeler 2004</t>
  </si>
  <si>
    <t>Efficacy reduction due to insecticide resistance</t>
  </si>
  <si>
    <t>Adjusted deaths averted per protected child under 5</t>
  </si>
  <si>
    <t>Total number of under-5 deaths averted with hypothetical donation ($100,000)</t>
  </si>
  <si>
    <t>Comparable valuation</t>
  </si>
  <si>
    <t>Total units of value from under-5 deaths averted with hypothetical donation ($100,000) (before accounting for leverage and funging)</t>
  </si>
  <si>
    <t>Mortality reduction in individuals 5+ years old</t>
  </si>
  <si>
    <t xml:space="preserve">Ratio of 5+ malaria deaths to under-5 malaria deaths </t>
  </si>
  <si>
    <t>Number of malaria deaths per year (GBD 2017)</t>
  </si>
  <si>
    <t>Number of under-5 malaria deaths per year (GBD 2017)</t>
  </si>
  <si>
    <t>Number of age 5+ malaria deaths per year</t>
  </si>
  <si>
    <t>Ratio of 5+ malaria deaths to under-5 malaria deaths</t>
  </si>
  <si>
    <t>Relative efficacy of LLINs for reducing mortality of individuals age 5+</t>
  </si>
  <si>
    <t>Total number of age 5+ deaths averted per hypothetical donation ($100,000)</t>
  </si>
  <si>
    <t>Total units of value from age 5+ deaths averted with hypothetical donation ($100,000) (before accounting for leverage and funging)</t>
  </si>
  <si>
    <t>Overall mortality reduction</t>
  </si>
  <si>
    <t>Total deaths averted per hypothetical donation ($100,000)</t>
  </si>
  <si>
    <t>Reduction in malaria prevalence resulting from net distributions</t>
  </si>
  <si>
    <t>Relative reduction in malaria prevalence</t>
  </si>
  <si>
    <t>Reduction in malaria incidence for children under 5 (from Lengeler 2004 meta-analysis)</t>
  </si>
  <si>
    <t>Expected reduction in malaria prevalence in current day distributions</t>
  </si>
  <si>
    <t>Baseline malaria prevalence</t>
  </si>
  <si>
    <t>Malaria prevalence in AMF context (Age &lt;5) (GBD 2017)</t>
  </si>
  <si>
    <t>Malaria prevalence in AMF context (Age 5-9) (GBD 2017)</t>
  </si>
  <si>
    <t>Malaria prevalence in AMF context (Age 10-14) (GBD 2017)</t>
  </si>
  <si>
    <t>Malaria prevalence in AMF context (Age 5-14) (GBD 2017)</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</si>
  <si>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</si>
  <si>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</si>
  <si>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</si>
  <si>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</si>
  <si>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</si>
  <si>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</si>
  <si>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Income increases — ages 14 and under</t>
  </si>
  <si>
    <t>Prevalence reduction</t>
  </si>
  <si>
    <t>Reduction in the number of people infected with malaria at a single point of time with hypothetical donation ($100,000) (Age&lt;5)</t>
  </si>
  <si>
    <t>Reduction in the number of people infected with malaria at a single point of time with hypothetical donation ($100,000)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</si>
  <si>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</si>
  <si>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</si>
  <si>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</si>
  <si>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</si>
  <si>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</si>
  <si>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</si>
  <si>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</si>
  <si>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</si>
  <si>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</si>
  <si>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</si>
  <si>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</si>
  <si>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with hypothetical donation ($100,000) (Age&lt;5) — Present value</t>
  </si>
  <si>
    <t>Total units of increase in units of annual ln(income) with hypothetical donation ($100,000) (Ages 5-14) — Present value</t>
  </si>
  <si>
    <t>Total units of value from development benefits generated per hypothetical donation ($100,000), before accounting for leverage and funging</t>
  </si>
  <si>
    <t>Results before leverage/funging adjustment</t>
  </si>
  <si>
    <t>Total units of value generated with hypothetical donation ($100,000), before accounting for leverage/funging</t>
  </si>
  <si>
    <t>Total units of value generated with hypothetical donation ($100,000) if entire donation went to each country, before accounting for leverage/funging</t>
  </si>
  <si>
    <t>Cost-effectiveness in multiples of cash, before accounting for leverage/funging</t>
  </si>
  <si>
    <t>Leverage/Funging adjustment</t>
  </si>
  <si>
    <t>Total additional expected value from leverage / funging — Nets</t>
  </si>
  <si>
    <t>Results after leverage/funging</t>
  </si>
  <si>
    <t>Detailed results after leverage/funging</t>
  </si>
  <si>
    <t>Outcomes generated from $100,000 donation</t>
  </si>
  <si>
    <t>Total units of increase in units of annual ln(income) with hypothetical donation ($100,000) — Present value</t>
  </si>
  <si>
    <t>Units of value generated with hypothetical donation from different outcomes</t>
  </si>
  <si>
    <t>Total units of value from under-5 deaths averted with hypothetical donation ($100,000)</t>
  </si>
  <si>
    <t>Total units of value from age 5+ deaths averted with hypothetical donation ($100,000)</t>
  </si>
  <si>
    <t>Total units of value from development benefits generated per hypothetical donation ($100,000)</t>
  </si>
  <si>
    <t>Total units of value generated with hypothetical donation ($100,000), after accounting for leverage/funging</t>
  </si>
  <si>
    <t>Total units of value generated with hypothetical donation ($100,000) if entire donation went to each country, after accounting for leverage/funging</t>
  </si>
  <si>
    <t>CHECKSUM</t>
  </si>
  <si>
    <t>Cost per outcome</t>
  </si>
  <si>
    <t>Cost per under-5 death averted — AMF</t>
  </si>
  <si>
    <t>Cost per age 5+ death averted</t>
  </si>
  <si>
    <t>Cost per death averted at any age</t>
  </si>
  <si>
    <t>Cost-effectiveness in multiples of cash, after accounting for leverage/funging</t>
  </si>
  <si>
    <t>Downside adjusments — AMF</t>
  </si>
  <si>
    <t>Risk of wastage</t>
  </si>
  <si>
    <t>Double treatment</t>
  </si>
  <si>
    <t>Ineffective goods</t>
  </si>
  <si>
    <t>Goods purchased and left in storage until they expire / Cash doesn't reach recipients or is taken back from them inappropriately</t>
  </si>
  <si>
    <t>Total adjustment for risk of wastage</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</si>
  <si>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</si>
  <si>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</si>
  <si>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</si>
  <si>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</si>
  <si>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</si>
  <si>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</si>
  <si>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</si>
  <si>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</si>
  <si>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downside adjustment factor</t>
  </si>
  <si>
    <t>Inclusion/exclusion — AMF</t>
  </si>
  <si>
    <t>Included effects</t>
  </si>
  <si>
    <t>Adjustments for excluded effects</t>
  </si>
  <si>
    <t>Total adjustment factor for excluded effects</t>
  </si>
  <si>
    <t>Checksum</t>
  </si>
  <si>
    <t>Cost-effectiveness after all adjustments</t>
  </si>
  <si>
    <t>Total units of value generated with hypothetical donation ($100,000) if entire donation went to each country, after accounting for leverage/funging, downside adjustments, and adjustments for excluded effects</t>
  </si>
  <si>
    <t>Cost-effectiveness in multiples of cash, after accounting for leverage/funging, downside adjustments, and adjustments for excluded effects</t>
  </si>
  <si>
    <t>Cash Transfers - GiveDirectly</t>
  </si>
  <si>
    <t>Size of transfer</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</si>
  <si>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</si>
  <si>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</si>
  <si>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</si>
  <si>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</si>
  <si>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</si>
  <si>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</si>
  <si>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Amount invested (nominal USD)</t>
  </si>
  <si>
    <t>Total increase in consumption per person made possible by funds transferred (nominal USD)</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</si>
  <si>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</si>
  <si>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</si>
  <si>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</si>
  <si>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</si>
  <si>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</si>
  <si>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</si>
  <si>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</si>
  <si>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</si>
  <si>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</si>
  <si>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</si>
  <si>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</si>
  <si>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</si>
  <si>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</si>
  <si>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 per hypothetical donation ($100,000)</t>
  </si>
  <si>
    <t>Total units of increase in ln(consumption) per hypothetical donation ($100,000)</t>
  </si>
  <si>
    <t>Total units of value generated with hypothetical donation ($100,000)</t>
  </si>
  <si>
    <t>Outcome metric (select below)</t>
  </si>
  <si>
    <t>Cost-effectiveness in multiples of cash</t>
  </si>
  <si>
    <t>Downside adjusments — GiveDirectly</t>
  </si>
  <si>
    <t>Quality of monitoring and evaluation</t>
  </si>
  <si>
    <t>Inclusion/exclusion — Cash</t>
  </si>
  <si>
    <t>Total units of value generated with hypothetical donation ($100,000), after accounting for downside adjustments and adjustments for excluded effects</t>
  </si>
  <si>
    <t>Cost-effectiveness in multiples of cash, after accounting for downside adjustments and adjustments for excluded effects</t>
  </si>
  <si>
    <t>Deworming - Deworm the World</t>
  </si>
  <si>
    <t>Bihar</t>
  </si>
  <si>
    <t>Rajasthan</t>
  </si>
  <si>
    <t>Madhya Pradesh</t>
  </si>
  <si>
    <t>Kenya</t>
  </si>
  <si>
    <t>Uttar Pradesh</t>
  </si>
  <si>
    <t>Chhattisgarh</t>
  </si>
  <si>
    <t>Pakistan</t>
  </si>
  <si>
    <t>Haryana</t>
  </si>
  <si>
    <t>Karnataka</t>
  </si>
  <si>
    <t>Uttarakhand</t>
  </si>
  <si>
    <t>Lagos</t>
  </si>
  <si>
    <t>Oyo</t>
  </si>
  <si>
    <t>Ogun</t>
  </si>
  <si>
    <t>Cross River</t>
  </si>
  <si>
    <t>Rivers</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</si>
  <si>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</si>
  <si>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</si>
  <si>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</si>
  <si>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</si>
  <si>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</si>
  <si>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Adjustment for El Niño</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</si>
  <si>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</si>
  <si>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</si>
  <si>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</si>
  <si>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</si>
  <si>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</si>
  <si>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</si>
  <si>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</si>
  <si>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</si>
  <si>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Number of children dewormed per year with hypothetical donation (Deworm the World)</t>
  </si>
  <si>
    <t>Proportion of deworming going to children — DtW</t>
  </si>
  <si>
    <t>Worm intensity adjustment — DtW</t>
  </si>
  <si>
    <t>Present value of lifetime benefits from a year of deworming — in terms of increases in ln(consumption) — DtW</t>
  </si>
  <si>
    <t>Units of value from each year of deworming — DtW</t>
  </si>
  <si>
    <t>Cost per person dewormed (per year) — DtW</t>
  </si>
  <si>
    <t>Total number of children dewormed (per year) with hypothetical donation ($100,000) — DtW</t>
  </si>
  <si>
    <t>Percentage of children dewormed (per year) in each country</t>
  </si>
  <si>
    <t>Intuition check</t>
  </si>
  <si>
    <t>Aggregate adjustment to Miguel and Kremer development effect — DtW</t>
  </si>
  <si>
    <t>Results before leverage / funging adjustment</t>
  </si>
  <si>
    <t>Cost per treatment breakdown:</t>
  </si>
  <si>
    <t>Philanthropic actors</t>
  </si>
  <si>
    <t>Government staff time</t>
  </si>
  <si>
    <t>Government financial costs</t>
  </si>
  <si>
    <t>Donated drug costs</t>
  </si>
  <si>
    <t>Total costs</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</si>
  <si>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</si>
  <si>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</si>
  <si>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</si>
  <si>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</si>
  <si>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</si>
  <si>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$100,000)</t>
  </si>
  <si>
    <t>Probability of scenarios in absence of philanthropic funding</t>
  </si>
  <si>
    <t>1) Government costs would replace philanthropic costs</t>
  </si>
  <si>
    <t>2) Government financial costs would stay the same</t>
  </si>
  <si>
    <t>3) Distributions would go unfunded</t>
  </si>
  <si>
    <t>What fraction of the program would still happen?</t>
  </si>
  <si>
    <t>How many extra $ are spent on this intervention by non-philanthropic actors as a result of donation?</t>
  </si>
  <si>
    <t xml:space="preserve">        Government staff</t>
  </si>
  <si>
    <t xml:space="preserve">        Government financial</t>
  </si>
  <si>
    <t xml:space="preserve">        Donated drugs</t>
  </si>
  <si>
    <t>How many additional units of value are created/lost from more/less money being spent on this intervention as a result of donation?</t>
  </si>
  <si>
    <t>How many additional units of value are created/lost from more/less money being spent on their counterfactual use?</t>
  </si>
  <si>
    <t>How many additional units of value are created/lost from leverage and funging of this donation?</t>
  </si>
  <si>
    <t>How many units of value are created by this donation?</t>
  </si>
  <si>
    <t>Total additional expected value from leverage / funging — DtW</t>
  </si>
  <si>
    <t>Results after leverage / funging adjustment</t>
  </si>
  <si>
    <t>Downside adjusments — Deworm the World</t>
  </si>
  <si>
    <t>Inclusion/exclusion — Deworming</t>
  </si>
  <si>
    <t>Deworming - END Fund</t>
  </si>
  <si>
    <t>Ethiopia</t>
  </si>
  <si>
    <t>Angola</t>
  </si>
  <si>
    <t>Rwanda</t>
  </si>
  <si>
    <t>Zimbabwe</t>
  </si>
  <si>
    <t>Number of children dewormed per year with hypothetical donation (The END Fund)</t>
  </si>
  <si>
    <t>Proportion of deworming going to children — END Fund</t>
  </si>
  <si>
    <t>Worm intensity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</si>
  <si>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</si>
  <si>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</si>
  <si>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</si>
  <si>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</si>
  <si>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with hypothetical donation ($100,000) — END Fund</t>
  </si>
  <si>
    <t>Results before leverage / funging</t>
  </si>
  <si>
    <t>Aggregate adjustment to Miguel and Kremer development effect — END Fund</t>
  </si>
  <si>
    <t>Total additional expected value from leverage / funging — END</t>
  </si>
  <si>
    <t>Results after leverage / funging</t>
  </si>
  <si>
    <t>Total units of value generated with hypothetical donation ($100,000), after accounting for leverage and funging</t>
  </si>
  <si>
    <t>Downside adjusments — END Fund</t>
  </si>
  <si>
    <t>Mozambique</t>
  </si>
  <si>
    <t>Madagascar</t>
  </si>
  <si>
    <t>Tanzania</t>
  </si>
  <si>
    <t>Cote d'Ivoire</t>
  </si>
  <si>
    <t>Liberia</t>
  </si>
  <si>
    <t>Number of children dewormed per year with hypothetical donation (SCI)</t>
  </si>
  <si>
    <t>Proportion of deworming going to children — SCI</t>
  </si>
  <si>
    <t>Worm intensity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</si>
  <si>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</si>
  <si>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</si>
  <si>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</si>
  <si>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with hypothetical donation ($100,000) — SCI</t>
  </si>
  <si>
    <t>Aggregate adjustment to Miguel and Kremer development effect — SCI</t>
  </si>
  <si>
    <t>Total units of value generated with hypothetical donation ($100,000), before accounting for leverage and funging</t>
  </si>
  <si>
    <t>Total additional expected value from leverage / funging — SCI</t>
  </si>
  <si>
    <t>Downside adjusments — SCI</t>
  </si>
  <si>
    <t>Deworming - Sightsavers</t>
  </si>
  <si>
    <t>Guinea Bissau</t>
  </si>
  <si>
    <t>Cameroon</t>
  </si>
  <si>
    <t>Bauchi State</t>
  </si>
  <si>
    <t>Benue State</t>
  </si>
  <si>
    <t>Kebbi State</t>
  </si>
  <si>
    <t>Kogi State</t>
  </si>
  <si>
    <t>Kwara State</t>
  </si>
  <si>
    <t>Sokoto State</t>
  </si>
  <si>
    <t>Yobe State</t>
  </si>
  <si>
    <t>Number of children dewormed per year with hypothetical donation (Sightsavers)</t>
  </si>
  <si>
    <t>Proportion of deworming going to children — Sightsavers</t>
  </si>
  <si>
    <t>Worm intensity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</si>
  <si>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</si>
  <si>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</si>
  <si>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</si>
  <si>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 with hypothetical donation ($100,000)</t>
  </si>
  <si>
    <t>Aggregate adjustment to Miguel and Kremer development effect — Sightsavers</t>
  </si>
  <si>
    <t>Total additional expected value from leverage / funging — SS</t>
  </si>
  <si>
    <t>Downside adjusments — Sightsavers</t>
  </si>
  <si>
    <t>Seasonal malaria chemoprevention (SMC) - Malaria Consortium</t>
  </si>
  <si>
    <t>Burkina Faso</t>
  </si>
  <si>
    <t>Chad</t>
  </si>
  <si>
    <t>Number of children treated with SMC with a hypothetical donation</t>
  </si>
  <si>
    <t>Number of cycles of SMC per year</t>
  </si>
  <si>
    <t>Cost per equivalent child treated with all 4 cycles of SMC</t>
  </si>
  <si>
    <t>Total number of children treated in one year with hypothetical donation ($100,000)</t>
  </si>
  <si>
    <t>Of all children treated by hypothetical donation, percentage who reside in each country</t>
  </si>
  <si>
    <t>SMC effectiveness from RCTs</t>
  </si>
  <si>
    <t>Relative risk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</si>
  <si>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</si>
  <si>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</si>
  <si>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</si>
  <si>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</si>
  <si>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</si>
  <si>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</si>
  <si>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 xml:space="preserve">In this section, we estimate all-cause mortality rates and the fraction of all-cause mortality that is expected to come from malaria deaths in the population of the ACCESS-SMC program. </t>
  </si>
  <si>
    <t>Below, we estimate the percent of deaths due to malaria in the ACCESS-SMC population (3- to 59-month olds in the specified countries) based on estimates from the Global Burden of Disease Project (GBD).</t>
  </si>
  <si>
    <t>Percent of 3- to 59-month old deaths due to malaria—using 2017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</si>
  <si>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</si>
  <si>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</si>
  <si>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</si>
  <si>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</si>
  <si>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</si>
  <si>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</si>
  <si>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</si>
  <si>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</si>
  <si>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</si>
  <si>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</si>
  <si>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</si>
  <si>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</si>
  <si>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</si>
  <si>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</si>
  <si>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</si>
  <si>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</si>
  <si>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</si>
  <si>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</si>
  <si>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</si>
  <si>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</si>
  <si>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</si>
  <si>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 with hypothetical donation</t>
  </si>
  <si>
    <t>3- to 59-month old mortality caused directly by malaria (per 1,000 child-years)</t>
  </si>
  <si>
    <t>Ratio of indirect malaria deaths per direct malaria death</t>
  </si>
  <si>
    <t>Malaria-attributable deaths in ACCESS-SMC's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</si>
  <si>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</si>
  <si>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</si>
  <si>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</si>
  <si>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</si>
  <si>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with hypothetical donation ($100,000) in treated population (after internal and external validity adjustments)</t>
  </si>
  <si>
    <t>Total units of value from mortality reduction among treated population with hypothetical donation ($100,000) (before accounting for leverage and funging)</t>
  </si>
  <si>
    <t>Mortality reduction in untreated population with hypothetical donation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</si>
  <si>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</si>
  <si>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</si>
  <si>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</si>
  <si>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</si>
  <si>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</si>
  <si>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with hypothetical donation ($100,000) in untreated population (before adjustments)</t>
  </si>
  <si>
    <t>Adjustment to account for higher proportion of people being covered in the trial than ACCESS-SMC</t>
  </si>
  <si>
    <t>Malaria-attributable deaths averted with hypothetical donation ($100,000) in untreated population (after adjustments)</t>
  </si>
  <si>
    <t>Total units of value from mortality reduction among untargeted population with hypothetical donation ($100,000) (before accounting for leverage and funging)</t>
  </si>
  <si>
    <t>Total mortality reduction</t>
  </si>
  <si>
    <t>Malaria-attributable deaths averted with hypothetical donation ($100,000) in treated and untreated populations (after internal and external validity adjustments)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</si>
  <si>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</si>
  <si>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</si>
  <si>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</si>
  <si>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</si>
  <si>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</si>
  <si>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</si>
  <si>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</si>
  <si>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</si>
  <si>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</si>
  <si>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</si>
  <si>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</si>
  <si>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those under 5 with hypothetical donation ($100,000) — Present value</t>
  </si>
  <si>
    <t>Total units of increase in units of annual ln(income) for those age 5-14 with hypothetical donation ($100,000) — Present value</t>
  </si>
  <si>
    <t>Total units of value from development benefits generated with hypothetical donation ($100,000) (before accounting for leverage and funging)</t>
  </si>
  <si>
    <t>Domestic government</t>
  </si>
  <si>
    <t>The Global Fund</t>
  </si>
  <si>
    <t>2) Global Fund costs would replace philanthropic costs</t>
  </si>
  <si>
    <t>3) Government financial costs would stay the same</t>
  </si>
  <si>
    <t>4) Distributions would go unfunded</t>
  </si>
  <si>
    <t>Total additional expected value from leverage / funging — SMC</t>
  </si>
  <si>
    <t>Units of value generated from $100,00 donation</t>
  </si>
  <si>
    <t>Total units of value from mortality reduction among treated population with hypothetical donation ($100,000)</t>
  </si>
  <si>
    <t>Total units of value from mortality reduction among untargeted population with hypothetical donation ($100,000)</t>
  </si>
  <si>
    <t>Total units of value from development benefits generated with hypothetical donation ($100,000)</t>
  </si>
  <si>
    <t>Cost per under-5 death averted — SMC</t>
  </si>
  <si>
    <t>Downside adjusments — Malaria Consortium</t>
  </si>
  <si>
    <t>Inclusion/exclusion — SMC</t>
  </si>
  <si>
    <t>Vitamin A supplementation (VAS) - Helen Keller International (HKI)</t>
  </si>
  <si>
    <t>Côte d'Ivoire</t>
  </si>
  <si>
    <t>Mali</t>
  </si>
  <si>
    <t>Niger</t>
  </si>
  <si>
    <t>Number of children covered with VAS with a hypothetical donation</t>
  </si>
  <si>
    <t>Cost per child covered per supplementation round</t>
  </si>
  <si>
    <t>Supplementation rounds per year</t>
  </si>
  <si>
    <t>Cost per child covered per year</t>
  </si>
  <si>
    <t>Total number of children covered in one year with hypothetical donation ($100,000)</t>
  </si>
  <si>
    <t>Of all children covered by hypothetical donation ($100,000), percentage who reside in each country</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</si>
  <si>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</si>
  <si>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</si>
  <si>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</si>
  <si>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</si>
  <si>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</si>
  <si>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</si>
  <si>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</si>
  <si>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</si>
  <si>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</si>
  <si>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</si>
  <si>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</si>
  <si>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Expected deaths averted in cohort due to program (after internal and external validity adjustments)</t>
  </si>
  <si>
    <t>Total units of value from mortality reduction with hypothetical donation ($100,000)</t>
  </si>
  <si>
    <t>Development benefits</t>
  </si>
  <si>
    <t>Units of value from development benefits with hypothetical donation ($100,000)</t>
  </si>
  <si>
    <t>Total units of value generated with hypothetical donation ($100,000) (before accounting for leverage / funging)</t>
  </si>
  <si>
    <t>HKI and other philanthropic</t>
  </si>
  <si>
    <t>Total additional expected value from leverage / funging — VAS</t>
  </si>
  <si>
    <t>Downside adjusments — HKI</t>
  </si>
  <si>
    <t>Inclusion/exclusion — VAS</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</si>
  <si>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</si>
  <si>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</si>
  <si>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</si>
  <si>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</si>
  <si>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</si>
  <si>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</si>
  <si>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</si>
  <si>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</si>
  <si>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</si>
  <si>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</si>
  <si>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</si>
  <si>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</si>
  <si>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</si>
  <si>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</si>
  <si>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</si>
  <si>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</si>
  <si>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</si>
  <si>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</si>
  <si>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From "Moral weights" tab</t>
  </si>
  <si>
    <t>Value assigned to averting the death of an under 5 (in AMF under-5 life saved equivalents)</t>
  </si>
  <si>
    <t>Value assigned to averting the death of an individual 5 or older (in AMF under-5 life saved equivalents)</t>
  </si>
  <si>
    <t>Value assigned to increasing ln(consumption) by one unit for one person for one year  (in AMF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</si>
  <si>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</si>
  <si>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</si>
  <si>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</si>
  <si>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</si>
  <si>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</si>
  <si>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</si>
  <si>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</si>
  <si>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</si>
  <si>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</si>
  <si>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 and HKI</t>
  </si>
  <si>
    <t>This input is used for deworming charities</t>
  </si>
  <si>
    <t>Weighted average of 25% health, 70% education, 5% social security</t>
  </si>
  <si>
    <t>Counterfactual value of government costs spent on malaria and Vitamin A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</si>
  <si>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</si>
  <si>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</si>
  <si>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</si>
  <si>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</si>
  <si>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t>
  </si>
  <si>
    <t>Counterfactual value of Global Fund spending</t>
  </si>
  <si>
    <t>This input is used for AMF and Malaria Consortium. If the Global Fund funded the programs our charities currently fund, how valuable is what they otherwise would have funded?</t>
  </si>
  <si>
    <t>60% as good as AMF</t>
  </si>
  <si>
    <t>Charity/Intervention</t>
  </si>
  <si>
    <t>Items considered for inclusion</t>
  </si>
  <si>
    <t>Included?</t>
  </si>
  <si>
    <t>Rough best guess of effect size</t>
  </si>
  <si>
    <t>Can it be objectively justified?</t>
  </si>
  <si>
    <t>Ease of modeling</t>
  </si>
  <si>
    <t>Consistency</t>
  </si>
  <si>
    <t>3-criteria score</t>
  </si>
  <si>
    <t>Weighting of best guess of effect</t>
  </si>
  <si>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</si>
  <si>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</si>
  <si>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</si>
  <si>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</si>
  <si>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</si>
  <si>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</si>
  <si>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</si>
  <si>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</si>
  <si>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</si>
  <si>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</si>
  <si>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</si>
  <si>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</si>
  <si>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</si>
  <si>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</si>
  <si>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</si>
  <si>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</si>
  <si>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</si>
  <si>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</si>
  <si>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Malaria child mortality</t>
  </si>
  <si>
    <t>Included</t>
  </si>
  <si>
    <t>Main effect of intervention; Meta-analysis of RCTs; simple modeling; consistent with SMC</t>
  </si>
  <si>
    <t>Malaria adult mortality</t>
  </si>
  <si>
    <t>Large effect; extrapolation from effect on child mortality; simple modeling; inconsistent with SMC (but more important for nets)</t>
  </si>
  <si>
    <t>Developmental effects</t>
  </si>
  <si>
    <t xml:space="preserve"> </t>
  </si>
  <si>
    <t>Smallish effect; Quasi-experimental evidence; hard to model; consistency with deworming (but less important here)</t>
  </si>
  <si>
    <t>Malaria morbidity</t>
  </si>
  <si>
    <t>Excluded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</si>
  <si>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</si>
  <si>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</si>
  <si>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</si>
  <si>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</si>
  <si>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</si>
  <si>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</si>
  <si>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Chris estimated ~10% ; essentially a mortality effect so consistent</t>
  </si>
  <si>
    <t>Investment of income increases</t>
  </si>
  <si>
    <t>Guess would double income effect; the evidence is likely to be speculative; consistency with GD but inconsistency with SMC/Deworming</t>
  </si>
  <si>
    <t>Rebound effects / decreased immunity development</t>
  </si>
  <si>
    <t>Guess would have ~10% effect, uncertain if it can be justified; seems difficult to model; haven't included for SMC</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</si>
  <si>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</si>
  <si>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</si>
  <si>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</si>
  <si>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</si>
  <si>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</si>
  <si>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</si>
  <si>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</si>
  <si>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</si>
  <si>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</si>
  <si>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</si>
  <si>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</si>
  <si>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net types</t>
  </si>
  <si>
    <t>The types of insecticide-treated bed net distributed by AMF are different than the nets that were used in the trials that underlie our estimates of bed net effectiveness, yet we currently assume that they are functionally the same.  We evaluated this assumption and found that over the relevant time period, one type of net used by AMF (PermaNet 2.0) likely retains greater insecticidal activity but also develops many more holes (see our full report here: https://docs.google.com/document/d/1GU4e9WU-wlw8xtKTKvomovffLIk92tG4rYClRfczJng/edit?usp=sharing).  We are unsure of the net effect of these two opposing factors and we believe it would be difficult to accurately estimate.</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</si>
  <si>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</si>
  <si>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</si>
  <si>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AMF adjustment factor</t>
  </si>
  <si>
    <t>Deworming</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</si>
  <si>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</si>
  <si>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</si>
  <si>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</si>
  <si>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</si>
  <si>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</si>
  <si>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</si>
  <si>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</si>
  <si>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</si>
  <si>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</si>
  <si>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</si>
  <si>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</si>
  <si>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</si>
  <si>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</si>
  <si>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</si>
  <si>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</si>
  <si>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</si>
  <si>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</si>
  <si>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</si>
  <si>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</si>
  <si>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</si>
  <si>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</si>
  <si>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Deworming adjustment factor</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</si>
  <si>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</si>
  <si>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</si>
  <si>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</si>
  <si>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</si>
  <si>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</si>
  <si>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</si>
  <si>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</si>
  <si>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Spillover effects prevent child deaths &lt;3 months, as well as adult deaths</t>
  </si>
  <si>
    <t>The SMC cost-effectiveness analysis currently assumes all deaths prevented by spillovers to the untreated population are adults rather than children. In fact, some of these spillovers will be untreated children under the age of 5. This affects the final answer because we value child and adult lives differently. As ~17% of malaria deaths affected by spillovers are infants under the age of 3 months (IHME, see SMC sheet supplementary calculations), and we value preventing infant deaths ~half as much as preventing adult deaths, this would reduce the value created by the mortality effects of spillovers by ~8.5%. Spillover effects currently comprise ~6% of overall benefits for SMC (as of August 2018), suggesting the difference made by this simplification is ~6%*8.5%=0.5%. We may include this in our cost-effectiveness analysis in future but do not consider it a high priority.</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</si>
  <si>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</si>
  <si>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</si>
  <si>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</si>
  <si>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</si>
  <si>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SMC adjustment factor</t>
  </si>
  <si>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</si>
  <si>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</si>
  <si>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</si>
  <si>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</si>
  <si>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</si>
  <si>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</si>
  <si>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</si>
  <si>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</si>
  <si>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</si>
  <si>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</si>
  <si>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</si>
  <si>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</si>
  <si>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</si>
  <si>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</si>
  <si>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HKI adjustment factor</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</si>
  <si>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</si>
  <si>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</si>
  <si>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</si>
  <si>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</si>
  <si>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</si>
  <si>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</si>
  <si>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</si>
  <si>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</si>
  <si>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Cash adjustment factor</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</si>
  <si>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</si>
  <si>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</si>
  <si>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</si>
  <si>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</si>
  <si>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</si>
  <si>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</si>
  <si>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</si>
  <si>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</si>
  <si>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</si>
  <si>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</si>
  <si>
    <t>Note: This list of sources is no longer up to date</t>
  </si>
  <si>
    <t>Name</t>
  </si>
  <si>
    <t>Link</t>
  </si>
  <si>
    <t>AMF ITN alternative funders adjustment spreadsheet</t>
  </si>
  <si>
    <t>https://docs.google.com/spreadsheets/d/14k7XhbrDA_7Ponj_jdeI3HVXohwtYYworwYNCPWlgeI/edit?usp=sharing</t>
  </si>
  <si>
    <t>AMF distribution data</t>
  </si>
  <si>
    <t>Click on a specific distribution to see the documentation for it</t>
  </si>
  <si>
    <t>AMF review</t>
  </si>
  <si>
    <t>Baird et al. 2016</t>
  </si>
  <si>
    <t>https://academic.oup.com/qje/article/131/4/1637/2468871/Worms-at-Work-Long-run-Impacts-of-a-Child-Health</t>
  </si>
  <si>
    <t>Blattman et al 2013</t>
  </si>
  <si>
    <t>Blattman, Fiala, and Martinez 2013</t>
  </si>
  <si>
    <t>Burden of Road Injuries in Sub-Saharan Africa (Bhalla et al. 2014)</t>
  </si>
  <si>
    <t>http://pubdocs.worldbank.org/en/356861434469785833/Road-Safety-Burden-of-Injuries-in-Africa.pdf</t>
  </si>
  <si>
    <t>Cairns et al. 2012</t>
  </si>
  <si>
    <t>http://www.nature.com/articles/ncomms1879</t>
  </si>
  <si>
    <t>Carniero et al. 2010</t>
  </si>
  <si>
    <t>http://journals.plos.org/plosone/article?id=10.1371/journal.pone.0008988</t>
  </si>
  <si>
    <t>Churcher et al. 2016</t>
  </si>
  <si>
    <t>https://elifesciences.org/articles/16090</t>
  </si>
  <si>
    <t>Croke 2014</t>
  </si>
  <si>
    <t>http://files.givewell.org/files/DWDA%202009/Interventions/Deworming/Croke%202014.pdf</t>
  </si>
  <si>
    <t>Croke et al. 2016</t>
  </si>
  <si>
    <t>https://web.archive.org/web/20161130160211/http://emiguel.econ.berkeley.edu/assets/miguel_research/77/worms_v93.pdf</t>
  </si>
  <si>
    <t>David Roodman's "How thin the reed? Generalizing from 'Worms at Work'"</t>
  </si>
  <si>
    <t>http://blog.givewell.org/2017/01/04/how-thin-the-reed-generalizing-from-worms-at-work/</t>
  </si>
  <si>
    <t>David Roodman's "Why I mostly believe in Worms"</t>
  </si>
  <si>
    <t>http://blog.givewell.org/2016/12/06/why-i-mostly-believe-in-worms/</t>
  </si>
  <si>
    <t>DCP2 Spreadsheet</t>
  </si>
  <si>
    <t>de Mel, McKenzie, and Woodruff </t>
  </si>
  <si>
    <t>Deworm the World review</t>
  </si>
  <si>
    <t>Discussion of Croke 2014</t>
  </si>
  <si>
    <t>Disease and Mortality in Sub-Saharan Africa 2nd Edition</t>
  </si>
  <si>
    <t>https://www.ncbi.nlm.nih.gov/books/NBK2279/pdf/Bookshelf_NBK2279.pdf</t>
  </si>
  <si>
    <t>DHS and MIS reports</t>
  </si>
  <si>
    <t>http://dhsprogram.com/publications/index.cfm</t>
  </si>
  <si>
    <t>Eisele et al. 2012</t>
  </si>
  <si>
    <t>https://malariajournal.biomedcentral.com/articles/10.1186/1475-2875-11-93</t>
  </si>
  <si>
    <t>Fafchamps et al. (2011)</t>
  </si>
  <si>
    <t>Fiona Fleming, email to GiveWell, November 2, 2016</t>
  </si>
  <si>
    <t>Unpublished</t>
  </si>
  <si>
    <t>Fiona Fleming, email to GiveWell, November 7, 2016</t>
  </si>
  <si>
    <t>GBD 2015 Lancet publication on mortality rates</t>
  </si>
  <si>
    <t>http://thelancet.com/pdfs/journals/lancet/PIIS0140-6736(16)31575-6.pdf</t>
  </si>
  <si>
    <t>GBD Results Tool</t>
  </si>
  <si>
    <t>http://ghdx.healthdata.org/gbd-results-tool</t>
  </si>
  <si>
    <t>GiveWell analysis of AMF costs per net</t>
  </si>
  <si>
    <t>https://docs.google.com/a/givewell.org/spreadsheets/d/1HmD1SvfgMlXHke_-OXd8OMvnQ_ZQLr0tNXb6DjCFl3Y/edit?usp=sharing</t>
  </si>
  <si>
    <t>GiveWell analysis of Deworm the World cost per treatment</t>
  </si>
  <si>
    <t>https://docs.google.com/spreadsheets/d/1WlgHVppb4yxyw_5jrntr_xci6kzNZRX50Yssfu9AvH0/edit#gid=0</t>
  </si>
  <si>
    <t>GiveWell analysis of SCI's cost per treatment</t>
  </si>
  <si>
    <t>GiveWell country-specific AMF calculations</t>
  </si>
  <si>
    <t>https://docs.google.com/a/givewell.org/spreadsheets/d/1xyzkfB6mBBlltx5PFihu_w9YiyzJN-J3aUfXZZseXzE/edit?usp=sharing</t>
  </si>
  <si>
    <t>GiveWell estimates of regional malaria burdens</t>
  </si>
  <si>
    <t>https://docs.google.com/spreadsheets/d/14SBx-4aTAc35n_R3GOAre3HSJR8-VCS07ll6Mr37xjA/edit?usp=sharing</t>
  </si>
  <si>
    <t>GiveWell household size analysis</t>
  </si>
  <si>
    <t>GiveWell summary of studies discussed in Lengeler 2004</t>
  </si>
  <si>
    <t>Habyarimanaa &amp; Jack 2011</t>
  </si>
  <si>
    <t>http://zusharoadsafety.org/test/?wpdmdl=618</t>
  </si>
  <si>
    <t>Habyarimanaa &amp; Jack 2015</t>
  </si>
  <si>
    <t>http://zusharoadsafety.org/test/?wpdmdl=616</t>
  </si>
  <si>
    <t>Haushofer and Shapiro 2013</t>
  </si>
  <si>
    <t>Haushofer and Shapiro 2016</t>
  </si>
  <si>
    <t>https://www.princeton.edu/~joha/publications/Haushofer_Shapiro_UCT_2016.04.25.pdf</t>
  </si>
  <si>
    <t>Haushofer and Shapiro 2013 Appendix</t>
  </si>
  <si>
    <t>Haushofer and Shapiro 2013 Policy Brief</t>
  </si>
  <si>
    <t xml:space="preserve">Horton, Mannar and Wesley 2008 </t>
  </si>
  <si>
    <t>Ioannidis 2005, "Why Most Published Research Findings Are False"</t>
  </si>
  <si>
    <t>Lengeler 2004</t>
  </si>
  <si>
    <t>http://web.archive.org/web/20190627013749/http://www.evidenceaid.org/wp-content/uploads/2013/08/Insecticide-treated_bed_nets_and_curtains_for_preventing.pdf</t>
  </si>
  <si>
    <t>Lopez et al. 2006</t>
  </si>
  <si>
    <t>McKenzie and Woodruff 2008</t>
  </si>
  <si>
    <t>Miguel and Kremer 2004</t>
  </si>
  <si>
    <t>Net Cost spreadsheet</t>
  </si>
  <si>
    <t>Original AMF data available here: http://www.againstmalaria.com/FinancialInformation.aspx</t>
  </si>
  <si>
    <t>SCI review</t>
  </si>
  <si>
    <t>SCI Treatment Numbers (October 2014)</t>
  </si>
  <si>
    <t>WHO schistosomiasis treatment gap data</t>
  </si>
  <si>
    <t>World Bank neonatal mortality rates by country</t>
  </si>
  <si>
    <t>http://data.worldbank.org/indicator/SH.DYN.NMRT</t>
  </si>
  <si>
    <t>World Bank under 5 mortality rates by country</t>
  </si>
  <si>
    <t>http://data.worldbank.org/indicator/SH.DYN.MORT</t>
  </si>
  <si>
    <t>World Health Organization, "Seasonal Malaria Chemoprevention: A Field Guide"</t>
  </si>
  <si>
    <t>http://apps.who.int/iris/bitstream/10665/85726/1/9789241504737_eng.pdf?ua=1</t>
  </si>
  <si>
    <t>Worms at Work Spreadsheet (worms-at-work_Table 4_2012-08-02_final)</t>
  </si>
  <si>
    <t>Other Useful Resources</t>
  </si>
  <si>
    <t>Please note that these resources began as internal documents. They have not been vetted as deeply as content within the CEA workbook.</t>
  </si>
  <si>
    <t>Guide to GiveWell CEAs</t>
  </si>
  <si>
    <t>https://docs.google.com/document/d/1ZKq-MNU-xtn_48uN33L6VvBEZRAduvjwWMeaEffL4K4/</t>
  </si>
  <si>
    <t>Emma Trefethen's Internal Document on Discount Rates</t>
  </si>
  <si>
    <t>https://docs.google.com/document/d/1_NhuiqbcdITySX8_fuU_RTJ3fXfQWoiLFL6_yIw97SQ/edit?usp=sharing</t>
  </si>
  <si>
    <t>Google Sheet for Estimating "Number of Household Members that Benefit" Value</t>
  </si>
  <si>
    <t>https://docs.google.com/spreadsheets/d/112uuyYt6QLRZuJojwz6fHv4JQ-GHNeIpiT-SauY3kmM/copy</t>
  </si>
  <si>
    <t>Google Sheet for Estimating the Value assigned to Preventing Malaria Deaths at Different Ages</t>
  </si>
  <si>
    <t>https://docs.google.com/a/givewell.org/spreadsheets/d/1i_f1yJE0x5zHIG89fkcA579Ij37keQPRYfMUxIXg2MU/edit?usp=sharing</t>
  </si>
  <si>
    <t>Year of Life Lost Per Death Spreadsheet</t>
  </si>
  <si>
    <t>https://docs.google.com/spreadsheets/d/1yqZCbFIqjMlueoK9-A5JV0jiC6-vrT3RQpu3p0hq3Hs/copy</t>
  </si>
  <si>
    <t>Useful for calculating the DALY Value assigned to a life saved based on the expected life span of indivudals at given ages</t>
  </si>
  <si>
    <t>GiveWell's 2017 CEA sensitivity analysis</t>
  </si>
  <si>
    <t>https://blog.givewell.org/2017/12/22/uncertain-cost-effectiveness-analysis/</t>
  </si>
  <si>
    <t>Outcome metrics</t>
  </si>
  <si>
    <t>"Cost per outcomes as good as" + outcome metric (automatic)</t>
  </si>
  <si>
    <t>averting the death of an individual under 5 — AMF</t>
  </si>
  <si>
    <t>averting the death of an individual 5 or older</t>
  </si>
  <si>
    <t>averting the death of a 3- to 59-month old child— SMC</t>
  </si>
  <si>
    <t>averting the death of a 6- to 59-month old child — HKI</t>
  </si>
  <si>
    <t>doubling consumption for one person for one year</t>
  </si>
  <si>
    <t>increasing ln(consumption) by one unit for one person for one year</t>
  </si>
  <si>
    <t>increasing consumption by 10% for 100 people for one year</t>
  </si>
  <si>
    <t>increasing consumption by 25% for 100 people for one year</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</si>
</sst>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0.0%"/>
    <numFmt numFmtId="165" formatCode="0.0"/>
    <numFmt numFmtId="166" formatCode="#,##0.0"/>
    <numFmt numFmtId="167" formatCode="0.0000000000000"/>
    <numFmt numFmtId="168" formatCode="&quot;$&quot;#,##0"/>
    <numFmt numFmtId="169" formatCode="&quot;$&quot;#,##0.00"/>
    <numFmt numFmtId="170" formatCode="#,##0.000000000"/>
    <numFmt numFmtId="171" formatCode="#,##0.0000000000"/>
    <numFmt numFmtId="172" formatCode="#,##0.00000"/>
    <numFmt numFmtId="173" formatCode="0.00000"/>
    <numFmt numFmtId="174" formatCode="#,##0.0000"/>
    <numFmt numFmtId="175" formatCode="0.000"/>
    <numFmt numFmtId="176" formatCode="#,##0.000"/>
    <numFmt numFmtId="177" formatCode="0.0000"/>
    <numFmt numFmtId="178" formatCode="0.000000000%"/>
    <numFmt numFmtId="179" formatCode="#,##0.0000000"/>
  </numFmts>
  <fonts count="81">
    <font>
      <sz val="11.0"/>
      <color rgb="FF000000"/>
      <name val="Calibri"/>
    </font>
    <font>
      <b/>
      <sz val="14.0"/>
      <color rgb="FF000000"/>
      <name val="Calibri"/>
    </font>
    <font>
      <i/>
      <sz val="11.0"/>
      <color rgb="FF000000"/>
      <name val="Calibri"/>
    </font>
    <font>
      <u/>
      <sz val="11.0"/>
      <color rgb="FF0563C1"/>
      <name val="Calibri"/>
    </font>
    <font>
      <b/>
      <sz val="14.0"/>
      <name val="Calibri"/>
    </font>
    <font>
      <sz val="11.0"/>
      <color rgb="FF0000FF"/>
      <name val="Calibri"/>
    </font>
    <font>
      <sz val="11.0"/>
    </font>
    <font>
      <sz val="11.0"/>
      <color rgb="FF274E13"/>
      <name val="Calibri"/>
    </font>
    <font>
      <u/>
      <sz val="11.0"/>
      <color rgb="FF0000FF"/>
    </font>
    <font>
      <u/>
      <sz val="11.0"/>
      <color rgb="FF0000FF"/>
    </font>
    <font>
      <u/>
      <sz val="11.0"/>
      <color rgb="FF0000FF"/>
    </font>
    <font>
      <u/>
      <sz val="11.0"/>
      <color rgb="FF0000FF"/>
    </font>
    <font>
      <u/>
      <sz val="11.0"/>
      <color rgb="FF0000FF"/>
    </font>
    <font>
      <u/>
      <sz val="11.0"/>
      <color rgb="FF0563C1"/>
      <name val="Calibri"/>
    </font>
    <font>
      <b/>
      <sz val="11.0"/>
      <color rgb="FF000000"/>
      <name val="Calibri"/>
    </font>
    <font>
      <b/>
      <sz val="11.0"/>
      <name val="Calibri"/>
    </font>
    <font>
      <sz val="11.0"/>
      <name val="Calibri"/>
    </font>
    <font>
      <b/>
      <sz val="11.0"/>
      <color rgb="FF274E13"/>
      <name val="Calibri"/>
    </font>
    <font>
      <u/>
      <color rgb="FF0000FF"/>
      <name val="Calibri"/>
    </font>
    <font>
      <name val="Calibri"/>
    </font>
    <font>
      <b/>
      <i/>
      <sz val="11.0"/>
      <name val="Calibri"/>
    </font>
    <font>
      <u/>
      <sz val="10.0"/>
      <color rgb="FF0563C1"/>
      <name val="Calibri"/>
    </font>
    <font>
      <u/>
      <sz val="10.0"/>
      <color rgb="FF0563C1"/>
      <name val="Calibri"/>
    </font>
    <font/>
    <font>
      <b/>
      <i/>
      <sz val="11.0"/>
      <color rgb="FF000000"/>
      <name val="Calibri"/>
    </font>
    <font>
      <u/>
      <color rgb="FF0000FF"/>
      <name val="Calibri"/>
    </font>
    <font>
      <color rgb="FF000000"/>
      <name val="Calibri"/>
    </font>
    <font>
      <i/>
      <sz val="12.0"/>
      <color rgb="FF000000"/>
      <name val="Calibri"/>
    </font>
    <font>
      <b/>
      <name val="Calibri"/>
    </font>
    <font>
      <i/>
      <name val="Calibri"/>
    </font>
    <font>
      <color rgb="FF006400"/>
      <name val="Calibri"/>
    </font>
    <font>
      <sz val="11.0"/>
      <color rgb="FF006400"/>
      <name val="Calibri"/>
    </font>
    <font>
      <color rgb="FF0000FF"/>
      <name val="Calibri"/>
    </font>
    <font>
      <color rgb="FF38761D"/>
      <name val="Calibri"/>
    </font>
    <font>
      <sz val="11.0"/>
      <color rgb="FF38761D"/>
      <name val="Calibri"/>
    </font>
    <font>
      <i/>
      <sz val="11.0"/>
      <name val="Calibri"/>
    </font>
    <font>
      <b/>
      <sz val="11.0"/>
      <color rgb="FF006400"/>
      <name val="Calibri"/>
    </font>
    <font>
      <color rgb="FF006400"/>
    </font>
    <font>
      <b/>
      <color rgb="FF006400"/>
      <name val="Calibri"/>
    </font>
    <font>
      <i/>
    </font>
    <font>
      <color rgb="FF434343"/>
      <name val="Calibri"/>
    </font>
    <font>
      <i/>
      <color rgb="FFB7B7B7"/>
      <name val="Calibri"/>
    </font>
    <font>
      <sz val="11.0"/>
      <color rgb="FFB7B7B7"/>
      <name val="Calibri"/>
    </font>
    <font>
      <b/>
    </font>
    <font>
      <b/>
      <color rgb="FF006400"/>
    </font>
    <font>
      <color rgb="FF0000FF"/>
    </font>
    <font>
      <color rgb="FFB7B7B7"/>
    </font>
    <font>
      <i/>
      <sz val="11.0"/>
      <color rgb="FFB7B7B7"/>
      <name val="Calibri"/>
    </font>
    <font>
      <i/>
      <sz val="11.0"/>
      <color rgb="FF006400"/>
      <name val="Calibri"/>
    </font>
    <font>
      <sz val="11.0"/>
      <color rgb="FF434343"/>
      <name val="Calibri"/>
    </font>
    <font>
      <name val="Arial"/>
    </font>
    <font>
      <color rgb="FF38761D"/>
    </font>
    <font>
      <b/>
      <sz val="11.0"/>
      <color rgb="FF38761D"/>
      <name val="Calibri"/>
    </font>
    <font>
      <i/>
      <color rgb="FF38761D"/>
      <name val="Calibri"/>
    </font>
    <font>
      <sz val="11.0"/>
      <color rgb="FFCCCCCC"/>
      <name val="Calibri"/>
    </font>
    <font>
      <sz val="11.0"/>
      <color rgb="FF38761D"/>
    </font>
    <font>
      <i/>
      <color rgb="FF000000"/>
      <name val="Calibri"/>
    </font>
    <font>
      <b/>
      <sz val="11.0"/>
      <name val="Arial"/>
    </font>
    <font>
      <sz val="11.0"/>
      <name val="Arial"/>
    </font>
    <font>
      <i/>
      <sz val="10.0"/>
      <name val="Arial"/>
    </font>
    <font>
      <sz val="10.0"/>
      <name val="Arial"/>
    </font>
    <font>
      <b/>
      <sz val="10.0"/>
      <name val="Arial"/>
    </font>
    <font>
      <b/>
      <i/>
      <sz val="10.0"/>
    </font>
    <font>
      <sz val="14.0"/>
      <name val="Calibri"/>
    </font>
    <font>
      <sz val="11.0"/>
      <color rgb="FF222222"/>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color rgb="FF1155CC"/>
      <name val="Calibri"/>
    </font>
    <font>
      <u/>
      <color rgb="FF0000FF"/>
      <name val="Calibri"/>
    </font>
    <font>
      <u/>
      <color rgb="FF0000FF"/>
      <name val="Calibri"/>
    </font>
    <font>
      <u/>
      <color rgb="FF1155CC"/>
      <name val="Calibri"/>
    </font>
    <font>
      <b/>
      <i/>
      <sz val="11.0"/>
    </font>
    <font>
      <sz val="11.0"/>
      <color rgb="FF666666"/>
      <name val="Calibri"/>
    </font>
    <font>
      <i/>
      <sz val="11.0"/>
      <color rgb="FF666666"/>
    </font>
    <font>
      <sz val="11.0"/>
      <color rgb="FF666666"/>
    </font>
    <font>
      <color rgb="FF666666"/>
    </font>
    <font>
      <i/>
      <color rgb="FF666666"/>
    </font>
  </fonts>
  <fills count="19">
    <fill>
      <patternFill patternType="none"/>
    </fill>
    <fill>
      <patternFill patternType="lightGray"/>
    </fill>
    <fill>
      <patternFill patternType="solid">
        <fgColor rgb="FFCCCCCC"/>
        <bgColor rgb="FFCCCCCC"/>
      </patternFill>
    </fill>
    <fill>
      <patternFill patternType="solid">
        <fgColor rgb="FF9FC5E8"/>
        <bgColor rgb="FF9FC5E8"/>
      </patternFill>
    </fill>
    <fill>
      <patternFill patternType="solid">
        <fgColor rgb="FF93C47D"/>
        <bgColor rgb="FF93C47D"/>
      </patternFill>
    </fill>
    <fill>
      <patternFill patternType="solid">
        <fgColor rgb="FFC9DAF8"/>
        <bgColor rgb="FFC9DAF8"/>
      </patternFill>
    </fill>
    <fill>
      <patternFill patternType="solid">
        <fgColor rgb="FFEFEFEF"/>
        <bgColor rgb="FFEFEFEF"/>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FFFFFF"/>
        <bgColor rgb="FFFFFFFF"/>
      </patternFill>
    </fill>
    <fill>
      <patternFill patternType="solid">
        <fgColor rgb="FFCFE2F3"/>
        <bgColor rgb="FFCFE2F3"/>
      </patternFill>
    </fill>
    <fill>
      <patternFill patternType="solid">
        <fgColor rgb="FFD9D2E9"/>
        <bgColor rgb="FFD9D2E9"/>
      </patternFill>
    </fill>
    <fill>
      <patternFill patternType="solid">
        <fgColor rgb="FFFFF2CC"/>
        <bgColor rgb="FFFFF2CC"/>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38761D"/>
        <bgColor rgb="FF38761D"/>
      </patternFill>
    </fill>
  </fills>
  <borders count="8">
    <border/>
    <border>
      <top style="thin">
        <color rgb="FF000000"/>
      </top>
    </border>
    <border>
      <bottom style="thin">
        <color rgb="FF000000"/>
      </bottom>
    </border>
    <border>
      <right/>
    </border>
    <border>
      <left style="thin">
        <color rgb="FF000000"/>
      </lef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96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0" numFmtId="0" xfId="0" applyAlignment="1" applyFont="1">
      <alignment shrinkToFit="0" wrapText="1"/>
    </xf>
    <xf borderId="0" fillId="0" fontId="2" numFmtId="0" xfId="0" applyAlignment="1" applyFont="1">
      <alignment readingOrder="0" shrinkToFit="0" vertical="bottom" wrapText="0"/>
    </xf>
    <xf borderId="0" fillId="0" fontId="0"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Font="1"/>
    <xf borderId="0" fillId="0" fontId="7" numFmtId="0" xfId="0" applyAlignment="1" applyFont="1">
      <alignment horizontal="left" readingOrder="0" shrinkToFit="0" wrapText="1"/>
    </xf>
    <xf borderId="0" fillId="0" fontId="1" numFmtId="0" xfId="0" applyAlignment="1" applyFont="1">
      <alignment readingOrder="0" shrinkToFit="0" vertical="bottom" wrapText="0"/>
    </xf>
    <xf borderId="0" fillId="2" fontId="8" numFmtId="0" xfId="0" applyFill="1" applyFont="1"/>
    <xf borderId="0" fillId="2" fontId="6" numFmtId="0" xfId="0" applyFont="1"/>
    <xf borderId="0" fillId="3" fontId="9" numFmtId="0" xfId="0" applyFill="1" applyFont="1"/>
    <xf borderId="0" fillId="3" fontId="6" numFmtId="0" xfId="0" applyFont="1"/>
    <xf borderId="0" fillId="3" fontId="6" numFmtId="0" xfId="0" applyAlignment="1" applyFont="1">
      <alignment readingOrder="0"/>
    </xf>
    <xf borderId="0" fillId="3" fontId="10" numFmtId="0" xfId="0" applyAlignment="1" applyFont="1">
      <alignment readingOrder="0"/>
    </xf>
    <xf borderId="0" fillId="0" fontId="11" numFmtId="0" xfId="0" applyAlignment="1" applyFont="1">
      <alignment readingOrder="0"/>
    </xf>
    <xf borderId="0" fillId="0" fontId="6" numFmtId="0" xfId="0" applyAlignment="1" applyFont="1">
      <alignment readingOrder="0"/>
    </xf>
    <xf borderId="0" fillId="4" fontId="12" numFmtId="0" xfId="0" applyAlignment="1" applyFill="1" applyFont="1">
      <alignment readingOrder="0"/>
    </xf>
    <xf borderId="0" fillId="4" fontId="6" numFmtId="0" xfId="0" applyAlignment="1" applyFont="1">
      <alignment readingOrder="0"/>
    </xf>
    <xf borderId="0" fillId="0" fontId="13" numFmtId="0" xfId="0" applyAlignment="1" applyFont="1">
      <alignment readingOrder="0" shrinkToFit="0" vertical="bottom" wrapText="1"/>
    </xf>
    <xf borderId="0" fillId="5" fontId="14" numFmtId="0" xfId="0" applyAlignment="1" applyFill="1" applyFont="1">
      <alignment horizontal="center" readingOrder="0" shrinkToFit="0" vertical="center" wrapText="0"/>
    </xf>
    <xf borderId="0" fillId="0" fontId="15" numFmtId="0" xfId="0" applyAlignment="1" applyFont="1">
      <alignment horizontal="left" shrinkToFit="0" wrapText="0"/>
    </xf>
    <xf borderId="0" fillId="0" fontId="14" numFmtId="10" xfId="0" applyAlignment="1" applyFont="1" applyNumberFormat="1">
      <alignment shrinkToFit="0" wrapText="0"/>
    </xf>
    <xf borderId="0" fillId="0" fontId="16" numFmtId="10" xfId="0" applyAlignment="1" applyFont="1" applyNumberFormat="1">
      <alignment vertical="bottom"/>
    </xf>
    <xf borderId="0" fillId="0" fontId="0" numFmtId="0" xfId="0" applyAlignment="1" applyFont="1">
      <alignment shrinkToFit="0" wrapText="0"/>
    </xf>
    <xf borderId="0" fillId="0" fontId="0" numFmtId="164" xfId="0" applyAlignment="1" applyFont="1" applyNumberFormat="1">
      <alignment readingOrder="0" shrinkToFit="0" wrapText="0"/>
    </xf>
    <xf borderId="0" fillId="0" fontId="17" numFmtId="164" xfId="0" applyAlignment="1" applyFont="1" applyNumberFormat="1">
      <alignment readingOrder="0" shrinkToFit="0" wrapText="0"/>
    </xf>
    <xf borderId="0" fillId="0" fontId="0" numFmtId="9" xfId="0" applyAlignment="1" applyFont="1" applyNumberFormat="1">
      <alignment readingOrder="0" shrinkToFit="0" wrapText="0"/>
    </xf>
    <xf borderId="0" fillId="0" fontId="5" numFmtId="164" xfId="0" applyAlignment="1" applyFont="1" applyNumberFormat="1">
      <alignment horizontal="right" vertical="bottom"/>
    </xf>
    <xf borderId="0" fillId="0" fontId="5" numFmtId="164" xfId="0" applyAlignment="1" applyFont="1" applyNumberFormat="1">
      <alignment horizontal="right" readingOrder="0" vertical="bottom"/>
    </xf>
    <xf borderId="0" fillId="0" fontId="0" numFmtId="9" xfId="0" applyAlignment="1" applyFont="1" applyNumberFormat="1">
      <alignment horizontal="right" vertical="bottom"/>
    </xf>
    <xf borderId="0" fillId="0" fontId="18" numFmtId="0" xfId="0" applyAlignment="1" applyFont="1">
      <alignment readingOrder="0" shrinkToFit="0" wrapText="0"/>
    </xf>
    <xf borderId="0" fillId="0" fontId="19" numFmtId="0" xfId="0" applyAlignment="1" applyFont="1">
      <alignment readingOrder="0"/>
    </xf>
    <xf borderId="0" fillId="0" fontId="0" numFmtId="0" xfId="0" applyAlignment="1" applyFont="1">
      <alignment shrinkToFit="0" wrapText="0"/>
    </xf>
    <xf borderId="0" fillId="0" fontId="17" numFmtId="9" xfId="0" applyAlignment="1" applyFont="1" applyNumberFormat="1">
      <alignment horizontal="right" shrinkToFit="0" vertical="bottom" wrapText="0"/>
    </xf>
    <xf borderId="0" fillId="0" fontId="16" numFmtId="9" xfId="0" applyAlignment="1" applyFont="1" applyNumberFormat="1">
      <alignment horizontal="right" shrinkToFit="0" vertical="bottom" wrapText="0"/>
    </xf>
    <xf borderId="0" fillId="0" fontId="16" numFmtId="9" xfId="0" applyAlignment="1" applyFont="1" applyNumberFormat="1">
      <alignment vertical="bottom"/>
    </xf>
    <xf borderId="0" fillId="0" fontId="0" numFmtId="0" xfId="0" applyAlignment="1" applyFont="1">
      <alignment shrinkToFit="0" wrapText="0"/>
    </xf>
    <xf borderId="0" fillId="0" fontId="15" numFmtId="0" xfId="0" applyAlignment="1" applyFont="1">
      <alignment horizontal="left" readingOrder="0" shrinkToFit="0" wrapText="0"/>
    </xf>
    <xf borderId="0" fillId="0" fontId="17" numFmtId="0" xfId="0" applyAlignment="1" applyFont="1">
      <alignment shrinkToFit="0" wrapText="0"/>
    </xf>
    <xf borderId="0" fillId="0" fontId="0" numFmtId="9" xfId="0" applyAlignment="1" applyFont="1" applyNumberFormat="1">
      <alignment shrinkToFit="0" wrapText="0"/>
    </xf>
    <xf borderId="0" fillId="0" fontId="0" numFmtId="0" xfId="0" applyAlignment="1" applyFont="1">
      <alignment horizontal="left" readingOrder="0" shrinkToFit="0" wrapText="0"/>
    </xf>
    <xf borderId="0" fillId="0" fontId="17" numFmtId="9" xfId="0" applyAlignment="1" applyFont="1" applyNumberFormat="1">
      <alignment readingOrder="0" shrinkToFit="0" wrapText="0"/>
    </xf>
    <xf borderId="0" fillId="0" fontId="5" numFmtId="9" xfId="0" applyAlignment="1" applyFont="1" applyNumberFormat="1">
      <alignment horizontal="right" vertical="bottom"/>
    </xf>
    <xf borderId="0" fillId="0" fontId="5" numFmtId="9" xfId="0" applyAlignment="1" applyFont="1" applyNumberFormat="1">
      <alignment horizontal="right" vertical="bottom"/>
    </xf>
    <xf borderId="0" fillId="0" fontId="20" numFmtId="0" xfId="0" applyAlignment="1" applyFont="1">
      <alignment horizontal="left" readingOrder="0" shrinkToFit="0" wrapText="0"/>
    </xf>
    <xf borderId="0" fillId="0" fontId="0" numFmtId="0" xfId="0" applyAlignment="1" applyFont="1">
      <alignment shrinkToFit="0" wrapText="0"/>
    </xf>
    <xf borderId="0" fillId="0" fontId="0" numFmtId="0" xfId="0" applyAlignment="1" applyFont="1">
      <alignment readingOrder="0" shrinkToFit="0" wrapText="0"/>
    </xf>
    <xf borderId="0" fillId="0" fontId="0" numFmtId="9" xfId="0" applyAlignment="1" applyFont="1" applyNumberFormat="1">
      <alignment readingOrder="0" shrinkToFit="0" wrapText="0"/>
    </xf>
    <xf borderId="0" fillId="0" fontId="21" numFmtId="0" xfId="0" applyAlignment="1" applyFont="1">
      <alignment readingOrder="0" shrinkToFit="0" wrapText="0"/>
    </xf>
    <xf borderId="0" fillId="0" fontId="22" numFmtId="0" xfId="0" applyAlignment="1" applyFont="1">
      <alignment shrinkToFit="0" wrapText="0"/>
    </xf>
    <xf borderId="0" fillId="0" fontId="23" numFmtId="0" xfId="0" applyAlignment="1" applyFont="1">
      <alignment readingOrder="0" shrinkToFit="0" wrapText="0"/>
    </xf>
    <xf borderId="0" fillId="0" fontId="0" numFmtId="3" xfId="0" applyAlignment="1" applyFont="1" applyNumberFormat="1">
      <alignment readingOrder="0" shrinkToFit="0" wrapText="0"/>
    </xf>
    <xf borderId="0" fillId="0" fontId="17" numFmtId="3" xfId="0" applyAlignment="1" applyFont="1" applyNumberFormat="1">
      <alignment readingOrder="0" shrinkToFit="0" wrapText="0"/>
    </xf>
    <xf borderId="0" fillId="0" fontId="5" numFmtId="3" xfId="0" applyAlignment="1" applyFont="1" applyNumberFormat="1">
      <alignment horizontal="right" vertical="bottom"/>
    </xf>
    <xf borderId="0" fillId="0" fontId="15" numFmtId="0" xfId="0" applyAlignment="1" applyFont="1">
      <alignment shrinkToFit="0" wrapText="0"/>
    </xf>
    <xf borderId="0" fillId="0" fontId="24" numFmtId="0" xfId="0" applyAlignment="1" applyFont="1">
      <alignment readingOrder="0" shrinkToFit="0" wrapText="0"/>
    </xf>
    <xf borderId="0" fillId="0" fontId="17" numFmtId="0" xfId="0" applyAlignment="1" applyFont="1">
      <alignment shrinkToFit="0" wrapText="0"/>
    </xf>
    <xf borderId="0" fillId="0" fontId="0" numFmtId="165" xfId="0" applyAlignment="1" applyFont="1" applyNumberFormat="1">
      <alignment readingOrder="0" shrinkToFit="0" wrapText="0"/>
    </xf>
    <xf borderId="0" fillId="0" fontId="14" numFmtId="0" xfId="0" applyAlignment="1" applyFont="1">
      <alignment shrinkToFit="0" wrapText="0"/>
    </xf>
    <xf borderId="0" fillId="5" fontId="14" numFmtId="0" xfId="0" applyAlignment="1" applyFont="1">
      <alignment horizontal="left" readingOrder="0" shrinkToFit="0" wrapText="0"/>
    </xf>
    <xf borderId="0" fillId="5" fontId="2" numFmtId="0" xfId="0" applyAlignment="1" applyFont="1">
      <alignment horizontal="left" readingOrder="0" shrinkToFit="0" wrapText="0"/>
    </xf>
    <xf borderId="0" fillId="5" fontId="16" numFmtId="0" xfId="0" applyFont="1"/>
    <xf borderId="0" fillId="0" fontId="5" numFmtId="166" xfId="0" applyAlignment="1" applyFont="1" applyNumberFormat="1">
      <alignment horizontal="center" readingOrder="0" shrinkToFit="0" wrapText="0"/>
    </xf>
    <xf borderId="0" fillId="0" fontId="19" numFmtId="166" xfId="0" applyAlignment="1" applyFont="1" applyNumberFormat="1">
      <alignment vertical="bottom"/>
    </xf>
    <xf borderId="0" fillId="0" fontId="19" numFmtId="0" xfId="0" applyFont="1"/>
    <xf borderId="0" fillId="0" fontId="0" numFmtId="2" xfId="0" applyAlignment="1" applyFont="1" applyNumberFormat="1">
      <alignment horizontal="left" readingOrder="0" shrinkToFit="0" wrapText="0"/>
    </xf>
    <xf borderId="0" fillId="0" fontId="7" numFmtId="165" xfId="0" applyAlignment="1" applyFont="1" applyNumberFormat="1">
      <alignment horizontal="right" readingOrder="0" vertical="bottom"/>
    </xf>
    <xf borderId="0" fillId="0" fontId="0" numFmtId="2" xfId="0" applyAlignment="1" applyFont="1" applyNumberFormat="1">
      <alignment readingOrder="0" shrinkToFit="0" wrapText="0"/>
    </xf>
    <xf borderId="0" fillId="0" fontId="19" numFmtId="2" xfId="0" applyAlignment="1" applyFont="1" applyNumberFormat="1">
      <alignment vertical="bottom"/>
    </xf>
    <xf borderId="0" fillId="0" fontId="7" numFmtId="167" xfId="0" applyAlignment="1" applyFont="1" applyNumberFormat="1">
      <alignment vertical="bottom"/>
    </xf>
    <xf borderId="0" fillId="0" fontId="0" numFmtId="167" xfId="0" applyAlignment="1" applyFont="1" applyNumberFormat="1">
      <alignment shrinkToFit="0" wrapText="0"/>
    </xf>
    <xf borderId="0" fillId="0" fontId="19" numFmtId="0" xfId="0" applyAlignment="1" applyFont="1">
      <alignment vertical="bottom"/>
    </xf>
    <xf borderId="0" fillId="0" fontId="0" numFmtId="1" xfId="0" applyAlignment="1" applyFont="1" applyNumberFormat="1">
      <alignment readingOrder="0" shrinkToFit="0" wrapText="0"/>
    </xf>
    <xf borderId="0" fillId="0" fontId="7" numFmtId="1" xfId="0" applyAlignment="1" applyFont="1" applyNumberFormat="1">
      <alignment horizontal="right" readingOrder="0" vertical="bottom"/>
    </xf>
    <xf borderId="0" fillId="0" fontId="25" numFmtId="1" xfId="0" applyAlignment="1" applyFont="1" applyNumberFormat="1">
      <alignment readingOrder="0" vertical="bottom"/>
    </xf>
    <xf borderId="0" fillId="0" fontId="7" numFmtId="1" xfId="0" applyAlignment="1" applyFont="1" applyNumberFormat="1">
      <alignment vertical="bottom"/>
    </xf>
    <xf borderId="0" fillId="0" fontId="16" numFmtId="1" xfId="0" applyAlignment="1" applyFont="1" applyNumberFormat="1">
      <alignment readingOrder="0" shrinkToFit="0" wrapText="0"/>
    </xf>
    <xf borderId="0" fillId="0" fontId="0" numFmtId="1" xfId="0" applyAlignment="1" applyFont="1" applyNumberFormat="1">
      <alignment readingOrder="0" shrinkToFit="0" wrapText="0"/>
    </xf>
    <xf borderId="0" fillId="0" fontId="2" numFmtId="0" xfId="0" applyAlignment="1" applyFont="1">
      <alignment horizontal="center" readingOrder="0" shrinkToFit="0" wrapText="0"/>
    </xf>
    <xf borderId="0" fillId="0" fontId="2" numFmtId="1" xfId="0" applyAlignment="1" applyFont="1" applyNumberFormat="1">
      <alignment horizontal="center" readingOrder="0" shrinkToFit="0" wrapText="0"/>
    </xf>
    <xf borderId="0" fillId="0" fontId="19" numFmtId="0" xfId="0" applyAlignment="1" applyFont="1">
      <alignment vertical="bottom"/>
    </xf>
    <xf borderId="0" fillId="0" fontId="26" numFmtId="1" xfId="0" applyAlignment="1" applyFont="1" applyNumberFormat="1">
      <alignment readingOrder="0" vertical="bottom"/>
    </xf>
    <xf borderId="0" fillId="0" fontId="16" numFmtId="165" xfId="0" applyAlignment="1" applyFont="1" applyNumberFormat="1">
      <alignment horizontal="left" readingOrder="0" shrinkToFit="0" wrapText="0"/>
    </xf>
    <xf borderId="0" fillId="6" fontId="1" numFmtId="0" xfId="0" applyAlignment="1" applyFill="1" applyFont="1">
      <alignment horizontal="left" shrinkToFit="0" vertical="bottom" wrapText="0"/>
    </xf>
    <xf borderId="0" fillId="6" fontId="16" numFmtId="0" xfId="0" applyAlignment="1" applyFont="1">
      <alignment vertical="bottom"/>
    </xf>
    <xf borderId="0" fillId="6" fontId="19" numFmtId="0" xfId="0" applyFont="1"/>
    <xf borderId="0" fillId="0" fontId="0" numFmtId="2" xfId="0" applyAlignment="1" applyFont="1" applyNumberFormat="1">
      <alignment horizontal="left" shrinkToFit="0" vertical="bottom" wrapText="0"/>
    </xf>
    <xf borderId="0" fillId="0" fontId="16" numFmtId="2" xfId="0" applyAlignment="1" applyFont="1" applyNumberFormat="1">
      <alignment horizontal="right" shrinkToFit="0" vertical="bottom" wrapText="0"/>
    </xf>
    <xf borderId="0" fillId="0" fontId="16" numFmtId="2" xfId="0" applyAlignment="1" applyFont="1" applyNumberFormat="1">
      <alignment horizontal="right" vertical="bottom"/>
    </xf>
    <xf borderId="0" fillId="0" fontId="19" numFmtId="0" xfId="0" applyAlignment="1" applyFont="1">
      <alignment horizontal="right"/>
    </xf>
    <xf borderId="0" fillId="0" fontId="16" numFmtId="0" xfId="0" applyAlignment="1" applyFont="1">
      <alignment vertical="bottom"/>
    </xf>
    <xf borderId="0" fillId="0" fontId="16" numFmtId="165" xfId="0" applyAlignment="1" applyFont="1" applyNumberFormat="1">
      <alignment vertical="bottom"/>
    </xf>
    <xf borderId="0" fillId="0" fontId="16" numFmtId="165" xfId="0" applyAlignment="1" applyFont="1" applyNumberFormat="1">
      <alignment horizontal="right" vertical="bottom"/>
    </xf>
    <xf borderId="0" fillId="0" fontId="0" numFmtId="165" xfId="0" applyAlignment="1" applyFont="1" applyNumberFormat="1">
      <alignment horizontal="left" shrinkToFit="0" vertical="bottom" wrapText="0"/>
    </xf>
    <xf borderId="0" fillId="0" fontId="16" numFmtId="165"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2" numFmtId="0" xfId="0" applyAlignment="1" applyFont="1">
      <alignment horizontal="right" readingOrder="0" shrinkToFit="0" wrapText="0"/>
    </xf>
    <xf borderId="0" fillId="0" fontId="19" numFmtId="0" xfId="0" applyAlignment="1" applyFont="1">
      <alignment horizontal="right" vertical="bottom"/>
    </xf>
    <xf borderId="0" fillId="6" fontId="1" numFmtId="0" xfId="0" applyAlignment="1" applyFont="1">
      <alignment horizontal="left" readingOrder="0" shrinkToFit="0" wrapText="0"/>
    </xf>
    <xf borderId="0" fillId="6" fontId="2" numFmtId="0" xfId="0" applyAlignment="1" applyFont="1">
      <alignment horizontal="right" readingOrder="0" shrinkToFit="0" wrapText="0"/>
    </xf>
    <xf borderId="0" fillId="6" fontId="19" numFmtId="0" xfId="0" applyAlignment="1" applyFont="1">
      <alignment horizontal="right" vertical="bottom"/>
    </xf>
    <xf borderId="0" fillId="6" fontId="19" numFmtId="0" xfId="0" applyAlignment="1" applyFont="1">
      <alignment horizontal="right"/>
    </xf>
    <xf borderId="0" fillId="0" fontId="0" numFmtId="0" xfId="0" applyAlignment="1" applyFont="1">
      <alignment readingOrder="0" shrinkToFit="0" wrapText="0"/>
    </xf>
    <xf borderId="0" fillId="0" fontId="16" numFmtId="9" xfId="0" applyAlignment="1" applyFont="1" applyNumberFormat="1">
      <alignment horizontal="right" shrinkToFit="0" wrapText="0"/>
    </xf>
    <xf borderId="0" fillId="0" fontId="19" numFmtId="9" xfId="0" applyAlignment="1" applyFont="1" applyNumberFormat="1">
      <alignment horizontal="right" vertical="bottom"/>
    </xf>
    <xf borderId="0" fillId="0" fontId="0" numFmtId="0" xfId="0" applyAlignment="1" applyFont="1">
      <alignment readingOrder="0" shrinkToFit="0" wrapText="0"/>
    </xf>
    <xf borderId="0" fillId="0" fontId="0" numFmtId="9" xfId="0" applyAlignment="1" applyFont="1" applyNumberFormat="1">
      <alignment shrinkToFit="0" wrapText="0"/>
    </xf>
    <xf borderId="0" fillId="0" fontId="15" numFmtId="9" xfId="0" applyAlignment="1" applyFont="1" applyNumberFormat="1">
      <alignment horizontal="right" shrinkToFit="0" wrapText="0"/>
    </xf>
    <xf borderId="0" fillId="0" fontId="16" numFmtId="9" xfId="0" applyAlignment="1" applyFont="1" applyNumberFormat="1">
      <alignment horizontal="right" readingOrder="0" shrinkToFit="0" wrapText="0"/>
    </xf>
    <xf borderId="0" fillId="0" fontId="19" numFmtId="9" xfId="0" applyAlignment="1" applyFont="1" applyNumberFormat="1">
      <alignment vertical="bottom"/>
    </xf>
    <xf borderId="0" fillId="0" fontId="2" numFmtId="0" xfId="0" applyAlignment="1" applyFont="1">
      <alignment readingOrder="0" shrinkToFit="0" wrapText="0"/>
    </xf>
    <xf borderId="0" fillId="0" fontId="14" numFmtId="0" xfId="0" applyAlignment="1" applyFont="1">
      <alignment horizontal="right" shrinkToFit="0" wrapText="0"/>
    </xf>
    <xf borderId="0" fillId="0" fontId="2" numFmtId="0" xfId="0" applyAlignment="1" applyFont="1">
      <alignment readingOrder="0" shrinkToFit="0" wrapText="0"/>
    </xf>
    <xf borderId="0" fillId="0" fontId="0" numFmtId="0" xfId="0" applyAlignment="1" applyFont="1">
      <alignment horizontal="right" shrinkToFit="0" wrapText="0"/>
    </xf>
    <xf borderId="0" fillId="0" fontId="26" numFmtId="0" xfId="0" applyAlignment="1" applyFont="1">
      <alignment vertical="bottom"/>
    </xf>
    <xf borderId="0" fillId="0" fontId="1" numFmtId="0" xfId="0" applyAlignment="1" applyFont="1">
      <alignment horizontal="center" readingOrder="0" shrinkToFit="0" wrapText="0"/>
    </xf>
    <xf borderId="0" fillId="0" fontId="16" numFmtId="0" xfId="0" applyAlignment="1" applyFont="1">
      <alignment vertical="bottom"/>
    </xf>
    <xf borderId="0" fillId="0" fontId="27" numFmtId="0" xfId="0" applyAlignment="1" applyFont="1">
      <alignment horizontal="left" readingOrder="0" shrinkToFit="0" wrapText="1"/>
    </xf>
    <xf borderId="0" fillId="0" fontId="16" numFmtId="165" xfId="0" applyAlignment="1" applyFont="1" applyNumberFormat="1">
      <alignment horizontal="center" readingOrder="0" shrinkToFit="0" wrapText="0"/>
    </xf>
    <xf borderId="0" fillId="7" fontId="2" numFmtId="0" xfId="0" applyAlignment="1" applyFill="1" applyFont="1">
      <alignment horizontal="left" readingOrder="0" shrinkToFit="0" wrapText="1"/>
    </xf>
    <xf borderId="0" fillId="8" fontId="1" numFmtId="0" xfId="0" applyAlignment="1" applyFill="1" applyFont="1">
      <alignment horizontal="left" readingOrder="0" shrinkToFit="0" wrapText="0"/>
    </xf>
    <xf borderId="0" fillId="8" fontId="16" numFmtId="165" xfId="0" applyAlignment="1" applyFont="1" applyNumberFormat="1">
      <alignment vertical="bottom"/>
    </xf>
    <xf borderId="0" fillId="0" fontId="19" numFmtId="165" xfId="0" applyAlignment="1" applyFont="1" applyNumberFormat="1">
      <alignment horizontal="center" readingOrder="0"/>
    </xf>
    <xf borderId="0" fillId="0" fontId="2" numFmtId="0" xfId="0" applyAlignment="1" applyFont="1">
      <alignment horizontal="left" readingOrder="0" shrinkToFit="0" wrapText="1"/>
    </xf>
    <xf borderId="0" fillId="0" fontId="16" numFmtId="165" xfId="0" applyAlignment="1" applyFont="1" applyNumberFormat="1">
      <alignment horizontal="center" vertical="bottom"/>
    </xf>
    <xf borderId="0" fillId="0" fontId="16" numFmtId="165" xfId="0" applyAlignment="1" applyFont="1" applyNumberFormat="1">
      <alignment horizontal="center" shrinkToFit="0" wrapText="0"/>
    </xf>
    <xf borderId="0" fillId="8" fontId="0" numFmtId="165" xfId="0" applyAlignment="1" applyFont="1" applyNumberFormat="1">
      <alignment horizontal="center" shrinkToFit="0" wrapText="0"/>
    </xf>
    <xf borderId="0" fillId="0" fontId="0" numFmtId="165" xfId="0" applyAlignment="1" applyFont="1" applyNumberFormat="1">
      <alignment horizontal="right" readingOrder="0" shrinkToFit="0" wrapText="0"/>
    </xf>
    <xf borderId="0" fillId="0" fontId="0" numFmtId="165" xfId="0" applyAlignment="1" applyFont="1" applyNumberFormat="1">
      <alignment horizontal="center" vertical="bottom"/>
    </xf>
    <xf borderId="0" fillId="0" fontId="0" numFmtId="165" xfId="0" applyAlignment="1" applyFont="1" applyNumberFormat="1">
      <alignment horizontal="center" shrinkToFit="0" wrapText="0"/>
    </xf>
    <xf borderId="0" fillId="8" fontId="1" numFmtId="0" xfId="0" applyAlignment="1" applyFont="1">
      <alignment horizontal="center" readingOrder="0" shrinkToFit="0" vertical="bottom" wrapText="1"/>
    </xf>
    <xf borderId="0" fillId="8" fontId="1" numFmtId="0" xfId="0" applyAlignment="1" applyFont="1">
      <alignment horizontal="center" readingOrder="0" shrinkToFit="0" wrapText="1"/>
    </xf>
    <xf borderId="0" fillId="0" fontId="0" numFmtId="168" xfId="0" applyAlignment="1" applyFont="1" applyNumberFormat="1">
      <alignment horizontal="right" readingOrder="0" shrinkToFit="0" vertical="center" wrapText="0"/>
    </xf>
    <xf borderId="0" fillId="0" fontId="19" numFmtId="168" xfId="0" applyAlignment="1" applyFont="1" applyNumberFormat="1">
      <alignment horizontal="center"/>
    </xf>
    <xf borderId="0" fillId="0" fontId="0" numFmtId="168" xfId="0" applyAlignment="1" applyFont="1" applyNumberFormat="1">
      <alignment horizontal="right" readingOrder="0" shrinkToFit="0" vertical="center" wrapText="0"/>
    </xf>
    <xf borderId="0" fillId="0" fontId="0" numFmtId="168" xfId="0" applyAlignment="1" applyFont="1" applyNumberFormat="1">
      <alignment horizontal="right" readingOrder="0" shrinkToFit="0" vertical="top" wrapText="0"/>
    </xf>
    <xf borderId="0" fillId="0" fontId="1" numFmtId="0" xfId="0" applyAlignment="1" applyFont="1">
      <alignment horizontal="left" readingOrder="0" shrinkToFit="0" wrapText="0"/>
    </xf>
    <xf borderId="0" fillId="8" fontId="2" numFmtId="165" xfId="0" applyAlignment="1" applyFont="1" applyNumberFormat="1">
      <alignment horizontal="left" readingOrder="0" shrinkToFit="0" wrapText="0"/>
    </xf>
    <xf borderId="0" fillId="0" fontId="0" numFmtId="1" xfId="0" applyAlignment="1" applyFont="1" applyNumberFormat="1">
      <alignment horizontal="right" readingOrder="0" shrinkToFit="0" vertical="center" wrapText="0"/>
    </xf>
    <xf borderId="0" fillId="0" fontId="0" numFmtId="3" xfId="0" applyAlignment="1" applyFont="1" applyNumberFormat="1">
      <alignment horizontal="center" vertical="bottom"/>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right" readingOrder="0" shrinkToFit="0" vertical="top" wrapText="0"/>
    </xf>
    <xf borderId="0" fillId="0" fontId="16" numFmtId="3" xfId="0" applyAlignment="1" applyFont="1" applyNumberFormat="1">
      <alignment horizontal="center" vertical="bottom"/>
    </xf>
    <xf borderId="0" fillId="0" fontId="0" numFmtId="0" xfId="0" applyAlignment="1" applyFont="1">
      <alignment horizontal="right" readingOrder="0" shrinkToFit="0" wrapText="0"/>
    </xf>
    <xf borderId="0" fillId="8" fontId="2" numFmtId="165" xfId="0" applyAlignment="1" applyFont="1" applyNumberFormat="1">
      <alignment horizontal="center" readingOrder="0" shrinkToFit="0" wrapText="0"/>
    </xf>
    <xf borderId="0" fillId="9" fontId="14" numFmtId="0" xfId="0" applyAlignment="1" applyFill="1" applyFont="1">
      <alignment horizontal="center" readingOrder="0" shrinkToFit="0" vertical="bottom" wrapText="0"/>
    </xf>
    <xf borderId="0" fillId="9" fontId="16" numFmtId="165" xfId="0" applyAlignment="1" applyFont="1" applyNumberFormat="1">
      <alignment vertical="bottom"/>
    </xf>
    <xf borderId="0" fillId="9" fontId="0" numFmtId="165" xfId="0" applyAlignment="1" applyFont="1" applyNumberFormat="1">
      <alignment horizontal="center" shrinkToFit="0" wrapText="0"/>
    </xf>
    <xf borderId="0" fillId="0" fontId="0" numFmtId="0" xfId="0" applyAlignment="1" applyFont="1">
      <alignment horizontal="left" readingOrder="0" shrinkToFit="0" vertical="bottom" wrapText="0"/>
    </xf>
    <xf borderId="0" fillId="0" fontId="0" numFmtId="9" xfId="0" applyAlignment="1" applyFont="1" applyNumberFormat="1">
      <alignment horizontal="center" vertical="bottom"/>
    </xf>
    <xf borderId="0" fillId="0" fontId="0" numFmtId="9" xfId="0" applyAlignment="1" applyFont="1" applyNumberFormat="1">
      <alignment horizontal="center" shrinkToFit="0" wrapText="0"/>
    </xf>
    <xf borderId="0" fillId="0" fontId="28" numFmtId="0" xfId="0" applyAlignment="1" applyFont="1">
      <alignment horizontal="center" readingOrder="0" vertical="bottom"/>
    </xf>
    <xf borderId="0" fillId="9" fontId="16" numFmtId="10" xfId="0" applyAlignment="1" applyFont="1" applyNumberFormat="1">
      <alignment vertical="bottom"/>
    </xf>
    <xf borderId="0" fillId="9" fontId="0" numFmtId="10" xfId="0" applyAlignment="1" applyFont="1" applyNumberFormat="1">
      <alignment horizontal="center" shrinkToFit="0" wrapText="0"/>
    </xf>
    <xf borderId="0" fillId="0" fontId="0" numFmtId="0" xfId="0" applyAlignment="1" applyFont="1">
      <alignment horizontal="left" readingOrder="0" shrinkToFit="0" wrapText="0"/>
    </xf>
    <xf borderId="0" fillId="0" fontId="16" numFmtId="9" xfId="0" applyAlignment="1" applyFont="1" applyNumberFormat="1">
      <alignment horizontal="center" vertical="bottom"/>
    </xf>
    <xf borderId="0" fillId="0" fontId="19" numFmtId="9" xfId="0" applyAlignment="1" applyFont="1" applyNumberFormat="1">
      <alignment horizontal="center"/>
    </xf>
    <xf borderId="0" fillId="9" fontId="16" numFmtId="0" xfId="0" applyAlignment="1" applyFont="1">
      <alignment vertical="bottom"/>
    </xf>
    <xf borderId="0" fillId="9" fontId="0" numFmtId="0" xfId="0" applyAlignment="1" applyFont="1">
      <alignment horizontal="center" shrinkToFit="0" wrapText="0"/>
    </xf>
    <xf borderId="0" fillId="0" fontId="0" numFmtId="0" xfId="0" applyAlignment="1" applyFont="1">
      <alignment horizontal="left" shrinkToFit="0" wrapText="0"/>
    </xf>
    <xf borderId="0" fillId="0" fontId="0" numFmtId="0" xfId="0" applyAlignment="1" applyFont="1">
      <alignment horizontal="center" shrinkToFit="0" wrapText="0"/>
    </xf>
    <xf borderId="0" fillId="0" fontId="16" numFmtId="0" xfId="0" applyAlignment="1" applyFont="1">
      <alignment readingOrder="0" vertical="bottom"/>
    </xf>
    <xf borderId="0" fillId="0" fontId="0" numFmtId="9" xfId="0" applyAlignment="1" applyFont="1" applyNumberFormat="1">
      <alignment horizontal="center" shrinkToFit="0" wrapText="0"/>
    </xf>
    <xf borderId="0" fillId="0" fontId="23" numFmtId="0" xfId="0" applyAlignment="1" applyFont="1">
      <alignment readingOrder="0"/>
    </xf>
    <xf borderId="0" fillId="5" fontId="15" numFmtId="0" xfId="0" applyAlignment="1" applyFont="1">
      <alignment readingOrder="0" shrinkToFit="0" wrapText="1"/>
    </xf>
    <xf borderId="0" fillId="5" fontId="14" numFmtId="0" xfId="0" applyAlignment="1" applyFont="1">
      <alignment horizontal="center" readingOrder="0" shrinkToFit="0" wrapText="0"/>
    </xf>
    <xf borderId="0" fillId="0" fontId="29" numFmtId="0" xfId="0" applyAlignment="1" applyFont="1">
      <alignment readingOrder="0"/>
    </xf>
    <xf borderId="0" fillId="0" fontId="30" numFmtId="3" xfId="0" applyAlignment="1" applyFont="1" applyNumberFormat="1">
      <alignment readingOrder="0" vertical="bottom"/>
    </xf>
    <xf borderId="0" fillId="0" fontId="19" numFmtId="3" xfId="0" applyAlignment="1" applyFont="1" applyNumberFormat="1">
      <alignment readingOrder="0" vertical="bottom"/>
    </xf>
    <xf borderId="0" fillId="0" fontId="29" numFmtId="165" xfId="0" applyAlignment="1" applyFont="1" applyNumberFormat="1">
      <alignment readingOrder="0"/>
    </xf>
    <xf borderId="0" fillId="6" fontId="15" numFmtId="0" xfId="0" applyAlignment="1" applyFont="1">
      <alignment readingOrder="0" shrinkToFit="0" vertical="bottom" wrapText="1"/>
    </xf>
    <xf borderId="0" fillId="6" fontId="31" numFmtId="3" xfId="0" applyAlignment="1" applyFont="1" applyNumberFormat="1">
      <alignment readingOrder="0" vertical="bottom"/>
    </xf>
    <xf borderId="0" fillId="6" fontId="16" numFmtId="3" xfId="0" applyAlignment="1" applyFont="1" applyNumberFormat="1">
      <alignment readingOrder="0" vertical="bottom"/>
    </xf>
    <xf borderId="0" fillId="0" fontId="31" numFmtId="9" xfId="0" applyAlignment="1" applyFont="1" applyNumberFormat="1">
      <alignment horizontal="right" shrinkToFit="0" vertical="bottom" wrapText="0"/>
    </xf>
    <xf borderId="0" fillId="0" fontId="5" numFmtId="9" xfId="0" applyAlignment="1" applyFont="1" applyNumberFormat="1">
      <alignment horizontal="right" readingOrder="0" shrinkToFit="0" vertical="bottom" wrapText="0"/>
    </xf>
    <xf borderId="0" fillId="0" fontId="31" numFmtId="9" xfId="0" applyAlignment="1" applyFont="1" applyNumberFormat="1">
      <alignment horizontal="right" vertical="bottom"/>
    </xf>
    <xf borderId="0" fillId="0" fontId="16" numFmtId="9" xfId="0" applyAlignment="1" applyFont="1" applyNumberFormat="1">
      <alignment horizontal="right" vertical="bottom"/>
    </xf>
    <xf quotePrefix="1" borderId="0" fillId="0" fontId="4" numFmtId="0" xfId="0" applyAlignment="1" applyFont="1">
      <alignment readingOrder="0" shrinkToFit="0" vertical="bottom" wrapText="1"/>
    </xf>
    <xf borderId="0" fillId="0" fontId="30" numFmtId="168" xfId="0" applyAlignment="1" applyFont="1" applyNumberFormat="1">
      <alignment readingOrder="0" vertical="bottom"/>
    </xf>
    <xf borderId="0" fillId="0" fontId="19" numFmtId="168" xfId="0" applyAlignment="1" applyFont="1" applyNumberFormat="1">
      <alignment readingOrder="0" vertical="bottom"/>
    </xf>
    <xf borderId="0" fillId="0" fontId="32" numFmtId="168" xfId="0" applyAlignment="1" applyFont="1" applyNumberFormat="1">
      <alignment readingOrder="0" vertical="bottom"/>
    </xf>
    <xf borderId="0" fillId="0" fontId="16" numFmtId="0" xfId="0" applyAlignment="1" applyFont="1">
      <alignment readingOrder="0" shrinkToFit="0" vertical="bottom" wrapText="1"/>
    </xf>
    <xf borderId="0" fillId="0" fontId="30" numFmtId="169" xfId="0" applyAlignment="1" applyFont="1" applyNumberFormat="1">
      <alignment horizontal="right" readingOrder="0" vertical="bottom"/>
    </xf>
    <xf borderId="0" fillId="0" fontId="26" numFmtId="169" xfId="0" applyAlignment="1" applyFont="1" applyNumberFormat="1">
      <alignment horizontal="right" readingOrder="0" vertical="bottom"/>
    </xf>
    <xf borderId="0" fillId="0" fontId="32" numFmtId="169" xfId="0" applyAlignment="1" applyFont="1" applyNumberFormat="1">
      <alignment vertical="bottom"/>
    </xf>
    <xf borderId="0" fillId="0" fontId="32" numFmtId="169" xfId="0" applyAlignment="1" applyFont="1" applyNumberFormat="1">
      <alignment readingOrder="0" vertical="bottom"/>
    </xf>
    <xf borderId="0" fillId="0" fontId="30" numFmtId="166" xfId="0" applyAlignment="1" applyFont="1" applyNumberFormat="1">
      <alignment readingOrder="0" vertical="bottom"/>
    </xf>
    <xf borderId="0" fillId="0" fontId="32" numFmtId="166" xfId="0" applyAlignment="1" applyFont="1" applyNumberFormat="1">
      <alignment readingOrder="0" vertical="bottom"/>
    </xf>
    <xf borderId="0" fillId="0" fontId="33" numFmtId="166" xfId="0" applyAlignment="1" applyFont="1" applyNumberFormat="1">
      <alignment readingOrder="0" vertical="bottom"/>
    </xf>
    <xf borderId="0" fillId="0" fontId="30" numFmtId="169" xfId="0" applyFont="1" applyNumberFormat="1"/>
    <xf borderId="0" fillId="0" fontId="19" numFmtId="169" xfId="0" applyFont="1" applyNumberFormat="1"/>
    <xf borderId="0" fillId="0" fontId="30" numFmtId="3" xfId="0" applyAlignment="1" applyFont="1" applyNumberFormat="1">
      <alignment horizontal="right" vertical="bottom"/>
    </xf>
    <xf borderId="0" fillId="0" fontId="19" numFmtId="3" xfId="0" applyAlignment="1" applyFont="1" applyNumberFormat="1">
      <alignment horizontal="right" vertical="bottom"/>
    </xf>
    <xf borderId="0" fillId="6" fontId="15" numFmtId="2" xfId="0" applyAlignment="1" applyFont="1" applyNumberFormat="1">
      <alignment readingOrder="0" vertical="bottom"/>
    </xf>
    <xf borderId="0" fillId="6" fontId="31" numFmtId="2" xfId="0" applyAlignment="1" applyFont="1" applyNumberFormat="1">
      <alignment horizontal="right" vertical="bottom"/>
    </xf>
    <xf borderId="0" fillId="6" fontId="16" numFmtId="2" xfId="0" applyAlignment="1" applyFont="1" applyNumberFormat="1">
      <alignment horizontal="right" vertical="bottom"/>
    </xf>
    <xf borderId="0" fillId="0" fontId="0" numFmtId="0" xfId="0" applyAlignment="1" applyFont="1">
      <alignment vertical="bottom"/>
    </xf>
    <xf borderId="0" fillId="0" fontId="0" numFmtId="9" xfId="0" applyAlignment="1" applyFont="1" applyNumberFormat="1">
      <alignment horizontal="right" readingOrder="0" vertical="bottom"/>
    </xf>
    <xf borderId="0" fillId="0" fontId="5" numFmtId="9" xfId="0" applyAlignment="1" applyFont="1" applyNumberFormat="1">
      <alignment horizontal="right" readingOrder="0" vertical="bottom"/>
    </xf>
    <xf borderId="0" fillId="0" fontId="0" numFmtId="0" xfId="0" applyAlignment="1" applyFont="1">
      <alignment readingOrder="0" shrinkToFit="0" vertical="bottom" wrapText="0"/>
    </xf>
    <xf borderId="0" fillId="0" fontId="5" numFmtId="9" xfId="0" applyAlignment="1" applyFont="1" applyNumberFormat="1">
      <alignment vertical="bottom"/>
    </xf>
    <xf borderId="0" fillId="0" fontId="19" numFmtId="170" xfId="0" applyAlignment="1" applyFont="1" applyNumberFormat="1">
      <alignment horizontal="right" vertical="bottom"/>
    </xf>
    <xf borderId="0" fillId="0" fontId="19" numFmtId="0" xfId="0" applyAlignment="1" applyFont="1">
      <alignment readingOrder="0" vertical="bottom"/>
    </xf>
    <xf borderId="0" fillId="0" fontId="30" numFmtId="2" xfId="0" applyAlignment="1" applyFont="1" applyNumberFormat="1">
      <alignment horizontal="right" vertical="bottom"/>
    </xf>
    <xf borderId="0" fillId="0" fontId="19" numFmtId="2" xfId="0" applyAlignment="1" applyFont="1" applyNumberFormat="1">
      <alignment horizontal="right" vertical="bottom"/>
    </xf>
    <xf borderId="0" fillId="0" fontId="32" numFmtId="2" xfId="0" applyAlignment="1" applyFont="1" applyNumberFormat="1">
      <alignment horizontal="right" vertical="bottom"/>
    </xf>
    <xf borderId="0" fillId="0" fontId="32" numFmtId="0" xfId="0" applyAlignment="1" applyFont="1">
      <alignment horizontal="right" vertical="bottom"/>
    </xf>
    <xf borderId="0" fillId="0" fontId="32" numFmtId="0" xfId="0" applyAlignment="1" applyFont="1">
      <alignment horizontal="right" readingOrder="0" vertical="bottom"/>
    </xf>
    <xf borderId="0" fillId="0" fontId="19" numFmtId="171" xfId="0" applyAlignment="1" applyFont="1" applyNumberFormat="1">
      <alignment horizontal="right" vertical="bottom"/>
    </xf>
    <xf borderId="0" fillId="0" fontId="19" numFmtId="169" xfId="0" applyAlignment="1" applyFont="1" applyNumberFormat="1">
      <alignment readingOrder="0" vertical="bottom"/>
    </xf>
    <xf borderId="0" fillId="0" fontId="30" numFmtId="169" xfId="0" applyAlignment="1" applyFont="1" applyNumberFormat="1">
      <alignment horizontal="right" vertical="bottom"/>
    </xf>
    <xf borderId="0" fillId="0" fontId="19" numFmtId="169" xfId="0" applyAlignment="1" applyFont="1" applyNumberFormat="1">
      <alignment horizontal="right" vertical="bottom"/>
    </xf>
    <xf borderId="0" fillId="0" fontId="16" numFmtId="172" xfId="0" applyAlignment="1" applyFont="1" applyNumberFormat="1">
      <alignment readingOrder="0" shrinkToFit="0" vertical="bottom" wrapText="1"/>
    </xf>
    <xf borderId="0" fillId="0" fontId="31" numFmtId="172" xfId="0" applyAlignment="1" applyFont="1" applyNumberFormat="1">
      <alignment horizontal="right" shrinkToFit="0" vertical="bottom" wrapText="0"/>
    </xf>
    <xf borderId="0" fillId="0" fontId="16" numFmtId="172" xfId="0" applyAlignment="1" applyFont="1" applyNumberFormat="1">
      <alignment horizontal="right" shrinkToFit="0" vertical="bottom" wrapText="0"/>
    </xf>
    <xf borderId="0" fillId="0" fontId="5" numFmtId="172" xfId="0" applyAlignment="1" applyFont="1" applyNumberFormat="1">
      <alignment horizontal="right" shrinkToFit="0" vertical="bottom" wrapText="0"/>
    </xf>
    <xf borderId="0" fillId="0" fontId="34" numFmtId="172" xfId="0" applyAlignment="1" applyFont="1" applyNumberFormat="1">
      <alignment horizontal="right" shrinkToFit="0" vertical="bottom" wrapText="0"/>
    </xf>
    <xf borderId="0" fillId="0" fontId="31" numFmtId="165"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34" numFmtId="165" xfId="0" applyAlignment="1" applyFont="1" applyNumberFormat="1">
      <alignment horizontal="right" readingOrder="0" shrinkToFit="0" vertical="bottom" wrapText="0"/>
    </xf>
    <xf borderId="0" fillId="0" fontId="35" numFmtId="0" xfId="0" applyAlignment="1" applyFont="1">
      <alignment readingOrder="0" shrinkToFit="0" vertical="bottom" wrapText="1"/>
    </xf>
    <xf borderId="0" fillId="0" fontId="31" numFmtId="165" xfId="0" applyAlignment="1" applyFont="1" applyNumberFormat="1">
      <alignment horizontal="right" shrinkToFit="0" vertical="bottom" wrapText="0"/>
    </xf>
    <xf borderId="0" fillId="0" fontId="5" numFmtId="165" xfId="0" applyAlignment="1" applyFont="1" applyNumberFormat="1">
      <alignment horizontal="right" shrinkToFit="0" vertical="bottom" wrapText="0"/>
    </xf>
    <xf borderId="0" fillId="0" fontId="16" numFmtId="165" xfId="0" applyAlignment="1" applyFont="1" applyNumberFormat="1">
      <alignment readingOrder="0" shrinkToFit="0" vertical="bottom" wrapText="1"/>
    </xf>
    <xf borderId="0" fillId="0" fontId="31" numFmtId="165" xfId="0" applyAlignment="1" applyFont="1" applyNumberFormat="1">
      <alignment horizontal="right" vertical="bottom"/>
    </xf>
    <xf borderId="0" fillId="0" fontId="5" numFmtId="165" xfId="0" applyAlignment="1" applyFont="1" applyNumberFormat="1">
      <alignment shrinkToFit="0" wrapText="0"/>
    </xf>
    <xf borderId="0" fillId="0" fontId="5" numFmtId="165" xfId="0" applyAlignment="1" applyFont="1" applyNumberFormat="1">
      <alignment horizontal="right" vertical="bottom"/>
    </xf>
    <xf borderId="0" fillId="0" fontId="16" numFmtId="9" xfId="0" applyAlignment="1" applyFont="1" applyNumberFormat="1">
      <alignment readingOrder="0" shrinkToFit="0" vertical="bottom" wrapText="1"/>
    </xf>
    <xf borderId="0" fillId="0" fontId="31" numFmtId="9" xfId="0" applyAlignment="1" applyFont="1" applyNumberFormat="1">
      <alignment horizontal="right" readingOrder="0" shrinkToFit="0" vertical="bottom" wrapText="0"/>
    </xf>
    <xf borderId="0" fillId="0" fontId="16" numFmtId="9" xfId="0" applyAlignment="1" applyFont="1" applyNumberFormat="1">
      <alignment horizontal="right" readingOrder="0" shrinkToFit="0" vertical="bottom" wrapText="0"/>
    </xf>
    <xf borderId="0" fillId="0" fontId="34" numFmtId="9" xfId="0" applyAlignment="1" applyFont="1" applyNumberFormat="1">
      <alignment horizontal="right" readingOrder="0" shrinkToFit="0" vertical="bottom" wrapText="0"/>
    </xf>
    <xf borderId="0" fillId="0" fontId="15" numFmtId="0" xfId="0" applyAlignment="1" applyFont="1">
      <alignment readingOrder="0" shrinkToFit="0" vertical="bottom" wrapText="1"/>
    </xf>
    <xf borderId="0" fillId="0" fontId="36" numFmtId="172" xfId="0" applyAlignment="1" applyFont="1" applyNumberFormat="1">
      <alignment horizontal="right" readingOrder="0" shrinkToFit="0" vertical="bottom" wrapText="0"/>
    </xf>
    <xf borderId="0" fillId="0" fontId="15" numFmtId="172" xfId="0" applyAlignment="1" applyFont="1" applyNumberFormat="1">
      <alignment horizontal="right" readingOrder="0" shrinkToFit="0" vertical="bottom" wrapText="0"/>
    </xf>
    <xf borderId="0" fillId="0" fontId="30" numFmtId="9" xfId="0" applyAlignment="1" applyFont="1" applyNumberFormat="1">
      <alignment horizontal="right" readingOrder="0" vertical="bottom"/>
    </xf>
    <xf borderId="0" fillId="0" fontId="32" numFmtId="9" xfId="0" applyAlignment="1" applyFont="1" applyNumberFormat="1">
      <alignment horizontal="right" readingOrder="0" vertical="bottom"/>
    </xf>
    <xf borderId="0" fillId="0" fontId="33" numFmtId="9" xfId="0" applyAlignment="1" applyFont="1" applyNumberFormat="1">
      <alignment horizontal="right" readingOrder="0" vertical="bottom"/>
    </xf>
    <xf borderId="0" fillId="0" fontId="30" numFmtId="9" xfId="0" applyAlignment="1" applyFont="1" applyNumberFormat="1">
      <alignment horizontal="right" vertical="bottom"/>
    </xf>
    <xf borderId="0" fillId="0" fontId="32" numFmtId="9" xfId="0" applyAlignment="1" applyFont="1" applyNumberFormat="1">
      <alignment horizontal="right" vertical="bottom"/>
    </xf>
    <xf borderId="0" fillId="0" fontId="33" numFmtId="9" xfId="0" applyAlignment="1" applyFont="1" applyNumberFormat="1">
      <alignment horizontal="right" vertical="bottom"/>
    </xf>
    <xf borderId="0" fillId="0" fontId="30" numFmtId="9" xfId="0" applyAlignment="1" applyFont="1" applyNumberFormat="1">
      <alignment horizontal="right" vertical="bottom"/>
    </xf>
    <xf borderId="0" fillId="0" fontId="19" numFmtId="9" xfId="0" applyAlignment="1" applyFont="1" applyNumberFormat="1">
      <alignment horizontal="right" vertical="bottom"/>
    </xf>
    <xf borderId="0" fillId="0" fontId="5" numFmtId="9" xfId="0" applyAlignment="1" applyFont="1" applyNumberFormat="1">
      <alignment shrinkToFit="0" wrapText="0"/>
    </xf>
    <xf borderId="0" fillId="0" fontId="0" numFmtId="9" xfId="0" applyAlignment="1" applyFont="1" applyNumberFormat="1">
      <alignment horizontal="right" readingOrder="0" shrinkToFit="0" vertical="bottom" wrapText="0"/>
    </xf>
    <xf borderId="0" fillId="0" fontId="5" numFmtId="9" xfId="0" applyAlignment="1" applyFont="1" applyNumberFormat="1">
      <alignment horizontal="right" shrinkToFit="0" vertical="bottom" wrapText="0"/>
    </xf>
    <xf borderId="0" fillId="0" fontId="15" numFmtId="173" xfId="0" applyAlignment="1" applyFont="1" applyNumberFormat="1">
      <alignment readingOrder="0" shrinkToFit="0" vertical="bottom" wrapText="1"/>
    </xf>
    <xf borderId="0" fillId="0" fontId="36" numFmtId="173" xfId="0" applyAlignment="1" applyFont="1" applyNumberFormat="1">
      <alignment horizontal="right" readingOrder="0" shrinkToFit="0" vertical="bottom" wrapText="0"/>
    </xf>
    <xf borderId="0" fillId="0" fontId="15" numFmtId="173" xfId="0" applyAlignment="1" applyFont="1" applyNumberFormat="1">
      <alignment horizontal="right" readingOrder="0" shrinkToFit="0" vertical="bottom" wrapText="0"/>
    </xf>
    <xf borderId="0" fillId="0" fontId="37" numFmtId="0" xfId="0" applyFont="1"/>
    <xf borderId="0" fillId="0" fontId="28" numFmtId="0" xfId="0" applyAlignment="1" applyFont="1">
      <alignment readingOrder="0" vertical="bottom"/>
    </xf>
    <xf borderId="0" fillId="0" fontId="38" numFmtId="3" xfId="0" applyAlignment="1" applyFont="1" applyNumberFormat="1">
      <alignment horizontal="right" vertical="bottom"/>
    </xf>
    <xf borderId="0" fillId="0" fontId="28" numFmtId="3" xfId="0" applyAlignment="1" applyFont="1" applyNumberFormat="1">
      <alignment horizontal="right" vertical="bottom"/>
    </xf>
    <xf borderId="0" fillId="0" fontId="30" numFmtId="3" xfId="0" applyAlignment="1" applyFont="1" applyNumberFormat="1">
      <alignment horizontal="right" readingOrder="0" vertical="bottom"/>
    </xf>
    <xf borderId="0" fillId="0" fontId="33" numFmtId="3" xfId="0" applyAlignment="1" applyFont="1" applyNumberFormat="1">
      <alignment horizontal="right" readingOrder="0" vertical="bottom"/>
    </xf>
    <xf borderId="0" fillId="0" fontId="29" numFmtId="3" xfId="0" applyAlignment="1" applyFont="1" applyNumberFormat="1">
      <alignment readingOrder="0" vertical="bottom"/>
    </xf>
    <xf borderId="0" fillId="0" fontId="28" numFmtId="3" xfId="0" applyAlignment="1" applyFont="1" applyNumberFormat="1">
      <alignment readingOrder="0" vertical="bottom"/>
    </xf>
    <xf borderId="0" fillId="0" fontId="28" numFmtId="3" xfId="0" applyAlignment="1" applyFont="1" applyNumberFormat="1">
      <alignment horizontal="right" readingOrder="0" vertical="bottom"/>
    </xf>
    <xf borderId="0" fillId="0" fontId="19" numFmtId="174" xfId="0" applyAlignment="1" applyFont="1" applyNumberFormat="1">
      <alignment readingOrder="0" vertical="bottom"/>
    </xf>
    <xf borderId="0" fillId="0" fontId="30" numFmtId="174" xfId="0" applyAlignment="1" applyFont="1" applyNumberFormat="1">
      <alignment horizontal="right" vertical="bottom"/>
    </xf>
    <xf borderId="0" fillId="0" fontId="19" numFmtId="174" xfId="0" applyAlignment="1" applyFont="1" applyNumberFormat="1">
      <alignment horizontal="right" vertical="bottom"/>
    </xf>
    <xf borderId="0" fillId="6" fontId="15" numFmtId="0" xfId="0" applyAlignment="1" applyFont="1">
      <alignment readingOrder="0" vertical="bottom"/>
    </xf>
    <xf borderId="0" fillId="6" fontId="31" numFmtId="0" xfId="0" applyAlignment="1" applyFont="1">
      <alignment vertical="bottom"/>
    </xf>
    <xf borderId="0" fillId="6" fontId="16" numFmtId="0" xfId="0" applyAlignment="1" applyFont="1">
      <alignment vertical="bottom"/>
    </xf>
    <xf borderId="0" fillId="0" fontId="16" numFmtId="3" xfId="0" applyAlignment="1" applyFont="1" applyNumberFormat="1">
      <alignment readingOrder="0" vertical="bottom"/>
    </xf>
    <xf borderId="0" fillId="0" fontId="30" numFmtId="0" xfId="0" applyFont="1"/>
    <xf borderId="0" fillId="0" fontId="0" numFmtId="3" xfId="0" applyAlignment="1" applyFont="1" applyNumberFormat="1">
      <alignment horizontal="right" readingOrder="0" vertical="bottom"/>
    </xf>
    <xf borderId="0" fillId="0" fontId="0" numFmtId="3" xfId="0" applyAlignment="1" applyFont="1" applyNumberFormat="1">
      <alignment horizontal="right" vertical="bottom"/>
    </xf>
    <xf borderId="0" fillId="0" fontId="35" numFmtId="3" xfId="0" applyAlignment="1" applyFont="1" applyNumberFormat="1">
      <alignment readingOrder="0" vertical="bottom"/>
    </xf>
    <xf borderId="0" fillId="0" fontId="5" numFmtId="3" xfId="0" applyAlignment="1" applyFont="1" applyNumberFormat="1">
      <alignment horizontal="right" readingOrder="0" vertical="bottom"/>
    </xf>
    <xf borderId="0" fillId="0" fontId="30" numFmtId="3" xfId="0" applyFont="1" applyNumberFormat="1"/>
    <xf borderId="0" fillId="0" fontId="19" numFmtId="3" xfId="0" applyFont="1" applyNumberFormat="1"/>
    <xf borderId="0" fillId="0" fontId="5" numFmtId="3" xfId="0" applyAlignment="1" applyFont="1" applyNumberFormat="1">
      <alignment horizontal="right" readingOrder="0" shrinkToFit="0" vertical="bottom" wrapText="0"/>
    </xf>
    <xf borderId="0" fillId="0" fontId="19" numFmtId="3" xfId="0" applyAlignment="1" applyFont="1" applyNumberFormat="1">
      <alignment horizontal="right" readingOrder="0" vertical="bottom"/>
    </xf>
    <xf borderId="0" fillId="0" fontId="38" numFmtId="3" xfId="0" applyAlignment="1" applyFont="1" applyNumberFormat="1">
      <alignment horizontal="right" readingOrder="0" vertical="bottom"/>
    </xf>
    <xf borderId="0" fillId="0" fontId="30" numFmtId="10" xfId="0" applyAlignment="1" applyFont="1" applyNumberFormat="1">
      <alignment readingOrder="0"/>
    </xf>
    <xf borderId="0" fillId="0" fontId="33" numFmtId="10" xfId="0" applyAlignment="1" applyFont="1" applyNumberFormat="1">
      <alignment readingOrder="0"/>
    </xf>
    <xf borderId="0" fillId="0" fontId="19" numFmtId="4" xfId="0" applyAlignment="1" applyFont="1" applyNumberFormat="1">
      <alignment horizontal="right" readingOrder="0" vertical="bottom"/>
    </xf>
    <xf borderId="0" fillId="0" fontId="4" numFmtId="0" xfId="0" applyAlignment="1" applyFont="1">
      <alignment readingOrder="0" vertical="bottom"/>
    </xf>
    <xf borderId="0" fillId="0" fontId="30" numFmtId="0" xfId="0" applyAlignment="1" applyFont="1">
      <alignment vertical="bottom"/>
    </xf>
    <xf borderId="0" fillId="0" fontId="31" numFmtId="0" xfId="0" applyAlignment="1" applyFont="1">
      <alignment shrinkToFit="0" wrapText="0"/>
    </xf>
    <xf borderId="0" fillId="0" fontId="14" numFmtId="3" xfId="0" applyAlignment="1" applyFont="1" applyNumberFormat="1">
      <alignment shrinkToFit="0" wrapText="0"/>
    </xf>
    <xf borderId="0" fillId="6" fontId="15" numFmtId="0" xfId="0" applyAlignment="1" applyFont="1">
      <alignment readingOrder="0" shrinkToFit="0" vertical="bottom" wrapText="0"/>
    </xf>
    <xf borderId="0" fillId="6" fontId="31" numFmtId="3" xfId="0" applyAlignment="1" applyFont="1" applyNumberFormat="1">
      <alignment vertical="bottom"/>
    </xf>
    <xf borderId="0" fillId="6" fontId="16" numFmtId="3" xfId="0" applyAlignment="1" applyFont="1" applyNumberFormat="1">
      <alignment vertical="bottom"/>
    </xf>
    <xf borderId="0" fillId="0" fontId="35" numFmtId="0" xfId="0" applyAlignment="1" applyFont="1">
      <alignment readingOrder="0" vertical="bottom"/>
    </xf>
    <xf borderId="0" fillId="0" fontId="34" numFmtId="9" xfId="0" applyAlignment="1" applyFont="1" applyNumberFormat="1">
      <alignment horizontal="right" vertical="bottom"/>
    </xf>
    <xf borderId="0" fillId="0" fontId="16" numFmtId="0" xfId="0" applyAlignment="1" applyFont="1">
      <alignment shrinkToFit="0" vertical="bottom" wrapText="1"/>
    </xf>
    <xf borderId="0" fillId="6" fontId="15" numFmtId="0" xfId="0" applyAlignment="1" applyFont="1">
      <alignment vertical="bottom"/>
    </xf>
    <xf borderId="0" fillId="6" fontId="36" numFmtId="0" xfId="0" applyAlignment="1" applyFont="1">
      <alignment readingOrder="0" vertical="bottom"/>
    </xf>
    <xf borderId="0" fillId="6" fontId="16" numFmtId="9" xfId="0" applyAlignment="1" applyFont="1" applyNumberFormat="1">
      <alignment vertical="bottom"/>
    </xf>
    <xf borderId="0" fillId="0" fontId="16" numFmtId="174" xfId="0" applyAlignment="1" applyFont="1" applyNumberFormat="1">
      <alignment readingOrder="0" vertical="bottom"/>
    </xf>
    <xf borderId="0" fillId="0" fontId="31" numFmtId="3" xfId="0" applyAlignment="1" applyFont="1" applyNumberFormat="1">
      <alignment horizontal="right" vertical="bottom"/>
    </xf>
    <xf borderId="0" fillId="0" fontId="16" numFmtId="3" xfId="0" applyAlignment="1" applyFont="1" applyNumberFormat="1">
      <alignment horizontal="right" vertical="bottom"/>
    </xf>
    <xf borderId="0" fillId="0" fontId="39" numFmtId="0" xfId="0" applyAlignment="1" applyFont="1">
      <alignment readingOrder="0"/>
    </xf>
    <xf borderId="0" fillId="0" fontId="31" numFmtId="10" xfId="0" applyAlignment="1" applyFont="1" applyNumberFormat="1">
      <alignment horizontal="right" readingOrder="0" vertical="bottom"/>
    </xf>
    <xf borderId="0" fillId="0" fontId="5" numFmtId="10" xfId="0" applyAlignment="1" applyFont="1" applyNumberFormat="1">
      <alignment horizontal="right" readingOrder="0" vertical="bottom"/>
    </xf>
    <xf borderId="0" fillId="0" fontId="34" numFmtId="10" xfId="0" applyAlignment="1" applyFont="1" applyNumberFormat="1">
      <alignment horizontal="right" readingOrder="0" vertical="bottom"/>
    </xf>
    <xf borderId="0" fillId="0" fontId="35" numFmtId="174" xfId="0" applyAlignment="1" applyFont="1" applyNumberFormat="1">
      <alignment readingOrder="0" vertical="bottom"/>
    </xf>
    <xf borderId="0" fillId="0" fontId="31" numFmtId="175" xfId="0" applyAlignment="1" applyFont="1" applyNumberFormat="1">
      <alignment horizontal="right" vertical="bottom"/>
    </xf>
    <xf borderId="0" fillId="0" fontId="16" numFmtId="175" xfId="0" applyAlignment="1" applyFont="1" applyNumberFormat="1">
      <alignment horizontal="right" vertical="bottom"/>
    </xf>
    <xf borderId="0" fillId="0" fontId="0" numFmtId="174" xfId="0" applyAlignment="1" applyFont="1" applyNumberFormat="1">
      <alignment vertical="bottom"/>
    </xf>
    <xf borderId="0" fillId="0" fontId="31" numFmtId="1" xfId="0" applyAlignment="1" applyFont="1" applyNumberFormat="1">
      <alignment horizontal="right" vertical="bottom"/>
    </xf>
    <xf borderId="0" fillId="0" fontId="0" numFmtId="1" xfId="0" applyAlignment="1" applyFont="1" applyNumberFormat="1">
      <alignment horizontal="right" vertical="bottom"/>
    </xf>
    <xf borderId="0" fillId="0" fontId="2" numFmtId="174" xfId="0" applyAlignment="1" applyFont="1" applyNumberFormat="1">
      <alignment readingOrder="0" vertical="bottom"/>
    </xf>
    <xf borderId="0" fillId="0" fontId="5" numFmtId="1" xfId="0" applyAlignment="1" applyFont="1" applyNumberFormat="1">
      <alignment horizontal="right" vertical="bottom"/>
    </xf>
    <xf borderId="0" fillId="0" fontId="34" numFmtId="1" xfId="0" applyAlignment="1" applyFont="1" applyNumberFormat="1">
      <alignment horizontal="right" vertical="bottom"/>
    </xf>
    <xf borderId="0" fillId="0" fontId="16" numFmtId="174" xfId="0" applyAlignment="1" applyFont="1" applyNumberFormat="1">
      <alignment vertical="bottom"/>
    </xf>
    <xf borderId="0" fillId="0" fontId="31" numFmtId="164" xfId="0" applyAlignment="1" applyFont="1" applyNumberFormat="1">
      <alignment horizontal="right" vertical="bottom"/>
    </xf>
    <xf borderId="0" fillId="0" fontId="34" numFmtId="164" xfId="0" applyAlignment="1" applyFont="1" applyNumberFormat="1">
      <alignment horizontal="right" vertical="bottom"/>
    </xf>
    <xf borderId="0" fillId="0" fontId="31" numFmtId="1" xfId="0" applyAlignment="1" applyFont="1" applyNumberFormat="1">
      <alignment horizontal="right" readingOrder="0" vertical="bottom"/>
    </xf>
    <xf borderId="0" fillId="0" fontId="5" numFmtId="1" xfId="0" applyAlignment="1" applyFont="1" applyNumberFormat="1">
      <alignment horizontal="right" readingOrder="0" vertical="bottom"/>
    </xf>
    <xf borderId="0" fillId="0" fontId="31" numFmtId="4" xfId="0" applyAlignment="1" applyFont="1" applyNumberFormat="1">
      <alignment horizontal="right" vertical="bottom"/>
    </xf>
    <xf borderId="0" fillId="0" fontId="16" numFmtId="4" xfId="0" applyAlignment="1" applyFont="1" applyNumberFormat="1">
      <alignment horizontal="right" vertical="bottom"/>
    </xf>
    <xf borderId="0" fillId="0" fontId="31" numFmtId="3" xfId="0" applyAlignment="1" applyFont="1" applyNumberFormat="1">
      <alignment horizontal="right" readingOrder="0" vertical="bottom"/>
    </xf>
    <xf borderId="0" fillId="0" fontId="34" numFmtId="3" xfId="0" applyAlignment="1" applyFont="1" applyNumberFormat="1">
      <alignment horizontal="right" vertical="bottom"/>
    </xf>
    <xf borderId="0" fillId="0" fontId="0" numFmtId="4" xfId="0" applyAlignment="1" applyFont="1" applyNumberFormat="1">
      <alignment horizontal="right" vertical="bottom"/>
    </xf>
    <xf borderId="0" fillId="0" fontId="34" numFmtId="4" xfId="0" applyAlignment="1" applyFont="1" applyNumberFormat="1">
      <alignment horizontal="right" vertical="bottom"/>
    </xf>
    <xf borderId="0" fillId="0" fontId="15" numFmtId="174" xfId="0" applyAlignment="1" applyFont="1" applyNumberFormat="1">
      <alignment readingOrder="0" vertical="bottom"/>
    </xf>
    <xf borderId="0" fillId="0" fontId="36" numFmtId="3" xfId="0" applyAlignment="1" applyFont="1" applyNumberFormat="1">
      <alignment horizontal="right" vertical="bottom"/>
    </xf>
    <xf borderId="0" fillId="0" fontId="15" numFmtId="3" xfId="0" applyAlignment="1" applyFont="1" applyNumberFormat="1">
      <alignment horizontal="right" vertical="bottom"/>
    </xf>
    <xf borderId="0" fillId="0" fontId="31" numFmtId="9" xfId="0" applyAlignment="1" applyFont="1" applyNumberFormat="1">
      <alignment vertical="bottom"/>
    </xf>
    <xf borderId="0" fillId="0" fontId="15" numFmtId="166" xfId="0" applyAlignment="1" applyFont="1" applyNumberFormat="1">
      <alignment readingOrder="0" vertical="bottom"/>
    </xf>
    <xf borderId="0" fillId="0" fontId="14" numFmtId="3" xfId="0" applyAlignment="1" applyFont="1" applyNumberFormat="1">
      <alignment horizontal="right" vertical="bottom"/>
    </xf>
    <xf borderId="0" fillId="0" fontId="19" numFmtId="4" xfId="0" applyAlignment="1" applyFont="1" applyNumberFormat="1">
      <alignment vertical="bottom"/>
    </xf>
    <xf borderId="0" fillId="0" fontId="30" numFmtId="9" xfId="0" applyFont="1" applyNumberFormat="1"/>
    <xf borderId="0" fillId="0" fontId="40" numFmtId="9" xfId="0" applyFont="1" applyNumberFormat="1"/>
    <xf borderId="0" fillId="6" fontId="28" numFmtId="0" xfId="0" applyAlignment="1" applyFont="1">
      <alignment readingOrder="0"/>
    </xf>
    <xf borderId="0" fillId="6" fontId="36" numFmtId="3" xfId="0" applyAlignment="1" applyFont="1" applyNumberFormat="1">
      <alignment horizontal="right" vertical="bottom"/>
    </xf>
    <xf borderId="0" fillId="6" fontId="15" numFmtId="3" xfId="0" applyAlignment="1" applyFont="1" applyNumberFormat="1">
      <alignment horizontal="right" vertical="bottom"/>
    </xf>
    <xf borderId="0" fillId="0" fontId="28" numFmtId="0" xfId="0" applyAlignment="1" applyFont="1">
      <alignment readingOrder="0"/>
    </xf>
    <xf borderId="1" fillId="0" fontId="19" numFmtId="0" xfId="0" applyAlignment="1" applyBorder="1" applyFont="1">
      <alignment readingOrder="0"/>
    </xf>
    <xf borderId="1" fillId="0" fontId="30" numFmtId="3" xfId="0" applyAlignment="1" applyBorder="1" applyFont="1" applyNumberFormat="1">
      <alignment vertical="bottom"/>
    </xf>
    <xf borderId="1" fillId="0" fontId="19" numFmtId="3" xfId="0" applyAlignment="1" applyBorder="1" applyFont="1" applyNumberFormat="1">
      <alignment vertical="bottom"/>
    </xf>
    <xf borderId="0" fillId="0" fontId="30" numFmtId="3" xfId="0" applyAlignment="1" applyFont="1" applyNumberFormat="1">
      <alignment vertical="bottom"/>
    </xf>
    <xf borderId="0" fillId="0" fontId="19" numFmtId="3" xfId="0" applyAlignment="1" applyFont="1" applyNumberFormat="1">
      <alignment vertical="bottom"/>
    </xf>
    <xf borderId="0" fillId="0" fontId="41" numFmtId="0" xfId="0" applyAlignment="1" applyFont="1">
      <alignment readingOrder="0"/>
    </xf>
    <xf borderId="0" fillId="0" fontId="42" numFmtId="3" xfId="0" applyAlignment="1" applyFont="1" applyNumberFormat="1">
      <alignment horizontal="right" vertical="bottom"/>
    </xf>
    <xf borderId="0" fillId="0" fontId="30" numFmtId="168" xfId="0" applyFont="1" applyNumberFormat="1"/>
    <xf borderId="0" fillId="0" fontId="19" numFmtId="168" xfId="0" applyFont="1" applyNumberFormat="1"/>
    <xf borderId="0" fillId="0" fontId="16" numFmtId="166" xfId="0" applyAlignment="1" applyFont="1" applyNumberFormat="1">
      <alignment readingOrder="0" vertical="bottom"/>
    </xf>
    <xf borderId="0" fillId="0" fontId="31" numFmtId="166" xfId="0" applyAlignment="1" applyFont="1" applyNumberFormat="1">
      <alignment horizontal="right"/>
    </xf>
    <xf borderId="0" fillId="0" fontId="0" numFmtId="166" xfId="0" applyAlignment="1" applyFont="1" applyNumberFormat="1">
      <alignment horizontal="right"/>
    </xf>
    <xf borderId="0" fillId="0" fontId="2" numFmtId="0" xfId="0" applyAlignment="1" applyFont="1">
      <alignment horizontal="left" readingOrder="0" shrinkToFit="0" wrapText="0"/>
    </xf>
    <xf borderId="0" fillId="0" fontId="31" numFmtId="165" xfId="0" applyAlignment="1" applyFont="1" applyNumberFormat="1">
      <alignment horizontal="center" shrinkToFit="0" wrapText="0"/>
    </xf>
    <xf borderId="0" fillId="0" fontId="36" numFmtId="166" xfId="0" applyAlignment="1" applyFont="1" applyNumberFormat="1">
      <alignment horizontal="right"/>
    </xf>
    <xf borderId="0" fillId="0" fontId="14" numFmtId="166" xfId="0" applyAlignment="1" applyFont="1" applyNumberFormat="1">
      <alignment horizontal="right"/>
    </xf>
    <xf borderId="0" fillId="6" fontId="43" numFmtId="0" xfId="0" applyAlignment="1" applyFont="1">
      <alignment readingOrder="0"/>
    </xf>
    <xf borderId="0" fillId="6" fontId="44" numFmtId="0" xfId="0" applyAlignment="1" applyFont="1">
      <alignment readingOrder="0"/>
    </xf>
    <xf borderId="0" fillId="0" fontId="43" numFmtId="0" xfId="0" applyAlignment="1" applyFont="1">
      <alignment readingOrder="0"/>
    </xf>
    <xf borderId="0" fillId="0" fontId="0" numFmtId="10" xfId="0" applyAlignment="1" applyFont="1" applyNumberFormat="1">
      <alignment shrinkToFit="0" wrapText="0"/>
    </xf>
    <xf borderId="0" fillId="0" fontId="31" numFmtId="9" xfId="0" applyAlignment="1" applyFont="1" applyNumberFormat="1">
      <alignment shrinkToFit="0" wrapText="0"/>
    </xf>
    <xf borderId="0" fillId="0" fontId="37" numFmtId="9" xfId="0" applyFont="1" applyNumberFormat="1"/>
    <xf borderId="0" fillId="0" fontId="45" numFmtId="9" xfId="0" applyFont="1" applyNumberFormat="1"/>
    <xf borderId="0" fillId="0" fontId="34" numFmtId="9" xfId="0" applyAlignment="1" applyFont="1" applyNumberFormat="1">
      <alignment shrinkToFit="0" wrapText="0"/>
    </xf>
    <xf borderId="1" fillId="0" fontId="0" numFmtId="0" xfId="0" applyAlignment="1" applyBorder="1" applyFont="1">
      <alignment readingOrder="0" shrinkToFit="0" wrapText="0"/>
    </xf>
    <xf borderId="1" fillId="0" fontId="37" numFmtId="9" xfId="0" applyBorder="1" applyFont="1" applyNumberFormat="1"/>
    <xf borderId="1" fillId="0" fontId="23" numFmtId="9" xfId="0" applyBorder="1" applyFont="1" applyNumberFormat="1"/>
    <xf borderId="0" fillId="0" fontId="23" numFmtId="9" xfId="0" applyFont="1" applyNumberFormat="1"/>
    <xf borderId="1" fillId="0" fontId="0" numFmtId="0" xfId="0" applyAlignment="1" applyBorder="1" applyFont="1">
      <alignment readingOrder="0" shrinkToFit="0" wrapText="0"/>
    </xf>
    <xf borderId="0" fillId="0" fontId="31" numFmtId="3" xfId="0" applyAlignment="1" applyFont="1" applyNumberFormat="1">
      <alignment shrinkToFit="0" wrapText="0"/>
    </xf>
    <xf borderId="0" fillId="0" fontId="0" numFmtId="3" xfId="0" applyAlignment="1" applyFont="1" applyNumberFormat="1">
      <alignment shrinkToFit="0" wrapText="0"/>
    </xf>
    <xf borderId="0" fillId="0" fontId="7" numFmtId="9" xfId="0" applyAlignment="1" applyFont="1" applyNumberFormat="1">
      <alignment shrinkToFit="0" wrapText="0"/>
    </xf>
    <xf borderId="0" fillId="0" fontId="23" numFmtId="9" xfId="0" applyAlignment="1" applyFont="1" applyNumberFormat="1">
      <alignment readingOrder="0"/>
    </xf>
    <xf borderId="0" fillId="0" fontId="46" numFmtId="0" xfId="0" applyAlignment="1" applyFont="1">
      <alignment readingOrder="0"/>
    </xf>
    <xf borderId="0" fillId="0" fontId="42" numFmtId="3" xfId="0" applyAlignment="1" applyFont="1" applyNumberFormat="1">
      <alignment horizontal="right" shrinkToFit="0" wrapText="0"/>
    </xf>
    <xf borderId="0" fillId="0" fontId="14" numFmtId="0" xfId="0" applyAlignment="1" applyFont="1">
      <alignment readingOrder="0" shrinkToFit="0" wrapText="0"/>
    </xf>
    <xf borderId="0" fillId="0" fontId="36" numFmtId="166" xfId="0" applyAlignment="1" applyFont="1" applyNumberFormat="1">
      <alignment shrinkToFit="0" wrapText="0"/>
    </xf>
    <xf borderId="0" fillId="0" fontId="14" numFmtId="166" xfId="0" applyAlignment="1" applyFont="1" applyNumberFormat="1">
      <alignment shrinkToFit="0" wrapText="0"/>
    </xf>
    <xf borderId="0" fillId="5" fontId="14" numFmtId="0" xfId="0" applyAlignment="1" applyFont="1">
      <alignment horizontal="left" readingOrder="0" shrinkToFit="0" vertical="center" wrapText="0"/>
    </xf>
    <xf borderId="0" fillId="5" fontId="14" numFmtId="0" xfId="0" applyAlignment="1" applyFont="1">
      <alignment horizontal="center" readingOrder="0" shrinkToFit="0" vertical="bottom" wrapText="0"/>
    </xf>
    <xf borderId="0" fillId="0" fontId="0" numFmtId="168" xfId="0" applyAlignment="1" applyFont="1" applyNumberFormat="1">
      <alignment horizontal="left" readingOrder="0" shrinkToFit="0" vertical="center" wrapText="0"/>
    </xf>
    <xf borderId="0" fillId="0" fontId="5" numFmtId="168" xfId="0" applyAlignment="1" applyFont="1" applyNumberFormat="1">
      <alignment horizontal="right" readingOrder="0" shrinkToFit="0" vertical="center" wrapText="0"/>
    </xf>
    <xf borderId="0" fillId="0" fontId="2" numFmtId="168"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5" numFmtId="9" xfId="0" applyAlignment="1" applyFont="1" applyNumberFormat="1">
      <alignment horizontal="right" readingOrder="0" shrinkToFit="0" vertical="center" wrapText="0"/>
    </xf>
    <xf borderId="0" fillId="0" fontId="0" numFmtId="168" xfId="0" applyAlignment="1" applyFont="1" applyNumberFormat="1">
      <alignment horizontal="right" shrinkToFit="0" vertical="center" wrapText="0"/>
    </xf>
    <xf borderId="0" fillId="0" fontId="5" numFmtId="168" xfId="0" applyAlignment="1" applyFont="1" applyNumberFormat="1">
      <alignment horizontal="right" shrinkToFit="0" vertical="center" wrapText="0"/>
    </xf>
    <xf borderId="0" fillId="10" fontId="0" numFmtId="166" xfId="0" applyAlignment="1" applyFill="1" applyFont="1" applyNumberFormat="1">
      <alignment horizontal="left" readingOrder="0" shrinkToFit="0" vertical="center" wrapText="0"/>
    </xf>
    <xf borderId="0" fillId="10" fontId="5" numFmtId="166" xfId="0" applyAlignment="1" applyFont="1" applyNumberFormat="1">
      <alignment horizontal="right" shrinkToFit="0" vertical="center" wrapText="0"/>
    </xf>
    <xf borderId="0" fillId="0" fontId="0" numFmtId="169" xfId="0" applyAlignment="1" applyFont="1" applyNumberFormat="1">
      <alignment horizontal="right" shrinkToFit="0" vertical="center" wrapText="0"/>
    </xf>
    <xf borderId="0" fillId="0" fontId="7" numFmtId="9" xfId="0" applyAlignment="1" applyFont="1" applyNumberFormat="1">
      <alignment horizontal="right" shrinkToFit="0" vertical="center" wrapText="0"/>
    </xf>
    <xf borderId="0" fillId="0" fontId="2" numFmtId="0" xfId="0" applyAlignment="1" applyFont="1">
      <alignment horizontal="left" readingOrder="0" shrinkToFit="0" vertical="center" wrapText="0"/>
    </xf>
    <xf borderId="0" fillId="0" fontId="16" numFmtId="168" xfId="0" applyAlignment="1" applyFont="1" applyNumberFormat="1">
      <alignment horizontal="left" readingOrder="0" shrinkToFit="0" vertical="center" wrapText="0"/>
    </xf>
    <xf borderId="0" fillId="0" fontId="16" numFmtId="168" xfId="0" applyAlignment="1" applyFont="1" applyNumberFormat="1">
      <alignment horizontal="right" shrinkToFit="0" wrapText="0"/>
    </xf>
    <xf borderId="0" fillId="0" fontId="16" numFmtId="0" xfId="0" applyAlignment="1" applyFont="1">
      <alignment horizontal="left" readingOrder="0" shrinkToFit="0" vertical="center" wrapText="0"/>
    </xf>
    <xf borderId="0" fillId="0" fontId="16" numFmtId="169" xfId="0" applyAlignment="1" applyFont="1" applyNumberFormat="1">
      <alignment horizontal="right" shrinkToFit="0" wrapText="0"/>
    </xf>
    <xf borderId="0" fillId="0" fontId="5" numFmtId="169" xfId="0" applyAlignment="1" applyFont="1" applyNumberFormat="1">
      <alignment horizontal="right" shrinkToFit="0" vertical="center" wrapText="0"/>
    </xf>
    <xf borderId="0" fillId="0" fontId="16" numFmtId="4" xfId="0" applyAlignment="1" applyFont="1" applyNumberFormat="1">
      <alignment horizontal="right" shrinkToFit="0" wrapText="0"/>
    </xf>
    <xf borderId="0" fillId="0" fontId="16"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7"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7" numFmtId="3" xfId="0" applyAlignment="1" applyFont="1" applyNumberFormat="1">
      <alignment horizontal="right" shrinkToFit="0" vertical="center" wrapText="0"/>
    </xf>
    <xf borderId="0" fillId="0" fontId="16" numFmtId="2" xfId="0" applyAlignment="1" applyFont="1" applyNumberFormat="1">
      <alignment horizontal="left" readingOrder="0" shrinkToFit="0" vertical="center" wrapText="0"/>
    </xf>
    <xf borderId="0" fillId="0" fontId="16" numFmtId="176" xfId="0" applyAlignment="1" applyFont="1" applyNumberFormat="1">
      <alignment horizontal="left" readingOrder="0" shrinkToFit="0" vertical="center" wrapText="0"/>
    </xf>
    <xf borderId="0" fillId="0" fontId="16" numFmtId="176"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5" numFmtId="9" xfId="0" applyAlignment="1" applyFont="1" applyNumberFormat="1">
      <alignment horizontal="right" readingOrder="0"/>
    </xf>
    <xf borderId="0" fillId="0" fontId="0" numFmtId="4" xfId="0" applyAlignment="1" applyFont="1" applyNumberFormat="1">
      <alignment horizontal="right"/>
    </xf>
    <xf borderId="0" fillId="0" fontId="0" numFmtId="174" xfId="0" applyAlignment="1" applyFont="1" applyNumberFormat="1">
      <alignment horizontal="left" readingOrder="0" shrinkToFit="0" vertical="center" wrapText="0"/>
    </xf>
    <xf borderId="0" fillId="0" fontId="0" numFmtId="166"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6" xfId="0" applyAlignment="1" applyFont="1" applyNumberFormat="1">
      <alignment horizontal="left" readingOrder="0" shrinkToFit="0" vertical="center" wrapText="0"/>
    </xf>
    <xf borderId="0" fillId="0" fontId="7" numFmtId="4" xfId="0" applyAlignment="1" applyFont="1" applyNumberFormat="1">
      <alignment horizontal="right" shrinkToFit="0" vertical="center" wrapText="0"/>
    </xf>
    <xf borderId="0" fillId="0" fontId="14" numFmtId="174" xfId="0" applyAlignment="1" applyFont="1" applyNumberFormat="1">
      <alignment horizontal="left" readingOrder="0" shrinkToFit="0" vertical="center" wrapText="0"/>
    </xf>
    <xf borderId="0" fillId="0" fontId="14" numFmtId="3" xfId="0" applyAlignment="1" applyFont="1" applyNumberFormat="1">
      <alignment horizontal="right" shrinkToFit="0" vertical="center" wrapText="0"/>
    </xf>
    <xf borderId="0" fillId="0" fontId="0" numFmtId="174" xfId="0" applyAlignment="1" applyFont="1" applyNumberFormat="1">
      <alignment horizontal="right" shrinkToFit="0" vertical="center" wrapText="0"/>
    </xf>
    <xf borderId="0" fillId="0" fontId="15" numFmtId="0" xfId="0" applyAlignment="1" applyFont="1">
      <alignment readingOrder="0" vertical="bottom"/>
    </xf>
    <xf borderId="0" fillId="0" fontId="0" numFmtId="168" xfId="0" applyAlignment="1" applyFont="1" applyNumberFormat="1">
      <alignment horizontal="left" readingOrder="0" shrinkToFit="0" vertical="center" wrapText="0"/>
    </xf>
    <xf borderId="0" fillId="0" fontId="0" numFmtId="168" xfId="0" applyAlignment="1" applyFont="1" applyNumberFormat="1">
      <alignment horizontal="right" shrinkToFit="0" vertical="center" wrapText="0"/>
    </xf>
    <xf borderId="0" fillId="0" fontId="16" numFmtId="0" xfId="0" applyFont="1"/>
    <xf borderId="0" fillId="6" fontId="14" numFmtId="0" xfId="0" applyAlignment="1" applyFont="1">
      <alignment horizontal="left" readingOrder="0" shrinkToFit="0" wrapText="0"/>
    </xf>
    <xf borderId="0" fillId="6" fontId="0" numFmtId="165" xfId="0" applyAlignment="1" applyFont="1" applyNumberFormat="1">
      <alignment horizontal="center" shrinkToFit="0" wrapText="0"/>
    </xf>
    <xf borderId="0" fillId="0" fontId="14" numFmtId="0" xfId="0" applyAlignment="1" applyFont="1">
      <alignment horizontal="left" readingOrder="0" shrinkToFit="0" wrapText="0"/>
    </xf>
    <xf borderId="0" fillId="0" fontId="16" numFmtId="9" xfId="0" applyFont="1" applyNumberFormat="1"/>
    <xf borderId="0" fillId="0" fontId="15" numFmtId="165" xfId="0" applyAlignment="1" applyFont="1" applyNumberFormat="1">
      <alignment vertical="bottom"/>
    </xf>
    <xf borderId="0" fillId="0" fontId="14" numFmtId="166" xfId="0" applyAlignment="1" applyFont="1" applyNumberFormat="1">
      <alignment horizontal="right" vertical="bottom"/>
    </xf>
    <xf borderId="0" fillId="6" fontId="15" numFmtId="0" xfId="0" applyAlignment="1" applyFont="1">
      <alignment vertical="bottom"/>
    </xf>
    <xf borderId="0" fillId="0" fontId="16" numFmtId="10" xfId="0" applyAlignment="1" applyFont="1" applyNumberFormat="1">
      <alignment vertical="bottom"/>
    </xf>
    <xf borderId="2" fillId="0" fontId="5" numFmtId="9" xfId="0" applyAlignment="1" applyBorder="1" applyFont="1" applyNumberFormat="1">
      <alignment horizontal="right" readingOrder="0" vertical="bottom"/>
    </xf>
    <xf borderId="0" fillId="0" fontId="16" numFmtId="9" xfId="0" applyAlignment="1" applyFont="1" applyNumberFormat="1">
      <alignment horizontal="right" readingOrder="0" vertical="bottom"/>
    </xf>
    <xf borderId="0" fillId="0" fontId="0" numFmtId="0" xfId="0" applyAlignment="1" applyFont="1">
      <alignment vertical="bottom"/>
    </xf>
    <xf borderId="0" fillId="0" fontId="0" numFmtId="0" xfId="0" applyAlignment="1" applyFont="1">
      <alignment readingOrder="0" vertical="bottom"/>
    </xf>
    <xf borderId="0" fillId="0" fontId="15" numFmtId="0" xfId="0" applyAlignment="1" applyFont="1">
      <alignment vertical="bottom"/>
    </xf>
    <xf borderId="0" fillId="0" fontId="16" numFmtId="3" xfId="0" applyAlignment="1" applyFont="1" applyNumberFormat="1">
      <alignment vertical="bottom"/>
    </xf>
    <xf borderId="0" fillId="0" fontId="42" numFmtId="0" xfId="0" applyAlignment="1" applyFont="1">
      <alignment vertical="bottom"/>
    </xf>
    <xf borderId="0" fillId="6" fontId="15" numFmtId="3" xfId="0" applyAlignment="1" applyFont="1" applyNumberFormat="1">
      <alignment vertical="bottom"/>
    </xf>
    <xf borderId="0" fillId="0" fontId="14" numFmtId="166" xfId="0" applyAlignment="1" applyFont="1" applyNumberFormat="1">
      <alignment readingOrder="0" vertical="bottom"/>
    </xf>
    <xf borderId="0" fillId="5" fontId="15" numFmtId="0" xfId="0" applyAlignment="1" applyFont="1">
      <alignment vertical="bottom"/>
    </xf>
    <xf borderId="0" fillId="5" fontId="14" numFmtId="0" xfId="0" applyAlignment="1" applyFont="1">
      <alignment horizontal="center" vertical="bottom"/>
    </xf>
    <xf borderId="0" fillId="5" fontId="15" numFmtId="0" xfId="0" applyAlignment="1" applyFont="1">
      <alignment horizontal="center" vertical="bottom"/>
    </xf>
    <xf borderId="0" fillId="5" fontId="15" numFmtId="0" xfId="0" applyAlignment="1" applyFont="1">
      <alignment horizontal="center" readingOrder="0" vertical="bottom"/>
    </xf>
    <xf borderId="0" fillId="0" fontId="35" numFmtId="0" xfId="0" applyAlignment="1" applyFont="1">
      <alignment vertical="bottom"/>
    </xf>
    <xf borderId="0" fillId="0" fontId="31" numFmtId="3" xfId="0" applyAlignment="1" applyFont="1" applyNumberFormat="1">
      <alignment vertical="bottom"/>
    </xf>
    <xf borderId="0" fillId="6" fontId="15" numFmtId="0" xfId="0" applyAlignment="1" applyFont="1">
      <alignment shrinkToFit="0" vertical="bottom" wrapText="1"/>
    </xf>
    <xf borderId="0" fillId="0" fontId="31" numFmtId="176" xfId="0" applyAlignment="1" applyFont="1" applyNumberFormat="1">
      <alignment horizontal="right" vertical="bottom"/>
    </xf>
    <xf borderId="0" fillId="0" fontId="5" numFmtId="176" xfId="0" applyAlignment="1" applyFont="1" applyNumberFormat="1">
      <alignment horizontal="right" readingOrder="0" vertical="bottom"/>
    </xf>
    <xf borderId="0" fillId="0" fontId="34" numFmtId="176" xfId="0" applyAlignment="1" applyFont="1" applyNumberFormat="1">
      <alignment horizontal="right" vertical="bottom"/>
    </xf>
    <xf borderId="0" fillId="0" fontId="0" numFmtId="4" xfId="0" applyAlignment="1" applyFont="1" applyNumberFormat="1">
      <alignment shrinkToFit="0" vertical="bottom" wrapText="0"/>
    </xf>
    <xf borderId="0" fillId="0" fontId="16" numFmtId="176" xfId="0" applyAlignment="1" applyFont="1" applyNumberFormat="1">
      <alignment horizontal="right" vertical="bottom"/>
    </xf>
    <xf borderId="0" fillId="0" fontId="0" numFmtId="164" xfId="0" applyAlignment="1" applyFont="1" applyNumberFormat="1">
      <alignment vertical="bottom"/>
    </xf>
    <xf borderId="0" fillId="0" fontId="5" numFmtId="4" xfId="0" applyAlignment="1" applyFont="1" applyNumberFormat="1">
      <alignment horizontal="right" vertical="bottom"/>
    </xf>
    <xf borderId="0" fillId="0" fontId="7" numFmtId="4" xfId="0" applyAlignment="1" applyFont="1" applyNumberFormat="1">
      <alignment horizontal="right" vertical="bottom"/>
    </xf>
    <xf borderId="0" fillId="0" fontId="31" numFmtId="174" xfId="0" applyAlignment="1" applyFont="1" applyNumberFormat="1">
      <alignment horizontal="right" vertical="bottom"/>
    </xf>
    <xf borderId="0" fillId="0" fontId="16" numFmtId="174" xfId="0" applyAlignment="1" applyFont="1" applyNumberFormat="1">
      <alignment horizontal="right" vertical="bottom"/>
    </xf>
    <xf borderId="0" fillId="0" fontId="16" numFmtId="175" xfId="0" applyAlignment="1" applyFont="1" applyNumberFormat="1">
      <alignment vertical="bottom"/>
    </xf>
    <xf borderId="0" fillId="0" fontId="31" numFmtId="175" xfId="0" applyAlignment="1" applyFont="1" applyNumberFormat="1">
      <alignment vertical="bottom"/>
    </xf>
    <xf borderId="0" fillId="0" fontId="16" numFmtId="176" xfId="0" applyAlignment="1" applyFont="1" applyNumberFormat="1">
      <alignment vertical="bottom"/>
    </xf>
    <xf borderId="0" fillId="0" fontId="16" numFmtId="164" xfId="0" applyAlignment="1" applyFont="1" applyNumberFormat="1">
      <alignment vertical="bottom"/>
    </xf>
    <xf borderId="0" fillId="0" fontId="0" numFmtId="3" xfId="0" applyAlignment="1" applyFont="1" applyNumberFormat="1">
      <alignment vertical="bottom"/>
    </xf>
    <xf borderId="0" fillId="0" fontId="0" numFmtId="175" xfId="0" applyAlignment="1" applyFont="1" applyNumberFormat="1">
      <alignment vertical="bottom"/>
    </xf>
    <xf borderId="0" fillId="0" fontId="0" numFmtId="175" xfId="0" applyAlignment="1" applyFont="1" applyNumberFormat="1">
      <alignment horizontal="right" vertical="bottom"/>
    </xf>
    <xf borderId="0" fillId="0" fontId="34" numFmtId="175" xfId="0" applyAlignment="1" applyFont="1" applyNumberFormat="1">
      <alignment horizontal="right" vertical="bottom"/>
    </xf>
    <xf borderId="0" fillId="0" fontId="31" numFmtId="164" xfId="0" applyAlignment="1" applyFont="1" applyNumberFormat="1">
      <alignment vertical="bottom"/>
    </xf>
    <xf borderId="0" fillId="0" fontId="0" numFmtId="175" xfId="0" applyAlignment="1" applyFont="1" applyNumberFormat="1">
      <alignment readingOrder="0" vertical="bottom"/>
    </xf>
    <xf borderId="0" fillId="0" fontId="16" numFmtId="4" xfId="0" applyAlignment="1" applyFont="1" applyNumberFormat="1">
      <alignment vertical="bottom"/>
    </xf>
    <xf borderId="0" fillId="0" fontId="31" numFmtId="4" xfId="0" applyAlignment="1" applyFont="1" applyNumberFormat="1">
      <alignment vertical="bottom"/>
    </xf>
    <xf borderId="0" fillId="0" fontId="16" numFmtId="166" xfId="0" applyAlignment="1" applyFont="1" applyNumberFormat="1">
      <alignment vertical="bottom"/>
    </xf>
    <xf borderId="0" fillId="0" fontId="14" numFmtId="4" xfId="0" applyAlignment="1" applyFont="1" applyNumberFormat="1">
      <alignment vertical="bottom"/>
    </xf>
    <xf borderId="0" fillId="0" fontId="36" numFmtId="4" xfId="0" applyAlignment="1" applyFont="1" applyNumberFormat="1">
      <alignment horizontal="right" vertical="bottom"/>
    </xf>
    <xf borderId="0" fillId="0" fontId="14" numFmtId="4" xfId="0" applyAlignment="1" applyFont="1" applyNumberFormat="1">
      <alignment horizontal="right" vertical="bottom"/>
    </xf>
    <xf borderId="0" fillId="0" fontId="31" numFmtId="10" xfId="0" applyFont="1" applyNumberFormat="1"/>
    <xf borderId="0" fillId="0" fontId="16" numFmtId="10" xfId="0" applyFont="1" applyNumberFormat="1"/>
    <xf borderId="0" fillId="0" fontId="16" numFmtId="176" xfId="0" applyFont="1" applyNumberFormat="1"/>
    <xf borderId="0" fillId="6" fontId="16" numFmtId="176" xfId="0" applyAlignment="1" applyFont="1" applyNumberFormat="1">
      <alignment vertical="bottom"/>
    </xf>
    <xf borderId="3" fillId="6" fontId="15" numFmtId="0" xfId="0" applyAlignment="1" applyBorder="1" applyFont="1">
      <alignment vertical="bottom"/>
    </xf>
    <xf borderId="0" fillId="6" fontId="16" numFmtId="168" xfId="0" applyAlignment="1" applyFont="1" applyNumberFormat="1">
      <alignment vertical="bottom"/>
    </xf>
    <xf borderId="0" fillId="0" fontId="16" numFmtId="168" xfId="0" applyAlignment="1" applyFont="1" applyNumberFormat="1">
      <alignment vertical="bottom"/>
    </xf>
    <xf borderId="0" fillId="0" fontId="31" numFmtId="168" xfId="0" applyAlignment="1" applyFont="1" applyNumberFormat="1">
      <alignment horizontal="right" vertical="bottom"/>
    </xf>
    <xf borderId="0" fillId="0" fontId="5" numFmtId="168" xfId="0" applyAlignment="1" applyFont="1" applyNumberFormat="1">
      <alignment horizontal="right" vertical="bottom"/>
    </xf>
    <xf borderId="0" fillId="0" fontId="16" numFmtId="168" xfId="0" applyAlignment="1" applyFont="1" applyNumberFormat="1">
      <alignment horizontal="right" vertical="bottom"/>
    </xf>
    <xf borderId="0" fillId="10" fontId="0" numFmtId="0" xfId="0" applyAlignment="1" applyFont="1">
      <alignment vertical="bottom"/>
    </xf>
    <xf borderId="0" fillId="10" fontId="31" numFmtId="9" xfId="0" applyAlignment="1" applyFont="1" applyNumberFormat="1">
      <alignment horizontal="right" vertical="bottom"/>
    </xf>
    <xf borderId="0" fillId="10" fontId="5" numFmtId="9" xfId="0" applyAlignment="1" applyFont="1" applyNumberFormat="1">
      <alignment horizontal="right" vertical="bottom"/>
    </xf>
    <xf borderId="0" fillId="10" fontId="34" numFmtId="9" xfId="0" applyAlignment="1" applyFont="1" applyNumberFormat="1">
      <alignment horizontal="right" vertical="bottom"/>
    </xf>
    <xf borderId="0" fillId="0" fontId="0" numFmtId="164" xfId="0" applyAlignment="1" applyFont="1" applyNumberFormat="1">
      <alignment horizontal="right" vertical="bottom"/>
    </xf>
    <xf borderId="0" fillId="0" fontId="5" numFmtId="0" xfId="0" applyAlignment="1" applyFont="1">
      <alignment horizontal="right" vertical="bottom"/>
    </xf>
    <xf borderId="0" fillId="0" fontId="31" numFmtId="173" xfId="0" applyAlignment="1" applyFont="1" applyNumberFormat="1">
      <alignment horizontal="right" vertical="bottom"/>
    </xf>
    <xf borderId="0" fillId="0" fontId="0" numFmtId="173" xfId="0" applyAlignment="1" applyFont="1" applyNumberFormat="1">
      <alignment horizontal="right" vertical="bottom"/>
    </xf>
    <xf borderId="0" fillId="0" fontId="0" numFmtId="177" xfId="0" applyAlignment="1" applyFont="1" applyNumberFormat="1">
      <alignment vertical="bottom"/>
    </xf>
    <xf borderId="0" fillId="0" fontId="31" numFmtId="177" xfId="0" applyAlignment="1" applyFont="1" applyNumberFormat="1">
      <alignment horizontal="right" vertical="bottom"/>
    </xf>
    <xf borderId="0" fillId="0" fontId="0" numFmtId="177" xfId="0" applyAlignment="1" applyFont="1" applyNumberFormat="1">
      <alignment horizontal="right" vertical="bottom"/>
    </xf>
    <xf borderId="0" fillId="0" fontId="0" numFmtId="169" xfId="0" applyAlignment="1" applyFont="1" applyNumberFormat="1">
      <alignment vertical="bottom"/>
    </xf>
    <xf borderId="0" fillId="0" fontId="31" numFmtId="169" xfId="0" applyAlignment="1" applyFont="1" applyNumberFormat="1">
      <alignment horizontal="right" vertical="bottom"/>
    </xf>
    <xf borderId="0" fillId="0" fontId="0" numFmtId="169" xfId="0" applyAlignment="1" applyFont="1" applyNumberFormat="1">
      <alignment horizontal="right" vertical="bottom"/>
    </xf>
    <xf borderId="0" fillId="0" fontId="5" numFmtId="169" xfId="0" applyAlignment="1" applyFont="1" applyNumberFormat="1">
      <alignment horizontal="right" vertical="bottom"/>
    </xf>
    <xf borderId="0" fillId="0" fontId="31" numFmtId="0" xfId="0" applyAlignment="1" applyFont="1">
      <alignment vertical="bottom"/>
    </xf>
    <xf borderId="0" fillId="0" fontId="31" numFmtId="10" xfId="0" applyAlignment="1" applyFont="1" applyNumberFormat="1">
      <alignment horizontal="right" vertical="bottom"/>
    </xf>
    <xf borderId="0" fillId="0" fontId="16" numFmtId="10" xfId="0" applyAlignment="1" applyFont="1" applyNumberFormat="1">
      <alignment horizontal="right" vertical="bottom"/>
    </xf>
    <xf borderId="0" fillId="0" fontId="16" numFmtId="175" xfId="0" applyAlignment="1" applyFont="1" applyNumberFormat="1">
      <alignment readingOrder="0"/>
    </xf>
    <xf borderId="0" fillId="0" fontId="31" numFmtId="173" xfId="0" applyAlignment="1" applyFont="1" applyNumberFormat="1">
      <alignment readingOrder="0"/>
    </xf>
    <xf borderId="0" fillId="0" fontId="34" numFmtId="173" xfId="0" applyAlignment="1" applyFont="1" applyNumberFormat="1">
      <alignment readingOrder="0"/>
    </xf>
    <xf borderId="0" fillId="0" fontId="16" numFmtId="166" xfId="0" applyAlignment="1" applyFont="1" applyNumberFormat="1">
      <alignment readingOrder="0"/>
    </xf>
    <xf borderId="0" fillId="0" fontId="31" numFmtId="4" xfId="0" applyAlignment="1" applyFont="1" applyNumberFormat="1">
      <alignment readingOrder="0"/>
    </xf>
    <xf borderId="0" fillId="0" fontId="34" numFmtId="4" xfId="0" applyAlignment="1" applyFont="1" applyNumberFormat="1">
      <alignment readingOrder="0"/>
    </xf>
    <xf borderId="0" fillId="0" fontId="16" numFmtId="169" xfId="0" applyAlignment="1" applyFont="1" applyNumberFormat="1">
      <alignment readingOrder="0"/>
    </xf>
    <xf borderId="0" fillId="0" fontId="31" numFmtId="3" xfId="0" applyAlignment="1" applyFont="1" applyNumberFormat="1">
      <alignment readingOrder="0"/>
    </xf>
    <xf borderId="0" fillId="0" fontId="34" numFmtId="3" xfId="0" applyAlignment="1" applyFont="1" applyNumberFormat="1">
      <alignment readingOrder="0"/>
    </xf>
    <xf borderId="1" fillId="0" fontId="16" numFmtId="0" xfId="0" applyAlignment="1" applyBorder="1" applyFont="1">
      <alignment readingOrder="0" vertical="bottom"/>
    </xf>
    <xf borderId="1" fillId="0" fontId="31" numFmtId="3" xfId="0" applyAlignment="1" applyBorder="1" applyFont="1" applyNumberFormat="1">
      <alignment horizontal="right" vertical="bottom"/>
    </xf>
    <xf borderId="1" fillId="0" fontId="16" numFmtId="3" xfId="0" applyAlignment="1" applyBorder="1" applyFont="1" applyNumberFormat="1">
      <alignment horizontal="right" vertical="bottom"/>
    </xf>
    <xf borderId="0" fillId="0" fontId="19" numFmtId="3" xfId="0" applyAlignment="1" applyFont="1" applyNumberFormat="1">
      <alignment readingOrder="0"/>
    </xf>
    <xf borderId="0" fillId="0" fontId="31" numFmtId="176" xfId="0" applyAlignment="1" applyFont="1" applyNumberFormat="1">
      <alignment vertical="bottom"/>
    </xf>
    <xf borderId="0" fillId="0" fontId="36" numFmtId="166" xfId="0" applyAlignment="1" applyFont="1" applyNumberFormat="1">
      <alignment horizontal="right" vertical="bottom"/>
    </xf>
    <xf borderId="0" fillId="0" fontId="35" numFmtId="4" xfId="0" applyAlignment="1" applyFont="1" applyNumberFormat="1">
      <alignment vertical="bottom"/>
    </xf>
    <xf borderId="0" fillId="0" fontId="16" numFmtId="169" xfId="0" applyAlignment="1" applyFont="1" applyNumberFormat="1">
      <alignment horizontal="right" vertical="bottom"/>
    </xf>
    <xf borderId="2" fillId="0" fontId="16" numFmtId="4" xfId="0" applyAlignment="1" applyBorder="1" applyFont="1" applyNumberFormat="1">
      <alignment vertical="bottom"/>
    </xf>
    <xf borderId="2" fillId="0" fontId="5" numFmtId="169" xfId="0" applyAlignment="1" applyBorder="1" applyFont="1" applyNumberFormat="1">
      <alignment horizontal="right" vertical="bottom"/>
    </xf>
    <xf borderId="1" fillId="0" fontId="31" numFmtId="169" xfId="0" applyAlignment="1" applyBorder="1" applyFont="1" applyNumberFormat="1">
      <alignment horizontal="right" vertical="bottom"/>
    </xf>
    <xf borderId="1" fillId="0" fontId="16" numFmtId="169" xfId="0" applyAlignment="1" applyBorder="1" applyFont="1" applyNumberFormat="1">
      <alignment horizontal="right" vertical="bottom"/>
    </xf>
    <xf borderId="0" fillId="0" fontId="16" numFmtId="169" xfId="0" applyAlignment="1" applyFont="1" applyNumberFormat="1">
      <alignment horizontal="right" vertical="bottom"/>
    </xf>
    <xf borderId="0" fillId="0" fontId="47" numFmtId="0" xfId="0" applyAlignment="1" applyFont="1">
      <alignment vertical="bottom"/>
    </xf>
    <xf borderId="0" fillId="0" fontId="48" numFmtId="10" xfId="0" applyAlignment="1" applyFont="1" applyNumberFormat="1">
      <alignment horizontal="right" vertical="bottom"/>
    </xf>
    <xf borderId="0" fillId="0" fontId="47" numFmtId="10" xfId="0" applyAlignment="1" applyFont="1" applyNumberFormat="1">
      <alignment horizontal="right" vertical="bottom"/>
    </xf>
    <xf borderId="0" fillId="0" fontId="35" numFmtId="174" xfId="0" applyAlignment="1" applyFont="1" applyNumberFormat="1">
      <alignment vertical="bottom"/>
    </xf>
    <xf borderId="0" fillId="0" fontId="34" numFmtId="168" xfId="0" applyAlignment="1" applyFont="1" applyNumberFormat="1">
      <alignment horizontal="right" vertical="bottom"/>
    </xf>
    <xf borderId="2" fillId="0" fontId="31" numFmtId="168" xfId="0" applyAlignment="1" applyBorder="1" applyFont="1" applyNumberFormat="1">
      <alignment horizontal="right" vertical="bottom"/>
    </xf>
    <xf borderId="2" fillId="0" fontId="16" numFmtId="168" xfId="0" applyAlignment="1" applyBorder="1" applyFont="1" applyNumberFormat="1">
      <alignment horizontal="right" vertical="bottom"/>
    </xf>
    <xf borderId="3" fillId="0" fontId="35" numFmtId="4" xfId="0" applyAlignment="1" applyBorder="1" applyFont="1" applyNumberFormat="1">
      <alignment shrinkToFit="0" vertical="bottom" wrapText="0"/>
    </xf>
    <xf borderId="0" fillId="0" fontId="16" numFmtId="164" xfId="0" applyAlignment="1" applyFont="1" applyNumberFormat="1">
      <alignment horizontal="right" vertical="bottom"/>
    </xf>
    <xf borderId="3" fillId="0" fontId="2" numFmtId="4" xfId="0" applyAlignment="1" applyBorder="1" applyFont="1" applyNumberFormat="1">
      <alignment shrinkToFit="0" vertical="bottom" wrapText="0"/>
    </xf>
    <xf borderId="3" fillId="0" fontId="31" numFmtId="164" xfId="0" applyAlignment="1" applyBorder="1" applyFont="1" applyNumberFormat="1">
      <alignment vertical="bottom"/>
    </xf>
    <xf borderId="3" fillId="0" fontId="16" numFmtId="164" xfId="0" applyAlignment="1" applyBorder="1" applyFont="1" applyNumberFormat="1">
      <alignment vertical="bottom"/>
    </xf>
    <xf borderId="0" fillId="0" fontId="2" numFmtId="4" xfId="0" applyAlignment="1" applyFont="1" applyNumberFormat="1">
      <alignment vertical="bottom"/>
    </xf>
    <xf borderId="2" fillId="0" fontId="16" numFmtId="3" xfId="0" applyAlignment="1" applyBorder="1" applyFont="1" applyNumberFormat="1">
      <alignment vertical="bottom"/>
    </xf>
    <xf borderId="1" fillId="0" fontId="0" numFmtId="3" xfId="0" applyAlignment="1" applyBorder="1" applyFont="1" applyNumberFormat="1">
      <alignment horizontal="right" vertical="bottom"/>
    </xf>
    <xf borderId="0" fillId="0" fontId="49" numFmtId="9" xfId="0" applyAlignment="1" applyFont="1" applyNumberFormat="1">
      <alignment horizontal="right" vertical="bottom"/>
    </xf>
    <xf borderId="0" fillId="6" fontId="36" numFmtId="0" xfId="0" applyAlignment="1" applyFont="1">
      <alignment vertical="bottom"/>
    </xf>
    <xf borderId="0" fillId="0" fontId="31" numFmtId="176" xfId="0" applyFont="1" applyNumberFormat="1"/>
    <xf borderId="0" fillId="0" fontId="31" numFmtId="3" xfId="0" applyAlignment="1" applyFont="1" applyNumberFormat="1">
      <alignment horizontal="right"/>
    </xf>
    <xf borderId="0" fillId="0" fontId="0" numFmtId="3" xfId="0" applyAlignment="1" applyFont="1" applyNumberFormat="1">
      <alignment horizontal="right"/>
    </xf>
    <xf borderId="0" fillId="0" fontId="0" numFmtId="168" xfId="0" applyAlignment="1" applyFont="1" applyNumberFormat="1">
      <alignment horizontal="right" vertical="bottom"/>
    </xf>
    <xf borderId="0" fillId="0" fontId="16" numFmtId="0" xfId="0" applyAlignment="1" applyFont="1">
      <alignment horizontal="left" readingOrder="0" shrinkToFit="0" wrapText="0"/>
    </xf>
    <xf borderId="0" fillId="0" fontId="31" numFmtId="176" xfId="0" applyAlignment="1" applyFont="1" applyNumberFormat="1">
      <alignment horizontal="right" shrinkToFit="0" vertical="center" wrapText="0"/>
    </xf>
    <xf borderId="0" fillId="0" fontId="0" numFmtId="176"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0" fillId="0" fontId="0" numFmtId="10" xfId="0" applyAlignment="1" applyFont="1" applyNumberFormat="1">
      <alignment horizontal="right" shrinkToFit="0" vertical="center" wrapText="0"/>
    </xf>
    <xf borderId="2" fillId="0" fontId="31" numFmtId="9" xfId="0" applyAlignment="1" applyBorder="1" applyFont="1" applyNumberFormat="1">
      <alignment horizontal="right" vertical="bottom"/>
    </xf>
    <xf borderId="2" fillId="0" fontId="5" numFmtId="9" xfId="0" applyAlignment="1" applyBorder="1" applyFont="1" applyNumberFormat="1">
      <alignment horizontal="right" vertical="bottom"/>
    </xf>
    <xf borderId="0" fillId="0" fontId="42" numFmtId="3" xfId="0" applyAlignment="1" applyFont="1" applyNumberFormat="1">
      <alignment shrinkToFit="0" wrapText="0"/>
    </xf>
    <xf borderId="0" fillId="0" fontId="14" numFmtId="166" xfId="0" applyAlignment="1" applyFont="1" applyNumberFormat="1">
      <alignment readingOrder="0" shrinkToFit="0" wrapText="0"/>
    </xf>
    <xf borderId="0" fillId="5" fontId="15" numFmtId="0" xfId="0" applyAlignment="1" applyFont="1">
      <alignment horizontal="left" readingOrder="0" shrinkToFit="0" wrapText="0"/>
    </xf>
    <xf borderId="0" fillId="0" fontId="35" numFmtId="0" xfId="0" applyAlignment="1" applyFont="1">
      <alignment readingOrder="0"/>
    </xf>
    <xf borderId="0" fillId="0" fontId="23" numFmtId="3" xfId="0" applyFont="1" applyNumberFormat="1"/>
    <xf borderId="0" fillId="0" fontId="23" numFmtId="4" xfId="0" applyFont="1" applyNumberFormat="1"/>
    <xf borderId="0" fillId="0" fontId="16" numFmtId="165" xfId="0" applyFont="1" applyNumberFormat="1"/>
    <xf borderId="0" fillId="0" fontId="23" numFmtId="0" xfId="0" applyFont="1"/>
    <xf borderId="0" fillId="0" fontId="50" numFmtId="3" xfId="0" applyAlignment="1" applyFont="1" applyNumberFormat="1">
      <alignment vertical="bottom"/>
    </xf>
    <xf borderId="0" fillId="0" fontId="34" numFmtId="10" xfId="0" applyAlignment="1" applyFont="1" applyNumberFormat="1">
      <alignment horizontal="right" vertical="bottom"/>
    </xf>
    <xf borderId="0" fillId="0" fontId="5" numFmtId="10" xfId="0" applyAlignment="1" applyFont="1" applyNumberFormat="1">
      <alignment horizontal="right" vertical="bottom"/>
    </xf>
    <xf borderId="0" fillId="0" fontId="16" numFmtId="0" xfId="0" applyAlignment="1" applyFont="1">
      <alignment readingOrder="0"/>
    </xf>
    <xf borderId="0" fillId="0" fontId="51" numFmtId="3" xfId="0" applyFont="1" applyNumberFormat="1"/>
    <xf borderId="0" fillId="6" fontId="14" numFmtId="0" xfId="0" applyAlignment="1" applyFont="1">
      <alignment readingOrder="0" shrinkToFit="0" vertical="bottom" wrapText="1"/>
    </xf>
    <xf borderId="0" fillId="6" fontId="52" numFmtId="0" xfId="0" applyAlignment="1" applyFont="1">
      <alignment readingOrder="0" shrinkToFit="0" vertical="bottom" wrapText="1"/>
    </xf>
    <xf borderId="0" fillId="0" fontId="34" numFmtId="168" xfId="0" applyAlignment="1" applyFont="1" applyNumberFormat="1">
      <alignment readingOrder="0" vertical="bottom"/>
    </xf>
    <xf borderId="0" fillId="0" fontId="5" numFmtId="168" xfId="0" applyAlignment="1" applyFont="1" applyNumberFormat="1">
      <alignment readingOrder="0" vertical="bottom"/>
    </xf>
    <xf borderId="0" fillId="0" fontId="50" numFmtId="168" xfId="0" applyAlignment="1" applyFont="1" applyNumberFormat="1">
      <alignment vertical="bottom"/>
    </xf>
    <xf borderId="0" fillId="0" fontId="16" numFmtId="168" xfId="0" applyAlignment="1" applyFont="1" applyNumberFormat="1">
      <alignment readingOrder="0" vertical="bottom"/>
    </xf>
    <xf borderId="0" fillId="0" fontId="0" numFmtId="0" xfId="0" applyAlignment="1" applyFont="1">
      <alignment readingOrder="0"/>
    </xf>
    <xf borderId="0" fillId="0" fontId="34" numFmtId="9" xfId="0" applyAlignment="1" applyFont="1" applyNumberFormat="1">
      <alignment horizontal="right"/>
    </xf>
    <xf borderId="0" fillId="0" fontId="34" numFmtId="164" xfId="0" applyAlignment="1" applyFont="1" applyNumberFormat="1">
      <alignment horizontal="right" readingOrder="0" vertical="bottom"/>
    </xf>
    <xf borderId="0" fillId="0" fontId="16" numFmtId="164" xfId="0" applyAlignment="1" applyFont="1" applyNumberFormat="1">
      <alignment horizontal="right" readingOrder="0" vertical="bottom"/>
    </xf>
    <xf borderId="0" fillId="0" fontId="34" numFmtId="4" xfId="0" applyAlignment="1" applyFont="1" applyNumberFormat="1">
      <alignment horizontal="right" readingOrder="0" vertical="bottom"/>
    </xf>
    <xf borderId="0" fillId="0" fontId="0" numFmtId="172" xfId="0" applyFont="1" applyNumberFormat="1"/>
    <xf borderId="0" fillId="0" fontId="34" numFmtId="172" xfId="0" applyAlignment="1" applyFont="1" applyNumberFormat="1">
      <alignment horizontal="right"/>
    </xf>
    <xf borderId="0" fillId="0" fontId="0" numFmtId="172" xfId="0" applyAlignment="1" applyFont="1" applyNumberFormat="1">
      <alignment horizontal="right"/>
    </xf>
    <xf borderId="0" fillId="0" fontId="0" numFmtId="166" xfId="0" applyFont="1" applyNumberFormat="1"/>
    <xf borderId="0" fillId="0" fontId="34" numFmtId="4" xfId="0" applyAlignment="1" applyFont="1" applyNumberFormat="1">
      <alignment horizontal="right"/>
    </xf>
    <xf borderId="0" fillId="0" fontId="0" numFmtId="174" xfId="0" applyFont="1" applyNumberFormat="1"/>
    <xf borderId="0" fillId="0" fontId="34" numFmtId="174" xfId="0" applyAlignment="1" applyFont="1" applyNumberFormat="1">
      <alignment horizontal="right"/>
    </xf>
    <xf borderId="0" fillId="0" fontId="0" numFmtId="174" xfId="0" applyAlignment="1" applyFont="1" applyNumberFormat="1">
      <alignment horizontal="right"/>
    </xf>
    <xf borderId="0" fillId="0" fontId="0" numFmtId="169" xfId="0" applyAlignment="1" applyFont="1" applyNumberFormat="1">
      <alignment readingOrder="0"/>
    </xf>
    <xf borderId="0" fillId="0" fontId="34" numFmtId="169" xfId="0" applyAlignment="1" applyFont="1" applyNumberFormat="1">
      <alignment horizontal="right" readingOrder="0"/>
    </xf>
    <xf borderId="0" fillId="0" fontId="5" numFmtId="169" xfId="0" applyAlignment="1" applyFont="1" applyNumberFormat="1">
      <alignment horizontal="right" readingOrder="0"/>
    </xf>
    <xf borderId="0" fillId="0" fontId="34" numFmtId="3"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34" numFmtId="174" xfId="0" applyFont="1" applyNumberFormat="1"/>
    <xf borderId="0" fillId="0" fontId="16" numFmtId="174" xfId="0" applyFont="1" applyNumberFormat="1"/>
    <xf borderId="0" fillId="6" fontId="14" numFmtId="169" xfId="0" applyAlignment="1" applyFont="1" applyNumberFormat="1">
      <alignment horizontal="left" readingOrder="0" shrinkToFit="0" vertical="center" wrapText="0"/>
    </xf>
    <xf borderId="0" fillId="6" fontId="34" numFmtId="174" xfId="0" applyFont="1" applyNumberFormat="1"/>
    <xf borderId="0" fillId="6" fontId="16" numFmtId="174" xfId="0" applyFont="1" applyNumberFormat="1"/>
    <xf borderId="0" fillId="0" fontId="14" numFmtId="169" xfId="0" applyAlignment="1" applyFont="1" applyNumberFormat="1">
      <alignment horizontal="left" readingOrder="0" shrinkToFit="0" vertical="center" wrapText="0"/>
    </xf>
    <xf borderId="0" fillId="0" fontId="34" numFmtId="3" xfId="0" applyFont="1" applyNumberFormat="1"/>
    <xf borderId="0" fillId="0" fontId="16" numFmtId="3" xfId="0" applyFont="1" applyNumberFormat="1"/>
    <xf borderId="0" fillId="0" fontId="16" numFmtId="3" xfId="0" applyAlignment="1" applyFont="1" applyNumberFormat="1">
      <alignment horizontal="right" shrinkToFit="0" wrapText="0"/>
    </xf>
    <xf borderId="0" fillId="0" fontId="34" numFmtId="3" xfId="0" applyAlignment="1" applyFont="1" applyNumberFormat="1">
      <alignment horizontal="right" shrinkToFit="0" wrapText="0"/>
    </xf>
    <xf borderId="0" fillId="6" fontId="34" numFmtId="0" xfId="0" applyAlignment="1" applyFont="1">
      <alignment vertical="bottom"/>
    </xf>
    <xf borderId="0" fillId="0" fontId="34" numFmtId="0" xfId="0" applyAlignment="1" applyFont="1">
      <alignment vertical="bottom"/>
    </xf>
    <xf borderId="0" fillId="0" fontId="34" numFmtId="10" xfId="0" applyFont="1" applyNumberFormat="1"/>
    <xf borderId="0" fillId="0" fontId="14" numFmtId="169" xfId="0" applyAlignment="1" applyFont="1" applyNumberFormat="1">
      <alignment readingOrder="0"/>
    </xf>
    <xf borderId="0" fillId="6" fontId="34" numFmtId="0" xfId="0" applyFont="1"/>
    <xf borderId="0" fillId="6" fontId="16" numFmtId="0" xfId="0" applyFont="1"/>
    <xf borderId="0" fillId="0" fontId="34" numFmtId="0" xfId="0" applyFont="1"/>
    <xf borderId="0" fillId="0" fontId="29" numFmtId="4" xfId="0" applyAlignment="1" applyFont="1" applyNumberFormat="1">
      <alignment readingOrder="0" vertical="bottom"/>
    </xf>
    <xf borderId="0" fillId="0" fontId="19" numFmtId="4" xfId="0" applyAlignment="1" applyFont="1" applyNumberFormat="1">
      <alignment readingOrder="0" vertical="bottom"/>
    </xf>
    <xf borderId="0" fillId="0" fontId="51" numFmtId="169" xfId="0" applyFont="1" applyNumberFormat="1"/>
    <xf borderId="0" fillId="0" fontId="45" numFmtId="169" xfId="0" applyFont="1" applyNumberFormat="1"/>
    <xf borderId="1" fillId="0" fontId="19" numFmtId="4" xfId="0" applyAlignment="1" applyBorder="1" applyFont="1" applyNumberFormat="1">
      <alignment readingOrder="0" vertical="bottom"/>
    </xf>
    <xf borderId="1" fillId="0" fontId="34" numFmtId="169" xfId="0" applyBorder="1" applyFont="1" applyNumberFormat="1"/>
    <xf borderId="1" fillId="0" fontId="16" numFmtId="169" xfId="0" applyBorder="1" applyFont="1" applyNumberFormat="1"/>
    <xf borderId="0" fillId="0" fontId="53" numFmtId="10" xfId="0" applyAlignment="1" applyFont="1" applyNumberFormat="1">
      <alignment readingOrder="0"/>
    </xf>
    <xf borderId="0" fillId="0" fontId="41" numFmtId="10" xfId="0" applyAlignment="1" applyFont="1" applyNumberFormat="1">
      <alignment readingOrder="0"/>
    </xf>
    <xf borderId="0" fillId="0" fontId="34" numFmtId="168" xfId="0" applyFont="1" applyNumberFormat="1"/>
    <xf borderId="0" fillId="0" fontId="16" numFmtId="168" xfId="0" applyFont="1" applyNumberFormat="1"/>
    <xf borderId="2" fillId="0" fontId="19" numFmtId="4" xfId="0" applyAlignment="1" applyBorder="1" applyFont="1" applyNumberFormat="1">
      <alignment readingOrder="0" vertical="bottom"/>
    </xf>
    <xf borderId="2" fillId="0" fontId="34" numFmtId="168" xfId="0" applyBorder="1" applyFont="1" applyNumberFormat="1"/>
    <xf borderId="2" fillId="0" fontId="16" numFmtId="168" xfId="0" applyBorder="1" applyFont="1" applyNumberFormat="1"/>
    <xf borderId="1" fillId="0" fontId="16" numFmtId="174" xfId="0" applyAlignment="1" applyBorder="1" applyFont="1" applyNumberFormat="1">
      <alignment readingOrder="0" vertical="bottom"/>
    </xf>
    <xf borderId="1" fillId="0" fontId="34" numFmtId="168" xfId="0" applyBorder="1" applyFont="1" applyNumberFormat="1"/>
    <xf borderId="1" fillId="0" fontId="16" numFmtId="168" xfId="0" applyBorder="1" applyFont="1" applyNumberFormat="1"/>
    <xf borderId="0" fillId="0" fontId="34" numFmtId="4" xfId="0" applyAlignment="1" applyFont="1" applyNumberFormat="1">
      <alignment vertical="bottom"/>
    </xf>
    <xf borderId="0" fillId="0" fontId="33" numFmtId="1" xfId="0" applyAlignment="1" applyFont="1" applyNumberFormat="1">
      <alignment readingOrder="0"/>
    </xf>
    <xf borderId="0" fillId="0" fontId="32" numFmtId="1" xfId="0" applyAlignment="1" applyFont="1" applyNumberFormat="1">
      <alignment readingOrder="0"/>
    </xf>
    <xf borderId="0" fillId="0" fontId="34" numFmtId="164" xfId="0" applyAlignment="1" applyFont="1" applyNumberFormat="1">
      <alignment vertical="bottom"/>
    </xf>
    <xf borderId="0" fillId="0" fontId="34" numFmtId="9" xfId="0" applyAlignment="1" applyFont="1" applyNumberFormat="1">
      <alignment horizontal="right" readingOrder="0" vertical="bottom"/>
    </xf>
    <xf borderId="0" fillId="0" fontId="35" numFmtId="4" xfId="0" applyAlignment="1" applyFont="1" applyNumberFormat="1">
      <alignment readingOrder="0" vertical="bottom"/>
    </xf>
    <xf borderId="0" fillId="0" fontId="34" numFmtId="9" xfId="0" applyAlignment="1" applyFont="1" applyNumberFormat="1">
      <alignment vertical="bottom"/>
    </xf>
    <xf borderId="0" fillId="0" fontId="34" numFmtId="9" xfId="0" applyAlignment="1" applyFont="1" applyNumberFormat="1">
      <alignment readingOrder="0" vertical="bottom"/>
    </xf>
    <xf borderId="0" fillId="0" fontId="5" numFmtId="9" xfId="0" applyAlignment="1" applyFont="1" applyNumberFormat="1">
      <alignment readingOrder="0" vertical="bottom"/>
    </xf>
    <xf borderId="0" fillId="0" fontId="51" numFmtId="0" xfId="0" applyFont="1"/>
    <xf borderId="0" fillId="0" fontId="16" numFmtId="4" xfId="0" applyAlignment="1" applyFont="1" applyNumberFormat="1">
      <alignment readingOrder="0" vertical="bottom"/>
    </xf>
    <xf borderId="0" fillId="0" fontId="34" numFmtId="3" xfId="0" applyAlignment="1" applyFont="1" applyNumberFormat="1">
      <alignment horizontal="right" readingOrder="0" vertical="bottom"/>
    </xf>
    <xf borderId="0" fillId="0" fontId="34" numFmtId="3" xfId="0" applyAlignment="1" applyFont="1" applyNumberFormat="1">
      <alignment vertical="bottom"/>
    </xf>
    <xf borderId="0" fillId="0" fontId="2" numFmtId="4" xfId="0" applyAlignment="1" applyFont="1" applyNumberFormat="1">
      <alignment shrinkToFit="0" vertical="bottom" wrapText="0"/>
    </xf>
    <xf borderId="0" fillId="0" fontId="34" numFmtId="0" xfId="0" applyAlignment="1" applyFont="1">
      <alignment readingOrder="0" vertical="bottom"/>
    </xf>
    <xf borderId="2" fillId="0" fontId="16" numFmtId="4" xfId="0" applyAlignment="1" applyBorder="1" applyFont="1" applyNumberFormat="1">
      <alignment readingOrder="0" vertical="bottom"/>
    </xf>
    <xf borderId="1" fillId="0" fontId="16" numFmtId="4" xfId="0" applyAlignment="1" applyBorder="1" applyFont="1" applyNumberFormat="1">
      <alignment vertical="bottom"/>
    </xf>
    <xf borderId="1" fillId="0" fontId="34" numFmtId="3" xfId="0" applyAlignment="1" applyBorder="1" applyFont="1" applyNumberFormat="1">
      <alignment horizontal="right" vertical="bottom"/>
    </xf>
    <xf borderId="0" fillId="6" fontId="52" numFmtId="169" xfId="0" applyAlignment="1" applyFont="1" applyNumberFormat="1">
      <alignment horizontal="left" readingOrder="0" shrinkToFit="0" vertical="center" wrapText="0"/>
    </xf>
    <xf borderId="0" fillId="0" fontId="54" numFmtId="0" xfId="0" applyAlignment="1" applyFont="1">
      <alignment readingOrder="0"/>
    </xf>
    <xf borderId="0" fillId="0" fontId="54" numFmtId="3" xfId="0" applyFont="1" applyNumberFormat="1"/>
    <xf borderId="0" fillId="0" fontId="15" numFmtId="4" xfId="0" applyAlignment="1" applyFont="1" applyNumberFormat="1">
      <alignment readingOrder="0" vertical="bottom"/>
    </xf>
    <xf borderId="0" fillId="0" fontId="52" numFmtId="166" xfId="0" applyAlignment="1" applyFont="1" applyNumberFormat="1">
      <alignment horizontal="right"/>
    </xf>
    <xf borderId="0" fillId="0" fontId="34" numFmtId="176" xfId="0" applyAlignment="1" applyFont="1" applyNumberFormat="1">
      <alignment horizontal="right"/>
    </xf>
    <xf borderId="0" fillId="0" fontId="0" numFmtId="176" xfId="0" applyAlignment="1" applyFont="1" applyNumberFormat="1">
      <alignment horizontal="right"/>
    </xf>
    <xf borderId="0" fillId="0" fontId="33" numFmtId="9" xfId="0" applyFont="1" applyNumberFormat="1"/>
    <xf borderId="1" fillId="0" fontId="33" numFmtId="9" xfId="0" applyBorder="1" applyFont="1" applyNumberFormat="1"/>
    <xf borderId="0" fillId="0" fontId="31" numFmtId="3" xfId="0" applyAlignment="1" applyFont="1" applyNumberFormat="1">
      <alignment horizontal="right" shrinkToFit="0" wrapText="0"/>
    </xf>
    <xf borderId="0" fillId="0" fontId="33" numFmtId="0" xfId="0" applyFont="1"/>
    <xf borderId="0" fillId="5" fontId="15" numFmtId="0" xfId="0" applyAlignment="1" applyFont="1">
      <alignment horizontal="center" readingOrder="0"/>
    </xf>
    <xf borderId="0" fillId="5" fontId="14" numFmtId="0" xfId="0" applyAlignment="1" applyFont="1">
      <alignment horizontal="center" shrinkToFit="0" vertical="bottom" wrapText="1"/>
    </xf>
    <xf borderId="0" fillId="5" fontId="14" numFmtId="0" xfId="0" applyAlignment="1" applyFont="1">
      <alignment horizontal="center" vertical="bottom"/>
    </xf>
    <xf borderId="0" fillId="10" fontId="0" numFmtId="0" xfId="0" applyFont="1"/>
    <xf borderId="0" fillId="0" fontId="0" numFmtId="9" xfId="0" applyAlignment="1" applyFont="1" applyNumberFormat="1">
      <alignment horizontal="right"/>
    </xf>
    <xf borderId="0" fillId="0" fontId="0" numFmtId="169" xfId="0" applyFont="1" applyNumberFormat="1"/>
    <xf borderId="0" fillId="0" fontId="34" numFmtId="169" xfId="0" applyAlignment="1" applyFont="1" applyNumberFormat="1">
      <alignment horizontal="right"/>
    </xf>
    <xf borderId="0" fillId="0" fontId="5" numFmtId="169" xfId="0" applyAlignment="1" applyFont="1" applyNumberFormat="1">
      <alignment horizontal="right"/>
    </xf>
    <xf borderId="0" fillId="0" fontId="34" numFmtId="169" xfId="0" applyAlignment="1" applyFont="1" applyNumberFormat="1">
      <alignment horizontal="right" vertical="bottom"/>
    </xf>
    <xf borderId="0" fillId="0" fontId="16" numFmtId="0" xfId="0" applyAlignment="1" applyFont="1">
      <alignment horizontal="left" shrinkToFit="0" wrapText="0"/>
    </xf>
    <xf borderId="0" fillId="6" fontId="15" numFmtId="0" xfId="0" applyAlignment="1" applyFont="1">
      <alignment readingOrder="0"/>
    </xf>
    <xf borderId="0" fillId="0" fontId="15" numFmtId="0" xfId="0" applyAlignment="1" applyFont="1">
      <alignment readingOrder="0"/>
    </xf>
    <xf borderId="0" fillId="0" fontId="16" numFmtId="10" xfId="0" applyAlignment="1" applyFont="1" applyNumberFormat="1">
      <alignment readingOrder="0"/>
    </xf>
    <xf borderId="0" fillId="0" fontId="16" numFmtId="178" xfId="0" applyFont="1" applyNumberFormat="1"/>
    <xf borderId="0" fillId="6" fontId="15" numFmtId="0" xfId="0" applyAlignment="1" applyFont="1">
      <alignment horizontal="left" readingOrder="0" shrinkToFit="0" wrapText="0"/>
    </xf>
    <xf borderId="0" fillId="0" fontId="16" numFmtId="172" xfId="0" applyAlignment="1" applyFont="1" applyNumberFormat="1">
      <alignment readingOrder="0"/>
    </xf>
    <xf borderId="0" fillId="0" fontId="34" numFmtId="172" xfId="0" applyAlignment="1" applyFont="1" applyNumberFormat="1">
      <alignment readingOrder="0"/>
    </xf>
    <xf borderId="1" fillId="0" fontId="16" numFmtId="0" xfId="0" applyAlignment="1" applyBorder="1" applyFont="1">
      <alignment readingOrder="0"/>
    </xf>
    <xf borderId="1" fillId="0" fontId="34" numFmtId="3" xfId="0" applyBorder="1" applyFont="1" applyNumberFormat="1"/>
    <xf borderId="1" fillId="0" fontId="16" numFmtId="3" xfId="0" applyBorder="1" applyFont="1" applyNumberFormat="1"/>
    <xf borderId="0" fillId="0" fontId="52" numFmtId="3" xfId="0" applyFont="1" applyNumberFormat="1"/>
    <xf borderId="0" fillId="0" fontId="15" numFmtId="3" xfId="0" applyFont="1" applyNumberFormat="1"/>
    <xf borderId="0" fillId="0" fontId="5" numFmtId="169" xfId="0" applyAlignment="1" applyFont="1" applyNumberFormat="1">
      <alignment horizontal="right" vertical="bottom"/>
    </xf>
    <xf borderId="2" fillId="0" fontId="5" numFmtId="169" xfId="0" applyAlignment="1" applyBorder="1" applyFont="1" applyNumberFormat="1">
      <alignment horizontal="right" vertical="bottom"/>
    </xf>
    <xf borderId="1" fillId="0" fontId="16" numFmtId="169" xfId="0" applyBorder="1" applyFont="1" applyNumberFormat="1"/>
    <xf borderId="0" fillId="0" fontId="16" numFmtId="9" xfId="0" applyAlignment="1" applyFont="1" applyNumberFormat="1">
      <alignment readingOrder="0" vertical="bottom"/>
    </xf>
    <xf borderId="0" fillId="6" fontId="52" numFmtId="0" xfId="0" applyAlignment="1" applyFont="1">
      <alignment horizontal="left" readingOrder="0" shrinkToFit="0" wrapText="0"/>
    </xf>
    <xf borderId="0" fillId="0" fontId="51" numFmtId="1" xfId="0" applyFont="1" applyNumberFormat="1"/>
    <xf borderId="0" fillId="0" fontId="23" numFmtId="1" xfId="0" applyFont="1" applyNumberFormat="1"/>
    <xf borderId="0" fillId="0" fontId="16" numFmtId="1" xfId="0" applyAlignment="1" applyFont="1" applyNumberFormat="1">
      <alignment vertical="bottom"/>
    </xf>
    <xf borderId="0" fillId="0" fontId="49" numFmtId="168" xfId="0" applyAlignment="1" applyFont="1" applyNumberFormat="1">
      <alignment horizontal="right" vertical="bottom"/>
    </xf>
    <xf borderId="0" fillId="0" fontId="49" numFmtId="169" xfId="0" applyAlignment="1" applyFont="1" applyNumberFormat="1">
      <alignment horizontal="right" vertical="bottom"/>
    </xf>
    <xf borderId="0" fillId="0" fontId="52" numFmtId="166" xfId="0" applyAlignment="1" applyFont="1" applyNumberFormat="1">
      <alignment horizontal="right" vertical="bottom"/>
    </xf>
    <xf borderId="0" fillId="0" fontId="15" numFmtId="166" xfId="0" applyAlignment="1" applyFont="1" applyNumberFormat="1">
      <alignment horizontal="right"/>
    </xf>
    <xf borderId="0" fillId="5" fontId="14" numFmtId="0" xfId="0" applyAlignment="1" applyFont="1">
      <alignment horizontal="center" readingOrder="0" vertical="bottom"/>
    </xf>
    <xf borderId="0" fillId="5" fontId="14" numFmtId="0" xfId="0" applyAlignment="1" applyFont="1">
      <alignment horizontal="center" readingOrder="0" shrinkToFit="0" wrapText="0"/>
    </xf>
    <xf borderId="0" fillId="5" fontId="15" numFmtId="0" xfId="0" applyAlignment="1" applyFont="1">
      <alignment horizontal="center"/>
    </xf>
    <xf borderId="0" fillId="5" fontId="14" numFmtId="0" xfId="0" applyAlignment="1" applyFont="1">
      <alignment horizontal="center" shrinkToFit="0" wrapText="0"/>
    </xf>
    <xf borderId="0" fillId="6" fontId="34" numFmtId="3" xfId="0" applyAlignment="1" applyFont="1" applyNumberFormat="1">
      <alignment readingOrder="0" vertical="bottom"/>
    </xf>
    <xf borderId="0" fillId="0" fontId="55" numFmtId="0" xfId="0" applyFont="1"/>
    <xf borderId="0" fillId="0" fontId="34" numFmtId="9" xfId="0" applyAlignment="1" applyFont="1" applyNumberFormat="1">
      <alignment horizontal="right" readingOrder="0" shrinkToFit="0" vertical="center" wrapText="0"/>
    </xf>
    <xf borderId="0" fillId="0" fontId="34" numFmtId="9" xfId="0" applyFont="1" applyNumberFormat="1"/>
    <xf borderId="0" fillId="0" fontId="34" numFmtId="164" xfId="0" applyAlignment="1" applyFont="1" applyNumberFormat="1">
      <alignment readingOrder="0" shrinkToFit="0" wrapText="0"/>
    </xf>
    <xf borderId="0" fillId="0" fontId="0" numFmtId="164" xfId="0" applyAlignment="1" applyFont="1" applyNumberFormat="1">
      <alignment readingOrder="0" shrinkToFit="0" wrapText="0"/>
    </xf>
    <xf borderId="0" fillId="0" fontId="5" numFmtId="164" xfId="0" applyAlignment="1" applyFont="1" applyNumberFormat="1">
      <alignment readingOrder="0"/>
    </xf>
    <xf borderId="0" fillId="0" fontId="5" numFmtId="164" xfId="0" applyAlignment="1" applyFont="1" applyNumberFormat="1">
      <alignment readingOrder="0" shrinkToFit="0" wrapText="0"/>
    </xf>
    <xf borderId="0" fillId="0" fontId="34" numFmtId="4" xfId="0" applyAlignment="1" applyFont="1" applyNumberFormat="1">
      <alignment readingOrder="0" shrinkToFit="0" wrapText="0"/>
    </xf>
    <xf borderId="0" fillId="0" fontId="7" numFmtId="4" xfId="0" applyAlignment="1" applyFont="1" applyNumberFormat="1">
      <alignment readingOrder="0" shrinkToFit="0" wrapText="0"/>
    </xf>
    <xf borderId="0" fillId="0" fontId="0" numFmtId="172" xfId="0" applyAlignment="1" applyFont="1" applyNumberFormat="1">
      <alignment horizontal="left" readingOrder="0" shrinkToFit="0" vertical="center" wrapText="0"/>
    </xf>
    <xf borderId="0" fillId="0" fontId="34" numFmtId="172" xfId="0" applyAlignment="1" applyFont="1" applyNumberFormat="1">
      <alignment horizontal="right" shrinkToFit="0" vertical="center" wrapText="0"/>
    </xf>
    <xf borderId="0" fillId="0" fontId="0" numFmtId="172" xfId="0" applyAlignment="1" applyFont="1" applyNumberFormat="1">
      <alignment horizontal="right" shrinkToFit="0" vertical="center" wrapText="0"/>
    </xf>
    <xf borderId="0" fillId="0" fontId="34" numFmtId="4" xfId="0" applyAlignment="1" applyFont="1" applyNumberFormat="1">
      <alignment horizontal="right" shrinkToFit="0" vertical="center" wrapText="0"/>
    </xf>
    <xf borderId="0" fillId="0" fontId="34" numFmtId="4" xfId="0" applyFont="1" applyNumberFormat="1"/>
    <xf borderId="0" fillId="0" fontId="34" numFmtId="174" xfId="0" applyAlignment="1" applyFont="1" applyNumberFormat="1">
      <alignment horizontal="right" shrinkToFit="0" vertical="center" wrapText="0"/>
    </xf>
    <xf borderId="0" fillId="0" fontId="0" numFmtId="169" xfId="0" applyAlignment="1" applyFont="1" applyNumberFormat="1">
      <alignment horizontal="left" readingOrder="0" shrinkToFit="0" vertical="center" wrapText="0"/>
    </xf>
    <xf borderId="0" fillId="0" fontId="34" numFmtId="169" xfId="0" applyAlignment="1" applyFont="1" applyNumberFormat="1">
      <alignment horizontal="right" readingOrder="0" shrinkToFit="0" vertical="center" wrapText="0"/>
    </xf>
    <xf borderId="0" fillId="0" fontId="16" numFmtId="169" xfId="0" applyAlignment="1" applyFont="1" applyNumberFormat="1">
      <alignment horizontal="right" readingOrder="0" shrinkToFit="0" vertical="center" wrapText="0"/>
    </xf>
    <xf borderId="0" fillId="0" fontId="5" numFmtId="169" xfId="0" applyAlignment="1" applyFont="1" applyNumberFormat="1">
      <alignment horizontal="right" shrinkToFit="0" vertical="center" wrapText="0"/>
    </xf>
    <xf borderId="0" fillId="0" fontId="5" numFmtId="9" xfId="0" applyAlignment="1" applyFont="1" applyNumberFormat="1">
      <alignment horizontal="right" shrinkToFit="0" wrapText="0"/>
    </xf>
    <xf borderId="0" fillId="0" fontId="34" numFmtId="174" xfId="0" applyAlignment="1" applyFont="1" applyNumberFormat="1">
      <alignment horizontal="right" shrinkToFit="0" vertical="center" wrapText="0"/>
    </xf>
    <xf borderId="0" fillId="0" fontId="0" numFmtId="174" xfId="0" applyAlignment="1" applyFont="1" applyNumberFormat="1">
      <alignment horizontal="right" shrinkToFit="0" vertical="center" wrapText="0"/>
    </xf>
    <xf borderId="0" fillId="6" fontId="34" numFmtId="174" xfId="0" applyAlignment="1" applyFont="1" applyNumberFormat="1">
      <alignment horizontal="right" shrinkToFit="0" vertical="center" wrapText="0"/>
    </xf>
    <xf borderId="0" fillId="6" fontId="0" numFmtId="174" xfId="0" applyAlignment="1" applyFont="1" applyNumberFormat="1">
      <alignment horizontal="right" shrinkToFit="0" vertical="center" wrapText="0"/>
    </xf>
    <xf borderId="0" fillId="0" fontId="16" numFmtId="168" xfId="0" applyAlignment="1" applyFont="1" applyNumberFormat="1">
      <alignment horizontal="right"/>
    </xf>
    <xf borderId="0" fillId="0" fontId="34" numFmtId="3" xfId="0" applyAlignment="1" applyFont="1" applyNumberFormat="1">
      <alignment horizontal="right"/>
    </xf>
    <xf borderId="0" fillId="0" fontId="16" numFmtId="3" xfId="0" applyAlignment="1" applyFont="1" applyNumberFormat="1">
      <alignment horizontal="right"/>
    </xf>
    <xf borderId="0" fillId="0" fontId="7" numFmtId="0" xfId="0" applyFont="1"/>
    <xf borderId="0" fillId="0" fontId="5" numFmtId="9" xfId="0" applyAlignment="1" applyFont="1" applyNumberFormat="1">
      <alignment readingOrder="0"/>
    </xf>
    <xf borderId="0" fillId="0" fontId="5" numFmtId="168" xfId="0" applyAlignment="1" applyFont="1" applyNumberFormat="1">
      <alignment readingOrder="0"/>
    </xf>
    <xf borderId="0" fillId="0" fontId="16" numFmtId="169" xfId="0" applyFont="1" applyNumberFormat="1"/>
    <xf borderId="0" fillId="0" fontId="5" numFmtId="3" xfId="0" applyAlignment="1" applyFont="1" applyNumberFormat="1">
      <alignment readingOrder="0"/>
    </xf>
    <xf borderId="0" fillId="0" fontId="7" numFmtId="3" xfId="0" applyFont="1" applyNumberFormat="1"/>
    <xf borderId="0" fillId="0" fontId="34" numFmtId="169" xfId="0" applyFont="1" applyNumberFormat="1"/>
    <xf borderId="0" fillId="0" fontId="16" numFmtId="169" xfId="0" applyAlignment="1" applyFont="1" applyNumberFormat="1">
      <alignment readingOrder="0"/>
    </xf>
    <xf borderId="0" fillId="6" fontId="0" numFmtId="0" xfId="0" applyAlignment="1" applyFont="1">
      <alignment horizontal="left" readingOrder="0"/>
    </xf>
    <xf borderId="0" fillId="0" fontId="0" numFmtId="4" xfId="0" applyAlignment="1" applyFont="1" applyNumberFormat="1">
      <alignment horizontal="right" readingOrder="0" vertical="bottom"/>
    </xf>
    <xf borderId="0" fillId="0" fontId="5" numFmtId="4" xfId="0" applyAlignment="1" applyFont="1" applyNumberFormat="1">
      <alignment horizontal="right" readingOrder="0" vertical="bottom"/>
    </xf>
    <xf borderId="0" fillId="0" fontId="7" numFmtId="4" xfId="0" applyFont="1" applyNumberFormat="1"/>
    <xf borderId="0" fillId="0" fontId="16" numFmtId="0" xfId="0" applyAlignment="1" applyFont="1">
      <alignment horizontal="left" readingOrder="0" shrinkToFit="0" vertical="bottom" wrapText="0"/>
    </xf>
    <xf borderId="0" fillId="0" fontId="0" numFmtId="9" xfId="0" applyAlignment="1" applyFont="1" applyNumberFormat="1">
      <alignment horizontal="right" shrinkToFit="0" wrapText="0"/>
    </xf>
    <xf borderId="0" fillId="0" fontId="7" numFmtId="9" xfId="0" applyFont="1" applyNumberFormat="1"/>
    <xf borderId="4" fillId="0" fontId="0" numFmtId="9" xfId="0" applyAlignment="1" applyBorder="1" applyFont="1" applyNumberFormat="1">
      <alignment vertical="bottom"/>
    </xf>
    <xf borderId="0" fillId="0" fontId="7" numFmtId="9" xfId="0" applyAlignment="1" applyFont="1" applyNumberFormat="1">
      <alignment horizontal="right" vertical="bottom"/>
    </xf>
    <xf borderId="0" fillId="0" fontId="34" numFmtId="9" xfId="0" applyFont="1" applyNumberFormat="1"/>
    <xf borderId="0" fillId="0" fontId="0" numFmtId="9" xfId="0" applyAlignment="1" applyFont="1" applyNumberFormat="1">
      <alignment horizontal="right"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4" numFmtId="0" xfId="0" applyAlignment="1" applyFont="1">
      <alignment vertical="bottom"/>
    </xf>
    <xf borderId="0" fillId="0" fontId="0" numFmtId="0" xfId="0" applyAlignment="1" applyFont="1">
      <alignment vertical="top"/>
    </xf>
    <xf borderId="0" fillId="0" fontId="7" numFmtId="3" xfId="0" applyAlignment="1" applyFont="1" applyNumberFormat="1">
      <alignment horizontal="right" vertical="bottom"/>
    </xf>
    <xf borderId="0" fillId="0" fontId="5" numFmtId="3" xfId="0" applyAlignment="1" applyFont="1" applyNumberFormat="1">
      <alignment horizontal="right" vertical="top"/>
    </xf>
    <xf borderId="0" fillId="0" fontId="0" numFmtId="165" xfId="0" applyAlignment="1" applyFont="1" applyNumberFormat="1">
      <alignment vertical="bottom"/>
    </xf>
    <xf borderId="0" fillId="0" fontId="7" numFmtId="166" xfId="0" applyAlignment="1" applyFont="1" applyNumberFormat="1">
      <alignment horizontal="right" vertical="bottom"/>
    </xf>
    <xf borderId="0" fillId="0" fontId="5" numFmtId="166" xfId="0" applyAlignment="1" applyFont="1" applyNumberFormat="1">
      <alignment horizontal="right" vertical="bottom"/>
    </xf>
    <xf borderId="0" fillId="0" fontId="0" numFmtId="9" xfId="0" applyAlignment="1" applyFont="1" applyNumberFormat="1">
      <alignment vertical="top"/>
    </xf>
    <xf borderId="0" fillId="0" fontId="16" numFmtId="1" xfId="0" applyAlignment="1" applyFont="1" applyNumberFormat="1">
      <alignment horizontal="right" vertical="bottom"/>
    </xf>
    <xf borderId="0" fillId="0" fontId="16" numFmtId="166" xfId="0" applyAlignment="1" applyFont="1" applyNumberFormat="1">
      <alignment horizontal="right" vertical="bottom"/>
    </xf>
    <xf borderId="0" fillId="0" fontId="0" numFmtId="3" xfId="0" applyAlignment="1" applyFont="1" applyNumberFormat="1">
      <alignment readingOrder="0" vertical="bottom"/>
    </xf>
    <xf borderId="0" fillId="0" fontId="5" numFmtId="3" xfId="0" applyAlignment="1" applyFont="1" applyNumberFormat="1">
      <alignment readingOrder="0" shrinkToFit="0" wrapText="0"/>
    </xf>
    <xf borderId="0" fillId="0" fontId="15" numFmtId="0" xfId="0" applyAlignment="1" applyFont="1">
      <alignment vertical="bottom"/>
    </xf>
    <xf borderId="0" fillId="0" fontId="14" numFmtId="164" xfId="0" applyAlignment="1" applyFont="1" applyNumberFormat="1">
      <alignment horizontal="center" vertical="bottom"/>
    </xf>
    <xf borderId="0" fillId="0" fontId="34" numFmtId="164" xfId="0" applyFont="1" applyNumberFormat="1"/>
    <xf borderId="3" fillId="6" fontId="15" numFmtId="0" xfId="0" applyAlignment="1" applyBorder="1" applyFont="1">
      <alignment shrinkToFit="0" vertical="bottom" wrapText="0"/>
    </xf>
    <xf borderId="0" fillId="0" fontId="7" numFmtId="165" xfId="0" applyAlignment="1" applyFont="1" applyNumberFormat="1">
      <alignment horizontal="right" vertical="bottom"/>
    </xf>
    <xf borderId="0" fillId="0" fontId="0" numFmtId="165" xfId="0" applyAlignment="1" applyFont="1" applyNumberFormat="1">
      <alignment horizontal="right" vertical="bottom"/>
    </xf>
    <xf borderId="0" fillId="0" fontId="7" numFmtId="9" xfId="0" applyAlignment="1" applyFont="1" applyNumberFormat="1">
      <alignment horizontal="right" vertical="bottom"/>
    </xf>
    <xf borderId="0" fillId="0" fontId="16" numFmtId="2" xfId="0" applyAlignment="1" applyFont="1" applyNumberFormat="1">
      <alignment vertical="bottom"/>
    </xf>
    <xf borderId="0" fillId="0" fontId="7" numFmtId="1" xfId="0" applyAlignment="1" applyFont="1" applyNumberFormat="1">
      <alignment horizontal="right" vertical="bottom"/>
    </xf>
    <xf borderId="0" fillId="0" fontId="15" numFmtId="3" xfId="0" applyAlignment="1" applyFont="1" applyNumberFormat="1">
      <alignment vertical="bottom"/>
    </xf>
    <xf borderId="0" fillId="0" fontId="17" numFmtId="3" xfId="0" applyAlignment="1" applyFont="1" applyNumberFormat="1">
      <alignment horizontal="right" vertical="bottom"/>
    </xf>
    <xf borderId="0" fillId="0" fontId="16" numFmtId="169" xfId="0" applyAlignment="1" applyFont="1" applyNumberFormat="1">
      <alignment vertical="bottom"/>
    </xf>
    <xf borderId="0" fillId="6" fontId="16" numFmtId="169" xfId="0" applyAlignment="1" applyFont="1" applyNumberFormat="1">
      <alignment vertical="bottom"/>
    </xf>
    <xf borderId="0" fillId="0" fontId="0" numFmtId="1" xfId="0" applyAlignment="1" applyFont="1" applyNumberFormat="1">
      <alignment vertical="bottom"/>
    </xf>
    <xf borderId="0" fillId="0" fontId="15" numFmtId="1" xfId="0" applyAlignment="1" applyFont="1" applyNumberFormat="1">
      <alignment vertical="bottom"/>
    </xf>
    <xf borderId="0" fillId="0" fontId="23" numFmtId="174" xfId="0" applyFont="1" applyNumberFormat="1"/>
    <xf borderId="0" fillId="6" fontId="15" numFmtId="174" xfId="0" applyAlignment="1" applyFont="1" applyNumberFormat="1">
      <alignment readingOrder="0" vertical="bottom"/>
    </xf>
    <xf borderId="0" fillId="0" fontId="34" numFmtId="166" xfId="0" applyFont="1" applyNumberFormat="1"/>
    <xf borderId="0" fillId="0" fontId="23" numFmtId="166" xfId="0" applyFont="1" applyNumberFormat="1"/>
    <xf borderId="0" fillId="6" fontId="16" numFmtId="179" xfId="0" applyAlignment="1" applyFont="1" applyNumberFormat="1">
      <alignment vertical="bottom"/>
    </xf>
    <xf borderId="0" fillId="6" fontId="16" numFmtId="0" xfId="0" applyAlignment="1" applyFont="1">
      <alignment readingOrder="0"/>
    </xf>
    <xf borderId="0" fillId="0" fontId="0" numFmtId="9" xfId="0" applyAlignment="1" applyFont="1" applyNumberFormat="1">
      <alignment vertical="bottom"/>
    </xf>
    <xf borderId="0" fillId="0" fontId="7" numFmtId="10" xfId="0" applyAlignment="1" applyFont="1" applyNumberFormat="1">
      <alignment horizontal="right" vertical="bottom"/>
    </xf>
    <xf borderId="0" fillId="0" fontId="7" numFmtId="10" xfId="0" applyFont="1" applyNumberFormat="1"/>
    <xf borderId="0" fillId="0" fontId="34" numFmtId="175" xfId="0" applyFont="1" applyNumberFormat="1"/>
    <xf borderId="0" fillId="0" fontId="7" numFmtId="175" xfId="0" applyFont="1" applyNumberFormat="1"/>
    <xf borderId="0" fillId="0" fontId="7" numFmtId="175" xfId="0" applyAlignment="1" applyFont="1" applyNumberFormat="1">
      <alignment horizontal="right" vertical="bottom"/>
    </xf>
    <xf borderId="0" fillId="0" fontId="7" numFmtId="164" xfId="0" applyFont="1" applyNumberFormat="1"/>
    <xf borderId="0" fillId="0" fontId="7" numFmtId="164" xfId="0" applyAlignment="1" applyFont="1" applyNumberFormat="1">
      <alignment horizontal="right" vertical="bottom"/>
    </xf>
    <xf borderId="0" fillId="0" fontId="7" numFmtId="174" xfId="0" applyFont="1" applyNumberFormat="1"/>
    <xf borderId="0" fillId="0" fontId="7" numFmtId="174" xfId="0" applyAlignment="1" applyFont="1" applyNumberFormat="1">
      <alignment horizontal="right" vertical="bottom"/>
    </xf>
    <xf borderId="0" fillId="0" fontId="15" numFmtId="3" xfId="0" applyAlignment="1" applyFont="1" applyNumberFormat="1">
      <alignment readingOrder="0" vertical="bottom"/>
    </xf>
    <xf borderId="0" fillId="0" fontId="16" numFmtId="174" xfId="0" applyAlignment="1" applyFont="1" applyNumberFormat="1">
      <alignment readingOrder="0"/>
    </xf>
    <xf borderId="0" fillId="0" fontId="52" numFmtId="0" xfId="0" applyAlignment="1" applyFont="1">
      <alignment horizontal="right"/>
    </xf>
    <xf borderId="0" fillId="0" fontId="52" numFmtId="3" xfId="0" applyAlignment="1" applyFont="1" applyNumberFormat="1">
      <alignment horizontal="right"/>
    </xf>
    <xf borderId="0" fillId="0" fontId="34" numFmtId="0" xfId="0" applyAlignment="1" applyFont="1">
      <alignment horizontal="right"/>
    </xf>
    <xf borderId="0" fillId="0" fontId="34" numFmtId="174" xfId="0" applyAlignment="1" applyFont="1" applyNumberFormat="1">
      <alignment horizontal="right" vertical="bottom"/>
    </xf>
    <xf borderId="0" fillId="6" fontId="34" numFmtId="174" xfId="0" applyAlignment="1" applyFont="1" applyNumberFormat="1">
      <alignment horizontal="right" vertical="bottom"/>
    </xf>
    <xf borderId="0" fillId="0" fontId="5" numFmtId="169" xfId="0" applyFont="1" applyNumberFormat="1"/>
    <xf borderId="0" fillId="0" fontId="53" numFmtId="4" xfId="0" applyAlignment="1" applyFont="1" applyNumberFormat="1">
      <alignment readingOrder="0"/>
    </xf>
    <xf borderId="0" fillId="0" fontId="41" numFmtId="4" xfId="0" applyAlignment="1" applyFont="1" applyNumberFormat="1">
      <alignment readingOrder="0"/>
    </xf>
    <xf borderId="0" fillId="0" fontId="34" numFmtId="174" xfId="0" applyAlignment="1" applyFont="1" applyNumberFormat="1">
      <alignment vertical="bottom"/>
    </xf>
    <xf borderId="2" fillId="0" fontId="34" numFmtId="3" xfId="0" applyAlignment="1" applyBorder="1" applyFont="1" applyNumberFormat="1">
      <alignment horizontal="right" vertical="bottom"/>
    </xf>
    <xf borderId="2" fillId="0" fontId="0" numFmtId="3" xfId="0" applyAlignment="1" applyBorder="1" applyFont="1" applyNumberFormat="1">
      <alignment horizontal="right" vertical="bottom"/>
    </xf>
    <xf borderId="0" fillId="6" fontId="52" numFmtId="174" xfId="0" applyAlignment="1" applyFont="1" applyNumberFormat="1">
      <alignment readingOrder="0" vertical="bottom"/>
    </xf>
    <xf borderId="0" fillId="0" fontId="34" numFmtId="165" xfId="0" applyFont="1" applyNumberFormat="1"/>
    <xf borderId="1" fillId="0" fontId="34" numFmtId="165" xfId="0" applyBorder="1" applyFont="1" applyNumberFormat="1"/>
    <xf borderId="1" fillId="0" fontId="16" numFmtId="165" xfId="0" applyBorder="1" applyFont="1" applyNumberFormat="1"/>
    <xf borderId="0" fillId="5" fontId="15" numFmtId="0" xfId="0" applyAlignment="1" applyFont="1">
      <alignment horizontal="left" readingOrder="0" shrinkToFit="0" vertical="bottom" wrapText="1"/>
    </xf>
    <xf borderId="0" fillId="0" fontId="16" numFmtId="165" xfId="0" applyAlignment="1" applyFont="1" applyNumberFormat="1">
      <alignment readingOrder="0"/>
    </xf>
    <xf borderId="0" fillId="0" fontId="34" numFmtId="168" xfId="0" applyAlignment="1" applyFont="1" applyNumberFormat="1">
      <alignment readingOrder="0"/>
    </xf>
    <xf borderId="0" fillId="0" fontId="5" numFmtId="169" xfId="0" applyAlignment="1" applyFont="1" applyNumberFormat="1">
      <alignment horizontal="right" readingOrder="0" vertical="bottom"/>
    </xf>
    <xf borderId="0" fillId="0" fontId="34" numFmtId="0" xfId="0" applyAlignment="1" applyFont="1">
      <alignment readingOrder="0"/>
    </xf>
    <xf borderId="0" fillId="0" fontId="5" numFmtId="0" xfId="0" applyAlignment="1" applyFont="1">
      <alignment readingOrder="0"/>
    </xf>
    <xf borderId="0" fillId="0" fontId="16" numFmtId="169" xfId="0" applyFont="1" applyNumberFormat="1"/>
    <xf borderId="0" fillId="0" fontId="16" numFmtId="164" xfId="0" applyFont="1" applyNumberFormat="1"/>
    <xf borderId="0" fillId="0" fontId="16" numFmtId="0" xfId="0" applyFont="1"/>
    <xf borderId="0" fillId="0" fontId="16" numFmtId="4" xfId="0" applyAlignment="1" applyFont="1" applyNumberFormat="1">
      <alignment readingOrder="0"/>
    </xf>
    <xf borderId="0" fillId="0" fontId="16" numFmtId="4" xfId="0" applyFont="1" applyNumberFormat="1"/>
    <xf borderId="0" fillId="0" fontId="5" numFmtId="4" xfId="0" applyFont="1" applyNumberFormat="1"/>
    <xf borderId="0" fillId="0" fontId="34" numFmtId="9" xfId="0" applyAlignment="1" applyFont="1" applyNumberFormat="1">
      <alignment horizontal="right" readingOrder="0"/>
    </xf>
    <xf borderId="0" fillId="0" fontId="16" numFmtId="0" xfId="0" applyAlignment="1" applyFont="1">
      <alignment readingOrder="0"/>
    </xf>
    <xf borderId="0" fillId="0" fontId="34" numFmtId="2" xfId="0" applyAlignment="1" applyFont="1" applyNumberFormat="1">
      <alignment readingOrder="0"/>
    </xf>
    <xf borderId="0" fillId="0" fontId="16" numFmtId="2" xfId="0" applyAlignment="1" applyFont="1" applyNumberFormat="1">
      <alignment readingOrder="0"/>
    </xf>
    <xf borderId="0" fillId="0" fontId="34" numFmtId="9" xfId="0" applyAlignment="1" applyFont="1" applyNumberFormat="1">
      <alignment readingOrder="0"/>
    </xf>
    <xf borderId="0" fillId="0" fontId="34" numFmtId="164" xfId="0" applyAlignment="1" applyFont="1" applyNumberFormat="1">
      <alignment readingOrder="0"/>
    </xf>
    <xf borderId="0" fillId="0" fontId="16" numFmtId="164" xfId="0" applyAlignment="1" applyFont="1" applyNumberFormat="1">
      <alignment readingOrder="0"/>
    </xf>
    <xf borderId="0" fillId="0" fontId="16" numFmtId="166" xfId="0" applyFont="1" applyNumberFormat="1"/>
    <xf borderId="0" fillId="0" fontId="16" numFmtId="3" xfId="0" applyAlignment="1" applyFont="1" applyNumberFormat="1">
      <alignment readingOrder="0"/>
    </xf>
    <xf borderId="1" fillId="0" fontId="34" numFmtId="3" xfId="0" applyAlignment="1" applyBorder="1" applyFont="1" applyNumberFormat="1">
      <alignment readingOrder="0"/>
    </xf>
    <xf borderId="1" fillId="0" fontId="16" numFmtId="3" xfId="0" applyAlignment="1" applyBorder="1" applyFont="1" applyNumberFormat="1">
      <alignment readingOrder="0"/>
    </xf>
    <xf borderId="0" fillId="0" fontId="52" numFmtId="3" xfId="0" applyAlignment="1" applyFont="1" applyNumberFormat="1">
      <alignment readingOrder="0"/>
    </xf>
    <xf borderId="0" fillId="0" fontId="15" numFmtId="3" xfId="0" applyAlignment="1" applyFont="1" applyNumberFormat="1">
      <alignment readingOrder="0"/>
    </xf>
    <xf borderId="0" fillId="0" fontId="33" numFmtId="4" xfId="0" applyAlignment="1" applyFont="1" applyNumberFormat="1">
      <alignment vertical="bottom"/>
    </xf>
    <xf borderId="0" fillId="0" fontId="32" numFmtId="169" xfId="0" applyFont="1" applyNumberFormat="1"/>
    <xf borderId="0" fillId="0" fontId="19" numFmtId="169" xfId="0" applyAlignment="1" applyFont="1" applyNumberFormat="1">
      <alignment readingOrder="0" vertical="bottom"/>
    </xf>
    <xf borderId="0" fillId="0" fontId="33" numFmtId="169" xfId="0" applyFont="1" applyNumberFormat="1"/>
    <xf borderId="0" fillId="0" fontId="32" numFmtId="169" xfId="0" applyFont="1" applyNumberFormat="1"/>
    <xf borderId="1" fillId="0" fontId="33" numFmtId="169" xfId="0" applyBorder="1" applyFont="1" applyNumberFormat="1"/>
    <xf borderId="1" fillId="0" fontId="26" numFmtId="169" xfId="0" applyBorder="1" applyFont="1" applyNumberFormat="1"/>
    <xf borderId="0" fillId="0" fontId="53" numFmtId="166" xfId="0" applyAlignment="1" applyFont="1" applyNumberFormat="1">
      <alignment readingOrder="0"/>
    </xf>
    <xf borderId="0" fillId="0" fontId="41" numFmtId="166" xfId="0" applyAlignment="1" applyFont="1" applyNumberFormat="1">
      <alignment readingOrder="0"/>
    </xf>
    <xf borderId="0" fillId="0" fontId="33" numFmtId="164" xfId="0" applyAlignment="1" applyFont="1" applyNumberFormat="1">
      <alignment vertical="bottom"/>
    </xf>
    <xf borderId="0" fillId="0" fontId="33" numFmtId="168" xfId="0" applyFont="1" applyNumberFormat="1"/>
    <xf borderId="0" fillId="0" fontId="26" numFmtId="168" xfId="0" applyFont="1" applyNumberFormat="1"/>
    <xf borderId="1" fillId="0" fontId="19" numFmtId="4" xfId="0" applyAlignment="1" applyBorder="1" applyFont="1" applyNumberFormat="1">
      <alignment readingOrder="0" vertical="bottom"/>
    </xf>
    <xf borderId="1" fillId="0" fontId="33" numFmtId="168" xfId="0" applyBorder="1" applyFont="1" applyNumberFormat="1"/>
    <xf borderId="1" fillId="0" fontId="26" numFmtId="168" xfId="0" applyBorder="1" applyFont="1" applyNumberFormat="1"/>
    <xf borderId="0" fillId="0" fontId="33" numFmtId="9" xfId="0" applyAlignment="1" applyFont="1" applyNumberFormat="1">
      <alignment readingOrder="0"/>
    </xf>
    <xf borderId="0" fillId="0" fontId="32" numFmtId="9" xfId="0" applyAlignment="1" applyFont="1" applyNumberFormat="1">
      <alignment readingOrder="0"/>
    </xf>
    <xf borderId="0" fillId="0" fontId="33" numFmtId="3" xfId="0" applyAlignment="1" applyFont="1" applyNumberFormat="1">
      <alignment readingOrder="0"/>
    </xf>
    <xf borderId="0" fillId="0" fontId="26" numFmtId="3" xfId="0" applyAlignment="1" applyFont="1" applyNumberFormat="1">
      <alignment readingOrder="0"/>
    </xf>
    <xf borderId="0" fillId="0" fontId="32" numFmtId="3" xfId="0" applyAlignment="1" applyFont="1" applyNumberFormat="1">
      <alignment readingOrder="0"/>
    </xf>
    <xf borderId="0" fillId="0" fontId="26" numFmtId="4" xfId="0" applyAlignment="1" applyFont="1" applyNumberFormat="1">
      <alignment readingOrder="0" vertical="bottom"/>
    </xf>
    <xf borderId="0" fillId="0" fontId="26" numFmtId="164" xfId="0" applyAlignment="1" applyFont="1" applyNumberFormat="1">
      <alignment vertical="bottom"/>
    </xf>
    <xf borderId="0" fillId="0" fontId="56" numFmtId="4" xfId="0" applyAlignment="1" applyFont="1" applyNumberFormat="1">
      <alignment readingOrder="0" vertical="bottom"/>
    </xf>
    <xf borderId="0" fillId="0" fontId="26" numFmtId="3" xfId="0" applyAlignment="1" applyFont="1" applyNumberFormat="1">
      <alignment vertical="bottom"/>
    </xf>
    <xf borderId="1" fillId="0" fontId="33" numFmtId="3" xfId="0" applyAlignment="1" applyBorder="1" applyFont="1" applyNumberFormat="1">
      <alignment vertical="bottom"/>
    </xf>
    <xf borderId="1" fillId="0" fontId="26" numFmtId="3" xfId="0" applyAlignment="1" applyBorder="1" applyFont="1" applyNumberFormat="1">
      <alignment vertical="bottom"/>
    </xf>
    <xf borderId="0" fillId="6" fontId="52" numFmtId="0" xfId="0" applyAlignment="1" applyFont="1">
      <alignment readingOrder="0"/>
    </xf>
    <xf borderId="0" fillId="0" fontId="40" numFmtId="168" xfId="0" applyFont="1" applyNumberFormat="1"/>
    <xf borderId="0" fillId="6" fontId="57" numFmtId="0" xfId="0" applyAlignment="1" applyFont="1">
      <alignment readingOrder="0" vertical="bottom"/>
    </xf>
    <xf borderId="0" fillId="6" fontId="58" numFmtId="176" xfId="0" applyAlignment="1" applyFont="1" applyNumberFormat="1">
      <alignment horizontal="left" shrinkToFit="0" wrapText="0"/>
    </xf>
    <xf borderId="0" fillId="6" fontId="58" numFmtId="176" xfId="0" applyAlignment="1" applyFont="1" applyNumberFormat="1">
      <alignment readingOrder="0"/>
    </xf>
    <xf borderId="0" fillId="6" fontId="58" numFmtId="176" xfId="0" applyFont="1" applyNumberFormat="1"/>
    <xf borderId="0" fillId="0" fontId="59" numFmtId="0" xfId="0" applyAlignment="1" applyFont="1">
      <alignment readingOrder="0" vertical="bottom"/>
    </xf>
    <xf borderId="0" fillId="0" fontId="60" numFmtId="176" xfId="0" applyAlignment="1" applyFont="1" applyNumberFormat="1">
      <alignment horizontal="left" shrinkToFit="0" wrapText="0"/>
    </xf>
    <xf borderId="0" fillId="0" fontId="60" numFmtId="176" xfId="0" applyAlignment="1" applyFont="1" applyNumberFormat="1">
      <alignment readingOrder="0"/>
    </xf>
    <xf borderId="0" fillId="0" fontId="60" numFmtId="176" xfId="0" applyFont="1" applyNumberFormat="1"/>
    <xf borderId="0" fillId="11" fontId="60" numFmtId="0" xfId="0" applyAlignment="1" applyFill="1" applyFont="1">
      <alignment readingOrder="0" vertical="bottom"/>
    </xf>
    <xf borderId="0" fillId="11" fontId="59" numFmtId="176" xfId="0" applyAlignment="1" applyFont="1" applyNumberFormat="1">
      <alignment readingOrder="0" shrinkToFit="0" vertical="bottom" wrapText="0"/>
    </xf>
    <xf borderId="0" fillId="12" fontId="60" numFmtId="9" xfId="0" applyAlignment="1" applyFill="1" applyFont="1" applyNumberFormat="1">
      <alignment horizontal="right" readingOrder="0" vertical="bottom"/>
    </xf>
    <xf borderId="0" fillId="11" fontId="60" numFmtId="9" xfId="0" applyFont="1" applyNumberFormat="1"/>
    <xf borderId="0" fillId="11" fontId="60" numFmtId="0" xfId="0" applyAlignment="1" applyFont="1">
      <alignment vertical="bottom"/>
    </xf>
    <xf borderId="0" fillId="12" fontId="60" numFmtId="168" xfId="0" applyAlignment="1" applyFont="1" applyNumberFormat="1">
      <alignment horizontal="right" readingOrder="0" vertical="bottom"/>
    </xf>
    <xf borderId="0" fillId="11" fontId="60" numFmtId="3" xfId="0" applyFont="1" applyNumberFormat="1"/>
    <xf borderId="0" fillId="11" fontId="60" numFmtId="0" xfId="0" applyAlignment="1" applyFont="1">
      <alignment horizontal="right" readingOrder="0" vertical="bottom"/>
    </xf>
    <xf borderId="0" fillId="11" fontId="60" numFmtId="2" xfId="0" applyFont="1" applyNumberFormat="1"/>
    <xf borderId="0" fillId="12" fontId="60" numFmtId="168" xfId="0" applyAlignment="1" applyFont="1" applyNumberFormat="1">
      <alignment horizontal="right" vertical="bottom"/>
    </xf>
    <xf borderId="0" fillId="0" fontId="61" numFmtId="0" xfId="0" applyAlignment="1" applyFont="1">
      <alignment readingOrder="0" vertical="bottom"/>
    </xf>
    <xf borderId="0" fillId="12" fontId="60" numFmtId="168" xfId="0" applyAlignment="1" applyFont="1" applyNumberFormat="1">
      <alignment readingOrder="0"/>
    </xf>
    <xf borderId="0" fillId="11" fontId="60" numFmtId="168" xfId="0" applyFont="1" applyNumberFormat="1"/>
    <xf borderId="0" fillId="11" fontId="59" numFmtId="0" xfId="0" applyAlignment="1" applyFont="1">
      <alignment horizontal="left" readingOrder="0" vertical="bottom"/>
    </xf>
    <xf borderId="0" fillId="11" fontId="60" numFmtId="1" xfId="0" applyFont="1" applyNumberFormat="1"/>
    <xf borderId="0" fillId="0" fontId="62" numFmtId="0" xfId="0" applyAlignment="1" applyFont="1">
      <alignment readingOrder="0"/>
    </xf>
    <xf borderId="0" fillId="0" fontId="60" numFmtId="0" xfId="0" applyAlignment="1" applyFont="1">
      <alignment shrinkToFit="0" wrapText="0"/>
    </xf>
    <xf borderId="0" fillId="0" fontId="60" numFmtId="0" xfId="0" applyFont="1"/>
    <xf borderId="0" fillId="13" fontId="23" numFmtId="0" xfId="0" applyAlignment="1" applyFill="1" applyFont="1">
      <alignment readingOrder="0"/>
    </xf>
    <xf borderId="0" fillId="13" fontId="60" numFmtId="0" xfId="0" applyAlignment="1" applyFont="1">
      <alignment shrinkToFit="0" wrapText="0"/>
    </xf>
    <xf borderId="0" fillId="13" fontId="59" numFmtId="0" xfId="0" applyAlignment="1" applyFont="1">
      <alignment readingOrder="0"/>
    </xf>
    <xf borderId="0" fillId="13" fontId="60" numFmtId="1" xfId="0" applyAlignment="1" applyFont="1" applyNumberFormat="1">
      <alignment horizontal="right"/>
    </xf>
    <xf borderId="0" fillId="13" fontId="60" numFmtId="2" xfId="0" applyAlignment="1" applyFont="1" applyNumberFormat="1">
      <alignment horizontal="right"/>
    </xf>
    <xf borderId="0" fillId="11" fontId="16" numFmtId="0" xfId="0" applyAlignment="1" applyFont="1">
      <alignment readingOrder="0" vertical="bottom"/>
    </xf>
    <xf borderId="0" fillId="11" fontId="60" numFmtId="176" xfId="0" applyAlignment="1" applyFont="1" applyNumberFormat="1">
      <alignment horizontal="left" shrinkToFit="0" wrapText="0"/>
    </xf>
    <xf borderId="0" fillId="11" fontId="0" numFmtId="1" xfId="0" applyAlignment="1" applyFont="1" applyNumberFormat="1">
      <alignment readingOrder="0" vertical="bottom"/>
    </xf>
    <xf borderId="0" fillId="0" fontId="59" numFmtId="176" xfId="0" applyAlignment="1" applyFont="1" applyNumberFormat="1">
      <alignment readingOrder="0"/>
    </xf>
    <xf borderId="0" fillId="11" fontId="59" numFmtId="176" xfId="0" applyAlignment="1" applyFont="1" applyNumberFormat="1">
      <alignment readingOrder="0"/>
    </xf>
    <xf borderId="0" fillId="11" fontId="60" numFmtId="168" xfId="0" applyAlignment="1" applyFont="1" applyNumberFormat="1">
      <alignment readingOrder="0"/>
    </xf>
    <xf borderId="0" fillId="0" fontId="60" numFmtId="168" xfId="0" applyFont="1" applyNumberFormat="1"/>
    <xf borderId="0" fillId="12" fontId="59" numFmtId="176" xfId="0" applyAlignment="1" applyFont="1" applyNumberFormat="1">
      <alignment readingOrder="0"/>
    </xf>
    <xf borderId="0" fillId="11" fontId="59" numFmtId="176" xfId="0" applyAlignment="1" applyFont="1" applyNumberFormat="1">
      <alignment shrinkToFit="0" vertical="bottom" wrapText="0"/>
    </xf>
    <xf borderId="0" fillId="12" fontId="59" numFmtId="168" xfId="0" applyAlignment="1" applyFont="1" applyNumberFormat="1">
      <alignment horizontal="left" readingOrder="0" vertical="bottom"/>
    </xf>
    <xf borderId="0" fillId="8" fontId="16" numFmtId="3" xfId="0" applyAlignment="1" applyFont="1" applyNumberFormat="1">
      <alignment vertical="bottom"/>
    </xf>
    <xf borderId="0" fillId="8" fontId="4" numFmtId="0" xfId="0" applyAlignment="1" applyFont="1">
      <alignment shrinkToFit="0" vertical="bottom" wrapText="1"/>
    </xf>
    <xf borderId="0" fillId="8" fontId="16" numFmtId="3" xfId="0" applyAlignment="1" applyFont="1" applyNumberFormat="1">
      <alignment readingOrder="0" vertical="bottom"/>
    </xf>
    <xf borderId="0" fillId="8" fontId="16" numFmtId="176" xfId="0" applyAlignment="1" applyFont="1" applyNumberFormat="1">
      <alignment readingOrder="0" vertical="bottom"/>
    </xf>
    <xf borderId="0" fillId="0" fontId="63" numFmtId="0" xfId="0" applyAlignment="1" applyFont="1">
      <alignment horizontal="center" readingOrder="0" vertical="center"/>
    </xf>
    <xf borderId="0" fillId="0" fontId="28" numFmtId="0" xfId="0" applyAlignment="1" applyFont="1">
      <alignment readingOrder="0" shrinkToFit="0" wrapText="0"/>
    </xf>
    <xf borderId="5" fillId="5" fontId="15" numFmtId="0" xfId="0" applyAlignment="1" applyBorder="1" applyFont="1">
      <alignment shrinkToFit="0" vertical="bottom" wrapText="1"/>
    </xf>
    <xf borderId="6" fillId="5" fontId="15" numFmtId="0" xfId="0" applyAlignment="1" applyBorder="1" applyFont="1">
      <alignment shrinkToFit="0" vertical="bottom" wrapText="1"/>
    </xf>
    <xf borderId="4" fillId="0" fontId="16" numFmtId="0" xfId="0" applyAlignment="1" applyBorder="1" applyFont="1">
      <alignment horizontal="right" vertical="bottom"/>
    </xf>
    <xf borderId="7" fillId="0" fontId="16" numFmtId="9" xfId="0" applyAlignment="1" applyBorder="1" applyFont="1" applyNumberFormat="1">
      <alignment horizontal="right" vertical="bottom"/>
    </xf>
    <xf borderId="5" fillId="0" fontId="16" numFmtId="0" xfId="0" applyAlignment="1" applyBorder="1" applyFont="1">
      <alignment horizontal="right" vertical="bottom"/>
    </xf>
    <xf borderId="6" fillId="0" fontId="16" numFmtId="9" xfId="0" applyAlignment="1" applyBorder="1" applyFont="1" applyNumberFormat="1">
      <alignment horizontal="right" vertical="bottom"/>
    </xf>
    <xf borderId="0" fillId="14" fontId="19" numFmtId="0" xfId="0" applyAlignment="1" applyFill="1" applyFont="1">
      <alignment readingOrder="0" shrinkToFit="0" wrapText="0"/>
    </xf>
    <xf borderId="0" fillId="0" fontId="63" numFmtId="0" xfId="0" applyAlignment="1" applyFont="1">
      <alignment horizontal="right" readingOrder="0" vertical="center"/>
    </xf>
    <xf borderId="0" fillId="15" fontId="19" numFmtId="0" xfId="0" applyAlignment="1" applyFill="1" applyFont="1">
      <alignment readingOrder="0" shrinkToFit="0" wrapText="0"/>
    </xf>
    <xf borderId="0" fillId="16" fontId="19" numFmtId="0" xfId="0" applyAlignment="1" applyFill="1" applyFont="1">
      <alignment readingOrder="0" shrinkToFit="0" wrapText="0"/>
    </xf>
    <xf borderId="0" fillId="17" fontId="19" numFmtId="0" xfId="0" applyAlignment="1" applyFill="1" applyFont="1">
      <alignment readingOrder="0" shrinkToFit="0" wrapText="0"/>
    </xf>
    <xf borderId="0" fillId="0" fontId="19" numFmtId="0" xfId="0" applyAlignment="1" applyFont="1">
      <alignment readingOrder="0" shrinkToFit="0" wrapText="0"/>
    </xf>
    <xf borderId="0" fillId="2" fontId="15" numFmtId="0" xfId="0" applyAlignment="1" applyFont="1">
      <alignment shrinkToFit="0" vertical="bottom" wrapText="1"/>
    </xf>
    <xf borderId="0" fillId="0" fontId="19" numFmtId="9" xfId="0" applyAlignment="1" applyFont="1" applyNumberFormat="1">
      <alignment readingOrder="0"/>
    </xf>
    <xf borderId="0" fillId="0" fontId="19" numFmtId="0" xfId="0" applyAlignment="1" applyFont="1">
      <alignment readingOrder="0" shrinkToFit="0" wrapText="1"/>
    </xf>
    <xf borderId="0" fillId="10" fontId="64" numFmtId="0" xfId="0" applyAlignment="1" applyFont="1">
      <alignment readingOrder="0" vertical="bottom"/>
    </xf>
    <xf borderId="0" fillId="14" fontId="16" numFmtId="9" xfId="0" applyAlignment="1" applyFont="1" applyNumberFormat="1">
      <alignment horizontal="right" vertical="bottom"/>
    </xf>
    <xf borderId="0" fillId="18" fontId="16" numFmtId="0" xfId="0" applyAlignment="1" applyFill="1" applyFont="1">
      <alignment horizontal="right" vertical="bottom"/>
    </xf>
    <xf borderId="0" fillId="16" fontId="16" numFmtId="0" xfId="0" applyAlignment="1" applyFont="1">
      <alignment horizontal="right" vertical="bottom"/>
    </xf>
    <xf borderId="0" fillId="0" fontId="16" numFmtId="0" xfId="0" applyAlignment="1" applyFont="1">
      <alignment readingOrder="0" shrinkToFit="0" vertical="bottom" wrapText="0"/>
    </xf>
    <xf borderId="0" fillId="16" fontId="16" numFmtId="9" xfId="0" applyAlignment="1" applyFont="1" applyNumberFormat="1">
      <alignment horizontal="right" vertical="bottom"/>
    </xf>
    <xf borderId="0" fillId="15" fontId="16" numFmtId="0" xfId="0" applyAlignment="1" applyFont="1">
      <alignment horizontal="right" vertical="bottom"/>
    </xf>
    <xf borderId="0" fillId="0" fontId="16" numFmtId="0" xfId="0" applyAlignment="1" applyFont="1">
      <alignment shrinkToFit="0" vertical="bottom" wrapText="0"/>
    </xf>
    <xf borderId="3" fillId="12" fontId="16" numFmtId="0" xfId="0" applyAlignment="1" applyBorder="1" applyFont="1">
      <alignment shrinkToFit="0" vertical="bottom" wrapText="0"/>
    </xf>
    <xf borderId="0" fillId="12" fontId="16" numFmtId="0" xfId="0" applyAlignment="1" applyFont="1">
      <alignment vertical="bottom"/>
    </xf>
    <xf borderId="0" fillId="12" fontId="16" numFmtId="10" xfId="0" applyAlignment="1" applyFont="1" applyNumberFormat="1">
      <alignment horizontal="right" vertical="bottom"/>
    </xf>
    <xf borderId="0" fillId="16" fontId="16" numFmtId="0" xfId="0" applyAlignment="1" applyFont="1">
      <alignment horizontal="right" vertical="bottom"/>
    </xf>
    <xf borderId="0" fillId="15" fontId="16" numFmtId="0" xfId="0" applyAlignment="1" applyFont="1">
      <alignment horizontal="right" vertical="bottom"/>
    </xf>
    <xf borderId="0" fillId="18" fontId="16" numFmtId="0" xfId="0" applyAlignment="1" applyFont="1">
      <alignment horizontal="right" vertical="bottom"/>
    </xf>
    <xf borderId="0" fillId="14" fontId="16" numFmtId="9" xfId="0" applyAlignment="1" applyFont="1" applyNumberFormat="1">
      <alignment horizontal="right" readingOrder="0" vertical="bottom"/>
    </xf>
    <xf borderId="0" fillId="18" fontId="16" numFmtId="0" xfId="0" applyAlignment="1" applyFont="1">
      <alignment horizontal="right" readingOrder="0" vertical="bottom"/>
    </xf>
    <xf borderId="0" fillId="17" fontId="16" numFmtId="0" xfId="0" applyAlignment="1" applyFont="1">
      <alignment horizontal="right" vertical="bottom"/>
    </xf>
    <xf borderId="0" fillId="17" fontId="16" numFmtId="0" xfId="0" applyAlignment="1" applyFont="1">
      <alignment horizontal="right" vertical="bottom"/>
    </xf>
    <xf borderId="0" fillId="2" fontId="16" numFmtId="0" xfId="0" applyAlignment="1" applyFont="1">
      <alignment readingOrder="0" vertical="bottom"/>
    </xf>
    <xf borderId="0" fillId="15" fontId="16" numFmtId="9" xfId="0" applyAlignment="1" applyFont="1" applyNumberFormat="1">
      <alignment horizontal="right" vertical="bottom"/>
    </xf>
    <xf borderId="0" fillId="15" fontId="64" numFmtId="0" xfId="0" applyAlignment="1" applyFont="1">
      <alignment horizontal="right" vertical="bottom"/>
    </xf>
    <xf borderId="0" fillId="0" fontId="16" numFmtId="0" xfId="0" applyAlignment="1" applyFont="1">
      <alignment shrinkToFit="0" vertical="bottom" wrapText="0"/>
    </xf>
    <xf borderId="3" fillId="0" fontId="16" numFmtId="0" xfId="0" applyAlignment="1" applyBorder="1" applyFont="1">
      <alignment shrinkToFit="0" vertical="bottom" wrapText="0"/>
    </xf>
    <xf borderId="0" fillId="0" fontId="19" numFmtId="0" xfId="0" applyAlignment="1" applyFont="1">
      <alignment shrinkToFit="0" wrapText="0"/>
    </xf>
    <xf borderId="0" fillId="0" fontId="2" numFmtId="0" xfId="0" applyAlignment="1" applyFont="1">
      <alignment shrinkToFit="0" vertical="bottom" wrapText="0"/>
    </xf>
    <xf borderId="0" fillId="0" fontId="14" numFmtId="0" xfId="0" applyAlignment="1" applyFont="1">
      <alignment shrinkToFit="0" vertical="bottom" wrapText="0"/>
    </xf>
    <xf borderId="0" fillId="0" fontId="14" numFmtId="0" xfId="0" applyAlignment="1" applyFont="1">
      <alignment shrinkToFit="0" vertical="bottom" wrapText="0"/>
    </xf>
    <xf borderId="0" fillId="0" fontId="65" numFmtId="0" xfId="0" applyAlignment="1" applyFont="1">
      <alignment shrinkToFit="0" vertical="top" wrapText="1"/>
    </xf>
    <xf borderId="0" fillId="0" fontId="0" numFmtId="0" xfId="0" applyAlignment="1" applyFont="1">
      <alignment shrinkToFit="0" vertical="bottom" wrapText="0"/>
    </xf>
    <xf borderId="0" fillId="0" fontId="0" numFmtId="0" xfId="0" applyAlignment="1" applyFont="1">
      <alignment shrinkToFit="0" vertical="top" wrapText="0"/>
    </xf>
    <xf borderId="0" fillId="0" fontId="66" numFmtId="0" xfId="0" applyAlignment="1" applyFont="1">
      <alignment shrinkToFit="0" vertical="bottom" wrapText="0"/>
    </xf>
    <xf borderId="0" fillId="0" fontId="67" numFmtId="0" xfId="0" applyAlignment="1" applyFont="1">
      <alignment readingOrder="0" shrinkToFit="0" vertical="bottom" wrapText="0"/>
    </xf>
    <xf borderId="0" fillId="0" fontId="0" numFmtId="0" xfId="0" applyAlignment="1" applyFont="1">
      <alignment shrinkToFit="0" vertical="top" wrapText="1"/>
    </xf>
    <xf borderId="0" fillId="0" fontId="68" numFmtId="0" xfId="0" applyAlignment="1" applyFont="1">
      <alignment readingOrder="0" shrinkToFit="0" vertical="top" wrapText="1"/>
    </xf>
    <xf borderId="0" fillId="0" fontId="0" numFmtId="0" xfId="0" applyAlignment="1" applyFont="1">
      <alignment readingOrder="0" shrinkToFit="0" vertical="bottom" wrapText="0"/>
    </xf>
    <xf borderId="0" fillId="0" fontId="69" numFmtId="0" xfId="0" applyAlignment="1" applyFont="1">
      <alignment readingOrder="0" shrinkToFit="0" vertical="top" wrapText="0"/>
    </xf>
    <xf borderId="0" fillId="0" fontId="70" numFmtId="0" xfId="0" applyAlignment="1" applyFont="1">
      <alignment shrinkToFit="0" vertical="top" wrapText="0"/>
    </xf>
    <xf borderId="0" fillId="0" fontId="29" numFmtId="0" xfId="0" applyAlignment="1" applyFont="1">
      <alignment readingOrder="0" vertical="bottom"/>
    </xf>
    <xf borderId="0" fillId="0" fontId="71" numFmtId="0" xfId="0" applyAlignment="1" applyFont="1">
      <alignment readingOrder="0" vertical="bottom"/>
    </xf>
    <xf borderId="0" fillId="0" fontId="72" numFmtId="0" xfId="0" applyAlignment="1" applyFont="1">
      <alignment readingOrder="0" vertical="bottom"/>
    </xf>
    <xf borderId="0" fillId="0" fontId="73" numFmtId="0" xfId="0" applyAlignment="1" applyFont="1">
      <alignment readingOrder="0"/>
    </xf>
    <xf borderId="0" fillId="0" fontId="74" numFmtId="0" xfId="0" applyAlignment="1" applyFont="1">
      <alignment vertical="bottom"/>
    </xf>
    <xf borderId="0" fillId="10" fontId="14" numFmtId="0" xfId="0" applyAlignment="1" applyFont="1">
      <alignment horizontal="center" readingOrder="0"/>
    </xf>
    <xf borderId="0" fillId="0" fontId="75" numFmtId="0" xfId="0" applyAlignment="1" applyFont="1">
      <alignment horizontal="center" readingOrder="0"/>
    </xf>
    <xf borderId="0" fillId="0" fontId="43" numFmtId="0" xfId="0" applyAlignment="1" applyFont="1">
      <alignment horizontal="center" readingOrder="0"/>
    </xf>
    <xf borderId="0" fillId="0" fontId="43" numFmtId="0" xfId="0" applyAlignment="1" applyFont="1">
      <alignment horizontal="center"/>
    </xf>
    <xf borderId="0" fillId="10" fontId="76" numFmtId="0" xfId="0" applyAlignment="1" applyFont="1">
      <alignment readingOrder="0" shrinkToFit="0" wrapText="0"/>
    </xf>
    <xf borderId="0" fillId="0" fontId="77" numFmtId="0" xfId="0" applyFont="1"/>
    <xf borderId="0" fillId="10" fontId="76" numFmtId="0" xfId="0" applyAlignment="1" applyFont="1">
      <alignment horizontal="left" readingOrder="0" vertical="bottom"/>
    </xf>
    <xf borderId="0" fillId="0" fontId="78" numFmtId="0" xfId="0" applyAlignment="1" applyFont="1">
      <alignment readingOrder="0"/>
    </xf>
    <xf borderId="0" fillId="10" fontId="76" numFmtId="0" xfId="0" applyAlignment="1" applyFont="1">
      <alignment horizontal="left" vertical="bottom"/>
    </xf>
    <xf borderId="0" fillId="0" fontId="76" numFmtId="0" xfId="0" applyAlignment="1" applyFont="1">
      <alignment vertical="bottom"/>
    </xf>
    <xf borderId="0" fillId="0" fontId="78" numFmtId="0" xfId="0" applyFont="1"/>
    <xf borderId="0" fillId="0" fontId="79" numFmtId="0" xfId="0" applyAlignment="1" applyFont="1">
      <alignment readingOrder="0"/>
    </xf>
    <xf borderId="0" fillId="0" fontId="80" numFmtId="0" xfId="0" applyFont="1"/>
    <xf borderId="0" fillId="0" fontId="39" numFmtId="0" xfId="0" applyFont="1"/>
  </cellXfs>
  <cellStyles count="1">
    <cellStyle xfId="0" name="Normal" builtinId="0"/>
  </cellStyles>
  <dxfs count="6">
    <dxf>
      <font>
        <color rgb="FF999999"/>
      </font>
      <fill>
        <patternFill patternType="solid">
          <fgColor rgb="FFD9D9D9"/>
          <bgColor rgb="FFD9D9D9"/>
        </patternFill>
      </fill>
      <border/>
    </dxf>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0" Type="http://schemas.openxmlformats.org/officeDocument/2006/relationships/hyperlink" Target="http://zusharoadsafety.org/test/?wpdmdl=618" TargetMode="External"/><Relationship Id="rId22" Type="http://schemas.openxmlformats.org/officeDocument/2006/relationships/hyperlink" Target="https://www.princeton.edu/~joha/publications/Haushofer_Shapiro_UCT_2016.04.25.pdf" TargetMode="External"/><Relationship Id="rId21" Type="http://schemas.openxmlformats.org/officeDocument/2006/relationships/hyperlink" Target="http://zusharoadsafety.org/test/?wpdmdl=616" TargetMode="External"/><Relationship Id="rId24" Type="http://schemas.openxmlformats.org/officeDocument/2006/relationships/hyperlink" Target="http://data.worldbank.org/indicator/SH.DYN.NMRT" TargetMode="External"/><Relationship Id="rId23" Type="http://schemas.openxmlformats.org/officeDocument/2006/relationships/hyperlink" Target="http://web.archive.org/web/20190627013749/http://www.evidenceaid.org/wp-content/uploads/2013/08/Insecticide-treated_bed_nets_and_curtains_for_preventing.pdf" TargetMode="External"/><Relationship Id="rId1" Type="http://schemas.openxmlformats.org/officeDocument/2006/relationships/comments" Target="../comments14.xml"/><Relationship Id="rId2" Type="http://schemas.openxmlformats.org/officeDocument/2006/relationships/hyperlink" Target="https://docs.google.com/spreadsheets/d/14k7XhbrDA_7Ponj_jdeI3HVXohwtYYworwYNCPWlgeI/edit?usp=sharing" TargetMode="External"/><Relationship Id="rId3" Type="http://schemas.openxmlformats.org/officeDocument/2006/relationships/hyperlink" Target="https://academic.oup.com/qje/article/131/4/1637/2468871/Worms-at-Work-Long-run-Impacts-of-a-Child-Health" TargetMode="External"/><Relationship Id="rId4" Type="http://schemas.openxmlformats.org/officeDocument/2006/relationships/hyperlink" Target="http://pubdocs.worldbank.org/en/356861434469785833/Road-Safety-Burden-of-Injuries-in-Africa.pdf" TargetMode="External"/><Relationship Id="rId9" Type="http://schemas.openxmlformats.org/officeDocument/2006/relationships/hyperlink" Target="http://blog.givewell.org/2017/01/04/how-thin-the-reed-generalizing-from-worms-at-work/" TargetMode="External"/><Relationship Id="rId26" Type="http://schemas.openxmlformats.org/officeDocument/2006/relationships/hyperlink" Target="http://apps.who.int/iris/bitstream/10665/85726/1/9789241504737_eng.pdf?ua=1" TargetMode="External"/><Relationship Id="rId25" Type="http://schemas.openxmlformats.org/officeDocument/2006/relationships/hyperlink" Target="http://data.worldbank.org/indicator/SH.DYN.MORT" TargetMode="External"/><Relationship Id="rId28" Type="http://schemas.openxmlformats.org/officeDocument/2006/relationships/hyperlink" Target="https://docs.google.com/document/d/1_NhuiqbcdITySX8_fuU_RTJ3fXfQWoiLFL6_yIw97SQ/edit?usp=sharing" TargetMode="External"/><Relationship Id="rId27" Type="http://schemas.openxmlformats.org/officeDocument/2006/relationships/hyperlink" Target="https://docs.google.com/document/d/1ZKq-MNU-xtn_48uN33L6VvBEZRAduvjwWMeaEffL4K4/" TargetMode="External"/><Relationship Id="rId5" Type="http://schemas.openxmlformats.org/officeDocument/2006/relationships/hyperlink" Target="http://www.nature.com/articles/ncomms1879" TargetMode="External"/><Relationship Id="rId6" Type="http://schemas.openxmlformats.org/officeDocument/2006/relationships/hyperlink" Target="http://journals.plos.org/plosone/article?id=10.1371/journal.pone.0008988" TargetMode="External"/><Relationship Id="rId29" Type="http://schemas.openxmlformats.org/officeDocument/2006/relationships/hyperlink" Target="https://docs.google.com/spreadsheets/d/112uuyYt6QLRZuJojwz6fHv4JQ-GHNeIpiT-SauY3kmM/copy" TargetMode="External"/><Relationship Id="rId7" Type="http://schemas.openxmlformats.org/officeDocument/2006/relationships/hyperlink" Target="https://elifesciences.org/articles/16090" TargetMode="External"/><Relationship Id="rId8" Type="http://schemas.openxmlformats.org/officeDocument/2006/relationships/hyperlink" Target="https://web.archive.org/web/20161130160211/http://emiguel.econ.berkeley.edu/assets/miguel_research/77/worms_v93.pdf" TargetMode="External"/><Relationship Id="rId31" Type="http://schemas.openxmlformats.org/officeDocument/2006/relationships/hyperlink" Target="https://docs.google.com/spreadsheets/d/1yqZCbFIqjMlueoK9-A5JV0jiC6-vrT3RQpu3p0hq3Hs/copy" TargetMode="External"/><Relationship Id="rId30" Type="http://schemas.openxmlformats.org/officeDocument/2006/relationships/hyperlink" Target="https://docs.google.com/a/givewell.org/spreadsheets/d/1i_f1yJE0x5zHIG89fkcA579Ij37keQPRYfMUxIXg2MU/edit?usp=sharing" TargetMode="External"/><Relationship Id="rId11" Type="http://schemas.openxmlformats.org/officeDocument/2006/relationships/hyperlink" Target="https://www.ncbi.nlm.nih.gov/books/NBK2279/pdf/Bookshelf_NBK2279.pdf" TargetMode="External"/><Relationship Id="rId33" Type="http://schemas.openxmlformats.org/officeDocument/2006/relationships/drawing" Target="../drawings/drawing15.xml"/><Relationship Id="rId10" Type="http://schemas.openxmlformats.org/officeDocument/2006/relationships/hyperlink" Target="http://blog.givewell.org/2016/12/06/why-i-mostly-believe-in-worms/" TargetMode="External"/><Relationship Id="rId32" Type="http://schemas.openxmlformats.org/officeDocument/2006/relationships/hyperlink" Target="https://blog.givewell.org/2017/12/22/uncertain-cost-effectiveness-analysis/" TargetMode="External"/><Relationship Id="rId13" Type="http://schemas.openxmlformats.org/officeDocument/2006/relationships/hyperlink" Target="https://malariajournal.biomedcentral.com/articles/10.1186/1475-2875-11-93" TargetMode="External"/><Relationship Id="rId12" Type="http://schemas.openxmlformats.org/officeDocument/2006/relationships/hyperlink" Target="http://dhsprogram.com/publications/index.cfm" TargetMode="External"/><Relationship Id="rId34" Type="http://schemas.openxmlformats.org/officeDocument/2006/relationships/vmlDrawing" Target="../drawings/vmlDrawing14.vml"/><Relationship Id="rId15" Type="http://schemas.openxmlformats.org/officeDocument/2006/relationships/hyperlink" Target="http://ghdx.healthdata.org/gbd-results-tool" TargetMode="External"/><Relationship Id="rId14" Type="http://schemas.openxmlformats.org/officeDocument/2006/relationships/hyperlink" Target="http://thelancet.com/pdfs/journals/lancet/PIIS0140-6736(16)31575-6.pdf" TargetMode="External"/><Relationship Id="rId17" Type="http://schemas.openxmlformats.org/officeDocument/2006/relationships/hyperlink" Target="https://docs.google.com/spreadsheets/d/1WlgHVppb4yxyw_5jrntr_xci6kzNZRX50Yssfu9AvH0/edit" TargetMode="External"/><Relationship Id="rId16" Type="http://schemas.openxmlformats.org/officeDocument/2006/relationships/hyperlink" Target="https://docs.google.com/a/givewell.org/spreadsheets/d/1HmD1SvfgMlXHke_-OXd8OMvnQ_ZQLr0tNXb6DjCFl3Y/edit?usp=sharing" TargetMode="External"/><Relationship Id="rId19" Type="http://schemas.openxmlformats.org/officeDocument/2006/relationships/hyperlink" Target="https://docs.google.com/spreadsheets/d/14SBx-4aTAc35n_R3GOAre3HSJR8-VCS07ll6Mr37xjA/edit?usp=sharing" TargetMode="External"/><Relationship Id="rId18" Type="http://schemas.openxmlformats.org/officeDocument/2006/relationships/hyperlink" Target="https://docs.google.com/a/givewell.org/spreadsheets/d/1xyzkfB6mBBlltx5PFihu_w9YiyzJN-J3aUfXZZseXzE/edit?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87.0"/>
  </cols>
  <sheetData>
    <row r="1" ht="22.5" customHeight="1">
      <c r="A1" s="1" t="s">
        <v>0</v>
      </c>
      <c r="B1" s="1"/>
    </row>
    <row r="2" ht="15.0" customHeight="1">
      <c r="A2" s="2"/>
      <c r="B2" s="2"/>
    </row>
    <row r="3" ht="15.0" customHeight="1">
      <c r="A3" s="3" t="s">
        <v>1</v>
      </c>
      <c r="B3" s="2"/>
    </row>
    <row r="4" ht="15.0" customHeight="1">
      <c r="A4" s="2"/>
      <c r="B4" s="2"/>
    </row>
    <row r="5" ht="143.25" customHeight="1">
      <c r="A5" s="4" t="s">
        <v>2</v>
      </c>
    </row>
    <row r="6" ht="15.0" customHeight="1">
      <c r="A6" s="4"/>
      <c r="B6" s="4"/>
    </row>
    <row r="7" ht="15.0" customHeight="1">
      <c r="A7" s="5" t="str">
        <f>HYPERLINK("https://docs.google.com/spreadsheets/d/1zLmPuddUmKsy3v55AfG_e1Quk-ngDdNzW-FDx0T-Y94/copy","Click here to make an editable copy of this document. This is necessary to be able to interact with drop-downs and other interactive features.")</f>
        <v>Click here to make an editable copy of this document. This is necessary to be able to interact with drop-downs and other interactive features.</v>
      </c>
    </row>
    <row r="8" ht="15.0" customHeight="1">
      <c r="A8" s="6"/>
      <c r="B8" s="6"/>
    </row>
    <row r="9" ht="21.75" customHeight="1">
      <c r="A9" s="7" t="s">
        <v>3</v>
      </c>
      <c r="B9" s="6"/>
    </row>
    <row r="10" ht="15.0" customHeight="1">
      <c r="A10" s="8" t="s">
        <v>4</v>
      </c>
      <c r="B10" s="9"/>
    </row>
    <row r="11" ht="15.0" customHeight="1">
      <c r="A11" s="10" t="s">
        <v>5</v>
      </c>
      <c r="B11" s="9"/>
    </row>
    <row r="12" ht="15.0" customHeight="1">
      <c r="A12" s="6" t="s">
        <v>6</v>
      </c>
      <c r="B12" s="9"/>
    </row>
    <row r="13" ht="15.0" customHeight="1">
      <c r="A13" s="6"/>
      <c r="B13" s="9"/>
    </row>
    <row r="14" ht="21.0" customHeight="1">
      <c r="A14" s="11" t="s">
        <v>7</v>
      </c>
      <c r="B14" s="9"/>
    </row>
    <row r="15" ht="15.0" customHeight="1">
      <c r="A15" s="12" t="s">
        <v>8</v>
      </c>
      <c r="B15" s="13" t="s">
        <v>9</v>
      </c>
    </row>
    <row r="16" ht="15.0" customHeight="1">
      <c r="A16" s="12" t="s">
        <v>10</v>
      </c>
      <c r="B16" s="13" t="s">
        <v>11</v>
      </c>
    </row>
    <row r="17" ht="15.0" customHeight="1">
      <c r="A17" s="12" t="s">
        <v>12</v>
      </c>
      <c r="B17" s="13" t="s">
        <v>13</v>
      </c>
    </row>
    <row r="18" ht="15.0" customHeight="1">
      <c r="A18" s="14" t="s">
        <v>14</v>
      </c>
      <c r="B18" s="15" t="s">
        <v>15</v>
      </c>
    </row>
    <row r="19" ht="15.0" customHeight="1">
      <c r="A19" s="14" t="s">
        <v>16</v>
      </c>
      <c r="B19" s="16" t="s">
        <v>17</v>
      </c>
    </row>
    <row r="20" ht="15.0" customHeight="1">
      <c r="A20" s="17" t="s">
        <v>18</v>
      </c>
      <c r="B20" s="16" t="s">
        <v>19</v>
      </c>
    </row>
    <row r="21" ht="15.0" customHeight="1">
      <c r="A21" s="17" t="s">
        <v>20</v>
      </c>
      <c r="B21" s="16" t="s">
        <v>21</v>
      </c>
    </row>
    <row r="22" ht="15.0" customHeight="1">
      <c r="A22" s="17" t="s">
        <v>22</v>
      </c>
      <c r="B22" s="16" t="s">
        <v>23</v>
      </c>
    </row>
    <row r="23" ht="15.0" customHeight="1">
      <c r="A23" s="17" t="s">
        <v>24</v>
      </c>
      <c r="B23" s="16" t="s">
        <v>25</v>
      </c>
    </row>
    <row r="24" ht="15.0" customHeight="1">
      <c r="A24" s="17" t="s">
        <v>26</v>
      </c>
      <c r="B24" s="16" t="s">
        <v>27</v>
      </c>
    </row>
    <row r="25" ht="15.0" customHeight="1">
      <c r="A25" s="17" t="s">
        <v>28</v>
      </c>
      <c r="B25" s="16" t="s">
        <v>29</v>
      </c>
    </row>
    <row r="26" ht="15.0" customHeight="1">
      <c r="A26" s="18" t="s">
        <v>30</v>
      </c>
      <c r="B26" s="19" t="s">
        <v>31</v>
      </c>
    </row>
    <row r="27" ht="15.0" customHeight="1">
      <c r="A27" s="20" t="s">
        <v>32</v>
      </c>
      <c r="B27" s="21" t="s">
        <v>33</v>
      </c>
    </row>
    <row r="28" ht="15.0" customHeight="1">
      <c r="A28" s="18" t="s">
        <v>34</v>
      </c>
      <c r="B28" s="19" t="s">
        <v>35</v>
      </c>
    </row>
    <row r="29" ht="15.0" customHeight="1">
      <c r="A29" s="18" t="s">
        <v>36</v>
      </c>
      <c r="B29" s="19" t="s">
        <v>37</v>
      </c>
    </row>
    <row r="30" ht="15.0" customHeight="1">
      <c r="A30" s="9"/>
      <c r="B30" s="2"/>
    </row>
    <row r="31" ht="21.75" customHeight="1">
      <c r="A31" s="11" t="s">
        <v>38</v>
      </c>
      <c r="B31" s="2"/>
    </row>
    <row r="32" ht="15.0" customHeight="1">
      <c r="A32" s="22" t="str">
        <f>HYPERLINK("https://docs.google.com/document/d/1ZKq-MNU-xtn_48uN33L6VvBEZRAduvjwWMeaEffL4K4/","Guide to GiveWell cost-effectiveness analyses")</f>
        <v>Guide to GiveWell cost-effectiveness analyses</v>
      </c>
      <c r="B32" s="2"/>
    </row>
    <row r="33" ht="15.0" customHeight="1">
      <c r="A33" s="22" t="str">
        <f>HYPERLINK("http://www.givewell.org/charities/top-charities","Full reviews of our top charities")</f>
        <v>Full reviews of our top charities</v>
      </c>
      <c r="B33" s="2"/>
    </row>
    <row r="34" ht="15.0" customHeight="1">
      <c r="A34" s="22" t="str">
        <f>HYPERLINK("http://www.givewell.org/international/technical/criteria/cost-effectiveness/cost-effectiveness-models","Past versions of our cost-effectiveness analyses")</f>
        <v>Past versions of our cost-effectiveness analyses</v>
      </c>
      <c r="B34" s="2"/>
    </row>
    <row r="35" ht="15.0" customHeight="1">
      <c r="A35" s="22" t="str">
        <f>HYPERLINK("http://www.givewell.org/international/technical/criteria/cost-effectiveness","Discussion of cost-effectiveness as a criterion")</f>
        <v>Discussion of cost-effectiveness as a criterion</v>
      </c>
      <c r="B35" s="2"/>
    </row>
    <row r="36" ht="15.0" customHeight="1">
      <c r="A36" s="22" t="str">
        <f>HYPERLINK("http://www.givewell.org/international/technical/criteria/cost-effectiveness#MoreonGiveWellsviewsoncosteffectivenessestimates","Blog posts discussing cost-effectiveness")</f>
        <v>Blog posts discussing cost-effectiveness</v>
      </c>
      <c r="B36" s="2"/>
    </row>
  </sheetData>
  <mergeCells count="2">
    <mergeCell ref="A5:B5"/>
    <mergeCell ref="A7:B7"/>
  </mergeCells>
  <hyperlinks>
    <hyperlink display="User inputs" location="User inputs!A1" ref="A15"/>
    <hyperlink display="Moral weights" location="Moral weights!A1" ref="A16"/>
    <hyperlink display="Results" location="Results!A1" ref="A17"/>
    <hyperlink display="Bednets" location="Bednets!A1" ref="A18"/>
    <hyperlink display="Cash" location="Cash!A1" ref="A19"/>
    <hyperlink display="Deworming - DtW" location="Deworming - DtW!A1" ref="A20"/>
    <hyperlink display="Deworming - END" location="Deworming - END!A1" ref="A21"/>
    <hyperlink display="Deworming - SCI" location="Deworming - SCI!A1" ref="A22"/>
    <hyperlink display="Deworming - SS" location="Deworming - SS!A1" ref="A23"/>
    <hyperlink display="SMC" location="SMC!A1" ref="A24"/>
    <hyperlink display="VAS" location="VAS!A1" ref="A25"/>
    <hyperlink display="Counterfactual non-philanthropic" location="Counterfactual non-philanthropi!A1" ref="A26"/>
    <hyperlink display="Inclusion/Exclusion" location="InclusionExclusion!A1" ref="A27"/>
    <hyperlink display="Sources" location="Sources!A1" ref="A28"/>
    <hyperlink display="Helper sheet" location="Helper sheet!A1" ref="A2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5.0"/>
    <col customWidth="1" min="2" max="2" width="10.86"/>
    <col customWidth="1" min="3" max="3" width="13.86"/>
    <col customWidth="1" min="4" max="18" width="10.86"/>
    <col customWidth="1" min="19" max="19" width="66.86"/>
    <col customWidth="1" min="20" max="26" width="17.29"/>
  </cols>
  <sheetData>
    <row r="1" ht="13.5" customHeight="1">
      <c r="A1" s="23" t="s">
        <v>8</v>
      </c>
      <c r="B1" s="23" t="s">
        <v>39</v>
      </c>
      <c r="C1" s="23" t="s">
        <v>40</v>
      </c>
      <c r="D1" s="23" t="s">
        <v>41</v>
      </c>
      <c r="E1" s="23" t="s">
        <v>42</v>
      </c>
      <c r="F1" s="23" t="s">
        <v>43</v>
      </c>
      <c r="G1" s="23" t="s">
        <v>44</v>
      </c>
      <c r="H1" s="23" t="s">
        <v>45</v>
      </c>
      <c r="I1" s="23" t="s">
        <v>46</v>
      </c>
      <c r="J1" s="23" t="s">
        <v>47</v>
      </c>
      <c r="K1" s="23" t="s">
        <v>48</v>
      </c>
      <c r="L1" s="23" t="s">
        <v>49</v>
      </c>
      <c r="M1" s="23" t="s">
        <v>50</v>
      </c>
      <c r="N1" s="23" t="s">
        <v>51</v>
      </c>
      <c r="O1" s="23" t="s">
        <v>52</v>
      </c>
      <c r="P1" s="23" t="s">
        <v>53</v>
      </c>
      <c r="Q1" s="23" t="s">
        <v>54</v>
      </c>
      <c r="R1" s="23" t="s">
        <v>55</v>
      </c>
      <c r="S1" s="23" t="s">
        <v>56</v>
      </c>
      <c r="T1" s="23" t="s">
        <v>57</v>
      </c>
      <c r="U1" s="23"/>
      <c r="V1" s="23"/>
      <c r="W1" s="23"/>
      <c r="X1" s="23"/>
      <c r="Y1" s="23"/>
      <c r="Z1" s="23"/>
    </row>
    <row r="2" ht="13.5" customHeight="1">
      <c r="A2" s="24" t="s">
        <v>58</v>
      </c>
      <c r="B2" s="25"/>
      <c r="C2" s="25"/>
      <c r="D2" s="26"/>
      <c r="E2" s="26"/>
      <c r="F2" s="26"/>
      <c r="G2" s="26"/>
      <c r="H2" s="26"/>
      <c r="I2" s="26"/>
      <c r="J2" s="26"/>
      <c r="K2" s="26"/>
      <c r="L2" s="26"/>
      <c r="M2" s="26"/>
      <c r="N2" s="26"/>
      <c r="O2" s="26"/>
      <c r="P2" s="26"/>
      <c r="Q2" s="26"/>
      <c r="R2" s="25"/>
      <c r="S2" s="27"/>
      <c r="T2" s="27"/>
      <c r="U2" s="27"/>
      <c r="V2" s="27"/>
      <c r="W2" s="27"/>
      <c r="X2" s="27"/>
      <c r="Y2" s="27"/>
      <c r="Z2" s="27"/>
    </row>
    <row r="3" ht="13.5" customHeight="1">
      <c r="A3" s="28" t="s">
        <v>59</v>
      </c>
      <c r="B3" s="29">
        <f t="array" ref="B3">index($A$1:$Y$30,match($A3,$A$1:$A$30,0),match($A$14,$A$1:$Y$1,0))</f>
        <v>0.03995</v>
      </c>
      <c r="C3" s="30">
        <f>median(D3:Q3)</f>
        <v>0.03995</v>
      </c>
      <c r="D3" s="31">
        <v>0.05</v>
      </c>
      <c r="E3" s="31">
        <f>average(F3,I3)</f>
        <v>0.045</v>
      </c>
      <c r="F3" s="31">
        <v>0.06</v>
      </c>
      <c r="G3" s="31">
        <v>0.0325</v>
      </c>
      <c r="H3" s="31">
        <f>(I3+F3)/2</f>
        <v>0.045</v>
      </c>
      <c r="I3" s="31">
        <v>0.03</v>
      </c>
      <c r="J3" s="31">
        <f>I3</f>
        <v>0.03</v>
      </c>
      <c r="K3" s="31">
        <v>0.024</v>
      </c>
      <c r="L3" s="31">
        <v>0.045</v>
      </c>
      <c r="M3" s="31">
        <f>(I3+F3)/2</f>
        <v>0.045</v>
      </c>
      <c r="N3" s="31">
        <v>0.03</v>
      </c>
      <c r="O3" s="32">
        <v>0.045</v>
      </c>
      <c r="P3" s="31">
        <v>0.0349</v>
      </c>
      <c r="Q3" s="31">
        <f>J3</f>
        <v>0.03</v>
      </c>
      <c r="R3" s="33"/>
      <c r="S3" s="34" t="str">
        <f>HYPERLINK("https://docs.google.com/document/d/1_NhuiqbcdITySX8_fuU_RTJ3fXfQWoiLFL6_yIw97SQ/edit?usp=sharing","Former Research Analyst Emma Trefethen wrote an internal document about discount rates that many staff found very helpful. You can view it here.")</f>
        <v>Former Research Analyst Emma Trefethen wrote an internal document about discount rates that many staff found very helpful. You can view it here.</v>
      </c>
      <c r="T3" s="35"/>
      <c r="U3" s="35"/>
      <c r="V3" s="35"/>
      <c r="W3" s="35"/>
      <c r="X3" s="35"/>
      <c r="Y3" s="35"/>
      <c r="Z3" s="35"/>
    </row>
    <row r="4" ht="13.5" customHeight="1">
      <c r="A4" s="36"/>
      <c r="B4" s="37"/>
      <c r="C4" s="38"/>
      <c r="D4" s="39"/>
      <c r="E4" s="39"/>
      <c r="F4" s="39"/>
      <c r="G4" s="39"/>
      <c r="H4" s="39"/>
      <c r="I4" s="39"/>
      <c r="J4" s="39"/>
      <c r="K4" s="39"/>
      <c r="L4" s="39"/>
      <c r="M4" s="39"/>
      <c r="N4" s="39"/>
      <c r="O4" s="39"/>
      <c r="P4" s="39"/>
      <c r="Q4" s="39"/>
      <c r="R4" s="39"/>
      <c r="S4" s="40"/>
      <c r="T4" s="40"/>
      <c r="U4" s="40"/>
      <c r="V4" s="40"/>
      <c r="W4" s="40"/>
      <c r="X4" s="40"/>
      <c r="Y4" s="40"/>
      <c r="Z4" s="40"/>
    </row>
    <row r="5" ht="13.5" customHeight="1">
      <c r="A5" s="41" t="s">
        <v>60</v>
      </c>
      <c r="B5" s="42"/>
      <c r="C5" s="43"/>
      <c r="D5" s="39"/>
      <c r="E5" s="39"/>
      <c r="F5" s="39"/>
      <c r="G5" s="39"/>
      <c r="H5" s="39"/>
      <c r="I5" s="39"/>
      <c r="J5" s="39"/>
      <c r="K5" s="39"/>
      <c r="L5" s="39"/>
      <c r="M5" s="39"/>
      <c r="N5" s="39"/>
      <c r="O5" s="39"/>
      <c r="P5" s="39"/>
      <c r="Q5" s="39"/>
      <c r="R5" s="39"/>
      <c r="S5" s="27"/>
      <c r="T5" s="27"/>
      <c r="U5" s="27"/>
      <c r="V5" s="27"/>
      <c r="W5" s="27"/>
      <c r="X5" s="27"/>
      <c r="Y5" s="27"/>
      <c r="Z5" s="27"/>
    </row>
    <row r="6" ht="11.25" customHeight="1">
      <c r="A6" s="44" t="s">
        <v>61</v>
      </c>
      <c r="B6" s="45">
        <f t="array" ref="B6">index($A$1:$Y$30,match($A6,$A$1:$A$30,0),match($A$14,$A$1:$Y$1,0))</f>
        <v>0.13</v>
      </c>
      <c r="C6" s="30">
        <f>median(D6:Q6)</f>
        <v>0.13</v>
      </c>
      <c r="D6" s="46">
        <v>0.13</v>
      </c>
      <c r="E6" s="46">
        <f>J6</f>
        <v>0.13</v>
      </c>
      <c r="F6" s="46">
        <v>0.12</v>
      </c>
      <c r="G6" s="46">
        <v>0.13</v>
      </c>
      <c r="H6" s="46">
        <f>(F6+J6)/2</f>
        <v>0.125</v>
      </c>
      <c r="I6" s="46">
        <f>J6</f>
        <v>0.13</v>
      </c>
      <c r="J6" s="46">
        <v>0.13</v>
      </c>
      <c r="K6" s="47">
        <v>0.13</v>
      </c>
      <c r="L6" s="46">
        <v>0.13</v>
      </c>
      <c r="M6" s="46">
        <f>J6</f>
        <v>0.13</v>
      </c>
      <c r="N6" s="46">
        <v>0.13</v>
      </c>
      <c r="O6" s="47">
        <v>0.13</v>
      </c>
      <c r="P6" s="46">
        <v>0.13</v>
      </c>
      <c r="Q6" s="31">
        <f>J6</f>
        <v>0.13</v>
      </c>
      <c r="R6" s="33"/>
      <c r="S6" s="27"/>
      <c r="T6" s="27"/>
      <c r="U6" s="27"/>
      <c r="V6" s="27"/>
      <c r="W6" s="27"/>
      <c r="X6" s="27"/>
      <c r="Y6" s="27"/>
      <c r="Z6" s="27"/>
    </row>
    <row r="7" ht="13.5" customHeight="1">
      <c r="A7" s="48"/>
      <c r="B7" s="42"/>
      <c r="C7" s="43"/>
      <c r="D7" s="39"/>
      <c r="E7" s="39"/>
      <c r="F7" s="39"/>
      <c r="G7" s="39"/>
      <c r="H7" s="39"/>
      <c r="I7" s="39"/>
      <c r="J7" s="39"/>
      <c r="K7" s="39"/>
      <c r="L7" s="39"/>
      <c r="M7" s="39"/>
      <c r="N7" s="39"/>
      <c r="O7" s="39"/>
      <c r="P7" s="39"/>
      <c r="Q7" s="39"/>
      <c r="R7" s="39"/>
      <c r="S7" s="27"/>
      <c r="T7" s="27"/>
      <c r="U7" s="27"/>
      <c r="V7" s="27"/>
      <c r="W7" s="27"/>
      <c r="X7" s="27"/>
      <c r="Y7" s="27"/>
      <c r="Z7" s="27"/>
    </row>
    <row r="8" ht="3.75" customHeight="1">
      <c r="A8" s="41" t="s">
        <v>62</v>
      </c>
      <c r="B8" s="42"/>
      <c r="C8" s="43"/>
      <c r="D8" s="49"/>
      <c r="E8" s="49"/>
      <c r="F8" s="49"/>
      <c r="G8" s="49"/>
      <c r="H8" s="49"/>
      <c r="I8" s="49"/>
      <c r="J8" s="49"/>
      <c r="K8" s="49"/>
      <c r="L8" s="49"/>
      <c r="M8" s="49"/>
      <c r="N8" s="49"/>
      <c r="O8" s="49"/>
      <c r="P8" s="49"/>
      <c r="Q8" s="43"/>
      <c r="R8" s="49"/>
      <c r="S8" s="27"/>
      <c r="T8" s="27"/>
      <c r="U8" s="27"/>
      <c r="V8" s="27"/>
      <c r="W8" s="27"/>
      <c r="X8" s="27"/>
      <c r="Y8" s="27"/>
      <c r="Z8" s="27"/>
    </row>
    <row r="9" ht="13.5" customHeight="1">
      <c r="A9" s="50" t="s">
        <v>63</v>
      </c>
      <c r="B9" s="45">
        <f t="shared" ref="B9:B11" si="1">index($A$1:$Y$30,match($A9,$A$1:$A$30,0),match($A$14,$A$1:$Y$1,0))</f>
        <v>0.39</v>
      </c>
      <c r="C9" s="30">
        <f t="shared" ref="C9:C11" si="2">median(D9:Q9)</f>
        <v>0.39</v>
      </c>
      <c r="D9" s="46">
        <v>0.39</v>
      </c>
      <c r="E9" s="46">
        <v>0.39</v>
      </c>
      <c r="F9" s="46">
        <v>0.39</v>
      </c>
      <c r="G9" s="46">
        <v>0.39</v>
      </c>
      <c r="H9" s="46">
        <f t="shared" ref="H9:H11" si="3">F9</f>
        <v>0.39</v>
      </c>
      <c r="I9" s="46">
        <v>0.39</v>
      </c>
      <c r="J9" s="46">
        <v>0.39</v>
      </c>
      <c r="K9" s="46">
        <v>0.39</v>
      </c>
      <c r="L9" s="47">
        <v>0.39</v>
      </c>
      <c r="M9" s="46">
        <f>F9</f>
        <v>0.39</v>
      </c>
      <c r="N9" s="46">
        <v>0.39</v>
      </c>
      <c r="O9" s="46">
        <v>0.39</v>
      </c>
      <c r="P9" s="46">
        <v>0.39</v>
      </c>
      <c r="Q9" s="47">
        <f t="shared" ref="Q9:Q11" si="4">J9</f>
        <v>0.39</v>
      </c>
      <c r="R9" s="51"/>
      <c r="S9" s="52" t="str">
        <f>HYPERLINK("https://files.givewell.org/files/DWDA%202009/Interventions/Cash%20Transfers/haushofer_shapiro_uct_2013.11.16.pdf","Haushofer &amp; Shapiro 2013")</f>
        <v>Haushofer &amp; Shapiro 2013</v>
      </c>
      <c r="T9" s="52"/>
      <c r="U9" s="52"/>
      <c r="V9" s="52"/>
      <c r="W9" s="52"/>
      <c r="X9" s="52"/>
      <c r="Y9" s="52"/>
      <c r="Z9" s="52"/>
    </row>
    <row r="10" ht="14.25" customHeight="1">
      <c r="A10" s="50" t="s">
        <v>64</v>
      </c>
      <c r="B10" s="45">
        <f t="shared" si="1"/>
        <v>0.1</v>
      </c>
      <c r="C10" s="30">
        <f t="shared" si="2"/>
        <v>0.1</v>
      </c>
      <c r="D10" s="46">
        <v>0.1</v>
      </c>
      <c r="E10" s="46">
        <v>0.1</v>
      </c>
      <c r="F10" s="46">
        <v>0.1</v>
      </c>
      <c r="G10" s="46">
        <v>0.1</v>
      </c>
      <c r="H10" s="46">
        <f t="shared" si="3"/>
        <v>0.1</v>
      </c>
      <c r="I10" s="46">
        <v>0.1</v>
      </c>
      <c r="J10" s="46">
        <v>0.1</v>
      </c>
      <c r="K10" s="46">
        <v>0.1</v>
      </c>
      <c r="L10" s="46">
        <v>0.1</v>
      </c>
      <c r="M10" s="46">
        <v>0.1</v>
      </c>
      <c r="N10" s="46">
        <v>0.1</v>
      </c>
      <c r="O10" s="46">
        <v>0.1</v>
      </c>
      <c r="P10" s="46">
        <v>0.1</v>
      </c>
      <c r="Q10" s="47">
        <f t="shared" si="4"/>
        <v>0.1</v>
      </c>
      <c r="R10" s="51"/>
      <c r="S10" s="53" t="str">
        <f>HYPERLINK("http://www.givewell.org/international/technical/programs/cash-transfers#What_return_on_investment_do_cash-transfer_recipients_earn","Cash Transfers — What return on investment do cash-transfer recipients earn?")</f>
        <v>Cash Transfers — What return on investment do cash-transfer recipients earn?</v>
      </c>
      <c r="T10" s="54" t="s">
        <v>65</v>
      </c>
      <c r="U10" s="53"/>
      <c r="V10" s="53"/>
      <c r="W10" s="53"/>
      <c r="X10" s="53"/>
      <c r="Y10" s="53"/>
      <c r="Z10" s="53"/>
    </row>
    <row r="11" ht="13.5" customHeight="1">
      <c r="A11" s="55" t="s">
        <v>66</v>
      </c>
      <c r="B11" s="56">
        <f t="shared" si="1"/>
        <v>10</v>
      </c>
      <c r="C11" s="55">
        <f t="shared" si="2"/>
        <v>10</v>
      </c>
      <c r="D11" s="57">
        <v>10.0</v>
      </c>
      <c r="E11" s="57">
        <v>15.0</v>
      </c>
      <c r="F11" s="57">
        <v>10.0</v>
      </c>
      <c r="G11" s="57">
        <v>10.0</v>
      </c>
      <c r="H11" s="57">
        <f t="shared" si="3"/>
        <v>10</v>
      </c>
      <c r="I11" s="57">
        <v>5.0</v>
      </c>
      <c r="J11" s="57">
        <v>10.0</v>
      </c>
      <c r="K11" s="57">
        <v>10.0</v>
      </c>
      <c r="L11" s="57">
        <v>5.0</v>
      </c>
      <c r="M11" s="57">
        <f>F11</f>
        <v>10</v>
      </c>
      <c r="N11" s="57">
        <v>10.0</v>
      </c>
      <c r="O11" s="57">
        <v>10.0</v>
      </c>
      <c r="P11" s="57">
        <v>10.0</v>
      </c>
      <c r="Q11" s="57">
        <f t="shared" si="4"/>
        <v>10</v>
      </c>
      <c r="R11" s="55"/>
      <c r="S11" s="27"/>
      <c r="T11" s="27"/>
      <c r="U11" s="27"/>
      <c r="V11" s="27"/>
      <c r="W11" s="27"/>
      <c r="X11" s="27"/>
      <c r="Y11" s="27"/>
      <c r="Z11" s="27"/>
    </row>
    <row r="12" ht="13.5" customHeight="1">
      <c r="A12" s="40"/>
      <c r="B12" s="42"/>
      <c r="C12" s="58"/>
      <c r="D12" s="58"/>
      <c r="E12" s="58"/>
      <c r="F12" s="58"/>
      <c r="G12" s="58"/>
      <c r="H12" s="58"/>
      <c r="I12" s="58"/>
      <c r="J12" s="58"/>
      <c r="K12" s="58"/>
      <c r="L12" s="58"/>
      <c r="M12" s="58"/>
      <c r="N12" s="58"/>
      <c r="O12" s="58"/>
      <c r="P12" s="58"/>
      <c r="Q12" s="58"/>
      <c r="R12" s="58"/>
      <c r="S12" s="40"/>
      <c r="T12" s="40"/>
      <c r="U12" s="40"/>
      <c r="V12" s="40"/>
      <c r="W12" s="40"/>
      <c r="X12" s="40"/>
      <c r="Y12" s="40"/>
      <c r="Z12" s="40"/>
    </row>
    <row r="13">
      <c r="A13" s="59" t="s">
        <v>67</v>
      </c>
      <c r="B13" s="60"/>
      <c r="C13" s="40"/>
      <c r="D13" s="40"/>
      <c r="E13" s="40"/>
      <c r="F13" s="40"/>
      <c r="G13" s="40"/>
      <c r="H13" s="40"/>
      <c r="I13" s="40"/>
      <c r="J13" s="40"/>
      <c r="K13" s="40"/>
      <c r="L13" s="40"/>
      <c r="M13" s="40"/>
      <c r="N13" s="40"/>
      <c r="O13" s="40"/>
      <c r="P13" s="40"/>
      <c r="Q13" s="40"/>
      <c r="R13" s="40"/>
      <c r="S13" s="40"/>
      <c r="T13" s="40"/>
      <c r="U13" s="40"/>
      <c r="V13" s="40"/>
      <c r="W13" s="40"/>
      <c r="X13" s="40"/>
      <c r="Y13" s="40"/>
      <c r="Z13" s="40"/>
    </row>
    <row r="14">
      <c r="A14" s="61" t="str">
        <f>Results!C6</f>
        <v>Staff aggregate</v>
      </c>
      <c r="B14" s="62"/>
      <c r="C14" s="40"/>
      <c r="D14" s="40"/>
      <c r="E14" s="40"/>
      <c r="F14" s="40"/>
      <c r="G14" s="40"/>
      <c r="H14" s="40"/>
      <c r="I14" s="40"/>
      <c r="J14" s="40"/>
      <c r="K14" s="40"/>
      <c r="L14" s="40"/>
      <c r="M14" s="40"/>
      <c r="N14" s="40"/>
      <c r="O14" s="40"/>
      <c r="P14" s="40"/>
      <c r="Q14" s="40"/>
      <c r="R14" s="40"/>
      <c r="S14" s="40"/>
      <c r="T14" s="40"/>
      <c r="U14" s="40"/>
      <c r="V14" s="40"/>
      <c r="W14" s="40"/>
      <c r="X14" s="40"/>
      <c r="Y14" s="40"/>
      <c r="Z14" s="40"/>
    </row>
    <row r="15">
      <c r="A15" s="40"/>
      <c r="B15" s="62"/>
      <c r="C15" s="40"/>
      <c r="D15" s="40"/>
      <c r="E15" s="40"/>
      <c r="F15" s="40"/>
      <c r="G15" s="40"/>
      <c r="H15" s="40"/>
      <c r="I15" s="40"/>
      <c r="J15" s="40"/>
      <c r="K15" s="40"/>
      <c r="L15" s="40"/>
      <c r="M15" s="40"/>
      <c r="N15" s="40"/>
      <c r="O15" s="40"/>
      <c r="P15" s="40"/>
      <c r="Q15" s="40"/>
      <c r="R15" s="40"/>
      <c r="S15" s="40"/>
      <c r="T15" s="40"/>
      <c r="U15" s="40"/>
      <c r="V15" s="40"/>
      <c r="W15" s="40"/>
      <c r="X15" s="40"/>
      <c r="Y15" s="40"/>
      <c r="Z15" s="40"/>
    </row>
    <row r="16">
      <c r="A16" s="40"/>
      <c r="B16" s="62"/>
      <c r="C16" s="40"/>
      <c r="D16" s="40"/>
      <c r="E16" s="40"/>
      <c r="F16" s="40"/>
      <c r="G16" s="40"/>
      <c r="H16" s="40"/>
      <c r="I16" s="40"/>
      <c r="J16" s="40"/>
      <c r="K16" s="40"/>
      <c r="L16" s="40"/>
      <c r="M16" s="40"/>
      <c r="N16" s="40"/>
      <c r="O16" s="40"/>
      <c r="P16" s="40"/>
      <c r="Q16" s="40"/>
      <c r="R16" s="40"/>
      <c r="S16" s="40"/>
      <c r="T16" s="40"/>
      <c r="U16" s="40"/>
      <c r="V16" s="40"/>
      <c r="W16" s="40"/>
      <c r="X16" s="40"/>
      <c r="Y16" s="40"/>
      <c r="Z16" s="40"/>
    </row>
    <row r="17">
      <c r="A17" s="40"/>
      <c r="B17" s="62"/>
      <c r="C17" s="40"/>
      <c r="D17" s="40"/>
      <c r="E17" s="40"/>
      <c r="F17" s="40"/>
      <c r="G17" s="40"/>
      <c r="H17" s="40"/>
      <c r="I17" s="40"/>
      <c r="J17" s="40"/>
      <c r="K17" s="40"/>
      <c r="L17" s="40"/>
      <c r="M17" s="40"/>
      <c r="N17" s="40"/>
      <c r="O17" s="40"/>
      <c r="P17" s="40"/>
      <c r="Q17" s="40"/>
      <c r="R17" s="40"/>
      <c r="S17" s="40"/>
      <c r="T17" s="40"/>
      <c r="U17" s="40"/>
      <c r="V17" s="40"/>
      <c r="W17" s="40"/>
      <c r="X17" s="40"/>
      <c r="Y17" s="40"/>
      <c r="Z17" s="40"/>
    </row>
    <row r="18">
      <c r="A18" s="40"/>
      <c r="B18" s="62"/>
      <c r="C18" s="40"/>
      <c r="D18" s="40"/>
      <c r="E18" s="40"/>
      <c r="F18" s="40"/>
      <c r="G18" s="40"/>
      <c r="H18" s="40"/>
      <c r="I18" s="40"/>
      <c r="J18" s="40"/>
      <c r="K18" s="40"/>
      <c r="L18" s="40"/>
      <c r="M18" s="40"/>
      <c r="N18" s="40"/>
      <c r="O18" s="40"/>
      <c r="P18" s="40"/>
      <c r="Q18" s="40"/>
      <c r="R18" s="40"/>
      <c r="S18" s="40"/>
      <c r="T18" s="40"/>
      <c r="U18" s="40"/>
      <c r="V18" s="40"/>
      <c r="W18" s="40"/>
      <c r="X18" s="40"/>
      <c r="Y18" s="40"/>
      <c r="Z18" s="40"/>
    </row>
    <row r="19">
      <c r="A19" s="40"/>
      <c r="B19" s="62"/>
      <c r="C19" s="40"/>
      <c r="D19" s="40"/>
      <c r="E19" s="40"/>
      <c r="F19" s="40"/>
      <c r="G19" s="40"/>
      <c r="H19" s="40"/>
      <c r="I19" s="40"/>
      <c r="J19" s="40"/>
      <c r="K19" s="40"/>
      <c r="L19" s="40"/>
      <c r="M19" s="40"/>
      <c r="N19" s="40"/>
      <c r="O19" s="40"/>
      <c r="P19" s="40"/>
      <c r="Q19" s="40"/>
      <c r="R19" s="40"/>
      <c r="S19" s="40"/>
      <c r="T19" s="40"/>
      <c r="U19" s="40"/>
      <c r="V19" s="40"/>
      <c r="W19" s="40"/>
      <c r="X19" s="40"/>
      <c r="Y19" s="40"/>
      <c r="Z19" s="40"/>
    </row>
    <row r="20">
      <c r="A20" s="40"/>
      <c r="B20" s="62"/>
      <c r="C20" s="40"/>
      <c r="D20" s="40"/>
      <c r="E20" s="40"/>
      <c r="F20" s="40"/>
      <c r="G20" s="40"/>
      <c r="H20" s="40"/>
      <c r="I20" s="40"/>
      <c r="J20" s="40"/>
      <c r="K20" s="40"/>
      <c r="L20" s="40"/>
      <c r="M20" s="40"/>
      <c r="N20" s="40"/>
      <c r="O20" s="40"/>
      <c r="P20" s="40"/>
      <c r="Q20" s="40"/>
      <c r="R20" s="40"/>
      <c r="S20" s="40"/>
      <c r="T20" s="40"/>
      <c r="U20" s="40"/>
      <c r="V20" s="40"/>
      <c r="W20" s="40"/>
      <c r="X20" s="40"/>
      <c r="Y20" s="40"/>
      <c r="Z20" s="40"/>
    </row>
    <row r="21">
      <c r="A21" s="40"/>
      <c r="B21" s="62"/>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40"/>
      <c r="B22" s="62"/>
      <c r="C22" s="40"/>
      <c r="D22" s="40"/>
      <c r="E22" s="40"/>
      <c r="F22" s="40"/>
      <c r="G22" s="40"/>
      <c r="H22" s="40"/>
      <c r="I22" s="40"/>
      <c r="J22" s="40"/>
      <c r="K22" s="40"/>
      <c r="L22" s="40"/>
      <c r="M22" s="40"/>
      <c r="N22" s="40"/>
      <c r="O22" s="40"/>
      <c r="P22" s="40"/>
      <c r="Q22" s="40"/>
      <c r="R22" s="40"/>
      <c r="S22" s="40"/>
      <c r="T22" s="40"/>
      <c r="U22" s="40"/>
      <c r="V22" s="40"/>
      <c r="W22" s="40"/>
      <c r="X22" s="40"/>
      <c r="Y22" s="40"/>
      <c r="Z22" s="40"/>
    </row>
    <row r="23">
      <c r="A23" s="40"/>
      <c r="B23" s="62"/>
      <c r="C23" s="40"/>
      <c r="D23" s="40"/>
      <c r="E23" s="40"/>
      <c r="F23" s="40"/>
      <c r="G23" s="40"/>
      <c r="H23" s="40"/>
      <c r="I23" s="40"/>
      <c r="J23" s="40"/>
      <c r="K23" s="40"/>
      <c r="L23" s="40"/>
      <c r="M23" s="40"/>
      <c r="N23" s="40"/>
      <c r="O23" s="40"/>
      <c r="P23" s="40"/>
      <c r="Q23" s="40"/>
      <c r="R23" s="40"/>
      <c r="S23" s="40"/>
      <c r="T23" s="40"/>
      <c r="U23" s="40"/>
      <c r="V23" s="40"/>
      <c r="W23" s="40"/>
      <c r="X23" s="40"/>
      <c r="Y23" s="40"/>
      <c r="Z23" s="40"/>
    </row>
    <row r="24">
      <c r="A24" s="40"/>
      <c r="B24" s="62"/>
      <c r="C24" s="40"/>
      <c r="D24" s="40"/>
      <c r="E24" s="40"/>
      <c r="F24" s="40"/>
      <c r="G24" s="40"/>
      <c r="H24" s="40"/>
      <c r="I24" s="40"/>
      <c r="J24" s="40"/>
      <c r="K24" s="40"/>
      <c r="L24" s="40"/>
      <c r="M24" s="40"/>
      <c r="N24" s="40"/>
      <c r="O24" s="40"/>
      <c r="P24" s="40"/>
      <c r="Q24" s="40"/>
      <c r="R24" s="40"/>
      <c r="S24" s="40"/>
      <c r="T24" s="40"/>
      <c r="U24" s="40"/>
      <c r="V24" s="40"/>
      <c r="W24" s="40"/>
      <c r="X24" s="40"/>
      <c r="Y24" s="40"/>
      <c r="Z24" s="40"/>
    </row>
    <row r="25">
      <c r="A25" s="40"/>
      <c r="B25" s="62"/>
      <c r="C25" s="40"/>
      <c r="D25" s="40"/>
      <c r="E25" s="40"/>
      <c r="F25" s="40"/>
      <c r="G25" s="40"/>
      <c r="H25" s="40"/>
      <c r="I25" s="40"/>
      <c r="J25" s="40"/>
      <c r="K25" s="40"/>
      <c r="L25" s="40"/>
      <c r="M25" s="40"/>
      <c r="N25" s="40"/>
      <c r="O25" s="40"/>
      <c r="P25" s="40"/>
      <c r="Q25" s="40"/>
      <c r="R25" s="40"/>
      <c r="S25" s="40"/>
      <c r="T25" s="40"/>
      <c r="U25" s="40"/>
      <c r="V25" s="40"/>
      <c r="W25" s="40"/>
      <c r="X25" s="40"/>
      <c r="Y25" s="40"/>
      <c r="Z25" s="40"/>
    </row>
    <row r="26">
      <c r="A26" s="40"/>
      <c r="B26" s="62"/>
      <c r="C26" s="40"/>
      <c r="D26" s="40"/>
      <c r="E26" s="40"/>
      <c r="F26" s="40"/>
      <c r="G26" s="40"/>
      <c r="H26" s="40"/>
      <c r="I26" s="40"/>
      <c r="J26" s="40"/>
      <c r="K26" s="40"/>
      <c r="L26" s="40"/>
      <c r="M26" s="40"/>
      <c r="N26" s="40"/>
      <c r="O26" s="40"/>
      <c r="P26" s="40"/>
      <c r="Q26" s="40"/>
      <c r="R26" s="40"/>
      <c r="S26" s="40"/>
      <c r="T26" s="40"/>
      <c r="U26" s="40"/>
      <c r="V26" s="40"/>
      <c r="W26" s="40"/>
      <c r="X26" s="40"/>
      <c r="Y26" s="40"/>
      <c r="Z26" s="40"/>
    </row>
    <row r="27">
      <c r="A27" s="40"/>
      <c r="B27" s="62"/>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62"/>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62"/>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62"/>
      <c r="C30" s="40"/>
      <c r="D30" s="40"/>
      <c r="E30" s="40"/>
      <c r="F30" s="40"/>
      <c r="G30" s="40"/>
      <c r="H30" s="40"/>
      <c r="I30" s="40"/>
      <c r="J30" s="40"/>
      <c r="K30" s="40"/>
      <c r="L30" s="40"/>
      <c r="M30" s="40"/>
      <c r="N30" s="40"/>
      <c r="O30" s="40"/>
      <c r="P30" s="40"/>
      <c r="Q30" s="40"/>
      <c r="R30" s="40"/>
      <c r="S30" s="40"/>
      <c r="T30" s="40"/>
      <c r="U30" s="40"/>
      <c r="V30" s="40"/>
      <c r="W30" s="40"/>
      <c r="X30" s="40"/>
      <c r="Y30" s="40"/>
      <c r="Z30" s="4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74.14"/>
    <col customWidth="1" min="2" max="2" width="10.86"/>
    <col customWidth="1" min="3" max="3" width="12.14"/>
    <col customWidth="1" min="4" max="4" width="12.43"/>
    <col customWidth="1" min="5" max="5" width="17.86"/>
    <col customWidth="1" min="6" max="6" width="10.86"/>
    <col customWidth="1" min="7" max="7" width="15.57"/>
    <col customWidth="1" min="8" max="8" width="61.71"/>
  </cols>
  <sheetData>
    <row r="1" ht="13.5" customHeight="1">
      <c r="A1" s="63" t="s">
        <v>68</v>
      </c>
      <c r="B1" s="23" t="s">
        <v>39</v>
      </c>
      <c r="C1" s="23" t="s">
        <v>69</v>
      </c>
      <c r="D1" s="23" t="s">
        <v>55</v>
      </c>
      <c r="E1" s="23" t="s">
        <v>70</v>
      </c>
      <c r="F1" s="64" t="s">
        <v>71</v>
      </c>
      <c r="G1" s="65"/>
      <c r="H1" s="65"/>
    </row>
    <row r="2" ht="13.5" customHeight="1">
      <c r="A2" s="41" t="s">
        <v>72</v>
      </c>
      <c r="B2" s="66"/>
      <c r="C2" s="66"/>
      <c r="D2" s="66"/>
      <c r="E2" s="66"/>
      <c r="F2" s="67"/>
      <c r="G2" s="68"/>
      <c r="H2" s="68"/>
    </row>
    <row r="3" ht="8.25" customHeight="1">
      <c r="A3" s="69" t="s">
        <v>73</v>
      </c>
      <c r="B3" s="70">
        <f t="array" ref="B3">index($A$1:$H$33,match($A3,$A$1:$A$33,0),match($A$16,$A$1:$F$1,0))</f>
        <v>1</v>
      </c>
      <c r="C3" s="71">
        <v>1.0</v>
      </c>
      <c r="D3" s="71"/>
      <c r="E3" s="71">
        <f>1/2.5</f>
        <v>0.4</v>
      </c>
      <c r="F3" s="72"/>
      <c r="G3" s="68"/>
      <c r="H3" s="68"/>
    </row>
    <row r="4" ht="13.5" customHeight="1">
      <c r="A4" s="41"/>
      <c r="B4" s="73"/>
      <c r="C4" s="49"/>
      <c r="D4" s="49"/>
      <c r="E4" s="74"/>
      <c r="F4" s="75"/>
      <c r="G4" s="68"/>
      <c r="H4" s="68"/>
    </row>
    <row r="5" ht="13.5" customHeight="1">
      <c r="A5" s="41" t="s">
        <v>74</v>
      </c>
      <c r="B5" s="73"/>
      <c r="C5" s="49"/>
      <c r="D5" s="49"/>
      <c r="E5" s="74"/>
      <c r="F5" s="75"/>
      <c r="G5" s="68"/>
      <c r="H5" s="68"/>
    </row>
    <row r="6" ht="13.5" customHeight="1">
      <c r="A6" s="76" t="s">
        <v>75</v>
      </c>
      <c r="B6" s="77">
        <f t="shared" ref="B6:B7" si="1">index($A$1:$H$33,match($A6,$A$1:$A$33,0),match($A$16,$A$1:$F$1,0))</f>
        <v>100</v>
      </c>
      <c r="C6" s="76">
        <v>100.0</v>
      </c>
      <c r="D6" s="76"/>
      <c r="E6" s="76">
        <v>36.53</v>
      </c>
      <c r="F6" s="78" t="str">
        <f>HYPERLINK("http://journals.plos.org/plosone/article/figure/image?size=large&amp;id=info:doi/10.1371/journal.pone.0008988.g002","Chart from Carneiro et al. 2010 showing malaria deaths by age")</f>
        <v>Chart from Carneiro et al. 2010 showing malaria deaths by age</v>
      </c>
      <c r="G6" s="68"/>
      <c r="H6" s="68"/>
    </row>
    <row r="7" ht="13.5" customHeight="1">
      <c r="A7" s="76" t="s">
        <v>76</v>
      </c>
      <c r="B7" s="77">
        <f t="shared" si="1"/>
        <v>100</v>
      </c>
      <c r="C7" s="76">
        <v>100.0</v>
      </c>
      <c r="D7" s="76"/>
      <c r="E7" s="76">
        <v>29.77</v>
      </c>
      <c r="F7" s="78" t="str">
        <f>HYPERLINK("https://docs.google.com/spreadsheets/d/1i_f1yJE0x5zHIG89fkcA579Ij37keQPRYfMUxIXg2MU/edit?usp=sharing","Malaria deaths by age based on 2015 Global Burden of Disease estimates")</f>
        <v>Malaria deaths by age based on 2015 Global Burden of Disease estimates</v>
      </c>
      <c r="G7" s="68"/>
      <c r="H7" s="68"/>
    </row>
    <row r="8" ht="13.5" customHeight="1">
      <c r="A8" s="41"/>
      <c r="B8" s="79"/>
      <c r="C8" s="58"/>
      <c r="D8" s="58"/>
      <c r="E8" s="80"/>
      <c r="F8" s="75"/>
      <c r="G8" s="68"/>
      <c r="H8" s="68"/>
    </row>
    <row r="9" ht="13.5" customHeight="1">
      <c r="A9" s="41" t="s">
        <v>77</v>
      </c>
      <c r="B9" s="79"/>
      <c r="C9" s="58"/>
      <c r="D9" s="58"/>
      <c r="E9" s="80"/>
      <c r="F9" s="75"/>
      <c r="G9" s="68"/>
      <c r="H9" s="68"/>
    </row>
    <row r="10" ht="13.5" customHeight="1">
      <c r="A10" s="81" t="s">
        <v>78</v>
      </c>
      <c r="B10" s="77">
        <f t="array" ref="B10">index($A$1:$H$33,match($A10,$A$1:$A$33,0),match($A$16,$A$1:$F$1,0))</f>
        <v>100</v>
      </c>
      <c r="C10" s="76">
        <v>100.0</v>
      </c>
      <c r="D10" s="76"/>
      <c r="E10" s="80">
        <v>36.53</v>
      </c>
      <c r="F10" s="78" t="str">
        <f>HYPERLINK("http://journals.plos.org/plosone/article/figure/image?size=large&amp;id=info:doi/10.1371/journal.pone.0008988.g002","Chart from Carneiro et al. 2010 showing malaria deaths by age")</f>
        <v>Chart from Carneiro et al. 2010 showing malaria deaths by age</v>
      </c>
      <c r="G10" s="68"/>
      <c r="H10" s="68"/>
    </row>
    <row r="11">
      <c r="A11" s="41"/>
      <c r="B11" s="79"/>
      <c r="C11" s="82"/>
      <c r="D11" s="82"/>
      <c r="E11" s="83"/>
      <c r="F11" s="84"/>
      <c r="G11" s="68"/>
      <c r="H11" s="68"/>
    </row>
    <row r="12">
      <c r="A12" s="41" t="s">
        <v>79</v>
      </c>
      <c r="B12" s="79"/>
      <c r="C12" s="82"/>
      <c r="D12" s="82"/>
      <c r="E12" s="83"/>
      <c r="F12" s="84"/>
      <c r="G12" s="68"/>
      <c r="H12" s="68"/>
    </row>
    <row r="13" ht="13.5" customHeight="1">
      <c r="A13" s="81" t="s">
        <v>80</v>
      </c>
      <c r="B13" s="77">
        <f t="array" ref="B13">index($A$1:$H$33,match($A13,$A$1:$A$33,0),match($A$16,$A$1:$F$1,0))</f>
        <v>100</v>
      </c>
      <c r="C13" s="76">
        <v>100.0</v>
      </c>
      <c r="D13" s="76"/>
      <c r="E13" s="76">
        <v>36.53</v>
      </c>
      <c r="F13" s="85"/>
      <c r="G13" s="68"/>
      <c r="H13" s="68"/>
    </row>
    <row r="14">
      <c r="A14" s="41"/>
      <c r="B14" s="82"/>
      <c r="C14" s="82"/>
      <c r="D14" s="82"/>
      <c r="E14" s="82"/>
      <c r="F14" s="84"/>
      <c r="G14" s="68"/>
      <c r="H14" s="68"/>
    </row>
    <row r="15">
      <c r="A15" s="59" t="s">
        <v>67</v>
      </c>
      <c r="B15" s="82"/>
      <c r="C15" s="82"/>
      <c r="D15" s="82"/>
      <c r="E15" s="82"/>
      <c r="F15" s="84"/>
      <c r="G15" s="68"/>
      <c r="H15" s="68"/>
    </row>
    <row r="16">
      <c r="A16" s="86" t="str">
        <f>Results!C7</f>
        <v>GiveWell 2019</v>
      </c>
      <c r="B16" s="82"/>
      <c r="C16" s="82"/>
      <c r="D16" s="82"/>
      <c r="E16" s="82"/>
      <c r="F16" s="84"/>
      <c r="G16" s="68"/>
      <c r="H16" s="68"/>
    </row>
    <row r="17">
      <c r="A17" s="41"/>
      <c r="B17" s="82"/>
      <c r="C17" s="82"/>
      <c r="D17" s="82"/>
      <c r="E17" s="82"/>
      <c r="F17" s="84"/>
      <c r="G17" s="68"/>
      <c r="H17" s="68"/>
    </row>
    <row r="18" ht="13.5" customHeight="1">
      <c r="A18" s="87" t="s">
        <v>81</v>
      </c>
      <c r="B18" s="88"/>
      <c r="C18" s="88"/>
      <c r="D18" s="88"/>
      <c r="E18" s="88"/>
      <c r="F18" s="88"/>
      <c r="G18" s="89"/>
      <c r="H18" s="89"/>
    </row>
    <row r="19" ht="13.5" customHeight="1">
      <c r="A19" s="90" t="s">
        <v>82</v>
      </c>
      <c r="B19" s="91">
        <f>B3*(ln(1.1)/ln(2))</f>
        <v>0.1375035237</v>
      </c>
      <c r="C19" s="91">
        <f t="shared" ref="C19:D19" si="2">if(C3&gt;0,C3*(ln(1.1)/ln(2)),"")</f>
        <v>0.1375035237</v>
      </c>
      <c r="D19" s="91" t="str">
        <f t="shared" si="2"/>
        <v/>
      </c>
      <c r="E19" s="91">
        <f>E3*(ln(1.1)/ln(2))</f>
        <v>0.0550014095</v>
      </c>
      <c r="F19" s="92"/>
      <c r="G19" s="93"/>
      <c r="H19" s="68"/>
    </row>
    <row r="20" ht="13.5" customHeight="1">
      <c r="A20" s="90" t="s">
        <v>83</v>
      </c>
      <c r="B20" s="91">
        <f>B3*(ln(1.25)/ln(2))</f>
        <v>0.3219280949</v>
      </c>
      <c r="C20" s="91">
        <f t="shared" ref="C20:D20" si="3">if(C3&gt;0,C3*(ln(1.25)/ln(2)),"")</f>
        <v>0.3219280949</v>
      </c>
      <c r="D20" s="91" t="str">
        <f t="shared" si="3"/>
        <v/>
      </c>
      <c r="E20" s="91">
        <f>E3*(ln(1.25)/ln(2))</f>
        <v>0.128771238</v>
      </c>
      <c r="F20" s="92"/>
      <c r="G20" s="93"/>
      <c r="H20" s="68"/>
    </row>
    <row r="21" ht="13.5" customHeight="1">
      <c r="A21" s="94" t="s">
        <v>84</v>
      </c>
      <c r="B21" s="91">
        <f>B3/ln(2)</f>
        <v>1.442695041</v>
      </c>
      <c r="C21" s="91">
        <f t="shared" ref="C21:D21" si="4">if(C3&gt;0,C3/ln(2),"")</f>
        <v>1.442695041</v>
      </c>
      <c r="D21" s="91" t="str">
        <f t="shared" si="4"/>
        <v/>
      </c>
      <c r="E21" s="91">
        <f>E3/ln(2)</f>
        <v>0.5770780164</v>
      </c>
      <c r="F21" s="92"/>
      <c r="G21" s="93"/>
      <c r="H21" s="68"/>
    </row>
    <row r="22" ht="13.5" customHeight="1">
      <c r="A22" s="95"/>
      <c r="B22" s="96"/>
      <c r="C22" s="96"/>
      <c r="D22" s="96"/>
      <c r="E22" s="96"/>
      <c r="F22" s="96"/>
      <c r="G22" s="93"/>
      <c r="H22" s="68"/>
    </row>
    <row r="23" ht="13.5" customHeight="1">
      <c r="A23" s="97" t="s">
        <v>85</v>
      </c>
      <c r="B23" s="98">
        <f>100*B3*(ln(1.1)/ln(2))</f>
        <v>13.75035237</v>
      </c>
      <c r="C23" s="98">
        <f t="shared" ref="C23:D23" si="5">if(C3&gt;0,100*C3*(ln(1.1)/ln(2)),"")</f>
        <v>13.75035237</v>
      </c>
      <c r="D23" s="98" t="str">
        <f t="shared" si="5"/>
        <v/>
      </c>
      <c r="E23" s="98">
        <f>100*E3*(ln(1.1)/ln(2))</f>
        <v>5.50014095</v>
      </c>
      <c r="F23" s="96"/>
      <c r="G23" s="93"/>
      <c r="H23" s="68"/>
    </row>
    <row r="24" ht="13.5" customHeight="1">
      <c r="A24" s="97" t="s">
        <v>86</v>
      </c>
      <c r="B24" s="98">
        <f>100*B3*(ln(1.25)/ln(2))</f>
        <v>32.19280949</v>
      </c>
      <c r="C24" s="98">
        <f t="shared" ref="C24:D24" si="6">if(C3&gt;0,100*C3*(ln(1.25)/ln(2)),"")</f>
        <v>32.19280949</v>
      </c>
      <c r="D24" s="98" t="str">
        <f t="shared" si="6"/>
        <v/>
      </c>
      <c r="E24" s="98">
        <f>100*E3*(ln(1.25)/ln(2))</f>
        <v>12.8771238</v>
      </c>
      <c r="F24" s="96"/>
      <c r="G24" s="93"/>
      <c r="H24" s="68"/>
    </row>
    <row r="25" ht="13.5" customHeight="1">
      <c r="A25" s="99"/>
      <c r="B25" s="100"/>
      <c r="C25" s="100"/>
      <c r="D25" s="100"/>
      <c r="E25" s="100"/>
      <c r="F25" s="101"/>
      <c r="G25" s="93"/>
      <c r="H25" s="68"/>
    </row>
    <row r="26" ht="13.5" customHeight="1">
      <c r="A26" s="102" t="s">
        <v>87</v>
      </c>
      <c r="B26" s="103"/>
      <c r="C26" s="103"/>
      <c r="D26" s="103"/>
      <c r="E26" s="103"/>
      <c r="F26" s="104"/>
      <c r="G26" s="105"/>
      <c r="H26" s="89"/>
    </row>
    <row r="27" ht="13.5" customHeight="1">
      <c r="A27" s="106" t="s">
        <v>88</v>
      </c>
      <c r="B27" s="107">
        <f t="shared" ref="B27:E27" si="7">iferror(B7/B6, " ")</f>
        <v>1</v>
      </c>
      <c r="C27" s="107">
        <f t="shared" si="7"/>
        <v>1</v>
      </c>
      <c r="D27" s="107" t="str">
        <f t="shared" si="7"/>
        <v> </v>
      </c>
      <c r="E27" s="107">
        <f t="shared" si="7"/>
        <v>0.8149466192</v>
      </c>
      <c r="F27" s="108"/>
      <c r="G27" s="93"/>
      <c r="H27" s="68"/>
    </row>
    <row r="28" ht="13.5" customHeight="1">
      <c r="A28" s="109" t="s">
        <v>89</v>
      </c>
      <c r="B28" s="107">
        <f t="shared" ref="B28:E28" si="8">iferror(B3/B6, " ")</f>
        <v>0.01</v>
      </c>
      <c r="C28" s="107">
        <f t="shared" si="8"/>
        <v>0.01</v>
      </c>
      <c r="D28" s="107" t="str">
        <f t="shared" si="8"/>
        <v> </v>
      </c>
      <c r="E28" s="107">
        <f t="shared" si="8"/>
        <v>0.01094990419</v>
      </c>
      <c r="F28" s="108"/>
      <c r="G28" s="93"/>
      <c r="H28" s="68"/>
    </row>
    <row r="29" ht="13.5" customHeight="1">
      <c r="A29" s="109" t="s">
        <v>90</v>
      </c>
      <c r="B29" s="107">
        <f t="shared" ref="B29:E29" si="9">iferror(B6/B10, " ")</f>
        <v>1</v>
      </c>
      <c r="C29" s="107">
        <f t="shared" si="9"/>
        <v>1</v>
      </c>
      <c r="D29" s="107" t="str">
        <f t="shared" si="9"/>
        <v> </v>
      </c>
      <c r="E29" s="107">
        <f t="shared" si="9"/>
        <v>1</v>
      </c>
      <c r="F29" s="108"/>
      <c r="G29" s="93"/>
      <c r="H29" s="68"/>
    </row>
    <row r="30" ht="13.5" customHeight="1">
      <c r="A30" s="110"/>
      <c r="B30" s="111"/>
      <c r="C30" s="111"/>
      <c r="D30" s="111"/>
      <c r="E30" s="111"/>
      <c r="F30" s="111"/>
      <c r="G30" s="112"/>
      <c r="H30" s="113"/>
    </row>
    <row r="31" ht="13.5" customHeight="1">
      <c r="A31" s="114" t="s">
        <v>91</v>
      </c>
      <c r="B31" s="115"/>
      <c r="C31" s="115"/>
      <c r="D31" s="115"/>
      <c r="E31" s="115"/>
      <c r="F31" s="115"/>
      <c r="G31" s="115"/>
      <c r="H31" s="75"/>
    </row>
    <row r="32" ht="13.5" customHeight="1">
      <c r="A32" s="116" t="s">
        <v>92</v>
      </c>
      <c r="B32" s="117"/>
      <c r="C32" s="117"/>
      <c r="D32" s="117"/>
      <c r="E32" s="117"/>
      <c r="F32" s="117"/>
      <c r="G32" s="117"/>
      <c r="H32" s="118"/>
    </row>
    <row r="33" ht="13.5" customHeight="1">
      <c r="A33" s="68"/>
      <c r="B33" s="117"/>
      <c r="C33" s="117"/>
      <c r="D33" s="117"/>
      <c r="E33" s="117"/>
      <c r="F33" s="117"/>
      <c r="G33" s="117"/>
      <c r="H33" s="7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76.14"/>
    <col customWidth="1" min="2" max="2" width="38.71"/>
    <col customWidth="1" min="3" max="3" width="38.43"/>
  </cols>
  <sheetData>
    <row r="1" ht="14.25" customHeight="1">
      <c r="A1" s="119" t="s">
        <v>12</v>
      </c>
      <c r="B1" s="120"/>
      <c r="C1" s="119"/>
    </row>
    <row r="2">
      <c r="A2" s="121"/>
      <c r="B2" s="95"/>
      <c r="C2" s="122"/>
    </row>
    <row r="3">
      <c r="A3" s="123" t="s">
        <v>93</v>
      </c>
      <c r="B3" s="95"/>
      <c r="C3" s="122"/>
    </row>
    <row r="4">
      <c r="A4" s="121"/>
      <c r="B4" s="95"/>
      <c r="C4" s="122"/>
    </row>
    <row r="5">
      <c r="A5" s="124" t="s">
        <v>94</v>
      </c>
      <c r="B5" s="125"/>
      <c r="C5" s="125"/>
    </row>
    <row r="6">
      <c r="A6" s="6" t="s">
        <v>8</v>
      </c>
      <c r="B6" s="122" t="s">
        <v>40</v>
      </c>
      <c r="C6" s="122" t="s">
        <v>40</v>
      </c>
    </row>
    <row r="7">
      <c r="A7" s="6" t="s">
        <v>10</v>
      </c>
      <c r="B7" s="122" t="s">
        <v>69</v>
      </c>
      <c r="C7" s="122" t="s">
        <v>69</v>
      </c>
    </row>
    <row r="8">
      <c r="A8" s="6" t="s">
        <v>95</v>
      </c>
      <c r="B8" s="126" t="s">
        <v>96</v>
      </c>
      <c r="C8" s="126" t="s">
        <v>96</v>
      </c>
    </row>
    <row r="9">
      <c r="A9" s="6" t="s">
        <v>97</v>
      </c>
      <c r="B9" s="126" t="s">
        <v>96</v>
      </c>
      <c r="C9" s="126" t="s">
        <v>96</v>
      </c>
    </row>
    <row r="10">
      <c r="A10" s="6" t="s">
        <v>98</v>
      </c>
      <c r="B10" s="126" t="s">
        <v>96</v>
      </c>
      <c r="C10" s="126" t="s">
        <v>96</v>
      </c>
    </row>
    <row r="11">
      <c r="A11" s="6" t="s">
        <v>99</v>
      </c>
      <c r="B11" s="126" t="s">
        <v>96</v>
      </c>
      <c r="C11" s="126" t="s">
        <v>96</v>
      </c>
    </row>
    <row r="12">
      <c r="A12" s="6" t="s">
        <v>100</v>
      </c>
      <c r="B12" s="126" t="s">
        <v>96</v>
      </c>
      <c r="C12" s="126" t="s">
        <v>96</v>
      </c>
    </row>
    <row r="13">
      <c r="A13" s="6" t="s">
        <v>101</v>
      </c>
      <c r="B13" s="126" t="s">
        <v>96</v>
      </c>
      <c r="C13" s="126" t="s">
        <v>96</v>
      </c>
    </row>
    <row r="14">
      <c r="A14" s="6" t="s">
        <v>102</v>
      </c>
      <c r="B14" s="122" t="s">
        <v>96</v>
      </c>
      <c r="C14" s="122" t="s">
        <v>96</v>
      </c>
    </row>
    <row r="15">
      <c r="A15" s="44" t="s">
        <v>103</v>
      </c>
      <c r="B15" s="126" t="s">
        <v>104</v>
      </c>
      <c r="C15" s="126" t="s">
        <v>104</v>
      </c>
    </row>
    <row r="16">
      <c r="A16" s="44" t="s">
        <v>105</v>
      </c>
      <c r="B16" s="126" t="s">
        <v>106</v>
      </c>
      <c r="C16" s="126" t="s">
        <v>106</v>
      </c>
    </row>
    <row r="17">
      <c r="A17" s="127"/>
      <c r="C17" s="128"/>
    </row>
    <row r="18">
      <c r="A18" s="121"/>
      <c r="B18" s="95"/>
      <c r="C18" s="129"/>
    </row>
    <row r="19">
      <c r="A19" s="124" t="s">
        <v>107</v>
      </c>
      <c r="B19" s="125"/>
      <c r="C19" s="130"/>
    </row>
    <row r="20">
      <c r="A20" s="131" t="s">
        <v>108</v>
      </c>
      <c r="B20" s="132">
        <f t="array" ref="B20">if(isnumber(B40),B40/index(Cash!$B:$B,match("Total units of value generated with hypothetical donation ($100,000)",Cash!$A:$A,0)),B40)</f>
        <v>17.20326647</v>
      </c>
      <c r="C20" s="132">
        <f t="array" ref="C20">if(isnumber(C40),C40/index(Cash!$B:$B,match("Total units of value generated with hypothetical donation ($100,000)",Cash!$A:$A,0)),C40)</f>
        <v>17.20326647</v>
      </c>
    </row>
    <row r="21">
      <c r="A21" s="131" t="s">
        <v>109</v>
      </c>
      <c r="B21" s="132">
        <f t="array" ref="B21">if(isnumber(B41),B41/index(Cash!$B:$B,match("Total units of value generated with hypothetical donation ($100,000)",Cash!$A:$A,0)),B41)</f>
        <v>1</v>
      </c>
      <c r="C21" s="132">
        <f t="array" ref="C21">if(isnumber(C41),C41/index(Cash!$B:$B,match("Total units of value generated with hypothetical donation ($100,000)",Cash!$A:$A,0)),C41)</f>
        <v>1</v>
      </c>
    </row>
    <row r="22">
      <c r="A22" s="131" t="s">
        <v>110</v>
      </c>
      <c r="B22" s="132">
        <f t="array" ref="B22">if(isnumber(B42),B42/index(Cash!$B:$B,match("Total units of value generated with hypothetical donation ($100,000)",Cash!$A:$A,0)),B42)</f>
        <v>60.55766073</v>
      </c>
      <c r="C22" s="132">
        <f t="array" ref="C22">if(isnumber(C42),C42/index(Cash!$B:$B,match("Total units of value generated with hypothetical donation ($100,000)",Cash!$A:$A,0)),C42)</f>
        <v>60.55766073</v>
      </c>
    </row>
    <row r="23">
      <c r="A23" s="131" t="s">
        <v>111</v>
      </c>
      <c r="B23" s="132">
        <f t="array" ref="B23">if(isnumber(B43),B43/index(Cash!$B:$B,match("Total units of value generated with hypothetical donation ($100,000)",Cash!$A:$A,0)),B43)</f>
        <v>5.166916505</v>
      </c>
      <c r="C23" s="132">
        <f t="array" ref="C23">if(isnumber(C43),C43/index(Cash!$B:$B,match("Total units of value generated with hypothetical donation ($100,000)",Cash!$A:$A,0)),C43)</f>
        <v>5.166916505</v>
      </c>
    </row>
    <row r="24">
      <c r="A24" s="131" t="s">
        <v>112</v>
      </c>
      <c r="B24" s="132">
        <f t="array" ref="B24">if(isnumber(B44),B44/index(Cash!$B:$B,match("Total units of value generated with hypothetical donation ($100,000)",Cash!$A:$A,0)),B44)</f>
        <v>10.05226068</v>
      </c>
      <c r="C24" s="132">
        <f t="array" ref="C24">if(isnumber(C44),C44/index(Cash!$B:$B,match("Total units of value generated with hypothetical donation ($100,000)",Cash!$A:$A,0)),C44)</f>
        <v>10.05226068</v>
      </c>
    </row>
    <row r="25" ht="13.5" customHeight="1">
      <c r="A25" s="131" t="s">
        <v>113</v>
      </c>
      <c r="B25" s="132">
        <f t="array" ref="B25">if(isnumber(B45),B45/index(Cash!$B:$B,match("Total units of value generated with hypothetical donation ($100,000)",Cash!$A:$A,0)),B45)</f>
        <v>9.687831433</v>
      </c>
      <c r="C25" s="132">
        <f t="array" ref="C25">if(isnumber(C45),C45/index(Cash!$B:$B,match("Total units of value generated with hypothetical donation ($100,000)",Cash!$A:$A,0)),C45)</f>
        <v>9.687831433</v>
      </c>
    </row>
    <row r="26">
      <c r="A26" s="131" t="s">
        <v>114</v>
      </c>
      <c r="B26" s="132">
        <f t="array" ref="B26">if(isnumber(B46),B46/index(Cash!$B:$B,match("Total units of value generated with hypothetical donation ($100,000)",Cash!$A:$A,0)),B46)</f>
        <v>15.76292479</v>
      </c>
      <c r="C26" s="132">
        <f t="array" ref="C26">if(isnumber(C46),C46/index(Cash!$B:$B,match("Total units of value generated with hypothetical donation ($100,000)",Cash!$A:$A,0)),C46)</f>
        <v>15.76292479</v>
      </c>
    </row>
    <row r="27">
      <c r="A27" s="131" t="s">
        <v>115</v>
      </c>
      <c r="B27" s="132">
        <f t="array" ref="B27">if(isnumber(B47),B47/index(Cash!$B:$B,match("Total units of value generated with hypothetical donation ($100,000)",Cash!$A:$A,0)),B47)</f>
        <v>12.62235239</v>
      </c>
      <c r="C27" s="132">
        <f t="array" ref="C27">if(isnumber(C47),C47/index(Cash!$B:$B,match("Total units of value generated with hypothetical donation ($100,000)",Cash!$A:$A,0)),C47)</f>
        <v>12.62235239</v>
      </c>
    </row>
    <row r="28">
      <c r="A28" s="119"/>
      <c r="B28" s="132"/>
      <c r="C28" s="133"/>
    </row>
    <row r="29">
      <c r="A29" s="124" t="s">
        <v>116</v>
      </c>
      <c r="B29" s="134" t="s">
        <v>117</v>
      </c>
      <c r="C29" s="135" t="s">
        <v>117</v>
      </c>
    </row>
    <row r="30">
      <c r="A30" s="136" t="s">
        <v>118</v>
      </c>
      <c r="B30" s="137">
        <f t="array" ref="B30">if(isnumber(B40),index('Moral weights'!$A$1:$ZF$33,match(CONCATENATE("Value assigned to ",mid(B$29, 30,1000)),'Moral weights'!$A$1:$A$33,0),match("Active",'Moral weights'!$A$1:$ZF$1,0))/B40*100000,B40)</f>
        <v>1689.660928</v>
      </c>
      <c r="C30" s="137">
        <f t="array" ref="C30">if(isnumber(C40),index('Moral weights'!$A$1:$ZF$33,match(CONCATENATE("Value assigned to ",mid($C$29, 30,1000)),'Moral weights'!$A$1:$A$33,0),match("Active",'Moral weights'!$A$1:$ZF$1,0))/C40*100000,C40)</f>
        <v>1689.660928</v>
      </c>
    </row>
    <row r="31">
      <c r="A31" s="138" t="s">
        <v>119</v>
      </c>
      <c r="B31" s="137">
        <f t="array" ref="B31">if(isnumber(B41),index('Moral weights'!$A$1:$ZF$33,match(CONCATENATE("Value assigned to ",mid(B$29, 30,1000)),'Moral weights'!$A$1:$A$33,0),match("Active",'Moral weights'!$A$1:$ZF$1,0))/B41*100000,B41)</f>
        <v>29067.68718</v>
      </c>
      <c r="C31" s="137">
        <f t="array" ref="C31">if(isnumber(C41),index('Moral weights'!$A$1:$ZF$33,match(CONCATENATE("Value assigned to ",mid($C$29, 30,1000)),'Moral weights'!$A$1:$A$33,0),match("Active",'Moral weights'!$A$1:$ZF$1,0))/C41*100000,C41)</f>
        <v>29067.68718</v>
      </c>
    </row>
    <row r="32">
      <c r="A32" s="138" t="s">
        <v>120</v>
      </c>
      <c r="B32" s="137">
        <f t="array" ref="B32">if(isnumber(B42),index('Moral weights'!$A$1:$ZF$33,match(CONCATENATE("Value assigned to ",mid(B$29, 30,1000)),'Moral weights'!$A$1:$A$33,0),match("Active",'Moral weights'!$A$1:$ZF$1,0))/B42*100000,B42)</f>
        <v>480.0001657</v>
      </c>
      <c r="C32" s="137">
        <f t="array" ref="C32">if(isnumber(C42),index('Moral weights'!$A$1:$ZF$33,match(CONCATENATE("Value assigned to ",mid($C$29, 30,1000)),'Moral weights'!$A$1:$A$33,0),match("Active",'Moral weights'!$A$1:$ZF$1,0))/C42*100000,C42)</f>
        <v>480.0001657</v>
      </c>
    </row>
    <row r="33">
      <c r="A33" s="138" t="s">
        <v>121</v>
      </c>
      <c r="B33" s="137">
        <f t="array" ref="B33">if(isnumber(B43),index('Moral weights'!$A$1:$ZF$33,match(CONCATENATE("Value assigned to ",mid(B$29, 30,1000)),'Moral weights'!$A$1:$A$33,0),match("Active",'Moral weights'!$A$1:$ZF$1,0))/B43*100000,B43)</f>
        <v>5625.731933</v>
      </c>
      <c r="C33" s="137">
        <f t="array" ref="C33">if(isnumber(C43),index('Moral weights'!$A$1:$ZF$33,match(CONCATENATE("Value assigned to ",mid($C$29, 30,1000)),'Moral weights'!$A$1:$A$33,0),match("Active",'Moral weights'!$A$1:$ZF$1,0))/C43*100000,C43)</f>
        <v>5625.731933</v>
      </c>
    </row>
    <row r="34">
      <c r="A34" s="139" t="s">
        <v>122</v>
      </c>
      <c r="B34" s="137">
        <f t="array" ref="B34">if(isnumber(B44),index('Moral weights'!$A$1:$ZF$33,match(CONCATENATE("Value assigned to ",mid(B$29, 30,1000)),'Moral weights'!$A$1:$A$33,0),match("Active",'Moral weights'!$A$1:$ZF$1,0))/B44*100000,B44)</f>
        <v>2891.656723</v>
      </c>
      <c r="C34" s="137">
        <f t="array" ref="C34">if(isnumber(C44),index('Moral weights'!$A$1:$ZF$33,match(CONCATENATE("Value assigned to ",mid($C$29, 30,1000)),'Moral weights'!$A$1:$A$33,0),match("Active",'Moral weights'!$A$1:$ZF$1,0))/C44*100000,C44)</f>
        <v>2891.656723</v>
      </c>
    </row>
    <row r="35">
      <c r="A35" s="138" t="s">
        <v>123</v>
      </c>
      <c r="B35" s="137">
        <f t="array" ref="B35">if(isnumber(B45),index('Moral weights'!$A$1:$ZF$33,match(CONCATENATE("Value assigned to ",mid(B$29, 30,1000)),'Moral weights'!$A$1:$A$33,0),match("Active",'Moral weights'!$A$1:$ZF$1,0))/B45*100000,B45)</f>
        <v>3000.432799</v>
      </c>
      <c r="C35" s="137">
        <f t="array" ref="C35">if(isnumber(C45),index('Moral weights'!$A$1:$ZF$33,match(CONCATENATE("Value assigned to ",mid($C$29, 30,1000)),'Moral weights'!$A$1:$A$33,0),match("Active",'Moral weights'!$A$1:$ZF$1,0))/C45*100000,C45)</f>
        <v>3000.432799</v>
      </c>
    </row>
    <row r="36">
      <c r="A36" s="138" t="s">
        <v>77</v>
      </c>
      <c r="B36" s="137">
        <f t="array" ref="B36">if(isnumber(B46),index('Moral weights'!$A$1:$ZF$33,match(CONCATENATE("Value assigned to ",mid(B$29, 30,1000)),'Moral weights'!$A$1:$A$33,0),match("Active",'Moral weights'!$A$1:$ZF$1,0))/B46*100000,B46)</f>
        <v>1844.054169</v>
      </c>
      <c r="C36" s="137">
        <f t="array" ref="C36">if(isnumber(C46),index('Moral weights'!$A$1:$ZF$33,match(CONCATENATE("Value assigned to ",mid($C$29, 30,1000)),'Moral weights'!$A$1:$A$33,0),match("Active",'Moral weights'!$A$1:$ZF$1,0))/C46*100000,C46)</f>
        <v>1844.054169</v>
      </c>
    </row>
    <row r="37">
      <c r="A37" s="138" t="s">
        <v>124</v>
      </c>
      <c r="B37" s="137">
        <f t="array" ref="B37">if(isnumber(B47),index('Moral weights'!$A$1:$ZF$33,match(CONCATENATE("Value assigned to ",mid(B$29, 30,1000)),'Moral weights'!$A$1:$A$33,0),match("Active",'Moral weights'!$A$1:$ZF$1,0))/B47*100000,B47)</f>
        <v>2302.874004</v>
      </c>
      <c r="C37" s="137">
        <f t="array" ref="C37">if(isnumber(C47),index('Moral weights'!$A$1:$ZF$33,match(CONCATENATE("Value assigned to ",mid($C$29, 30,1000)),'Moral weights'!$A$1:$A$33,0),match("Active",'Moral weights'!$A$1:$ZF$1,0))/C47*100000,C47)</f>
        <v>2302.874004</v>
      </c>
    </row>
    <row r="38">
      <c r="A38" s="140"/>
      <c r="B38" s="132"/>
      <c r="C38" s="133"/>
    </row>
    <row r="39">
      <c r="A39" s="124" t="s">
        <v>125</v>
      </c>
      <c r="B39" s="125"/>
      <c r="C39" s="141"/>
    </row>
    <row r="40">
      <c r="A40" s="142" t="s">
        <v>118</v>
      </c>
      <c r="B40" s="143">
        <f t="array" ref="B40">if(and(B15="Do not include leverage/funging adjustments",B16="Include additional adjustments"),"Adjustment combination unsupported",
iferror(
index(Bednets!$B:$B,match(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Bednets!$A:$A,0)),
"Error with settings"))</f>
        <v>5918.347188</v>
      </c>
      <c r="C40" s="143">
        <f t="array" ref="C40">if(and(C15="Do not include leverage/funging adjustments",C16="Include additional adjustments"),"Adjustment combination unsupported",
iferror(
index(Bednets!$B:$B,match(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Bednets!$A:$A,0)),
"Error with settings"))</f>
        <v>5918.347188</v>
      </c>
    </row>
    <row r="41">
      <c r="A41" s="144" t="s">
        <v>119</v>
      </c>
      <c r="B41" s="143">
        <f t="array" ref="B41">iferror(
index(Cash!$B:$B,match(
if(B16="Include additional adjustments","Total units of value generated with hypothetical donation ($100,000), after accounting for downside adjustments and adjustments for excluded effects",
if(B16="Do not include additional adjustments","Total units of value generated with hypothetical donation ($100,000)",
"Error with settings for inclusion and exclusion of adjustments")),
Cash!$A:$A,0)),
"Error with settings")</f>
        <v>344.0246187</v>
      </c>
      <c r="C41" s="143">
        <f t="array" ref="C41">iferror(
index(Cash!$B:$B,match(
if(C16="Include additional adjustments","Total units of value generated with hypothetical donation ($100,000), after accounting for downside adjustments and adjustments for excluded effects",
if(C16="Do not include additional adjustments","Total units of value generated with hypothetical donation ($100,000)",
"Error with settings for inclusion and exclusion of adjustments")),
Cash!$A:$A,0)),
"Error with settings")</f>
        <v>344.0246187</v>
      </c>
    </row>
    <row r="42">
      <c r="A42" s="142" t="s">
        <v>120</v>
      </c>
      <c r="B42" s="143">
        <f t="array" ref="B42">if(and(B15="Do not include leverage/funging adjustments",B16="Include additional adjustments"),"Adjustment combination unsupported",
iferror(
index('Deworming - DtW'!$B:$B,match(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'Deworming - DtW'!$A:$A,0)),
"Error with settings"))</f>
        <v>20833.32614</v>
      </c>
      <c r="C42" s="143">
        <f t="array" ref="C42">if(and(C15="Do not include leverage/funging adjustments",C16="Include additional adjustments"),"Adjustment combination unsupported",
iferror(
index('Deworming - DtW'!$B:$B,match(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'Deworming - DtW'!$A:$A,0)),
"Error with settings"))</f>
        <v>20833.32614</v>
      </c>
    </row>
    <row r="43">
      <c r="A43" s="142" t="s">
        <v>121</v>
      </c>
      <c r="B43" s="143">
        <f t="array" ref="B43">if(and(B15="Do not include leverage/funging adjustments",B16="Include additional adjustments"),"Adjustment combination unsupported",
iferror(
index('Deworming - END'!$B:$B,match(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'Deworming - END'!$A:$A,0)),
"Error with settings"))</f>
        <v>1777.546481</v>
      </c>
      <c r="C43" s="143">
        <f t="array" ref="C43">if(and(C15="Do not include leverage/funging adjustments",C16="Include additional adjustments"),"Adjustment combination unsupported",
iferror(
index('Deworming - END'!$B:$B,match(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'Deworming - END'!$A:$A,0)),
"Error with settings"))</f>
        <v>1777.546481</v>
      </c>
    </row>
    <row r="44">
      <c r="A44" s="145" t="s">
        <v>122</v>
      </c>
      <c r="B44" s="143">
        <f t="array" ref="B44">if(and(B15="Do not include leverage/funging adjustments",B16="Include additional adjustments"),"Adjustment combination unsupported",
iferror(
index('Deworming - SCI'!$B:$B,match(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'Deworming - SCI'!$A:$A,0)),
"Error with settings"))</f>
        <v>3458.225149</v>
      </c>
      <c r="C44" s="143">
        <f t="array" ref="C44">if(and(C15="Do not include leverage/funging adjustments",C16="Include additional adjustments"),"Adjustment combination unsupported",
iferror(
index('Deworming - SCI'!$B:$B,match(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'Deworming - SCI'!$A:$A,0)),
"Error with settings"))</f>
        <v>3458.225149</v>
      </c>
    </row>
    <row r="45">
      <c r="A45" s="142" t="s">
        <v>123</v>
      </c>
      <c r="B45" s="143">
        <f t="array" ref="B45">if(and(B15="Do not include leverage/funging adjustments",B16="Include additional adjustments"),"Adjustment combination unsupported",
iferror(
index('Deworming - SS'!$B:$B,match(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'Deworming - SS'!$A:$A,0)),
"Error with settings"))</f>
        <v>3332.852515</v>
      </c>
      <c r="C45" s="143">
        <f t="array" ref="C45">if(and(C15="Do not include leverage/funging adjustments",C16="Include additional adjustments"),"Adjustment combination unsupported",
iferror(
index('Deworming - SS'!$B:$B,match(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'Deworming - SS'!$A:$A,0)),
"Error with settings"))</f>
        <v>3332.852515</v>
      </c>
    </row>
    <row r="46">
      <c r="A46" s="142" t="s">
        <v>77</v>
      </c>
      <c r="B46" s="143">
        <f t="array" ref="B46">if(and(B15="Do not include leverage/funging adjustments",B16="Include additional adjustments"),"Adjustment combination unsupported",
iferror(
index(SMC!$B:$B,match(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SMC!$A:$A,0)),
"Error with settings"))</f>
        <v>5422.834193</v>
      </c>
      <c r="C46" s="143">
        <f t="array" ref="C46">if(and(C15="Do not include leverage/funging adjustments",C16="Include additional adjustments"),"Adjustment combination unsupported",
iferror(
index(SMC!$B:$B,match(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SMC!$A:$A,0)),
"Error with settings"))</f>
        <v>5422.834193</v>
      </c>
    </row>
    <row r="47">
      <c r="A47" s="142" t="s">
        <v>124</v>
      </c>
      <c r="B47" s="146">
        <f t="array" ref="B47">if(and(B15="Do not include leverage/funging adjustments",B16="Include additional adjustments"),"Adjustment combination unsupported",
iferror(
index(VAS!$B:$B,match(
if(and(B15="Include leverage/funging adjustments",B16="Include additional adjustments"),"Total units of value generated with hypothetical donation ($100,000) if entire donation went to each country, after accounting for leverage/funging, downside adjustments, and adjustments for excluded effects",
if(and(B15="Include leverage/funging adjustments",B16="Do not include additional adjustments"),"Total units of value generated with hypothetical donation ($100,000) if entire donation went to each country, after accounting for leverage/funging",
if(and(B15="Do not include leverage/funging adjustments",B16="Do not include additional adjustments"),"Total units of value generated with hypothetical donation ($100,000) if entire donation went to each country, before accounting for leverage/funging",
"Error with settings for inclusion and exclusion of adjustments"))),
VAS!$A:$A,0)),
"Error with settings"))</f>
        <v>4342.399968</v>
      </c>
      <c r="C47" s="146">
        <f t="array" ref="C47">if(and(C15="Do not include leverage/funging adjustments",C16="Include additional adjustments"),"Adjustment combination unsupported",
iferror(
index(VAS!$B:$B,match(
if(and(C15="Include leverage/funging adjustments",C16="Include additional adjustments"),"Total units of value generated with hypothetical donation ($100,000) if entire donation went to each country, after accounting for leverage/funging, downside adjustments, and adjustments for excluded effects",
if(and(C15="Include leverage/funging adjustments",C16="Do not include additional adjustments"),"Total units of value generated with hypothetical donation ($100,000) if entire donation went to each country, after accounting for leverage/funging",
if(and(C15="Do not include leverage/funging adjustments",C16="Do not include additional adjustments"),"Total units of value generated with hypothetical donation ($100,000) if entire donation went to each country, before accounting for leverage/funging",
"Error with settings for inclusion and exclusion of adjustments"))),
VAS!$A:$A,0)),
"Error with settings"))</f>
        <v>4342.399968</v>
      </c>
    </row>
    <row r="48">
      <c r="A48" s="147"/>
      <c r="B48" s="132"/>
      <c r="C48" s="133"/>
    </row>
    <row r="49">
      <c r="A49" s="124" t="s">
        <v>126</v>
      </c>
      <c r="B49" s="125"/>
      <c r="C49" s="148"/>
    </row>
    <row r="50">
      <c r="A50" s="149" t="s">
        <v>16</v>
      </c>
      <c r="B50" s="150"/>
      <c r="C50" s="151"/>
    </row>
    <row r="51">
      <c r="A51" s="152" t="s">
        <v>127</v>
      </c>
      <c r="B51" s="153">
        <f t="array" ref="B51">index(Cash!$A$1:$ZM$58,match($A$51,Cash!$A$1:$A$58,0),match("Active",Cash!$A$1:$ZM$1,0))</f>
        <v>0.5816553919</v>
      </c>
      <c r="C51" s="154">
        <f t="array" ref="C51">index(Cash!$A$1:$ZM$58,match($A$51,Cash!$A$1:$A$58,0),match("Active",Cash!$A$1:$ZM$1,0))</f>
        <v>0.5816553919</v>
      </c>
    </row>
    <row r="52">
      <c r="A52" s="152" t="s">
        <v>128</v>
      </c>
      <c r="B52" s="153">
        <f t="array" ref="B52">index(Cash!$A$1:$ZM$58,match($A$52,Cash!$A$1:$A$58,0),match("Active",Cash!$A$1:$ZM$1,0))</f>
        <v>0.4183446081</v>
      </c>
      <c r="C52" s="154">
        <f t="array" ref="C52">index(Cash!$A$1:$ZM$58,match($A$52,Cash!$A$1:$A$58,0),match("Active",Cash!$A$1:$ZM$1,0))</f>
        <v>0.4183446081</v>
      </c>
    </row>
    <row r="53">
      <c r="A53" s="155"/>
      <c r="B53" s="132"/>
      <c r="C53" s="133"/>
    </row>
    <row r="54">
      <c r="A54" s="149" t="s">
        <v>14</v>
      </c>
      <c r="B54" s="156"/>
      <c r="C54" s="157"/>
    </row>
    <row r="55">
      <c r="A55" s="158" t="s">
        <v>129</v>
      </c>
      <c r="B55" s="159">
        <f t="array" ref="B55">index(Bednets!$A$1:$ZW$171,match($A$55,Bednets!$A$1:$A$171,0),match("Active",Bednets!$A$1:$ZW$1,0))</f>
        <v>0.4554042109</v>
      </c>
      <c r="C55" s="160">
        <f t="array" ref="C55">index(Bednets!$A$1:$ZW$171,match($A$55,Bednets!$A$1:$A$171,0),match("Active",Bednets!$A$1:$ZW$1,0))</f>
        <v>0.4554042109</v>
      </c>
    </row>
    <row r="56">
      <c r="A56" s="158" t="s">
        <v>130</v>
      </c>
      <c r="B56" s="159">
        <f t="array" ref="B56">index(Bednets!$A$1:$ZW$171,match($A$56,Bednets!$A$1:$A$171,0),match("Active",Bednets!$A$1:$ZW$1,0))</f>
        <v>0.2695067213</v>
      </c>
      <c r="C56" s="160">
        <f t="array" ref="C56">index(Bednets!$A$1:$ZW$171,match($A$56,Bednets!$A$1:$A$171,0),match("Active",Bednets!$A$1:$ZW$1,0))</f>
        <v>0.2695067213</v>
      </c>
    </row>
    <row r="57">
      <c r="A57" s="158" t="s">
        <v>131</v>
      </c>
      <c r="B57" s="159">
        <f t="array" ref="B57">index(Bednets!$A$1:$ZW$171,match($A$57,Bednets!$A$1:$A$171,0),match("Active",Bednets!$A$1:$ZW$1,0))</f>
        <v>0.2750905116</v>
      </c>
      <c r="C57" s="160">
        <f t="array" ref="C57">index(Bednets!$A$1:$ZW$171,match($A$57,Bednets!$A$1:$A$171,0),match("Active",Bednets!$A$1:$ZW$1,0))</f>
        <v>0.2750905116</v>
      </c>
    </row>
    <row r="58">
      <c r="A58" s="158"/>
      <c r="B58" s="159"/>
      <c r="C58" s="160"/>
    </row>
    <row r="59">
      <c r="A59" s="149" t="s">
        <v>132</v>
      </c>
      <c r="B59" s="161"/>
      <c r="C59" s="162"/>
    </row>
    <row r="60">
      <c r="A60" s="158" t="s">
        <v>133</v>
      </c>
      <c r="B60" s="159">
        <f t="array" ref="B60">index(SMC!$A$1:$ZN$132,match($A$60,SMC!$A$1:$A$132,0),match("Active",SMC!$A$1:$ZN$1,0))</f>
        <v>0.6489307894</v>
      </c>
      <c r="C60" s="160">
        <f t="array" ref="C60">index(SMC!$A$1:$ZN$132,match($A$60,SMC!$A$1:$A$132,0),match("Active",SMC!$A$1:$ZN$1,0))</f>
        <v>0.6489307894</v>
      </c>
    </row>
    <row r="61">
      <c r="A61" s="158" t="s">
        <v>134</v>
      </c>
      <c r="B61" s="159">
        <f t="array" ref="B61">index(SMC!$A$1:$ZN$132,match($A$61,SMC!$A$1:$A$132,0),match("Active",SMC!$A$1:$ZN$1,0))</f>
        <v>0.05951604011</v>
      </c>
      <c r="C61" s="160">
        <f t="array" ref="C61">index(SMC!$A$1:$ZN$132,match($A$61,SMC!$A$1:$A$132,0),match("Active",SMC!$A$1:$ZN$1,0))</f>
        <v>0.05951604011</v>
      </c>
    </row>
    <row r="62">
      <c r="A62" s="158" t="s">
        <v>135</v>
      </c>
      <c r="B62" s="159">
        <f t="array" ref="B62">index(SMC!$A$1:$ZN$132,match($A$62,SMC!$A$1:$A$132,0),match("Active",SMC!$A$1:$ZN$1,0))</f>
        <v>0.2915531705</v>
      </c>
      <c r="C62" s="160">
        <f t="array" ref="C62">index(SMC!$A$1:$ZN$132,match($A$62,SMC!$A$1:$A$132,0),match("Active",SMC!$A$1:$ZN$1,0))</f>
        <v>0.2915531705</v>
      </c>
    </row>
    <row r="63">
      <c r="A63" s="163"/>
      <c r="B63" s="164"/>
      <c r="C63" s="68"/>
    </row>
    <row r="64">
      <c r="A64" s="149" t="s">
        <v>136</v>
      </c>
      <c r="B64" s="161"/>
      <c r="C64" s="162"/>
    </row>
    <row r="65">
      <c r="A65" s="165" t="s">
        <v>137</v>
      </c>
      <c r="B65" s="166">
        <f t="array" ref="B65">index(VAS!$A$1:$ZZ$996,match(A65,VAS!A:A,0),match("Active",Bednets!$A$1:$ZZ$1,0))</f>
        <v>0.225</v>
      </c>
      <c r="C65" s="166">
        <f t="array" ref="C65">index(VAS!$A$1:$ZZ$996,match(A65,VAS!A:A,0),match("Active",Bednets!$A$1:$ZZ$1,0))</f>
        <v>0.225</v>
      </c>
    </row>
    <row r="66">
      <c r="A66" s="167" t="s">
        <v>138</v>
      </c>
      <c r="B66" s="166">
        <f t="shared" ref="B66:C66" si="1">1-B65</f>
        <v>0.775</v>
      </c>
      <c r="C66" s="166">
        <f t="shared" si="1"/>
        <v>0.775</v>
      </c>
    </row>
    <row r="67">
      <c r="A67" s="163"/>
      <c r="B67" s="40"/>
      <c r="C67" s="68"/>
    </row>
    <row r="68">
      <c r="A68" s="163"/>
      <c r="B68" s="40"/>
      <c r="C68" s="68"/>
    </row>
    <row r="69">
      <c r="A69" s="163"/>
      <c r="B69" s="40"/>
      <c r="C69" s="68"/>
    </row>
    <row r="70">
      <c r="A70" s="163"/>
      <c r="B70" s="40"/>
      <c r="C70" s="68"/>
    </row>
    <row r="71">
      <c r="A71" s="163"/>
      <c r="B71" s="40"/>
      <c r="C71" s="68"/>
    </row>
    <row r="72">
      <c r="A72" s="163"/>
      <c r="B72" s="40"/>
      <c r="C72" s="68"/>
    </row>
    <row r="73">
      <c r="A73" s="163"/>
      <c r="B73" s="40"/>
      <c r="C73" s="68"/>
    </row>
    <row r="74">
      <c r="A74" s="163"/>
      <c r="B74" s="40"/>
      <c r="C74" s="68"/>
    </row>
  </sheetData>
  <conditionalFormatting sqref="A1:A64 C1:C4 B6:C7 B14:C14 C18:C19 C28:C39 B30:B37 C48:C74 B63:B74 A67:A74">
    <cfRule type="containsText" dxfId="0" priority="1" operator="containsText" text="N/A">
      <formula>NOT(ISERROR(SEARCH(("N/A"),(A1))))</formula>
    </cfRule>
  </conditionalFormatting>
  <dataValidations>
    <dataValidation type="list" allowBlank="1" sqref="B13:C13">
      <formula1>SMC!$C$1:$F$1</formula1>
    </dataValidation>
    <dataValidation type="list" allowBlank="1" sqref="B6:C6">
      <formula1>'User inputs'!$C$1:$R$1</formula1>
    </dataValidation>
    <dataValidation type="list" allowBlank="1" sqref="B14:C14">
      <formula1>VAS!$C$1:$L$1</formula1>
    </dataValidation>
    <dataValidation type="list" allowBlank="1" sqref="B10:C10">
      <formula1>'Deworming - END'!$C$1:$H$1</formula1>
    </dataValidation>
    <dataValidation type="list" allowBlank="1" sqref="B8:C8">
      <formula1>Bednets!$C$1:$K$1</formula1>
    </dataValidation>
    <dataValidation type="list" allowBlank="1" sqref="B9:C9">
      <formula1>'Deworming - DtW'!$C$1:$R$1</formula1>
    </dataValidation>
    <dataValidation type="list" allowBlank="1" sqref="B29:C29">
      <formula1>'Helper sheet'!$B$2:$B$35</formula1>
    </dataValidation>
    <dataValidation type="list" allowBlank="1" sqref="B12:C12">
      <formula1>'Deworming - SS'!$C$1:$N$1</formula1>
    </dataValidation>
    <dataValidation type="list" allowBlank="1" sqref="B15:C15">
      <formula1>"Include leverage/funging adjustments,Do not include leverage/funging adjustments"</formula1>
    </dataValidation>
    <dataValidation type="list" allowBlank="1" sqref="B7:C7">
      <formula1>'Moral weights'!$C$1:$E$1</formula1>
    </dataValidation>
    <dataValidation type="list" allowBlank="1" sqref="B11:C11">
      <formula1>'Deworming - SCI'!$C$1:$L$1</formula1>
    </dataValidation>
    <dataValidation type="list" allowBlank="1" sqref="B16:C16">
      <formula1>"Do not include additional adjustments,Include additional adjustments"</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83.0"/>
    <col customWidth="1" min="2" max="12" width="17.29"/>
  </cols>
  <sheetData>
    <row r="1" ht="1.5" customHeight="1">
      <c r="A1" s="168"/>
      <c r="B1" s="169" t="s">
        <v>39</v>
      </c>
      <c r="C1" s="169" t="s">
        <v>96</v>
      </c>
      <c r="D1" s="169" t="s">
        <v>139</v>
      </c>
      <c r="E1" s="169" t="s">
        <v>140</v>
      </c>
      <c r="F1" s="169" t="s">
        <v>141</v>
      </c>
      <c r="G1" s="169" t="s">
        <v>142</v>
      </c>
      <c r="H1" s="169" t="s">
        <v>143</v>
      </c>
      <c r="I1" s="169" t="s">
        <v>144</v>
      </c>
      <c r="J1" s="169" t="s">
        <v>145</v>
      </c>
      <c r="K1" s="169" t="s">
        <v>146</v>
      </c>
      <c r="L1" s="169" t="s">
        <v>147</v>
      </c>
    </row>
    <row r="2" ht="12.0" customHeight="1">
      <c r="A2" s="170" t="s">
        <v>148</v>
      </c>
      <c r="B2" s="171"/>
      <c r="C2" s="172"/>
      <c r="D2" s="172"/>
      <c r="E2" s="172"/>
      <c r="F2" s="172"/>
      <c r="G2" s="172"/>
      <c r="H2" s="172"/>
      <c r="I2" s="172"/>
      <c r="J2" s="172"/>
      <c r="K2" s="172"/>
      <c r="L2" s="172"/>
    </row>
    <row r="3" ht="12.0" customHeight="1">
      <c r="A3" s="173" t="str">
        <f>Results!C8</f>
        <v>Overall</v>
      </c>
      <c r="B3" s="171"/>
      <c r="C3" s="172"/>
      <c r="D3" s="172"/>
      <c r="E3" s="172"/>
      <c r="F3" s="172"/>
      <c r="G3" s="172"/>
      <c r="H3" s="172"/>
      <c r="I3" s="172"/>
      <c r="J3" s="172"/>
      <c r="K3" s="172"/>
      <c r="L3" s="172"/>
    </row>
    <row r="4" ht="12.0" customHeight="1">
      <c r="A4" s="170"/>
      <c r="B4" s="171"/>
      <c r="C4" s="172"/>
      <c r="D4" s="172"/>
      <c r="E4" s="172"/>
      <c r="F4" s="172"/>
      <c r="G4" s="172"/>
      <c r="H4" s="172"/>
      <c r="I4" s="172"/>
      <c r="J4" s="172"/>
      <c r="K4" s="172"/>
      <c r="L4" s="172"/>
    </row>
    <row r="5" ht="12.0" customHeight="1">
      <c r="A5" s="174" t="s">
        <v>149</v>
      </c>
      <c r="B5" s="175"/>
      <c r="C5" s="176"/>
      <c r="D5" s="176"/>
      <c r="E5" s="176"/>
      <c r="F5" s="176"/>
      <c r="G5" s="176"/>
      <c r="H5" s="176"/>
      <c r="I5" s="176"/>
      <c r="J5" s="176"/>
      <c r="K5" s="176"/>
      <c r="L5" s="176"/>
    </row>
    <row r="6" ht="12.0" customHeight="1">
      <c r="A6" s="35"/>
      <c r="B6" s="177"/>
      <c r="C6" s="38"/>
      <c r="D6" s="178"/>
      <c r="E6" s="178"/>
      <c r="F6" s="178"/>
      <c r="G6" s="178"/>
      <c r="H6" s="178"/>
      <c r="I6" s="178"/>
      <c r="J6" s="178"/>
      <c r="K6" s="178"/>
      <c r="L6" s="178"/>
    </row>
    <row r="7" ht="12.0" customHeight="1">
      <c r="A7" s="94" t="s">
        <v>150</v>
      </c>
      <c r="B7" s="179">
        <f t="array" ref="B7">index(C7:AA7,,match($A$3,$C$1:$AA$1,0))</f>
        <v>1.001417348</v>
      </c>
      <c r="C7" s="180">
        <f>sum(D7:K7)</f>
        <v>1.001417348</v>
      </c>
      <c r="D7" s="47">
        <v>0.5818325550384466</v>
      </c>
      <c r="E7" s="47">
        <v>0.04425370085005617</v>
      </c>
      <c r="F7" s="47">
        <v>0.06</v>
      </c>
      <c r="G7" s="47">
        <v>0.05588176090834476</v>
      </c>
      <c r="H7" s="47">
        <v>0.03914914124999724</v>
      </c>
      <c r="I7" s="47">
        <v>0.04798872699465044</v>
      </c>
      <c r="J7" s="47">
        <v>0.13019376584522738</v>
      </c>
      <c r="K7" s="47">
        <v>0.042117697511591355</v>
      </c>
      <c r="L7" s="47">
        <v>0.0</v>
      </c>
    </row>
    <row r="8" ht="12.0" customHeight="1">
      <c r="A8" s="181" t="s">
        <v>151</v>
      </c>
      <c r="B8" s="171"/>
      <c r="C8" s="172"/>
      <c r="D8" s="172"/>
      <c r="E8" s="172"/>
      <c r="F8" s="172"/>
      <c r="G8" s="172"/>
      <c r="H8" s="172"/>
      <c r="I8" s="172"/>
      <c r="J8" s="172"/>
      <c r="K8" s="172"/>
      <c r="L8" s="172"/>
    </row>
    <row r="9" ht="12.0" customHeight="1">
      <c r="A9" s="174" t="s">
        <v>152</v>
      </c>
      <c r="B9" s="175"/>
      <c r="C9" s="176"/>
      <c r="D9" s="176"/>
      <c r="E9" s="176"/>
      <c r="F9" s="176"/>
      <c r="G9" s="176"/>
      <c r="H9" s="176"/>
      <c r="I9" s="176"/>
      <c r="J9" s="176"/>
      <c r="K9" s="176"/>
      <c r="L9" s="176"/>
    </row>
    <row r="10" ht="12.0" customHeight="1">
      <c r="A10" s="35"/>
      <c r="B10" s="182"/>
      <c r="C10" s="183"/>
      <c r="D10" s="183"/>
      <c r="E10" s="183"/>
      <c r="F10" s="183"/>
      <c r="G10" s="183"/>
      <c r="H10" s="183"/>
      <c r="I10" s="183"/>
      <c r="J10" s="183"/>
      <c r="K10" s="183"/>
      <c r="L10" s="183"/>
    </row>
    <row r="11" ht="12.0" customHeight="1">
      <c r="A11" s="94" t="s">
        <v>153</v>
      </c>
      <c r="B11" s="182">
        <f t="shared" ref="B11:B16" si="2">index(C11:AA11,,match($A$3,$C$1:$AA$1,0))</f>
        <v>100000</v>
      </c>
      <c r="C11" s="184">
        <v>100000.0</v>
      </c>
      <c r="D11" s="183">
        <f t="shared" ref="D11:L11" si="1">if($C$11*D7&lt;&gt;0,$C$11*D7,0.01)</f>
        <v>58183.2555</v>
      </c>
      <c r="E11" s="183">
        <f t="shared" si="1"/>
        <v>4425.370085</v>
      </c>
      <c r="F11" s="183">
        <f t="shared" si="1"/>
        <v>6000</v>
      </c>
      <c r="G11" s="183">
        <f t="shared" si="1"/>
        <v>5588.176091</v>
      </c>
      <c r="H11" s="183">
        <f t="shared" si="1"/>
        <v>3914.914125</v>
      </c>
      <c r="I11" s="183">
        <f t="shared" si="1"/>
        <v>4798.872699</v>
      </c>
      <c r="J11" s="183">
        <f t="shared" si="1"/>
        <v>13019.37658</v>
      </c>
      <c r="K11" s="183">
        <f t="shared" si="1"/>
        <v>4211.769751</v>
      </c>
      <c r="L11" s="183">
        <f t="shared" si="1"/>
        <v>0.01</v>
      </c>
    </row>
    <row r="12" ht="12.0" customHeight="1">
      <c r="A12" s="185" t="s">
        <v>154</v>
      </c>
      <c r="B12" s="186">
        <f t="shared" si="2"/>
        <v>4.550283842</v>
      </c>
      <c r="C12" s="187">
        <f>IFERROR(__xludf.DUMMYFUNCTION("average.weighted(D12:AA12,D15:AA15)"),4.550283842410841)</f>
        <v>4.550283842</v>
      </c>
      <c r="D12" s="188">
        <v>4.765832312673648</v>
      </c>
      <c r="E12" s="188">
        <v>3.830005521159163</v>
      </c>
      <c r="F12" s="188">
        <v>4.511428662118761</v>
      </c>
      <c r="G12" s="188">
        <v>3.457747980196391</v>
      </c>
      <c r="H12" s="188">
        <v>5.313955395084804</v>
      </c>
      <c r="I12" s="188">
        <v>4.868969160432844</v>
      </c>
      <c r="J12" s="188">
        <v>4.316758702799341</v>
      </c>
      <c r="K12" s="188">
        <v>4.3894713878243525</v>
      </c>
      <c r="L12" s="189">
        <v>4.59</v>
      </c>
    </row>
    <row r="13" ht="12.0" customHeight="1">
      <c r="A13" s="185" t="s">
        <v>155</v>
      </c>
      <c r="B13" s="190">
        <f t="shared" si="2"/>
        <v>1.8</v>
      </c>
      <c r="C13" s="191">
        <v>1.8</v>
      </c>
      <c r="D13" s="192">
        <f t="shared" ref="D13:L13" si="3">$C$13</f>
        <v>1.8</v>
      </c>
      <c r="E13" s="192">
        <f t="shared" si="3"/>
        <v>1.8</v>
      </c>
      <c r="F13" s="192">
        <f t="shared" si="3"/>
        <v>1.8</v>
      </c>
      <c r="G13" s="192">
        <f t="shared" si="3"/>
        <v>1.8</v>
      </c>
      <c r="H13" s="192">
        <f t="shared" si="3"/>
        <v>1.8</v>
      </c>
      <c r="I13" s="192">
        <f t="shared" si="3"/>
        <v>1.8</v>
      </c>
      <c r="J13" s="192">
        <f t="shared" si="3"/>
        <v>1.8</v>
      </c>
      <c r="K13" s="192">
        <f t="shared" si="3"/>
        <v>1.8</v>
      </c>
      <c r="L13" s="192">
        <f t="shared" si="3"/>
        <v>1.8</v>
      </c>
    </row>
    <row r="14">
      <c r="A14" s="35" t="s">
        <v>156</v>
      </c>
      <c r="B14" s="193">
        <f t="shared" si="2"/>
        <v>2.527935468</v>
      </c>
      <c r="C14" s="194">
        <f t="shared" ref="C14:L14" si="4">C12/C13</f>
        <v>2.527935468</v>
      </c>
      <c r="D14" s="194">
        <f t="shared" si="4"/>
        <v>2.647684618</v>
      </c>
      <c r="E14" s="194">
        <f t="shared" si="4"/>
        <v>2.127780845</v>
      </c>
      <c r="F14" s="194">
        <f t="shared" si="4"/>
        <v>2.506349257</v>
      </c>
      <c r="G14" s="194">
        <f t="shared" si="4"/>
        <v>1.9209711</v>
      </c>
      <c r="H14" s="194">
        <f t="shared" si="4"/>
        <v>2.952197442</v>
      </c>
      <c r="I14" s="194">
        <f t="shared" si="4"/>
        <v>2.704982867</v>
      </c>
      <c r="J14" s="194">
        <f t="shared" si="4"/>
        <v>2.398199279</v>
      </c>
      <c r="K14" s="194">
        <f t="shared" si="4"/>
        <v>2.438595215</v>
      </c>
      <c r="L14" s="194">
        <f t="shared" si="4"/>
        <v>2.55</v>
      </c>
    </row>
    <row r="15">
      <c r="A15" s="35" t="s">
        <v>157</v>
      </c>
      <c r="B15" s="195">
        <f t="shared" si="2"/>
        <v>39614.0432</v>
      </c>
      <c r="C15" s="196">
        <f t="shared" ref="C15:C16" si="6">sum(D15:AA15)</f>
        <v>39614.0432</v>
      </c>
      <c r="D15" s="196">
        <f t="shared" ref="D15:L15" si="5">D11/D14</f>
        <v>21975.1458</v>
      </c>
      <c r="E15" s="196">
        <f t="shared" si="5"/>
        <v>2079.805397</v>
      </c>
      <c r="F15" s="196">
        <f t="shared" si="5"/>
        <v>2393.920155</v>
      </c>
      <c r="G15" s="196">
        <f t="shared" si="5"/>
        <v>2909.037044</v>
      </c>
      <c r="H15" s="196">
        <f t="shared" si="5"/>
        <v>1326.101727</v>
      </c>
      <c r="I15" s="196">
        <f t="shared" si="5"/>
        <v>1774.086172</v>
      </c>
      <c r="J15" s="196">
        <f t="shared" si="5"/>
        <v>5428.813484</v>
      </c>
      <c r="K15" s="196">
        <f t="shared" si="5"/>
        <v>1727.129507</v>
      </c>
      <c r="L15" s="196">
        <f t="shared" si="5"/>
        <v>0.003921568627</v>
      </c>
    </row>
    <row r="16" ht="12.0" customHeight="1">
      <c r="A16" s="35" t="s">
        <v>158</v>
      </c>
      <c r="B16" s="177">
        <f t="shared" si="2"/>
        <v>1</v>
      </c>
      <c r="C16" s="38">
        <f t="shared" si="6"/>
        <v>1</v>
      </c>
      <c r="D16" s="38">
        <f t="shared" ref="D16:L16" si="7">D15/$C$15</f>
        <v>0.5547312019</v>
      </c>
      <c r="E16" s="38">
        <f t="shared" si="7"/>
        <v>0.05250171981</v>
      </c>
      <c r="F16" s="38">
        <f t="shared" si="7"/>
        <v>0.0604310987</v>
      </c>
      <c r="G16" s="38">
        <f t="shared" si="7"/>
        <v>0.07343448962</v>
      </c>
      <c r="H16" s="38">
        <f t="shared" si="7"/>
        <v>0.03347554603</v>
      </c>
      <c r="I16" s="38">
        <f t="shared" si="7"/>
        <v>0.04478427418</v>
      </c>
      <c r="J16" s="38">
        <f t="shared" si="7"/>
        <v>0.1370426507</v>
      </c>
      <c r="K16" s="38">
        <f t="shared" si="7"/>
        <v>0.04359892016</v>
      </c>
      <c r="L16" s="38">
        <f t="shared" si="7"/>
        <v>0.00000009899440478</v>
      </c>
    </row>
    <row r="17" ht="12.0" customHeight="1">
      <c r="A17" s="35"/>
      <c r="B17" s="177"/>
      <c r="C17" s="38"/>
      <c r="D17" s="38"/>
      <c r="E17" s="38"/>
      <c r="F17" s="38"/>
      <c r="G17" s="38"/>
      <c r="H17" s="38"/>
      <c r="I17" s="38"/>
      <c r="J17" s="38"/>
      <c r="K17" s="38"/>
      <c r="L17" s="38"/>
    </row>
    <row r="18">
      <c r="A18" s="197" t="s">
        <v>159</v>
      </c>
      <c r="B18" s="198"/>
      <c r="C18" s="199"/>
      <c r="D18" s="199"/>
      <c r="E18" s="199"/>
      <c r="F18" s="199"/>
      <c r="G18" s="199"/>
      <c r="H18" s="199"/>
      <c r="I18" s="199"/>
      <c r="J18" s="199"/>
      <c r="K18" s="199"/>
      <c r="L18" s="199"/>
    </row>
    <row r="19">
      <c r="A19" s="200"/>
      <c r="B19" s="179"/>
      <c r="C19" s="180"/>
      <c r="D19" s="33"/>
      <c r="E19" s="201"/>
      <c r="F19" s="201"/>
      <c r="G19" s="201"/>
      <c r="H19" s="33"/>
      <c r="I19" s="33"/>
      <c r="J19" s="33"/>
      <c r="K19" s="33"/>
      <c r="L19" s="33"/>
    </row>
    <row r="20">
      <c r="A20" s="200" t="s">
        <v>160</v>
      </c>
      <c r="B20" s="179">
        <f t="shared" ref="B20:B23" si="8">index(C20:AA20,,match($A$3,$C$1:$AA$1,0))</f>
        <v>0.1853581713</v>
      </c>
      <c r="C20" s="180">
        <f t="shared" ref="C20:C22" si="9">sumproduct($D$16:$AA$16,D20:AA20)</f>
        <v>0.1853581713</v>
      </c>
      <c r="D20" s="47">
        <v>0.199</v>
      </c>
      <c r="E20" s="202">
        <v>0.156</v>
      </c>
      <c r="F20" s="47">
        <f>1966233/11819986.89</f>
        <v>0.166348154</v>
      </c>
      <c r="G20" s="202">
        <v>0.151</v>
      </c>
      <c r="H20" s="47">
        <v>0.139</v>
      </c>
      <c r="I20" s="47">
        <v>0.154</v>
      </c>
      <c r="J20" s="47">
        <v>0.194</v>
      </c>
      <c r="K20" s="47">
        <v>0.172</v>
      </c>
      <c r="L20" s="47">
        <v>0.167136239</v>
      </c>
    </row>
    <row r="21">
      <c r="A21" s="203" t="s">
        <v>161</v>
      </c>
      <c r="B21" s="179">
        <f t="shared" si="8"/>
        <v>0.1651790959</v>
      </c>
      <c r="C21" s="180">
        <f t="shared" si="9"/>
        <v>0.1651790959</v>
      </c>
      <c r="D21" s="47">
        <v>0.171</v>
      </c>
      <c r="E21" s="202">
        <v>0.134</v>
      </c>
      <c r="F21" s="47">
        <f>1799360/11819986.89
</f>
        <v>0.1522302873</v>
      </c>
      <c r="G21" s="202">
        <v>0.168</v>
      </c>
      <c r="H21" s="204">
        <f>H23/2</f>
        <v>0.1215</v>
      </c>
      <c r="I21" s="47">
        <v>0.165</v>
      </c>
      <c r="J21" s="47">
        <v>0.166</v>
      </c>
      <c r="K21" s="47">
        <v>0.173</v>
      </c>
      <c r="L21" s="47">
        <v>0.15056758</v>
      </c>
    </row>
    <row r="22">
      <c r="A22" s="203" t="s">
        <v>162</v>
      </c>
      <c r="B22" s="179">
        <f t="shared" si="8"/>
        <v>0.1434936053</v>
      </c>
      <c r="C22" s="180">
        <f t="shared" si="9"/>
        <v>0.1434936053</v>
      </c>
      <c r="D22" s="47">
        <v>0.145</v>
      </c>
      <c r="E22" s="202">
        <v>0.122</v>
      </c>
      <c r="F22" s="47">
        <f>1525578.54/11819986.89
</f>
        <v>0.1290677015</v>
      </c>
      <c r="G22" s="202">
        <v>0.16</v>
      </c>
      <c r="H22" s="204">
        <f>H23/2</f>
        <v>0.1215</v>
      </c>
      <c r="I22" s="47">
        <v>0.14</v>
      </c>
      <c r="J22" s="47">
        <v>0.146</v>
      </c>
      <c r="K22" s="47">
        <v>0.155</v>
      </c>
      <c r="L22" s="47">
        <v>0.131052476</v>
      </c>
    </row>
    <row r="23">
      <c r="A23" s="200" t="s">
        <v>163</v>
      </c>
      <c r="B23" s="179">
        <f t="shared" si="8"/>
        <v>0.3086726733</v>
      </c>
      <c r="C23" s="180">
        <f>sumproduct($D$16:$K$16,D23:K23)</f>
        <v>0.3086726733</v>
      </c>
      <c r="D23" s="33">
        <f t="shared" ref="D23:G23" si="10">D21+D22</f>
        <v>0.316</v>
      </c>
      <c r="E23" s="33">
        <f t="shared" si="10"/>
        <v>0.256</v>
      </c>
      <c r="F23" s="33">
        <f t="shared" si="10"/>
        <v>0.2812979888</v>
      </c>
      <c r="G23" s="33">
        <f t="shared" si="10"/>
        <v>0.328</v>
      </c>
      <c r="H23" s="47">
        <v>0.243</v>
      </c>
      <c r="I23" s="33">
        <f t="shared" ref="I23:K23" si="11">I21+I22</f>
        <v>0.305</v>
      </c>
      <c r="J23" s="33">
        <f t="shared" si="11"/>
        <v>0.312</v>
      </c>
      <c r="K23" s="33">
        <f t="shared" si="11"/>
        <v>0.328</v>
      </c>
      <c r="L23" s="33">
        <f>sum(L21:L22)</f>
        <v>0.281620056</v>
      </c>
    </row>
    <row r="24">
      <c r="A24" s="172"/>
      <c r="B24" s="195"/>
      <c r="C24" s="196"/>
      <c r="D24" s="196"/>
      <c r="E24" s="196"/>
      <c r="F24" s="196"/>
      <c r="G24" s="196"/>
      <c r="H24" s="196"/>
      <c r="I24" s="196"/>
      <c r="J24" s="196"/>
      <c r="K24" s="196"/>
      <c r="L24" s="205"/>
    </row>
    <row r="25">
      <c r="A25" s="172" t="s">
        <v>164</v>
      </c>
      <c r="B25" s="195">
        <f t="shared" ref="B25:B27" si="13">index(C25:AA25,,match($A$3,$C$1:$AA$1,0))</f>
        <v>7342.786604</v>
      </c>
      <c r="C25" s="196">
        <f t="shared" ref="C25:C26" si="14">sum(D25:KA25)</f>
        <v>7342.786604</v>
      </c>
      <c r="D25" s="196">
        <f t="shared" ref="D25:L25" si="12">D15*D20</f>
        <v>4373.054013</v>
      </c>
      <c r="E25" s="196">
        <f t="shared" si="12"/>
        <v>324.4496419</v>
      </c>
      <c r="F25" s="196">
        <f t="shared" si="12"/>
        <v>398.2241986</v>
      </c>
      <c r="G25" s="196">
        <f t="shared" si="12"/>
        <v>439.2645937</v>
      </c>
      <c r="H25" s="196">
        <f t="shared" si="12"/>
        <v>184.32814</v>
      </c>
      <c r="I25" s="196">
        <f t="shared" si="12"/>
        <v>273.2092705</v>
      </c>
      <c r="J25" s="196">
        <f t="shared" si="12"/>
        <v>1053.189816</v>
      </c>
      <c r="K25" s="196">
        <f t="shared" si="12"/>
        <v>297.0662751</v>
      </c>
      <c r="L25" s="196">
        <f t="shared" si="12"/>
        <v>0.0006554362314</v>
      </c>
    </row>
    <row r="26">
      <c r="A26" s="84" t="s">
        <v>165</v>
      </c>
      <c r="B26" s="195">
        <f t="shared" si="13"/>
        <v>12227.77372</v>
      </c>
      <c r="C26" s="196">
        <f t="shared" si="14"/>
        <v>12227.77372</v>
      </c>
      <c r="D26" s="196">
        <f t="shared" ref="D26:L26" si="15">D15*D23</f>
        <v>6944.146071</v>
      </c>
      <c r="E26" s="196">
        <f t="shared" si="15"/>
        <v>532.4301816</v>
      </c>
      <c r="F26" s="196">
        <f t="shared" si="15"/>
        <v>673.4049249</v>
      </c>
      <c r="G26" s="196">
        <f t="shared" si="15"/>
        <v>954.1641505</v>
      </c>
      <c r="H26" s="196">
        <f t="shared" si="15"/>
        <v>322.2427196</v>
      </c>
      <c r="I26" s="196">
        <f t="shared" si="15"/>
        <v>541.0962824</v>
      </c>
      <c r="J26" s="196">
        <f t="shared" si="15"/>
        <v>1693.789807</v>
      </c>
      <c r="K26" s="196">
        <f t="shared" si="15"/>
        <v>566.4984781</v>
      </c>
      <c r="L26" s="196">
        <f t="shared" si="15"/>
        <v>0.001104392376</v>
      </c>
    </row>
    <row r="27">
      <c r="A27" s="206" t="s">
        <v>166</v>
      </c>
      <c r="B27" s="207">
        <f t="shared" si="13"/>
        <v>2.096849673</v>
      </c>
      <c r="C27" s="208">
        <f>sumproduct(D27:AA27,D16:AA16)</f>
        <v>2.096849673</v>
      </c>
      <c r="D27" s="209">
        <v>1.9980000000000002</v>
      </c>
      <c r="E27" s="210">
        <v>2.22</v>
      </c>
      <c r="F27" s="210">
        <v>2.22</v>
      </c>
      <c r="G27" s="210">
        <v>2.22</v>
      </c>
      <c r="H27" s="210">
        <v>2.22</v>
      </c>
      <c r="I27" s="210">
        <v>2.22</v>
      </c>
      <c r="J27" s="210">
        <v>2.22</v>
      </c>
      <c r="K27" s="210">
        <v>2.22</v>
      </c>
      <c r="L27" s="211">
        <v>2.22</v>
      </c>
    </row>
    <row r="28">
      <c r="A28" s="84"/>
      <c r="B28" s="195"/>
      <c r="C28" s="196"/>
      <c r="D28" s="212"/>
      <c r="E28" s="196"/>
      <c r="F28" s="196"/>
      <c r="G28" s="196"/>
      <c r="H28" s="196"/>
      <c r="I28" s="196"/>
      <c r="J28" s="196"/>
      <c r="K28" s="196"/>
      <c r="L28" s="196"/>
    </row>
    <row r="29">
      <c r="A29" s="206" t="s">
        <v>167</v>
      </c>
      <c r="B29" s="195">
        <f t="shared" ref="B29:B31" si="17">index(C29:AA29,,match($A$3,$C$1:$AA$1,0))</f>
        <v>15330.16827</v>
      </c>
      <c r="C29" s="196">
        <f t="shared" ref="C29:C31" si="18">sum(D29:AA29)</f>
        <v>15330.16827</v>
      </c>
      <c r="D29" s="196">
        <f t="shared" ref="D29:L29" si="16">D25*D27</f>
        <v>8737.361918</v>
      </c>
      <c r="E29" s="196">
        <f t="shared" si="16"/>
        <v>720.278205</v>
      </c>
      <c r="F29" s="196">
        <f t="shared" si="16"/>
        <v>884.057721</v>
      </c>
      <c r="G29" s="196">
        <f t="shared" si="16"/>
        <v>975.1673979</v>
      </c>
      <c r="H29" s="196">
        <f t="shared" si="16"/>
        <v>409.2084708</v>
      </c>
      <c r="I29" s="196">
        <f t="shared" si="16"/>
        <v>606.5245805</v>
      </c>
      <c r="J29" s="196">
        <f t="shared" si="16"/>
        <v>2338.081391</v>
      </c>
      <c r="K29" s="196">
        <f t="shared" si="16"/>
        <v>659.4871308</v>
      </c>
      <c r="L29" s="196">
        <f t="shared" si="16"/>
        <v>0.001455068434</v>
      </c>
    </row>
    <row r="30">
      <c r="A30" s="84" t="s">
        <v>168</v>
      </c>
      <c r="B30" s="195">
        <f t="shared" si="17"/>
        <v>25604.05723</v>
      </c>
      <c r="C30" s="196">
        <f t="shared" si="18"/>
        <v>25604.05723</v>
      </c>
      <c r="D30" s="196">
        <f t="shared" ref="D30:L30" si="19">D26*D27</f>
        <v>13874.40385</v>
      </c>
      <c r="E30" s="196">
        <f t="shared" si="19"/>
        <v>1181.995003</v>
      </c>
      <c r="F30" s="196">
        <f t="shared" si="19"/>
        <v>1494.958933</v>
      </c>
      <c r="G30" s="196">
        <f t="shared" si="19"/>
        <v>2118.244414</v>
      </c>
      <c r="H30" s="196">
        <f t="shared" si="19"/>
        <v>715.3788375</v>
      </c>
      <c r="I30" s="196">
        <f t="shared" si="19"/>
        <v>1201.233747</v>
      </c>
      <c r="J30" s="196">
        <f t="shared" si="19"/>
        <v>3760.213371</v>
      </c>
      <c r="K30" s="196">
        <f t="shared" si="19"/>
        <v>1257.626621</v>
      </c>
      <c r="L30" s="196">
        <f t="shared" si="19"/>
        <v>0.002451751076</v>
      </c>
    </row>
    <row r="31">
      <c r="A31" s="206" t="s">
        <v>169</v>
      </c>
      <c r="B31" s="195">
        <f t="shared" si="17"/>
        <v>40934.2255</v>
      </c>
      <c r="C31" s="196">
        <f t="shared" si="18"/>
        <v>40934.2255</v>
      </c>
      <c r="D31" s="196">
        <f t="shared" ref="D31:L31" si="20">D30+D29</f>
        <v>22611.76577</v>
      </c>
      <c r="E31" s="196">
        <f t="shared" si="20"/>
        <v>1902.273208</v>
      </c>
      <c r="F31" s="196">
        <f t="shared" si="20"/>
        <v>2379.016654</v>
      </c>
      <c r="G31" s="196">
        <f t="shared" si="20"/>
        <v>3093.411812</v>
      </c>
      <c r="H31" s="196">
        <f t="shared" si="20"/>
        <v>1124.587308</v>
      </c>
      <c r="I31" s="196">
        <f t="shared" si="20"/>
        <v>1807.758327</v>
      </c>
      <c r="J31" s="196">
        <f t="shared" si="20"/>
        <v>6098.294763</v>
      </c>
      <c r="K31" s="196">
        <f t="shared" si="20"/>
        <v>1917.113752</v>
      </c>
      <c r="L31" s="196">
        <f t="shared" si="20"/>
        <v>0.003906819509</v>
      </c>
    </row>
    <row r="32">
      <c r="A32" s="213"/>
      <c r="B32" s="214"/>
      <c r="C32" s="215"/>
      <c r="D32" s="215"/>
      <c r="E32" s="215"/>
      <c r="F32" s="215"/>
      <c r="G32" s="215"/>
      <c r="H32" s="215"/>
      <c r="I32" s="215"/>
      <c r="J32" s="215"/>
      <c r="K32" s="215"/>
      <c r="L32" s="215"/>
    </row>
    <row r="33" ht="12.0" customHeight="1">
      <c r="A33" s="174" t="s">
        <v>170</v>
      </c>
      <c r="B33" s="175"/>
      <c r="C33" s="176"/>
      <c r="D33" s="176"/>
      <c r="E33" s="176"/>
      <c r="F33" s="176"/>
      <c r="G33" s="176"/>
      <c r="H33" s="176"/>
      <c r="I33" s="176"/>
      <c r="J33" s="176"/>
      <c r="K33" s="176"/>
      <c r="L33" s="176"/>
    </row>
    <row r="34" ht="12.0" customHeight="1">
      <c r="A34" s="216"/>
      <c r="B34" s="217"/>
      <c r="C34" s="218"/>
      <c r="D34" s="218"/>
      <c r="E34" s="218"/>
      <c r="F34" s="218"/>
      <c r="G34" s="218"/>
      <c r="H34" s="218"/>
      <c r="I34" s="218"/>
      <c r="J34" s="218"/>
      <c r="K34" s="218"/>
      <c r="L34" s="218"/>
    </row>
    <row r="35" ht="12.0" customHeight="1">
      <c r="A35" s="216" t="s">
        <v>171</v>
      </c>
      <c r="B35" s="217">
        <f t="array" ref="B35">index(C35:AA35,,match($A$3,$C$1:$AA$1,0))</f>
        <v>0.00553</v>
      </c>
      <c r="C35" s="219">
        <f>5.53/1000</f>
        <v>0.00553</v>
      </c>
      <c r="D35" s="220">
        <f t="shared" ref="D35:L35" si="21">$C$35</f>
        <v>0.00553</v>
      </c>
      <c r="E35" s="220">
        <f t="shared" si="21"/>
        <v>0.00553</v>
      </c>
      <c r="F35" s="220">
        <f t="shared" si="21"/>
        <v>0.00553</v>
      </c>
      <c r="G35" s="220">
        <f t="shared" si="21"/>
        <v>0.00553</v>
      </c>
      <c r="H35" s="220">
        <f t="shared" si="21"/>
        <v>0.00553</v>
      </c>
      <c r="I35" s="220">
        <f t="shared" si="21"/>
        <v>0.00553</v>
      </c>
      <c r="J35" s="220">
        <f t="shared" si="21"/>
        <v>0.00553</v>
      </c>
      <c r="K35" s="220">
        <f t="shared" si="21"/>
        <v>0.00553</v>
      </c>
      <c r="L35" s="220">
        <f t="shared" si="21"/>
        <v>0.00553</v>
      </c>
    </row>
    <row r="36" ht="12.0" customHeight="1">
      <c r="A36" s="185"/>
      <c r="B36" s="221"/>
      <c r="C36" s="222"/>
      <c r="D36" s="223"/>
      <c r="E36" s="223"/>
      <c r="F36" s="223"/>
      <c r="G36" s="223"/>
      <c r="H36" s="223"/>
      <c r="I36" s="223"/>
      <c r="J36" s="223"/>
      <c r="K36" s="223"/>
      <c r="L36" s="223"/>
    </row>
    <row r="37" ht="12.0" customHeight="1">
      <c r="A37" s="224" t="s">
        <v>172</v>
      </c>
      <c r="B37" s="221"/>
      <c r="C37" s="222"/>
      <c r="D37" s="223"/>
      <c r="E37" s="223"/>
      <c r="F37" s="223"/>
      <c r="G37" s="223"/>
      <c r="H37" s="223"/>
      <c r="I37" s="223"/>
      <c r="J37" s="223"/>
      <c r="K37" s="223"/>
      <c r="L37" s="223"/>
    </row>
    <row r="38" ht="12.0" customHeight="1">
      <c r="A38" s="185" t="s">
        <v>173</v>
      </c>
      <c r="B38" s="225">
        <f t="shared" ref="B38:B42" si="23">index(C38:AA38,,match($A$3,$C$1:$AA$1,0))</f>
        <v>28.5337</v>
      </c>
      <c r="C38" s="226">
        <v>28.533699999999996</v>
      </c>
      <c r="D38" s="223">
        <f t="shared" ref="D38:L38" si="22">$C$38</f>
        <v>28.5337</v>
      </c>
      <c r="E38" s="223">
        <f t="shared" si="22"/>
        <v>28.5337</v>
      </c>
      <c r="F38" s="223">
        <f t="shared" si="22"/>
        <v>28.5337</v>
      </c>
      <c r="G38" s="223">
        <f t="shared" si="22"/>
        <v>28.5337</v>
      </c>
      <c r="H38" s="223">
        <f t="shared" si="22"/>
        <v>28.5337</v>
      </c>
      <c r="I38" s="223">
        <f t="shared" si="22"/>
        <v>28.5337</v>
      </c>
      <c r="J38" s="223">
        <f t="shared" si="22"/>
        <v>28.5337</v>
      </c>
      <c r="K38" s="223">
        <f t="shared" si="22"/>
        <v>28.5337</v>
      </c>
      <c r="L38" s="223">
        <f t="shared" si="22"/>
        <v>28.5337</v>
      </c>
    </row>
    <row r="39" ht="12.0" customHeight="1">
      <c r="A39" s="227" t="s">
        <v>174</v>
      </c>
      <c r="B39" s="228">
        <f t="shared" si="23"/>
        <v>12.05763607</v>
      </c>
      <c r="C39" s="96">
        <f>sumproduct($D$16:$AA$16,D39:AA39)</f>
        <v>12.05763607</v>
      </c>
      <c r="D39" s="229">
        <v>14.422504930170494</v>
      </c>
      <c r="E39" s="229">
        <v>6.126195010848276</v>
      </c>
      <c r="F39" s="229">
        <v>15.102782585678373</v>
      </c>
      <c r="G39" s="229">
        <v>9.270441726141575</v>
      </c>
      <c r="H39" s="229">
        <v>6.630261621397338</v>
      </c>
      <c r="I39" s="229">
        <v>8.899116061808286</v>
      </c>
      <c r="J39" s="229">
        <v>8.196155613429069</v>
      </c>
      <c r="K39" s="230">
        <v>9.13376534894789</v>
      </c>
      <c r="L39" s="230">
        <v>16.373372573907726</v>
      </c>
    </row>
    <row r="40" ht="12.0" customHeight="1">
      <c r="A40" s="231" t="s">
        <v>175</v>
      </c>
      <c r="B40" s="232">
        <f t="shared" si="23"/>
        <v>0.422575273</v>
      </c>
      <c r="C40" s="233">
        <f t="shared" ref="C40:L40" si="24">C39/C38</f>
        <v>0.422575273</v>
      </c>
      <c r="D40" s="233">
        <f t="shared" si="24"/>
        <v>0.505455126</v>
      </c>
      <c r="E40" s="233">
        <f t="shared" si="24"/>
        <v>0.2147003372</v>
      </c>
      <c r="F40" s="233">
        <f t="shared" si="24"/>
        <v>0.5292963263</v>
      </c>
      <c r="G40" s="233">
        <f t="shared" si="24"/>
        <v>0.3248944836</v>
      </c>
      <c r="H40" s="233">
        <f t="shared" si="24"/>
        <v>0.232365996</v>
      </c>
      <c r="I40" s="233">
        <f t="shared" si="24"/>
        <v>0.3118809009</v>
      </c>
      <c r="J40" s="233">
        <f t="shared" si="24"/>
        <v>0.2872447532</v>
      </c>
      <c r="K40" s="233">
        <f t="shared" si="24"/>
        <v>0.3201044852</v>
      </c>
      <c r="L40" s="233">
        <f t="shared" si="24"/>
        <v>0.573825777</v>
      </c>
    </row>
    <row r="41" ht="12.0" customHeight="1">
      <c r="A41" s="185" t="s">
        <v>176</v>
      </c>
      <c r="B41" s="232">
        <f t="shared" si="23"/>
        <v>0.25</v>
      </c>
      <c r="C41" s="178">
        <v>0.25</v>
      </c>
      <c r="D41" s="234">
        <f t="shared" ref="D41:L41" si="25">$C$41</f>
        <v>0.25</v>
      </c>
      <c r="E41" s="234">
        <f t="shared" si="25"/>
        <v>0.25</v>
      </c>
      <c r="F41" s="234">
        <f t="shared" si="25"/>
        <v>0.25</v>
      </c>
      <c r="G41" s="234">
        <f t="shared" si="25"/>
        <v>0.25</v>
      </c>
      <c r="H41" s="234">
        <f t="shared" si="25"/>
        <v>0.25</v>
      </c>
      <c r="I41" s="234">
        <f t="shared" si="25"/>
        <v>0.25</v>
      </c>
      <c r="J41" s="234">
        <f t="shared" si="25"/>
        <v>0.25</v>
      </c>
      <c r="K41" s="234">
        <f t="shared" si="25"/>
        <v>0.25</v>
      </c>
      <c r="L41" s="234">
        <f t="shared" si="25"/>
        <v>0.25</v>
      </c>
    </row>
    <row r="42" ht="12.0" customHeight="1">
      <c r="A42" s="185" t="s">
        <v>177</v>
      </c>
      <c r="B42" s="232">
        <f t="shared" si="23"/>
        <v>0.5669314548</v>
      </c>
      <c r="C42" s="233">
        <f t="shared" ref="C42:L42" si="26">C40+(1-C40)*C41</f>
        <v>0.5669314548</v>
      </c>
      <c r="D42" s="233">
        <f t="shared" si="26"/>
        <v>0.6290913445</v>
      </c>
      <c r="E42" s="233">
        <f t="shared" si="26"/>
        <v>0.4110252529</v>
      </c>
      <c r="F42" s="233">
        <f t="shared" si="26"/>
        <v>0.6469722447</v>
      </c>
      <c r="G42" s="233">
        <f t="shared" si="26"/>
        <v>0.4936708627</v>
      </c>
      <c r="H42" s="233">
        <f t="shared" si="26"/>
        <v>0.424274497</v>
      </c>
      <c r="I42" s="233">
        <f t="shared" si="26"/>
        <v>0.4839106757</v>
      </c>
      <c r="J42" s="233">
        <f t="shared" si="26"/>
        <v>0.4654335649</v>
      </c>
      <c r="K42" s="233">
        <f t="shared" si="26"/>
        <v>0.4900783639</v>
      </c>
      <c r="L42" s="233">
        <f t="shared" si="26"/>
        <v>0.6803693328</v>
      </c>
    </row>
    <row r="43" ht="12.0" customHeight="1">
      <c r="A43" s="235" t="s">
        <v>172</v>
      </c>
      <c r="B43" s="236"/>
      <c r="C43" s="237"/>
      <c r="D43" s="237"/>
      <c r="E43" s="237"/>
      <c r="F43" s="237"/>
      <c r="G43" s="237"/>
      <c r="H43" s="237"/>
      <c r="I43" s="237"/>
      <c r="J43" s="237"/>
      <c r="K43" s="237"/>
      <c r="L43" s="237"/>
    </row>
    <row r="44" ht="12.0" customHeight="1">
      <c r="A44" s="224" t="s">
        <v>178</v>
      </c>
      <c r="B44" s="236"/>
      <c r="C44" s="237"/>
      <c r="D44" s="237"/>
      <c r="E44" s="237"/>
      <c r="F44" s="237"/>
      <c r="G44" s="237"/>
      <c r="H44" s="237"/>
      <c r="I44" s="237"/>
      <c r="J44" s="237"/>
      <c r="K44" s="237"/>
      <c r="L44" s="237"/>
    </row>
    <row r="45" ht="12.0" customHeight="1">
      <c r="A45" s="84" t="s">
        <v>179</v>
      </c>
      <c r="B45" s="238">
        <f t="shared" ref="B45:B47" si="28">index(C45:AA45,,match($A$3,$C$1:$AA$1,0))</f>
        <v>0.2</v>
      </c>
      <c r="C45" s="239">
        <v>0.2</v>
      </c>
      <c r="D45" s="240">
        <f t="shared" ref="D45:L45" si="27">$C$45</f>
        <v>0.2</v>
      </c>
      <c r="E45" s="240">
        <f t="shared" si="27"/>
        <v>0.2</v>
      </c>
      <c r="F45" s="240">
        <f t="shared" si="27"/>
        <v>0.2</v>
      </c>
      <c r="G45" s="240">
        <f t="shared" si="27"/>
        <v>0.2</v>
      </c>
      <c r="H45" s="240">
        <f t="shared" si="27"/>
        <v>0.2</v>
      </c>
      <c r="I45" s="240">
        <f t="shared" si="27"/>
        <v>0.2</v>
      </c>
      <c r="J45" s="240">
        <f t="shared" si="27"/>
        <v>0.2</v>
      </c>
      <c r="K45" s="240">
        <f t="shared" si="27"/>
        <v>0.2</v>
      </c>
      <c r="L45" s="240">
        <f t="shared" si="27"/>
        <v>0.2</v>
      </c>
    </row>
    <row r="46" ht="12.0" customHeight="1">
      <c r="A46" s="84" t="s">
        <v>180</v>
      </c>
      <c r="B46" s="241">
        <f t="shared" si="28"/>
        <v>0.5</v>
      </c>
      <c r="C46" s="242">
        <v>0.5</v>
      </c>
      <c r="D46" s="243">
        <f t="shared" ref="D46:L46" si="29">$C$46</f>
        <v>0.5</v>
      </c>
      <c r="E46" s="243">
        <f t="shared" si="29"/>
        <v>0.5</v>
      </c>
      <c r="F46" s="243">
        <f t="shared" si="29"/>
        <v>0.5</v>
      </c>
      <c r="G46" s="243">
        <f t="shared" si="29"/>
        <v>0.5</v>
      </c>
      <c r="H46" s="243">
        <f t="shared" si="29"/>
        <v>0.5</v>
      </c>
      <c r="I46" s="243">
        <f t="shared" si="29"/>
        <v>0.5</v>
      </c>
      <c r="J46" s="243">
        <f t="shared" si="29"/>
        <v>0.5</v>
      </c>
      <c r="K46" s="243">
        <f t="shared" si="29"/>
        <v>0.5</v>
      </c>
      <c r="L46" s="243">
        <f t="shared" si="29"/>
        <v>0.5</v>
      </c>
    </row>
    <row r="47" ht="12.0" customHeight="1">
      <c r="A47" s="206" t="s">
        <v>181</v>
      </c>
      <c r="B47" s="244">
        <f t="shared" si="28"/>
        <v>0.9</v>
      </c>
      <c r="C47" s="245">
        <f t="shared" ref="C47:L47" si="30">(1-C46*C45)</f>
        <v>0.9</v>
      </c>
      <c r="D47" s="245">
        <f t="shared" si="30"/>
        <v>0.9</v>
      </c>
      <c r="E47" s="245">
        <f t="shared" si="30"/>
        <v>0.9</v>
      </c>
      <c r="F47" s="245">
        <f t="shared" si="30"/>
        <v>0.9</v>
      </c>
      <c r="G47" s="245">
        <f t="shared" si="30"/>
        <v>0.9</v>
      </c>
      <c r="H47" s="245">
        <f t="shared" si="30"/>
        <v>0.9</v>
      </c>
      <c r="I47" s="245">
        <f t="shared" si="30"/>
        <v>0.9</v>
      </c>
      <c r="J47" s="245">
        <f t="shared" si="30"/>
        <v>0.9</v>
      </c>
      <c r="K47" s="245">
        <f t="shared" si="30"/>
        <v>0.9</v>
      </c>
      <c r="L47" s="245">
        <f t="shared" si="30"/>
        <v>0.9</v>
      </c>
    </row>
    <row r="48" ht="12.0" customHeight="1">
      <c r="A48" s="235"/>
      <c r="B48" s="236"/>
      <c r="C48" s="237"/>
      <c r="D48" s="237"/>
      <c r="E48" s="237"/>
      <c r="F48" s="237"/>
      <c r="G48" s="237"/>
      <c r="H48" s="237"/>
      <c r="I48" s="237"/>
      <c r="J48" s="237"/>
      <c r="K48" s="237"/>
      <c r="L48" s="237"/>
    </row>
    <row r="49" ht="12.0" customHeight="1">
      <c r="A49" s="224" t="s">
        <v>182</v>
      </c>
      <c r="B49" s="236"/>
      <c r="C49" s="237"/>
      <c r="D49" s="237"/>
      <c r="E49" s="237"/>
      <c r="F49" s="237"/>
      <c r="G49" s="237"/>
      <c r="H49" s="237"/>
      <c r="I49" s="237"/>
      <c r="J49" s="237"/>
      <c r="K49" s="237"/>
      <c r="L49" s="237"/>
    </row>
    <row r="50" ht="12.0" customHeight="1">
      <c r="A50" s="185" t="s">
        <v>183</v>
      </c>
      <c r="B50" s="232">
        <f t="shared" ref="B50:B54" si="32">index(C50:AA50,,match($A$3,$C$1:$AA$1,0))</f>
        <v>0.9</v>
      </c>
      <c r="C50" s="178">
        <v>0.9</v>
      </c>
      <c r="D50" s="234">
        <f t="shared" ref="D50:L50" si="31">$C$50</f>
        <v>0.9</v>
      </c>
      <c r="E50" s="234">
        <f t="shared" si="31"/>
        <v>0.9</v>
      </c>
      <c r="F50" s="234">
        <f t="shared" si="31"/>
        <v>0.9</v>
      </c>
      <c r="G50" s="234">
        <f t="shared" si="31"/>
        <v>0.9</v>
      </c>
      <c r="H50" s="234">
        <f t="shared" si="31"/>
        <v>0.9</v>
      </c>
      <c r="I50" s="234">
        <f t="shared" si="31"/>
        <v>0.9</v>
      </c>
      <c r="J50" s="234">
        <f t="shared" si="31"/>
        <v>0.9</v>
      </c>
      <c r="K50" s="234">
        <f t="shared" si="31"/>
        <v>0.9</v>
      </c>
      <c r="L50" s="234">
        <f t="shared" si="31"/>
        <v>0.9</v>
      </c>
    </row>
    <row r="51" ht="12.0" customHeight="1">
      <c r="A51" s="185" t="s">
        <v>184</v>
      </c>
      <c r="B51" s="232">
        <f t="shared" si="32"/>
        <v>0.95</v>
      </c>
      <c r="C51" s="178">
        <v>0.95</v>
      </c>
      <c r="D51" s="234">
        <f t="shared" ref="D51:L51" si="33">$C$51</f>
        <v>0.95</v>
      </c>
      <c r="E51" s="234">
        <f t="shared" si="33"/>
        <v>0.95</v>
      </c>
      <c r="F51" s="234">
        <f t="shared" si="33"/>
        <v>0.95</v>
      </c>
      <c r="G51" s="234">
        <f t="shared" si="33"/>
        <v>0.95</v>
      </c>
      <c r="H51" s="234">
        <f t="shared" si="33"/>
        <v>0.95</v>
      </c>
      <c r="I51" s="234">
        <f t="shared" si="33"/>
        <v>0.95</v>
      </c>
      <c r="J51" s="234">
        <f t="shared" si="33"/>
        <v>0.95</v>
      </c>
      <c r="K51" s="234">
        <f t="shared" si="33"/>
        <v>0.95</v>
      </c>
      <c r="L51" s="234">
        <f t="shared" si="33"/>
        <v>0.95</v>
      </c>
    </row>
    <row r="52" ht="12.0" customHeight="1">
      <c r="A52" s="185" t="s">
        <v>185</v>
      </c>
      <c r="B52" s="232">
        <f t="shared" si="32"/>
        <v>0.95</v>
      </c>
      <c r="C52" s="178">
        <v>0.95</v>
      </c>
      <c r="D52" s="234">
        <f t="shared" ref="D52:L52" si="34">$C$52</f>
        <v>0.95</v>
      </c>
      <c r="E52" s="234">
        <f t="shared" si="34"/>
        <v>0.95</v>
      </c>
      <c r="F52" s="234">
        <f t="shared" si="34"/>
        <v>0.95</v>
      </c>
      <c r="G52" s="234">
        <f t="shared" si="34"/>
        <v>0.95</v>
      </c>
      <c r="H52" s="234">
        <f t="shared" si="34"/>
        <v>0.95</v>
      </c>
      <c r="I52" s="234">
        <f t="shared" si="34"/>
        <v>0.95</v>
      </c>
      <c r="J52" s="234">
        <f t="shared" si="34"/>
        <v>0.95</v>
      </c>
      <c r="K52" s="234">
        <f t="shared" si="34"/>
        <v>0.95</v>
      </c>
      <c r="L52" s="234">
        <f t="shared" si="34"/>
        <v>0.95</v>
      </c>
    </row>
    <row r="53" ht="12.0" customHeight="1">
      <c r="A53" s="185" t="s">
        <v>186</v>
      </c>
      <c r="B53" s="179">
        <f t="shared" si="32"/>
        <v>0.991443427</v>
      </c>
      <c r="C53" s="180">
        <f>sumproduct($D$16:$AA$16,D53:AA53)</f>
        <v>0.991443427</v>
      </c>
      <c r="D53" s="246">
        <v>1.1452543612974333</v>
      </c>
      <c r="E53" s="246">
        <v>0.8419917216311917</v>
      </c>
      <c r="F53" s="246">
        <v>1.039835714670281</v>
      </c>
      <c r="G53" s="246">
        <v>0.5019874189098235</v>
      </c>
      <c r="H53" s="246">
        <v>0.0369102580351751</v>
      </c>
      <c r="I53" s="246">
        <v>1.3205310021985064</v>
      </c>
      <c r="J53" s="246">
        <v>0.9741168612540898</v>
      </c>
      <c r="K53" s="246">
        <v>0.4210477241462653</v>
      </c>
      <c r="L53" s="246">
        <v>0.8521232218337096</v>
      </c>
    </row>
    <row r="54" ht="12.0" customHeight="1">
      <c r="A54" s="185" t="s">
        <v>187</v>
      </c>
      <c r="B54" s="232">
        <f t="shared" si="32"/>
        <v>0.1832796458</v>
      </c>
      <c r="C54" s="247">
        <f>sumproduct(D54:AA54,D16:AA16)</f>
        <v>0.1832796458</v>
      </c>
      <c r="D54" s="248">
        <v>0.13080907513248752</v>
      </c>
      <c r="E54" s="248">
        <v>0.29410094073411625</v>
      </c>
      <c r="F54" s="248">
        <v>0.30770859620091867</v>
      </c>
      <c r="G54" s="248">
        <v>0.286810547604404</v>
      </c>
      <c r="H54" s="248">
        <v>0.0</v>
      </c>
      <c r="I54" s="248">
        <v>0.27266965540627486</v>
      </c>
      <c r="J54" s="248">
        <v>0.2406291401460911</v>
      </c>
      <c r="K54" s="248">
        <v>0.2392313622389454</v>
      </c>
      <c r="L54" s="248">
        <v>0.13736142252753886</v>
      </c>
    </row>
    <row r="55" ht="12.0" customHeight="1">
      <c r="A55" s="235"/>
      <c r="B55" s="236"/>
      <c r="C55" s="237"/>
      <c r="D55" s="237"/>
      <c r="E55" s="237"/>
      <c r="F55" s="237"/>
      <c r="G55" s="237"/>
      <c r="H55" s="237"/>
      <c r="I55" s="237"/>
      <c r="J55" s="237"/>
      <c r="K55" s="237"/>
      <c r="L55" s="237"/>
    </row>
    <row r="56" ht="12.0" customHeight="1">
      <c r="A56" s="249" t="s">
        <v>188</v>
      </c>
      <c r="B56" s="250">
        <f t="array" ref="B56">index(C56:AA56,,match($A$3,$C$1:$AA$1,0))</f>
        <v>0.001855791714</v>
      </c>
      <c r="C56" s="251">
        <f t="shared" ref="C56:L56" si="35">C35*C42*C47*C50*C51*C52*C53*(1-C54)</f>
        <v>0.001855791714</v>
      </c>
      <c r="D56" s="251">
        <f t="shared" si="35"/>
        <v>0.002531559902</v>
      </c>
      <c r="E56" s="251">
        <f t="shared" si="35"/>
        <v>0.0009875891061</v>
      </c>
      <c r="F56" s="251">
        <f t="shared" si="35"/>
        <v>0.001882767441</v>
      </c>
      <c r="G56" s="251">
        <f t="shared" si="35"/>
        <v>0.0007144841523</v>
      </c>
      <c r="H56" s="251">
        <f t="shared" si="35"/>
        <v>0.0000633069469</v>
      </c>
      <c r="I56" s="251">
        <f t="shared" si="35"/>
        <v>0.001878896566</v>
      </c>
      <c r="J56" s="251">
        <f t="shared" si="35"/>
        <v>0.001391810307</v>
      </c>
      <c r="K56" s="251">
        <f t="shared" si="35"/>
        <v>0.0006346098598</v>
      </c>
      <c r="L56" s="251">
        <f t="shared" si="35"/>
        <v>0.002021777539</v>
      </c>
    </row>
    <row r="57">
      <c r="B57" s="252"/>
    </row>
    <row r="58">
      <c r="A58" s="253" t="s">
        <v>189</v>
      </c>
      <c r="B58" s="254">
        <f t="array" ref="B58">index(C58:AA58,,match($A$3,$C$1:$AA$1,0))</f>
        <v>30.02989919</v>
      </c>
      <c r="C58" s="255">
        <f>sum(D58:AA58)</f>
        <v>30.02989919</v>
      </c>
      <c r="D58" s="255">
        <f t="shared" ref="D58:L58" si="36">D29*D56</f>
        <v>22.11915509</v>
      </c>
      <c r="E58" s="255">
        <f t="shared" si="36"/>
        <v>0.7113389087</v>
      </c>
      <c r="F58" s="255">
        <f t="shared" si="36"/>
        <v>1.664475093</v>
      </c>
      <c r="G58" s="255">
        <f t="shared" si="36"/>
        <v>0.6967416516</v>
      </c>
      <c r="H58" s="255">
        <f t="shared" si="36"/>
        <v>0.02590573893</v>
      </c>
      <c r="I58" s="255">
        <f t="shared" si="36"/>
        <v>1.139596951</v>
      </c>
      <c r="J58" s="255">
        <f t="shared" si="36"/>
        <v>3.254165779</v>
      </c>
      <c r="K58" s="255">
        <f t="shared" si="36"/>
        <v>0.4185170356</v>
      </c>
      <c r="L58" s="255">
        <f t="shared" si="36"/>
        <v>0.000002941824676</v>
      </c>
    </row>
    <row r="59">
      <c r="A59" s="172"/>
      <c r="B59" s="256"/>
      <c r="C59" s="257"/>
      <c r="D59" s="257"/>
      <c r="E59" s="257"/>
      <c r="F59" s="257"/>
      <c r="G59" s="257"/>
      <c r="H59" s="257"/>
      <c r="I59" s="257"/>
      <c r="J59" s="257"/>
      <c r="K59" s="257"/>
      <c r="L59" s="257"/>
    </row>
    <row r="60">
      <c r="A60" s="258" t="s">
        <v>190</v>
      </c>
      <c r="B60" s="256"/>
      <c r="C60" s="257"/>
      <c r="D60" s="257"/>
      <c r="E60" s="257"/>
      <c r="F60" s="257"/>
      <c r="G60" s="257"/>
      <c r="H60" s="257"/>
      <c r="I60" s="257"/>
      <c r="J60" s="257"/>
      <c r="K60" s="257"/>
      <c r="L60" s="257"/>
    </row>
    <row r="61">
      <c r="A61" s="172" t="s">
        <v>75</v>
      </c>
      <c r="B61" s="256">
        <f t="shared" ref="B61:B62" si="38">index(C61:AA61,,match($A$3,$C$1:$AA$1,0))</f>
        <v>100</v>
      </c>
      <c r="C61" s="257">
        <f t="array" ref="C61">index('Moral weights'!$A$1:$ZG$33,match($A61,'Moral weights'!$A$1:$A$33,0),match(B$1,'Moral weights'!$A$1:$ZG1,0))</f>
        <v>100</v>
      </c>
      <c r="D61" s="257">
        <f t="shared" ref="D61:L61" si="37">$C$61</f>
        <v>100</v>
      </c>
      <c r="E61" s="257">
        <f t="shared" si="37"/>
        <v>100</v>
      </c>
      <c r="F61" s="257">
        <f t="shared" si="37"/>
        <v>100</v>
      </c>
      <c r="G61" s="257">
        <f t="shared" si="37"/>
        <v>100</v>
      </c>
      <c r="H61" s="257">
        <f t="shared" si="37"/>
        <v>100</v>
      </c>
      <c r="I61" s="257">
        <f t="shared" si="37"/>
        <v>100</v>
      </c>
      <c r="J61" s="257">
        <f t="shared" si="37"/>
        <v>100</v>
      </c>
      <c r="K61" s="257">
        <f t="shared" si="37"/>
        <v>100</v>
      </c>
      <c r="L61" s="257">
        <f t="shared" si="37"/>
        <v>100</v>
      </c>
    </row>
    <row r="62">
      <c r="A62" s="259" t="s">
        <v>191</v>
      </c>
      <c r="B62" s="254">
        <f t="shared" si="38"/>
        <v>3002.989919</v>
      </c>
      <c r="C62" s="255">
        <f>sum(D62:AA62)</f>
        <v>3002.989919</v>
      </c>
      <c r="D62" s="260">
        <f t="shared" ref="D62:L62" si="39">D58*D61</f>
        <v>2211.915509</v>
      </c>
      <c r="E62" s="260">
        <f t="shared" si="39"/>
        <v>71.13389087</v>
      </c>
      <c r="F62" s="260">
        <f t="shared" si="39"/>
        <v>166.4475093</v>
      </c>
      <c r="G62" s="260">
        <f t="shared" si="39"/>
        <v>69.67416516</v>
      </c>
      <c r="H62" s="260">
        <f t="shared" si="39"/>
        <v>2.590573893</v>
      </c>
      <c r="I62" s="260">
        <f t="shared" si="39"/>
        <v>113.9596951</v>
      </c>
      <c r="J62" s="260">
        <f t="shared" si="39"/>
        <v>325.4165779</v>
      </c>
      <c r="K62" s="260">
        <f t="shared" si="39"/>
        <v>41.85170356</v>
      </c>
      <c r="L62" s="260">
        <f t="shared" si="39"/>
        <v>0.0002941824676</v>
      </c>
    </row>
    <row r="63">
      <c r="A63" s="261"/>
      <c r="B63" s="262"/>
      <c r="C63" s="263"/>
      <c r="D63" s="263"/>
      <c r="E63" s="263"/>
      <c r="F63" s="263"/>
      <c r="G63" s="263"/>
      <c r="H63" s="263"/>
      <c r="I63" s="263"/>
      <c r="J63" s="263"/>
      <c r="K63" s="263"/>
      <c r="L63" s="263"/>
    </row>
    <row r="64">
      <c r="A64" s="264" t="s">
        <v>192</v>
      </c>
      <c r="B64" s="265"/>
      <c r="C64" s="266"/>
      <c r="D64" s="266"/>
      <c r="E64" s="266"/>
      <c r="F64" s="266"/>
      <c r="G64" s="266"/>
      <c r="H64" s="266"/>
      <c r="I64" s="266"/>
      <c r="J64" s="266"/>
      <c r="K64" s="266"/>
      <c r="L64" s="266"/>
    </row>
    <row r="65">
      <c r="A65" s="267"/>
      <c r="B65" s="268"/>
      <c r="C65" s="68"/>
      <c r="D65" s="269"/>
      <c r="E65" s="269"/>
      <c r="F65" s="269"/>
      <c r="G65" s="269"/>
      <c r="H65" s="269"/>
      <c r="I65" s="269"/>
      <c r="J65" s="269"/>
      <c r="K65" s="270"/>
      <c r="L65" s="270"/>
    </row>
    <row r="66">
      <c r="A66" s="271" t="s">
        <v>193</v>
      </c>
      <c r="B66" s="268"/>
      <c r="C66" s="68"/>
      <c r="D66" s="272"/>
      <c r="E66" s="272"/>
      <c r="F66" s="272"/>
      <c r="G66" s="272"/>
      <c r="H66" s="272"/>
      <c r="I66" s="272"/>
      <c r="J66" s="272"/>
      <c r="K66" s="57"/>
      <c r="L66" s="57"/>
    </row>
    <row r="67">
      <c r="A67" s="267" t="s">
        <v>194</v>
      </c>
      <c r="B67" s="273">
        <f t="shared" ref="B67:B71" si="40">index(C67:AA67,,match($A$3,$C$1:$AA$1,0))</f>
        <v>1735074.057</v>
      </c>
      <c r="C67" s="274">
        <f t="shared" ref="C67:C69" si="41">sum(D67:AA67)</f>
        <v>1735074.057</v>
      </c>
      <c r="D67" s="272">
        <v>81226.47666</v>
      </c>
      <c r="E67" s="272">
        <v>18757.48597</v>
      </c>
      <c r="F67" s="275">
        <v>11355.46</v>
      </c>
      <c r="G67" s="272">
        <v>6883.872205</v>
      </c>
      <c r="H67" s="272">
        <v>606.0861782</v>
      </c>
      <c r="I67" s="272">
        <v>6904.311841</v>
      </c>
      <c r="J67" s="272">
        <v>22236.76643</v>
      </c>
      <c r="K67" s="272">
        <v>4673.107929</v>
      </c>
      <c r="L67" s="272">
        <v>1582430.49</v>
      </c>
    </row>
    <row r="68">
      <c r="A68" s="267" t="s">
        <v>195</v>
      </c>
      <c r="B68" s="273">
        <f t="shared" si="40"/>
        <v>873031.2387</v>
      </c>
      <c r="C68" s="274">
        <f t="shared" si="41"/>
        <v>873031.2387</v>
      </c>
      <c r="D68" s="272">
        <v>48656.10581</v>
      </c>
      <c r="E68" s="272">
        <v>6005.736365</v>
      </c>
      <c r="F68" s="275">
        <v>6745.967</v>
      </c>
      <c r="G68" s="272">
        <v>2994.924881</v>
      </c>
      <c r="H68" s="272">
        <v>74.53515736</v>
      </c>
      <c r="I68" s="272">
        <v>3176.565652</v>
      </c>
      <c r="J68" s="272">
        <v>13925.53195</v>
      </c>
      <c r="K68" s="272">
        <v>2415.241898</v>
      </c>
      <c r="L68" s="272">
        <v>789036.63</v>
      </c>
    </row>
    <row r="69">
      <c r="A69" s="267" t="s">
        <v>196</v>
      </c>
      <c r="B69" s="273">
        <f t="shared" si="40"/>
        <v>862042.8185</v>
      </c>
      <c r="C69" s="274">
        <f t="shared" si="41"/>
        <v>862042.8185</v>
      </c>
      <c r="D69" s="270">
        <f t="shared" ref="D69:L69" si="42">D67-D68</f>
        <v>32570.37085</v>
      </c>
      <c r="E69" s="270">
        <f t="shared" si="42"/>
        <v>12751.74961</v>
      </c>
      <c r="F69" s="270">
        <f t="shared" si="42"/>
        <v>4609.493</v>
      </c>
      <c r="G69" s="270">
        <f t="shared" si="42"/>
        <v>3888.947324</v>
      </c>
      <c r="H69" s="270">
        <f t="shared" si="42"/>
        <v>531.5510208</v>
      </c>
      <c r="I69" s="270">
        <f t="shared" si="42"/>
        <v>3727.746189</v>
      </c>
      <c r="J69" s="270">
        <f t="shared" si="42"/>
        <v>8311.23448</v>
      </c>
      <c r="K69" s="270">
        <f t="shared" si="42"/>
        <v>2257.866031</v>
      </c>
      <c r="L69" s="270">
        <f t="shared" si="42"/>
        <v>793393.86</v>
      </c>
    </row>
    <row r="70">
      <c r="A70" s="165" t="s">
        <v>197</v>
      </c>
      <c r="B70" s="179">
        <f t="shared" si="40"/>
        <v>0.9874134857</v>
      </c>
      <c r="C70" s="180">
        <f t="shared" ref="C70:L70" si="43">C69/C68</f>
        <v>0.9874134857</v>
      </c>
      <c r="D70" s="180">
        <f t="shared" si="43"/>
        <v>0.6693994578</v>
      </c>
      <c r="E70" s="180">
        <f t="shared" si="43"/>
        <v>2.123261634</v>
      </c>
      <c r="F70" s="180">
        <f t="shared" si="43"/>
        <v>0.6832961086</v>
      </c>
      <c r="G70" s="180">
        <f t="shared" si="43"/>
        <v>1.298512476</v>
      </c>
      <c r="H70" s="180">
        <f t="shared" si="43"/>
        <v>7.131547577</v>
      </c>
      <c r="I70" s="180">
        <f t="shared" si="43"/>
        <v>1.173514606</v>
      </c>
      <c r="J70" s="180">
        <f t="shared" si="43"/>
        <v>0.5968342545</v>
      </c>
      <c r="K70" s="180">
        <f t="shared" si="43"/>
        <v>0.9348405362</v>
      </c>
      <c r="L70" s="180">
        <f t="shared" si="43"/>
        <v>1.005522215</v>
      </c>
    </row>
    <row r="71" ht="15.75" customHeight="1">
      <c r="A71" s="206" t="s">
        <v>198</v>
      </c>
      <c r="B71" s="238">
        <f t="shared" si="40"/>
        <v>0.8</v>
      </c>
      <c r="C71" s="239">
        <v>0.8</v>
      </c>
      <c r="D71" s="240">
        <f t="shared" ref="D71:L71" si="44">$C$71</f>
        <v>0.8</v>
      </c>
      <c r="E71" s="240">
        <f t="shared" si="44"/>
        <v>0.8</v>
      </c>
      <c r="F71" s="240">
        <f t="shared" si="44"/>
        <v>0.8</v>
      </c>
      <c r="G71" s="240">
        <f t="shared" si="44"/>
        <v>0.8</v>
      </c>
      <c r="H71" s="240">
        <f t="shared" si="44"/>
        <v>0.8</v>
      </c>
      <c r="I71" s="240">
        <f t="shared" si="44"/>
        <v>0.8</v>
      </c>
      <c r="J71" s="240">
        <f t="shared" si="44"/>
        <v>0.8</v>
      </c>
      <c r="K71" s="240">
        <f t="shared" si="44"/>
        <v>0.8</v>
      </c>
      <c r="L71" s="240">
        <f t="shared" si="44"/>
        <v>0.8</v>
      </c>
    </row>
    <row r="72">
      <c r="A72" s="172"/>
      <c r="B72" s="256"/>
      <c r="C72" s="276"/>
      <c r="D72" s="276"/>
      <c r="E72" s="276"/>
      <c r="F72" s="276"/>
      <c r="G72" s="276"/>
      <c r="H72" s="276"/>
      <c r="I72" s="276"/>
      <c r="J72" s="276"/>
      <c r="K72" s="276"/>
      <c r="L72" s="276"/>
    </row>
    <row r="73">
      <c r="A73" s="259" t="s">
        <v>199</v>
      </c>
      <c r="B73" s="277">
        <f t="array" ref="B73">index(C73:AA73,,match($A$3,$C$1:$AA$1,0))</f>
        <v>17.77159604</v>
      </c>
      <c r="C73" s="260">
        <f>sum(D73:AA73)</f>
        <v>17.77159604</v>
      </c>
      <c r="D73" s="260">
        <f t="shared" ref="D73:L73" si="45">D58*D70*D71</f>
        <v>11.84524034</v>
      </c>
      <c r="E73" s="260">
        <f t="shared" si="45"/>
        <v>1.208286891</v>
      </c>
      <c r="F73" s="260">
        <f t="shared" si="45"/>
        <v>0.909863483</v>
      </c>
      <c r="G73" s="260">
        <f t="shared" si="45"/>
        <v>0.723782182</v>
      </c>
      <c r="H73" s="260">
        <f t="shared" si="45"/>
        <v>0.1477984078</v>
      </c>
      <c r="I73" s="260">
        <f t="shared" si="45"/>
        <v>1.069866934</v>
      </c>
      <c r="J73" s="260">
        <f t="shared" si="45"/>
        <v>1.553758085</v>
      </c>
      <c r="K73" s="260">
        <f t="shared" si="45"/>
        <v>0.312997352</v>
      </c>
      <c r="L73" s="260">
        <f t="shared" si="45"/>
        <v>0.000002366456052</v>
      </c>
    </row>
    <row r="74">
      <c r="A74" s="172"/>
      <c r="B74" s="278"/>
      <c r="C74" s="279"/>
      <c r="D74" s="279"/>
      <c r="E74" s="279"/>
      <c r="F74" s="279"/>
      <c r="G74" s="279"/>
      <c r="H74" s="279"/>
      <c r="I74" s="279"/>
      <c r="J74" s="279"/>
      <c r="K74" s="279"/>
      <c r="L74" s="279"/>
    </row>
    <row r="75">
      <c r="A75" s="258" t="s">
        <v>190</v>
      </c>
      <c r="B75" s="256"/>
      <c r="C75" s="276"/>
      <c r="D75" s="276"/>
      <c r="E75" s="280"/>
      <c r="F75" s="280"/>
      <c r="G75" s="276"/>
      <c r="H75" s="276"/>
      <c r="I75" s="276"/>
      <c r="J75" s="276"/>
      <c r="K75" s="276"/>
      <c r="L75" s="276"/>
    </row>
    <row r="76">
      <c r="A76" s="172" t="s">
        <v>76</v>
      </c>
      <c r="B76" s="256">
        <f t="shared" ref="B76:B77" si="47">index(C76:AA76,,match($A$3,$C$1:$AA$1,0))</f>
        <v>100</v>
      </c>
      <c r="C76" s="257">
        <f t="array" ref="C76">index('Moral weights'!$A$1:$ZG$33,match($A76,'Moral weights'!$A$1:$A$33,0),match(B$1,'Moral weights'!$A$1:$ZG1,0))</f>
        <v>100</v>
      </c>
      <c r="D76" s="257">
        <f t="shared" ref="D76:L76" si="46">$C$76</f>
        <v>100</v>
      </c>
      <c r="E76" s="257">
        <f t="shared" si="46"/>
        <v>100</v>
      </c>
      <c r="F76" s="257">
        <f t="shared" si="46"/>
        <v>100</v>
      </c>
      <c r="G76" s="257">
        <f t="shared" si="46"/>
        <v>100</v>
      </c>
      <c r="H76" s="257">
        <f t="shared" si="46"/>
        <v>100</v>
      </c>
      <c r="I76" s="257">
        <f t="shared" si="46"/>
        <v>100</v>
      </c>
      <c r="J76" s="257">
        <f t="shared" si="46"/>
        <v>100</v>
      </c>
      <c r="K76" s="257">
        <f t="shared" si="46"/>
        <v>100</v>
      </c>
      <c r="L76" s="257">
        <f t="shared" si="46"/>
        <v>100</v>
      </c>
    </row>
    <row r="77">
      <c r="A77" s="259" t="s">
        <v>200</v>
      </c>
      <c r="B77" s="277">
        <f t="shared" si="47"/>
        <v>1777.159604</v>
      </c>
      <c r="C77" s="260">
        <f>sum(D77:AA77)</f>
        <v>1777.159604</v>
      </c>
      <c r="D77" s="260">
        <f t="shared" ref="D77:L77" si="48">D76*D73</f>
        <v>1184.524034</v>
      </c>
      <c r="E77" s="260">
        <f t="shared" si="48"/>
        <v>120.8286891</v>
      </c>
      <c r="F77" s="260">
        <f t="shared" si="48"/>
        <v>90.9863483</v>
      </c>
      <c r="G77" s="260">
        <f t="shared" si="48"/>
        <v>72.3782182</v>
      </c>
      <c r="H77" s="260">
        <f t="shared" si="48"/>
        <v>14.77984078</v>
      </c>
      <c r="I77" s="260">
        <f t="shared" si="48"/>
        <v>106.9866934</v>
      </c>
      <c r="J77" s="260">
        <f t="shared" si="48"/>
        <v>155.3758085</v>
      </c>
      <c r="K77" s="260">
        <f t="shared" si="48"/>
        <v>31.2997352</v>
      </c>
      <c r="L77" s="260">
        <f t="shared" si="48"/>
        <v>0.0002366456052</v>
      </c>
    </row>
    <row r="78">
      <c r="A78" s="281"/>
      <c r="B78" s="282"/>
      <c r="C78" s="75"/>
      <c r="D78" s="75"/>
      <c r="E78" s="75"/>
      <c r="F78" s="75"/>
      <c r="G78" s="75"/>
      <c r="H78" s="75"/>
      <c r="I78" s="75"/>
      <c r="J78" s="75"/>
      <c r="K78" s="75"/>
      <c r="L78" s="75"/>
    </row>
    <row r="79">
      <c r="A79" s="264" t="s">
        <v>201</v>
      </c>
      <c r="B79" s="265"/>
      <c r="C79" s="266"/>
      <c r="D79" s="266"/>
      <c r="E79" s="266"/>
      <c r="F79" s="266"/>
      <c r="G79" s="266"/>
      <c r="H79" s="266"/>
      <c r="I79" s="266"/>
      <c r="J79" s="266"/>
      <c r="K79" s="266"/>
      <c r="L79" s="266"/>
    </row>
    <row r="80">
      <c r="A80" s="206"/>
      <c r="B80" s="283"/>
      <c r="C80" s="40"/>
      <c r="D80" s="40"/>
      <c r="E80" s="40"/>
      <c r="F80" s="40"/>
      <c r="G80" s="40"/>
      <c r="H80" s="40"/>
      <c r="I80" s="40"/>
      <c r="J80" s="40"/>
      <c r="K80" s="40"/>
      <c r="L80" s="40"/>
    </row>
    <row r="81">
      <c r="A81" s="253" t="s">
        <v>202</v>
      </c>
      <c r="B81" s="277">
        <f t="array" ref="B81">index(C81:AA81,,match($A$3,$C$1:$AA$1,0))</f>
        <v>47.80149522</v>
      </c>
      <c r="C81" s="260">
        <f>sum(D81:AA81)</f>
        <v>47.80149522</v>
      </c>
      <c r="D81" s="284">
        <f t="shared" ref="D81:L81" si="49">D73+D58</f>
        <v>33.96439542</v>
      </c>
      <c r="E81" s="284">
        <f t="shared" si="49"/>
        <v>1.919625799</v>
      </c>
      <c r="F81" s="284">
        <f t="shared" si="49"/>
        <v>2.574338576</v>
      </c>
      <c r="G81" s="284">
        <f t="shared" si="49"/>
        <v>1.420523834</v>
      </c>
      <c r="H81" s="284">
        <f t="shared" si="49"/>
        <v>0.1737041467</v>
      </c>
      <c r="I81" s="284">
        <f t="shared" si="49"/>
        <v>2.209463885</v>
      </c>
      <c r="J81" s="284">
        <f t="shared" si="49"/>
        <v>4.807923864</v>
      </c>
      <c r="K81" s="284">
        <f t="shared" si="49"/>
        <v>0.7315143876</v>
      </c>
      <c r="L81" s="284">
        <f t="shared" si="49"/>
        <v>0.000005308280728</v>
      </c>
    </row>
    <row r="82">
      <c r="A82" s="281"/>
      <c r="B82" s="282"/>
      <c r="C82" s="75"/>
      <c r="D82" s="75"/>
      <c r="E82" s="75"/>
      <c r="F82" s="75"/>
      <c r="G82" s="75"/>
      <c r="H82" s="75"/>
      <c r="I82" s="75"/>
      <c r="J82" s="75"/>
      <c r="K82" s="75"/>
      <c r="L82" s="75"/>
    </row>
    <row r="83">
      <c r="A83" s="285" t="s">
        <v>203</v>
      </c>
      <c r="B83" s="286"/>
      <c r="C83" s="287"/>
      <c r="D83" s="287"/>
      <c r="E83" s="287"/>
      <c r="F83" s="287"/>
      <c r="G83" s="287"/>
      <c r="H83" s="287"/>
      <c r="I83" s="287"/>
      <c r="J83" s="287"/>
      <c r="K83" s="287"/>
      <c r="L83" s="287"/>
    </row>
    <row r="84">
      <c r="A84" s="120"/>
      <c r="B84" s="179"/>
      <c r="C84" s="180"/>
      <c r="D84" s="180"/>
      <c r="E84" s="180"/>
      <c r="F84" s="180"/>
      <c r="G84" s="180"/>
      <c r="H84" s="180"/>
      <c r="I84" s="180"/>
      <c r="J84" s="180"/>
      <c r="K84" s="180"/>
      <c r="L84" s="180"/>
    </row>
    <row r="85">
      <c r="A85" s="288" t="s">
        <v>204</v>
      </c>
      <c r="B85" s="179"/>
      <c r="C85" s="47"/>
      <c r="D85" s="289"/>
      <c r="E85" s="289"/>
      <c r="F85" s="289"/>
      <c r="G85" s="289"/>
      <c r="H85" s="289"/>
      <c r="I85" s="289"/>
      <c r="J85" s="289"/>
      <c r="K85" s="289"/>
      <c r="L85" s="289"/>
    </row>
    <row r="86">
      <c r="A86" s="120" t="s">
        <v>205</v>
      </c>
      <c r="B86" s="179">
        <f t="shared" ref="B86:B87" si="51">index(C86:AA86,,match($A$3,$C$1:$AA$1,0))</f>
        <v>0.5</v>
      </c>
      <c r="C86" s="47">
        <v>0.5</v>
      </c>
      <c r="D86" s="289">
        <f t="shared" ref="D86:L86" si="50">$C$86</f>
        <v>0.5</v>
      </c>
      <c r="E86" s="289">
        <f t="shared" si="50"/>
        <v>0.5</v>
      </c>
      <c r="F86" s="289">
        <f t="shared" si="50"/>
        <v>0.5</v>
      </c>
      <c r="G86" s="289">
        <f t="shared" si="50"/>
        <v>0.5</v>
      </c>
      <c r="H86" s="289">
        <f t="shared" si="50"/>
        <v>0.5</v>
      </c>
      <c r="I86" s="289">
        <f t="shared" si="50"/>
        <v>0.5</v>
      </c>
      <c r="J86" s="289">
        <f t="shared" si="50"/>
        <v>0.5</v>
      </c>
      <c r="K86" s="289">
        <f t="shared" si="50"/>
        <v>0.5</v>
      </c>
      <c r="L86" s="289">
        <f t="shared" si="50"/>
        <v>0.5</v>
      </c>
    </row>
    <row r="87">
      <c r="A87" s="120" t="s">
        <v>206</v>
      </c>
      <c r="B87" s="179">
        <f t="shared" si="51"/>
        <v>0.2970847792</v>
      </c>
      <c r="C87" s="180">
        <f>sumproduct($D$16:$AA$16,D87:AA87)</f>
        <v>0.2970847792</v>
      </c>
      <c r="D87" s="180">
        <f t="shared" ref="D87:L87" si="52">D86*D50*D51*D52*D53*(1-D54)*D47</f>
        <v>0.36384748</v>
      </c>
      <c r="E87" s="180">
        <f t="shared" si="52"/>
        <v>0.217246435</v>
      </c>
      <c r="F87" s="180">
        <f t="shared" si="52"/>
        <v>0.2631212372</v>
      </c>
      <c r="G87" s="180">
        <f t="shared" si="52"/>
        <v>0.1308579095</v>
      </c>
      <c r="H87" s="180">
        <f t="shared" si="52"/>
        <v>0.01349116069</v>
      </c>
      <c r="I87" s="180">
        <f t="shared" si="52"/>
        <v>0.3510609651</v>
      </c>
      <c r="J87" s="180">
        <f t="shared" si="52"/>
        <v>0.2703754293</v>
      </c>
      <c r="K87" s="180">
        <f t="shared" si="52"/>
        <v>0.1170809287</v>
      </c>
      <c r="L87" s="180">
        <f t="shared" si="52"/>
        <v>0.2686788684</v>
      </c>
    </row>
    <row r="88">
      <c r="A88" s="120"/>
      <c r="B88" s="179"/>
      <c r="C88" s="180"/>
      <c r="D88" s="33"/>
      <c r="E88" s="33"/>
      <c r="F88" s="33"/>
      <c r="G88" s="33"/>
      <c r="H88" s="33"/>
      <c r="I88" s="33"/>
      <c r="J88" s="33"/>
      <c r="K88" s="33"/>
      <c r="L88" s="33"/>
    </row>
    <row r="89">
      <c r="A89" s="288" t="s">
        <v>207</v>
      </c>
      <c r="B89" s="179"/>
      <c r="C89" s="180"/>
      <c r="D89" s="33"/>
      <c r="E89" s="33"/>
      <c r="F89" s="33"/>
      <c r="G89" s="33"/>
      <c r="H89" s="33"/>
      <c r="I89" s="33"/>
      <c r="J89" s="33"/>
      <c r="K89" s="33"/>
      <c r="L89" s="33"/>
    </row>
    <row r="90">
      <c r="A90" s="165" t="s">
        <v>208</v>
      </c>
      <c r="B90" s="179">
        <f t="shared" ref="B90:B96" si="53">index(C90:AA90,,match($A$3,$C$1:$AA$1,0))</f>
        <v>0.2344648345</v>
      </c>
      <c r="C90" s="180">
        <f t="shared" ref="C90:C93" si="54">sumproduct($D$16:$AA$16,D90:AA90)</f>
        <v>0.2344648345</v>
      </c>
      <c r="D90" s="202">
        <v>0.253975303</v>
      </c>
      <c r="E90" s="202">
        <v>0.152332404</v>
      </c>
      <c r="F90" s="202">
        <f>27538.6/100000</f>
        <v>0.275386</v>
      </c>
      <c r="G90" s="202">
        <v>0.160729321</v>
      </c>
      <c r="H90" s="202">
        <v>0.070463247</v>
      </c>
      <c r="I90" s="202">
        <v>0.37706719</v>
      </c>
      <c r="J90" s="202">
        <v>0.233408607</v>
      </c>
      <c r="K90" s="202">
        <v>0.135363866</v>
      </c>
      <c r="L90" s="202">
        <v>0.135363866</v>
      </c>
    </row>
    <row r="91">
      <c r="A91" s="165" t="s">
        <v>209</v>
      </c>
      <c r="B91" s="179">
        <f t="shared" si="53"/>
        <v>0.259544918</v>
      </c>
      <c r="C91" s="180">
        <f t="shared" si="54"/>
        <v>0.259544918</v>
      </c>
      <c r="D91" s="202">
        <v>0.281138851</v>
      </c>
      <c r="E91" s="202">
        <v>0.168657678</v>
      </c>
      <c r="F91" s="202">
        <f>30473.63/100000</f>
        <v>0.3047363</v>
      </c>
      <c r="G91" s="202">
        <v>0.1779777</v>
      </c>
      <c r="H91" s="202">
        <v>0.080555183</v>
      </c>
      <c r="I91" s="202">
        <v>0.415704916</v>
      </c>
      <c r="J91" s="202">
        <v>0.258285739</v>
      </c>
      <c r="K91" s="202">
        <v>0.149969479</v>
      </c>
      <c r="L91" s="202">
        <v>0.149969479</v>
      </c>
    </row>
    <row r="92">
      <c r="A92" s="165" t="s">
        <v>210</v>
      </c>
      <c r="B92" s="179">
        <f t="shared" si="53"/>
        <v>0.2415519887</v>
      </c>
      <c r="C92" s="180">
        <f t="shared" si="54"/>
        <v>0.2415519887</v>
      </c>
      <c r="D92" s="202">
        <v>0.262442795</v>
      </c>
      <c r="E92" s="202">
        <v>0.157419949</v>
      </c>
      <c r="F92" s="202">
        <f>28410.33/100000</f>
        <v>0.2841033</v>
      </c>
      <c r="G92" s="202">
        <v>0.165978837</v>
      </c>
      <c r="H92" s="202">
        <v>0.056906259</v>
      </c>
      <c r="I92" s="202">
        <v>0.387410053</v>
      </c>
      <c r="J92" s="202">
        <v>0.240755137</v>
      </c>
      <c r="K92" s="202">
        <v>0.13982309</v>
      </c>
      <c r="L92" s="202">
        <v>0.13982309</v>
      </c>
    </row>
    <row r="93">
      <c r="A93" s="165" t="s">
        <v>211</v>
      </c>
      <c r="B93" s="179">
        <f t="shared" si="53"/>
        <v>0.2511921013</v>
      </c>
      <c r="C93" s="180">
        <f t="shared" si="54"/>
        <v>0.2511921013</v>
      </c>
      <c r="D93" s="33">
        <f t="shared" ref="D93:L93" si="55">(D91*(D21/(D21+D22)))+(D92*(D22/(D21+D22)))</f>
        <v>0.2725599645</v>
      </c>
      <c r="E93" s="33">
        <f t="shared" si="55"/>
        <v>0.1633021978</v>
      </c>
      <c r="F93" s="33">
        <f t="shared" si="55"/>
        <v>0.2952692793</v>
      </c>
      <c r="G93" s="33">
        <f t="shared" si="55"/>
        <v>0.1721245961</v>
      </c>
      <c r="H93" s="33">
        <f t="shared" si="55"/>
        <v>0.068730721</v>
      </c>
      <c r="I93" s="33">
        <f t="shared" si="55"/>
        <v>0.40271711</v>
      </c>
      <c r="J93" s="33">
        <f t="shared" si="55"/>
        <v>0.2500823163</v>
      </c>
      <c r="K93" s="33">
        <f t="shared" si="55"/>
        <v>0.1451746915</v>
      </c>
      <c r="L93" s="33">
        <f t="shared" si="55"/>
        <v>0.1452478359</v>
      </c>
    </row>
    <row r="94">
      <c r="A94" s="290" t="s">
        <v>212</v>
      </c>
      <c r="B94" s="179">
        <f t="shared" si="53"/>
        <v>0.2</v>
      </c>
      <c r="C94" s="47">
        <v>0.2</v>
      </c>
      <c r="D94" s="289">
        <f t="shared" ref="D94:L94" si="56">$C$94</f>
        <v>0.2</v>
      </c>
      <c r="E94" s="289">
        <f t="shared" si="56"/>
        <v>0.2</v>
      </c>
      <c r="F94" s="289">
        <f t="shared" si="56"/>
        <v>0.2</v>
      </c>
      <c r="G94" s="289">
        <f t="shared" si="56"/>
        <v>0.2</v>
      </c>
      <c r="H94" s="289">
        <f t="shared" si="56"/>
        <v>0.2</v>
      </c>
      <c r="I94" s="289">
        <f t="shared" si="56"/>
        <v>0.2</v>
      </c>
      <c r="J94" s="289">
        <f t="shared" si="56"/>
        <v>0.2</v>
      </c>
      <c r="K94" s="289">
        <f t="shared" si="56"/>
        <v>0.2</v>
      </c>
      <c r="L94" s="289">
        <f t="shared" si="56"/>
        <v>0.2</v>
      </c>
    </row>
    <row r="95">
      <c r="A95" s="165" t="s">
        <v>213</v>
      </c>
      <c r="B95" s="179">
        <f t="shared" si="53"/>
        <v>0.2813578014</v>
      </c>
      <c r="C95" s="180">
        <f t="shared" ref="C95:C96" si="58">sumproduct($D$16:$AA$16,D95:AA95)</f>
        <v>0.2813578014</v>
      </c>
      <c r="D95" s="180">
        <f t="shared" ref="D95:L95" si="57">D90*(1+D94)</f>
        <v>0.3047703636</v>
      </c>
      <c r="E95" s="180">
        <f t="shared" si="57"/>
        <v>0.1827988848</v>
      </c>
      <c r="F95" s="180">
        <f t="shared" si="57"/>
        <v>0.3304632</v>
      </c>
      <c r="G95" s="180">
        <f t="shared" si="57"/>
        <v>0.1928751852</v>
      </c>
      <c r="H95" s="180">
        <f t="shared" si="57"/>
        <v>0.0845558964</v>
      </c>
      <c r="I95" s="180">
        <f t="shared" si="57"/>
        <v>0.452480628</v>
      </c>
      <c r="J95" s="180">
        <f t="shared" si="57"/>
        <v>0.2800903284</v>
      </c>
      <c r="K95" s="180">
        <f t="shared" si="57"/>
        <v>0.1624366392</v>
      </c>
      <c r="L95" s="180">
        <f t="shared" si="57"/>
        <v>0.1624366392</v>
      </c>
    </row>
    <row r="96">
      <c r="A96" s="165" t="s">
        <v>214</v>
      </c>
      <c r="B96" s="179">
        <f t="shared" si="53"/>
        <v>0.3014305216</v>
      </c>
      <c r="C96" s="180">
        <f t="shared" si="58"/>
        <v>0.3014305216</v>
      </c>
      <c r="D96" s="180">
        <f t="shared" ref="D96:L96" si="59">D93*(1+D94)</f>
        <v>0.3270719575</v>
      </c>
      <c r="E96" s="180">
        <f t="shared" si="59"/>
        <v>0.1959626373</v>
      </c>
      <c r="F96" s="180">
        <f t="shared" si="59"/>
        <v>0.3543231351</v>
      </c>
      <c r="G96" s="180">
        <f t="shared" si="59"/>
        <v>0.2065495153</v>
      </c>
      <c r="H96" s="180">
        <f t="shared" si="59"/>
        <v>0.0824768652</v>
      </c>
      <c r="I96" s="180">
        <f t="shared" si="59"/>
        <v>0.483260532</v>
      </c>
      <c r="J96" s="180">
        <f t="shared" si="59"/>
        <v>0.3000987795</v>
      </c>
      <c r="K96" s="180">
        <f t="shared" si="59"/>
        <v>0.1742096298</v>
      </c>
      <c r="L96" s="180">
        <f t="shared" si="59"/>
        <v>0.1742974031</v>
      </c>
    </row>
    <row r="97">
      <c r="A97" s="165"/>
      <c r="B97" s="179"/>
      <c r="C97" s="180"/>
      <c r="D97" s="180"/>
      <c r="E97" s="180"/>
      <c r="F97" s="180"/>
      <c r="G97" s="180"/>
      <c r="H97" s="180"/>
      <c r="I97" s="180"/>
      <c r="J97" s="180"/>
      <c r="K97" s="180"/>
      <c r="L97" s="180"/>
    </row>
    <row r="98">
      <c r="A98" s="288" t="s">
        <v>215</v>
      </c>
      <c r="B98" s="179"/>
      <c r="C98" s="180"/>
      <c r="D98" s="180"/>
      <c r="E98" s="180"/>
      <c r="F98" s="180"/>
      <c r="G98" s="180"/>
      <c r="H98" s="180"/>
      <c r="I98" s="180"/>
      <c r="J98" s="180"/>
      <c r="K98" s="180"/>
      <c r="L98" s="180"/>
    </row>
    <row r="99">
      <c r="A99" s="165" t="s">
        <v>216</v>
      </c>
      <c r="B99" s="179">
        <f t="shared" ref="B99:B100" si="61">index(C99:AA99,,match($A$3,$C$1:$AA$1,0))</f>
        <v>0.08906654639</v>
      </c>
      <c r="C99" s="180">
        <f t="shared" ref="C99:C100" si="62">sumproduct($D$16:$K$16,D99:K99)</f>
        <v>0.08906654639</v>
      </c>
      <c r="D99" s="180">
        <f t="shared" ref="D99:L99" si="60">D87*D95</f>
        <v>0.1108899288</v>
      </c>
      <c r="E99" s="180">
        <f t="shared" si="60"/>
        <v>0.03971240605</v>
      </c>
      <c r="F99" s="180">
        <f t="shared" si="60"/>
        <v>0.08695188605</v>
      </c>
      <c r="G99" s="180">
        <f t="shared" si="60"/>
        <v>0.02523924354</v>
      </c>
      <c r="H99" s="180">
        <f t="shared" si="60"/>
        <v>0.001140757186</v>
      </c>
      <c r="I99" s="180">
        <f t="shared" si="60"/>
        <v>0.1588482859</v>
      </c>
      <c r="J99" s="180">
        <f t="shared" si="60"/>
        <v>0.07572954278</v>
      </c>
      <c r="K99" s="180">
        <f t="shared" si="60"/>
        <v>0.01901823258</v>
      </c>
      <c r="L99" s="180">
        <f t="shared" si="60"/>
        <v>0.04364329241</v>
      </c>
    </row>
    <row r="100">
      <c r="A100" s="165" t="s">
        <v>217</v>
      </c>
      <c r="B100" s="179">
        <f t="shared" si="61"/>
        <v>0.0955132337</v>
      </c>
      <c r="C100" s="180">
        <f t="shared" si="62"/>
        <v>0.0955132337</v>
      </c>
      <c r="D100" s="180">
        <f t="shared" ref="D100:L100" si="63">D87*D96</f>
        <v>0.1190043075</v>
      </c>
      <c r="E100" s="180">
        <f t="shared" si="63"/>
        <v>0.04257218436</v>
      </c>
      <c r="F100" s="180">
        <f t="shared" si="63"/>
        <v>0.09322994171</v>
      </c>
      <c r="G100" s="180">
        <f t="shared" si="63"/>
        <v>0.02702863779</v>
      </c>
      <c r="H100" s="180">
        <f t="shared" si="63"/>
        <v>0.001112708642</v>
      </c>
      <c r="I100" s="180">
        <f t="shared" si="63"/>
        <v>0.1696539087</v>
      </c>
      <c r="J100" s="180">
        <f t="shared" si="63"/>
        <v>0.08113933634</v>
      </c>
      <c r="K100" s="180">
        <f t="shared" si="63"/>
        <v>0.02039662525</v>
      </c>
      <c r="L100" s="180">
        <f t="shared" si="63"/>
        <v>0.04683002902</v>
      </c>
    </row>
    <row r="101">
      <c r="A101" s="281"/>
      <c r="B101" s="282"/>
      <c r="C101" s="75"/>
      <c r="D101" s="75"/>
      <c r="E101" s="75"/>
      <c r="F101" s="75"/>
      <c r="G101" s="75"/>
      <c r="H101" s="75"/>
      <c r="I101" s="75"/>
      <c r="J101" s="75"/>
      <c r="K101" s="75"/>
      <c r="L101" s="75"/>
    </row>
    <row r="102">
      <c r="A102" s="291" t="s">
        <v>218</v>
      </c>
      <c r="B102" s="292"/>
      <c r="C102" s="264"/>
      <c r="D102" s="293"/>
      <c r="E102" s="293"/>
      <c r="F102" s="293"/>
      <c r="G102" s="293"/>
      <c r="H102" s="293"/>
      <c r="I102" s="293"/>
      <c r="J102" s="293"/>
      <c r="K102" s="293"/>
      <c r="L102" s="293"/>
    </row>
    <row r="103">
      <c r="A103" s="294"/>
      <c r="B103" s="295"/>
      <c r="C103" s="296"/>
      <c r="D103" s="296"/>
      <c r="E103" s="296"/>
      <c r="F103" s="296"/>
      <c r="G103" s="296"/>
      <c r="H103" s="296"/>
      <c r="I103" s="296"/>
      <c r="J103" s="296"/>
      <c r="K103" s="296"/>
      <c r="L103" s="296"/>
    </row>
    <row r="104">
      <c r="A104" s="297" t="s">
        <v>219</v>
      </c>
      <c r="B104" s="252"/>
    </row>
    <row r="105">
      <c r="A105" s="294" t="s">
        <v>220</v>
      </c>
      <c r="B105" s="295">
        <f t="shared" ref="B105:B106" si="65">index(C105:AA105,,match($A$3,$C$1:$AA$1,0))</f>
        <v>1385.38877</v>
      </c>
      <c r="C105" s="296">
        <f>sum(D105:AA105)</f>
        <v>1385.38877</v>
      </c>
      <c r="D105" s="296">
        <f t="shared" ref="D105:L105" si="64">D29*D99</f>
        <v>968.8854408</v>
      </c>
      <c r="E105" s="296">
        <f t="shared" si="64"/>
        <v>28.60398055</v>
      </c>
      <c r="F105" s="296">
        <f t="shared" si="64"/>
        <v>76.87048622</v>
      </c>
      <c r="G105" s="296">
        <f t="shared" si="64"/>
        <v>24.61248745</v>
      </c>
      <c r="H105" s="296">
        <f t="shared" si="64"/>
        <v>0.4668075035</v>
      </c>
      <c r="I105" s="296">
        <f t="shared" si="64"/>
        <v>96.34538998</v>
      </c>
      <c r="J105" s="296">
        <f t="shared" si="64"/>
        <v>177.0618347</v>
      </c>
      <c r="K105" s="296">
        <f t="shared" si="64"/>
        <v>12.54227964</v>
      </c>
      <c r="L105" s="296">
        <f t="shared" si="64"/>
        <v>0.00006350397713</v>
      </c>
    </row>
    <row r="106">
      <c r="A106" s="294" t="s">
        <v>221</v>
      </c>
      <c r="B106" s="295">
        <f t="shared" si="65"/>
        <v>2445.526302</v>
      </c>
      <c r="C106" s="296">
        <f t="shared" ref="C106:L106" si="66">C30*C100</f>
        <v>2445.526302</v>
      </c>
      <c r="D106" s="296">
        <f t="shared" si="66"/>
        <v>1651.113822</v>
      </c>
      <c r="E106" s="296">
        <f t="shared" si="66"/>
        <v>50.32010919</v>
      </c>
      <c r="F106" s="296">
        <f t="shared" si="66"/>
        <v>139.3749342</v>
      </c>
      <c r="G106" s="296">
        <f t="shared" si="66"/>
        <v>57.25326102</v>
      </c>
      <c r="H106" s="296">
        <f t="shared" si="66"/>
        <v>0.7960082145</v>
      </c>
      <c r="I106" s="296">
        <f t="shared" si="66"/>
        <v>203.7940005</v>
      </c>
      <c r="J106" s="296">
        <f t="shared" si="66"/>
        <v>305.1012175</v>
      </c>
      <c r="K106" s="296">
        <f t="shared" si="66"/>
        <v>25.65133891</v>
      </c>
      <c r="L106" s="296">
        <f t="shared" si="66"/>
        <v>0.000114815574</v>
      </c>
    </row>
    <row r="107">
      <c r="A107" s="294"/>
      <c r="B107" s="298"/>
      <c r="C107" s="299"/>
      <c r="D107" s="300"/>
      <c r="E107" s="300"/>
      <c r="F107" s="300"/>
      <c r="G107" s="300"/>
      <c r="H107" s="300"/>
      <c r="I107" s="300"/>
      <c r="J107" s="300"/>
      <c r="K107" s="300"/>
      <c r="L107" s="300"/>
    </row>
    <row r="108">
      <c r="A108" s="301" t="s">
        <v>222</v>
      </c>
      <c r="B108" s="298"/>
      <c r="C108" s="299"/>
      <c r="D108" s="300"/>
      <c r="E108" s="300"/>
      <c r="F108" s="300"/>
      <c r="G108" s="300"/>
      <c r="H108" s="300"/>
      <c r="I108" s="300"/>
      <c r="J108" s="300"/>
      <c r="K108" s="300"/>
      <c r="L108" s="300"/>
    </row>
    <row r="109">
      <c r="A109" s="294" t="s">
        <v>223</v>
      </c>
      <c r="B109" s="298">
        <f t="shared" ref="B109:B111" si="68">index(C109:AA109,,match($A$3,$C$1:$AA$1,0))</f>
        <v>0.023</v>
      </c>
      <c r="C109" s="299">
        <v>0.023</v>
      </c>
      <c r="D109" s="300">
        <f t="shared" ref="D109:L109" si="67">$C$109</f>
        <v>0.023</v>
      </c>
      <c r="E109" s="300">
        <f t="shared" si="67"/>
        <v>0.023</v>
      </c>
      <c r="F109" s="300">
        <f t="shared" si="67"/>
        <v>0.023</v>
      </c>
      <c r="G109" s="300">
        <f t="shared" si="67"/>
        <v>0.023</v>
      </c>
      <c r="H109" s="300">
        <f t="shared" si="67"/>
        <v>0.023</v>
      </c>
      <c r="I109" s="300">
        <f t="shared" si="67"/>
        <v>0.023</v>
      </c>
      <c r="J109" s="300">
        <f t="shared" si="67"/>
        <v>0.023</v>
      </c>
      <c r="K109" s="300">
        <f t="shared" si="67"/>
        <v>0.023</v>
      </c>
      <c r="L109" s="300">
        <f t="shared" si="67"/>
        <v>0.023</v>
      </c>
    </row>
    <row r="110">
      <c r="A110" s="294" t="s">
        <v>224</v>
      </c>
      <c r="B110" s="179">
        <f t="shared" si="68"/>
        <v>0.52</v>
      </c>
      <c r="C110" s="47">
        <v>0.52</v>
      </c>
      <c r="D110" s="289">
        <f t="shared" ref="D110:L110" si="69">$C$110</f>
        <v>0.52</v>
      </c>
      <c r="E110" s="289">
        <f t="shared" si="69"/>
        <v>0.52</v>
      </c>
      <c r="F110" s="289">
        <f t="shared" si="69"/>
        <v>0.52</v>
      </c>
      <c r="G110" s="289">
        <f t="shared" si="69"/>
        <v>0.52</v>
      </c>
      <c r="H110" s="289">
        <f t="shared" si="69"/>
        <v>0.52</v>
      </c>
      <c r="I110" s="289">
        <f t="shared" si="69"/>
        <v>0.52</v>
      </c>
      <c r="J110" s="289">
        <f t="shared" si="69"/>
        <v>0.52</v>
      </c>
      <c r="K110" s="289">
        <f t="shared" si="69"/>
        <v>0.52</v>
      </c>
      <c r="L110" s="289">
        <f t="shared" si="69"/>
        <v>0.52</v>
      </c>
    </row>
    <row r="111">
      <c r="A111" s="294" t="s">
        <v>225</v>
      </c>
      <c r="B111" s="302">
        <f t="shared" si="68"/>
        <v>0.01182453322</v>
      </c>
      <c r="C111" s="303">
        <f t="shared" ref="C111:L111" si="70">(ln(1+C109)-ln(1))*C110</f>
        <v>0.01182453322</v>
      </c>
      <c r="D111" s="303">
        <f t="shared" si="70"/>
        <v>0.01182453322</v>
      </c>
      <c r="E111" s="303">
        <f t="shared" si="70"/>
        <v>0.01182453322</v>
      </c>
      <c r="F111" s="303">
        <f t="shared" si="70"/>
        <v>0.01182453322</v>
      </c>
      <c r="G111" s="303">
        <f t="shared" si="70"/>
        <v>0.01182453322</v>
      </c>
      <c r="H111" s="303">
        <f t="shared" si="70"/>
        <v>0.01182453322</v>
      </c>
      <c r="I111" s="303">
        <f t="shared" si="70"/>
        <v>0.01182453322</v>
      </c>
      <c r="J111" s="303">
        <f t="shared" si="70"/>
        <v>0.01182453322</v>
      </c>
      <c r="K111" s="303">
        <f t="shared" si="70"/>
        <v>0.01182453322</v>
      </c>
      <c r="L111" s="303">
        <f t="shared" si="70"/>
        <v>0.01182453322</v>
      </c>
    </row>
    <row r="112">
      <c r="A112" s="304"/>
      <c r="B112" s="305"/>
      <c r="C112" s="306"/>
      <c r="D112" s="306"/>
      <c r="E112" s="306"/>
      <c r="F112" s="306"/>
      <c r="G112" s="306"/>
      <c r="H112" s="306"/>
      <c r="I112" s="306"/>
      <c r="J112" s="306"/>
      <c r="K112" s="306"/>
      <c r="L112" s="306"/>
    </row>
    <row r="113">
      <c r="A113" s="307" t="s">
        <v>226</v>
      </c>
      <c r="B113" s="305"/>
      <c r="C113" s="306"/>
      <c r="D113" s="306"/>
      <c r="E113" s="306"/>
      <c r="F113" s="306"/>
      <c r="G113" s="306"/>
      <c r="H113" s="306"/>
      <c r="I113" s="306"/>
      <c r="J113" s="306"/>
      <c r="K113" s="306"/>
      <c r="L113" s="306"/>
    </row>
    <row r="114">
      <c r="A114" s="304" t="s">
        <v>227</v>
      </c>
      <c r="B114" s="305">
        <f t="shared" ref="B114:B119" si="72">index(C114:AA114,,match($A$3,$C$1:$AA$1,0))</f>
        <v>10</v>
      </c>
      <c r="C114" s="308">
        <v>10.0</v>
      </c>
      <c r="D114" s="309">
        <f t="shared" ref="D114:L114" si="71">$C$114</f>
        <v>10</v>
      </c>
      <c r="E114" s="309">
        <f t="shared" si="71"/>
        <v>10</v>
      </c>
      <c r="F114" s="309">
        <f t="shared" si="71"/>
        <v>10</v>
      </c>
      <c r="G114" s="309">
        <f t="shared" si="71"/>
        <v>10</v>
      </c>
      <c r="H114" s="309">
        <f t="shared" si="71"/>
        <v>10</v>
      </c>
      <c r="I114" s="309">
        <f t="shared" si="71"/>
        <v>10</v>
      </c>
      <c r="J114" s="309">
        <f t="shared" si="71"/>
        <v>10</v>
      </c>
      <c r="K114" s="309">
        <f t="shared" si="71"/>
        <v>10</v>
      </c>
      <c r="L114" s="309">
        <f t="shared" si="71"/>
        <v>10</v>
      </c>
    </row>
    <row r="115">
      <c r="A115" s="310" t="s">
        <v>59</v>
      </c>
      <c r="B115" s="311">
        <f t="shared" si="72"/>
        <v>0.03995</v>
      </c>
      <c r="C115" s="312">
        <f t="array" ref="C115">index('User inputs'!$A$1:$AAB$24,match($A115,'User inputs'!$A$1:$A$24,0),match(B$1,'User inputs'!$A$1:$AAB$1,0))</f>
        <v>0.03995</v>
      </c>
      <c r="D115" s="312">
        <f t="shared" ref="D115:L115" si="73">$C$115</f>
        <v>0.03995</v>
      </c>
      <c r="E115" s="312">
        <f t="shared" si="73"/>
        <v>0.03995</v>
      </c>
      <c r="F115" s="312">
        <f t="shared" si="73"/>
        <v>0.03995</v>
      </c>
      <c r="G115" s="312">
        <f t="shared" si="73"/>
        <v>0.03995</v>
      </c>
      <c r="H115" s="312">
        <f t="shared" si="73"/>
        <v>0.03995</v>
      </c>
      <c r="I115" s="312">
        <f t="shared" si="73"/>
        <v>0.03995</v>
      </c>
      <c r="J115" s="312">
        <f t="shared" si="73"/>
        <v>0.03995</v>
      </c>
      <c r="K115" s="312">
        <f t="shared" si="73"/>
        <v>0.03995</v>
      </c>
      <c r="L115" s="312">
        <f t="shared" si="73"/>
        <v>0.03995</v>
      </c>
    </row>
    <row r="116">
      <c r="A116" s="310" t="s">
        <v>228</v>
      </c>
      <c r="B116" s="302">
        <f t="shared" si="72"/>
        <v>0.007992072471</v>
      </c>
      <c r="C116" s="303">
        <f t="shared" ref="C116:L116" si="74">C111/(1+C115)^C114</f>
        <v>0.007992072471</v>
      </c>
      <c r="D116" s="303">
        <f t="shared" si="74"/>
        <v>0.007992072471</v>
      </c>
      <c r="E116" s="303">
        <f t="shared" si="74"/>
        <v>0.007992072471</v>
      </c>
      <c r="F116" s="303">
        <f t="shared" si="74"/>
        <v>0.007992072471</v>
      </c>
      <c r="G116" s="303">
        <f t="shared" si="74"/>
        <v>0.007992072471</v>
      </c>
      <c r="H116" s="303">
        <f t="shared" si="74"/>
        <v>0.007992072471</v>
      </c>
      <c r="I116" s="303">
        <f t="shared" si="74"/>
        <v>0.007992072471</v>
      </c>
      <c r="J116" s="303">
        <f t="shared" si="74"/>
        <v>0.007992072471</v>
      </c>
      <c r="K116" s="303">
        <f t="shared" si="74"/>
        <v>0.007992072471</v>
      </c>
      <c r="L116" s="303">
        <f t="shared" si="74"/>
        <v>0.007992072471</v>
      </c>
    </row>
    <row r="117">
      <c r="A117" s="310" t="s">
        <v>229</v>
      </c>
      <c r="B117" s="313">
        <f t="shared" si="72"/>
        <v>40</v>
      </c>
      <c r="C117" s="314">
        <v>40.0</v>
      </c>
      <c r="D117" s="309">
        <f t="shared" ref="D117:L117" si="75">$C$117</f>
        <v>40</v>
      </c>
      <c r="E117" s="309">
        <f t="shared" si="75"/>
        <v>40</v>
      </c>
      <c r="F117" s="309">
        <f t="shared" si="75"/>
        <v>40</v>
      </c>
      <c r="G117" s="309">
        <f t="shared" si="75"/>
        <v>40</v>
      </c>
      <c r="H117" s="309">
        <f t="shared" si="75"/>
        <v>40</v>
      </c>
      <c r="I117" s="309">
        <f t="shared" si="75"/>
        <v>40</v>
      </c>
      <c r="J117" s="309">
        <f t="shared" si="75"/>
        <v>40</v>
      </c>
      <c r="K117" s="309">
        <f t="shared" si="75"/>
        <v>40</v>
      </c>
      <c r="L117" s="309">
        <f t="shared" si="75"/>
        <v>40</v>
      </c>
    </row>
    <row r="118">
      <c r="A118" s="294" t="s">
        <v>230</v>
      </c>
      <c r="B118" s="315">
        <f t="shared" si="72"/>
        <v>0.1646272583</v>
      </c>
      <c r="C118" s="316">
        <f t="shared" ref="C118:L118" si="76">pv(C115,C117,-C116,,1)</f>
        <v>0.1646272583</v>
      </c>
      <c r="D118" s="316">
        <f t="shared" si="76"/>
        <v>0.1646272583</v>
      </c>
      <c r="E118" s="316">
        <f t="shared" si="76"/>
        <v>0.1646272583</v>
      </c>
      <c r="F118" s="316">
        <f t="shared" si="76"/>
        <v>0.1646272583</v>
      </c>
      <c r="G118" s="316">
        <f t="shared" si="76"/>
        <v>0.1646272583</v>
      </c>
      <c r="H118" s="316">
        <f t="shared" si="76"/>
        <v>0.1646272583</v>
      </c>
      <c r="I118" s="316">
        <f t="shared" si="76"/>
        <v>0.1646272583</v>
      </c>
      <c r="J118" s="316">
        <f t="shared" si="76"/>
        <v>0.1646272583</v>
      </c>
      <c r="K118" s="316">
        <f t="shared" si="76"/>
        <v>0.1646272583</v>
      </c>
      <c r="L118" s="316">
        <f t="shared" si="76"/>
        <v>0.1646272583</v>
      </c>
    </row>
    <row r="119">
      <c r="A119" s="310" t="s">
        <v>231</v>
      </c>
      <c r="B119" s="317">
        <f t="shared" si="72"/>
        <v>2</v>
      </c>
      <c r="C119" s="272">
        <v>2.0</v>
      </c>
      <c r="D119" s="318">
        <f t="shared" ref="D119:L119" si="77">$C$119</f>
        <v>2</v>
      </c>
      <c r="E119" s="318">
        <f t="shared" si="77"/>
        <v>2</v>
      </c>
      <c r="F119" s="318">
        <f t="shared" si="77"/>
        <v>2</v>
      </c>
      <c r="G119" s="318">
        <f t="shared" si="77"/>
        <v>2</v>
      </c>
      <c r="H119" s="318">
        <f t="shared" si="77"/>
        <v>2</v>
      </c>
      <c r="I119" s="318">
        <f t="shared" si="77"/>
        <v>2</v>
      </c>
      <c r="J119" s="318">
        <f t="shared" si="77"/>
        <v>2</v>
      </c>
      <c r="K119" s="318">
        <f t="shared" si="77"/>
        <v>2</v>
      </c>
      <c r="L119" s="318">
        <f t="shared" si="77"/>
        <v>2</v>
      </c>
    </row>
    <row r="120">
      <c r="A120" s="294"/>
      <c r="B120" s="315"/>
      <c r="C120" s="316"/>
      <c r="D120" s="316"/>
      <c r="E120" s="316"/>
      <c r="F120" s="316"/>
      <c r="G120" s="316"/>
      <c r="H120" s="316"/>
      <c r="I120" s="316"/>
      <c r="J120" s="316"/>
      <c r="K120" s="316"/>
      <c r="L120" s="316"/>
    </row>
    <row r="121">
      <c r="A121" s="294" t="s">
        <v>232</v>
      </c>
      <c r="B121" s="315">
        <f t="array" ref="B121">index(C121:AA121,,match($A$3,$C$1:$AA$1,0))</f>
        <v>0.3292545165</v>
      </c>
      <c r="C121" s="316">
        <f t="shared" ref="C121:L121" si="78">C119*C118</f>
        <v>0.3292545165</v>
      </c>
      <c r="D121" s="316">
        <f t="shared" si="78"/>
        <v>0.3292545165</v>
      </c>
      <c r="E121" s="316">
        <f t="shared" si="78"/>
        <v>0.3292545165</v>
      </c>
      <c r="F121" s="316">
        <f t="shared" si="78"/>
        <v>0.3292545165</v>
      </c>
      <c r="G121" s="316">
        <f t="shared" si="78"/>
        <v>0.3292545165</v>
      </c>
      <c r="H121" s="316">
        <f t="shared" si="78"/>
        <v>0.3292545165</v>
      </c>
      <c r="I121" s="316">
        <f t="shared" si="78"/>
        <v>0.3292545165</v>
      </c>
      <c r="J121" s="316">
        <f t="shared" si="78"/>
        <v>0.3292545165</v>
      </c>
      <c r="K121" s="316">
        <f t="shared" si="78"/>
        <v>0.3292545165</v>
      </c>
      <c r="L121" s="316">
        <f t="shared" si="78"/>
        <v>0.3292545165</v>
      </c>
    </row>
    <row r="122">
      <c r="A122" s="267"/>
      <c r="B122" s="295"/>
      <c r="C122" s="296"/>
      <c r="D122" s="296"/>
      <c r="E122" s="296"/>
      <c r="F122" s="296"/>
      <c r="G122" s="296"/>
      <c r="H122" s="296"/>
      <c r="I122" s="296"/>
      <c r="J122" s="296"/>
      <c r="K122" s="296"/>
      <c r="L122" s="296"/>
    </row>
    <row r="123">
      <c r="A123" s="267" t="s">
        <v>233</v>
      </c>
      <c r="B123" s="295">
        <f t="shared" ref="B123:B124" si="80">index(C123:AA123,,match($A$3,$C$1:$AA$1,0))</f>
        <v>456.1455098</v>
      </c>
      <c r="C123" s="296">
        <f t="shared" ref="C123:C124" si="81">sum(D123:AA123)</f>
        <v>456.1455098</v>
      </c>
      <c r="D123" s="296">
        <f t="shared" ref="D123:L123" si="79">D105*D121</f>
        <v>319.0099074</v>
      </c>
      <c r="E123" s="296">
        <f t="shared" si="79"/>
        <v>9.417989787</v>
      </c>
      <c r="F123" s="296">
        <f t="shared" si="79"/>
        <v>25.30995478</v>
      </c>
      <c r="G123" s="296">
        <f t="shared" si="79"/>
        <v>8.103772655</v>
      </c>
      <c r="H123" s="296">
        <f t="shared" si="79"/>
        <v>0.1536984789</v>
      </c>
      <c r="I123" s="296">
        <f t="shared" si="79"/>
        <v>31.7221548</v>
      </c>
      <c r="J123" s="296">
        <f t="shared" si="79"/>
        <v>58.2984088</v>
      </c>
      <c r="K123" s="296">
        <f t="shared" si="79"/>
        <v>4.129602218</v>
      </c>
      <c r="L123" s="296">
        <f t="shared" si="79"/>
        <v>0.00002090897129</v>
      </c>
    </row>
    <row r="124">
      <c r="A124" s="267" t="s">
        <v>234</v>
      </c>
      <c r="B124" s="295">
        <f t="shared" si="80"/>
        <v>801.2095231</v>
      </c>
      <c r="C124" s="296">
        <f t="shared" si="81"/>
        <v>801.2095231</v>
      </c>
      <c r="D124" s="296">
        <f t="shared" ref="D124:L124" si="82">D106*D121</f>
        <v>543.6366833</v>
      </c>
      <c r="E124" s="296">
        <f t="shared" si="82"/>
        <v>16.56812322</v>
      </c>
      <c r="F124" s="296">
        <f t="shared" si="82"/>
        <v>45.88982658</v>
      </c>
      <c r="G124" s="296">
        <f t="shared" si="82"/>
        <v>18.85089478</v>
      </c>
      <c r="H124" s="296">
        <f t="shared" si="82"/>
        <v>0.2620892998</v>
      </c>
      <c r="I124" s="296">
        <f t="shared" si="82"/>
        <v>67.10009511</v>
      </c>
      <c r="J124" s="296">
        <f t="shared" si="82"/>
        <v>100.4559539</v>
      </c>
      <c r="K124" s="296">
        <f t="shared" si="82"/>
        <v>8.445819191</v>
      </c>
      <c r="L124" s="296">
        <f t="shared" si="82"/>
        <v>0.00003780354632</v>
      </c>
    </row>
    <row r="125">
      <c r="A125" s="310"/>
      <c r="B125" s="315"/>
      <c r="C125" s="319"/>
      <c r="D125" s="319"/>
      <c r="E125" s="319"/>
      <c r="F125" s="319"/>
      <c r="G125" s="319"/>
      <c r="H125" s="319"/>
      <c r="I125" s="319"/>
      <c r="J125" s="319"/>
      <c r="K125" s="319"/>
      <c r="L125" s="319"/>
    </row>
    <row r="126">
      <c r="A126" s="301" t="s">
        <v>190</v>
      </c>
      <c r="B126" s="315"/>
      <c r="C126" s="319"/>
      <c r="D126" s="319"/>
      <c r="E126" s="319"/>
      <c r="F126" s="319"/>
      <c r="G126" s="319"/>
      <c r="H126" s="319"/>
      <c r="I126" s="319"/>
      <c r="J126" s="319"/>
      <c r="K126" s="319"/>
      <c r="L126" s="319"/>
    </row>
    <row r="127">
      <c r="A127" s="310" t="s">
        <v>84</v>
      </c>
      <c r="B127" s="315">
        <f t="shared" ref="B127:B128" si="84">index(C127:AA127,,match($A$3,$C$1:$AA$1,0))</f>
        <v>1.442695041</v>
      </c>
      <c r="C127" s="320">
        <f t="array" ref="C127">index('Moral weights'!$A$1:$ZI$33,match($A127,'Moral weights'!$A$1:$A$33,0),match(B$1,'Moral weights'!$A$1:$ZI1,0))</f>
        <v>1.442695041</v>
      </c>
      <c r="D127" s="320">
        <f t="shared" ref="D127:L127" si="83">$C$127</f>
        <v>1.442695041</v>
      </c>
      <c r="E127" s="320">
        <f t="shared" si="83"/>
        <v>1.442695041</v>
      </c>
      <c r="F127" s="320">
        <f t="shared" si="83"/>
        <v>1.442695041</v>
      </c>
      <c r="G127" s="320">
        <f t="shared" si="83"/>
        <v>1.442695041</v>
      </c>
      <c r="H127" s="320">
        <f t="shared" si="83"/>
        <v>1.442695041</v>
      </c>
      <c r="I127" s="320">
        <f t="shared" si="83"/>
        <v>1.442695041</v>
      </c>
      <c r="J127" s="320">
        <f t="shared" si="83"/>
        <v>1.442695041</v>
      </c>
      <c r="K127" s="320">
        <f t="shared" si="83"/>
        <v>1.442695041</v>
      </c>
      <c r="L127" s="320">
        <f t="shared" si="83"/>
        <v>1.442695041</v>
      </c>
    </row>
    <row r="128">
      <c r="A128" s="321" t="s">
        <v>235</v>
      </c>
      <c r="B128" s="322">
        <f t="shared" si="84"/>
        <v>1813.979786</v>
      </c>
      <c r="C128" s="323">
        <f>sum(D128:K128)</f>
        <v>1813.979786</v>
      </c>
      <c r="D128" s="323">
        <f t="shared" ref="D128:L128" si="85">D127*sum(D123:D124)</f>
        <v>1244.535958</v>
      </c>
      <c r="E128" s="323">
        <f t="shared" si="85"/>
        <v>37.49003637</v>
      </c>
      <c r="F128" s="323">
        <f t="shared" si="85"/>
        <v>102.7195715</v>
      </c>
      <c r="G128" s="323">
        <f t="shared" si="85"/>
        <v>38.88736503</v>
      </c>
      <c r="H128" s="323">
        <f t="shared" si="85"/>
        <v>0.5998549664</v>
      </c>
      <c r="I128" s="323">
        <f t="shared" si="85"/>
        <v>142.5703699</v>
      </c>
      <c r="J128" s="323">
        <f t="shared" si="85"/>
        <v>229.0341317</v>
      </c>
      <c r="K128" s="323">
        <f t="shared" si="85"/>
        <v>18.1424981</v>
      </c>
      <c r="L128" s="323">
        <f t="shared" si="85"/>
        <v>0.00008470425799</v>
      </c>
    </row>
    <row r="129">
      <c r="A129" s="39"/>
      <c r="B129" s="324"/>
      <c r="C129" s="39"/>
      <c r="D129" s="39"/>
      <c r="E129" s="39"/>
      <c r="F129" s="39"/>
      <c r="G129" s="39"/>
      <c r="H129" s="39"/>
      <c r="I129" s="39"/>
      <c r="J129" s="39"/>
      <c r="K129" s="39"/>
      <c r="L129" s="39"/>
    </row>
    <row r="130">
      <c r="A130" s="264" t="s">
        <v>236</v>
      </c>
      <c r="B130" s="265"/>
      <c r="C130" s="266"/>
      <c r="D130" s="266"/>
      <c r="E130" s="266"/>
      <c r="F130" s="266"/>
      <c r="G130" s="266"/>
      <c r="H130" s="266"/>
      <c r="I130" s="266"/>
      <c r="J130" s="266"/>
      <c r="K130" s="266"/>
      <c r="L130" s="266"/>
    </row>
    <row r="131">
      <c r="A131" s="170"/>
      <c r="B131" s="322"/>
      <c r="C131" s="323"/>
      <c r="D131" s="323"/>
      <c r="E131" s="323"/>
      <c r="F131" s="323"/>
      <c r="G131" s="323"/>
      <c r="H131" s="323"/>
      <c r="I131" s="323"/>
      <c r="J131" s="323"/>
      <c r="K131" s="323"/>
      <c r="L131" s="323"/>
    </row>
    <row r="132">
      <c r="A132" s="35" t="s">
        <v>237</v>
      </c>
      <c r="B132" s="295">
        <f t="shared" ref="B132:B133" si="87">index(C132:AA132,,match($A$3,$C$1:$AA$1,0))</f>
        <v>6594.129308</v>
      </c>
      <c r="C132" s="296">
        <f t="shared" ref="C132:L132" si="86">sum(C62,C77,C128)</f>
        <v>6594.129308</v>
      </c>
      <c r="D132" s="296">
        <f t="shared" si="86"/>
        <v>4640.975501</v>
      </c>
      <c r="E132" s="296">
        <f t="shared" si="86"/>
        <v>229.4526163</v>
      </c>
      <c r="F132" s="296">
        <f t="shared" si="86"/>
        <v>360.1534291</v>
      </c>
      <c r="G132" s="296">
        <f t="shared" si="86"/>
        <v>180.9397484</v>
      </c>
      <c r="H132" s="296">
        <f t="shared" si="86"/>
        <v>17.97026964</v>
      </c>
      <c r="I132" s="296">
        <f t="shared" si="86"/>
        <v>363.5167584</v>
      </c>
      <c r="J132" s="296">
        <f t="shared" si="86"/>
        <v>709.8265181</v>
      </c>
      <c r="K132" s="296">
        <f t="shared" si="86"/>
        <v>91.29393686</v>
      </c>
      <c r="L132" s="296">
        <f t="shared" si="86"/>
        <v>0.0006155323308</v>
      </c>
    </row>
    <row r="133">
      <c r="A133" s="35" t="s">
        <v>238</v>
      </c>
      <c r="B133" s="295">
        <f t="shared" si="87"/>
        <v>6594.129308</v>
      </c>
      <c r="C133" s="270">
        <f>C132</f>
        <v>6594.129308</v>
      </c>
      <c r="D133" s="296">
        <f t="shared" ref="D133:L133" si="88">$C11/D11*D132</f>
        <v>7976.479591</v>
      </c>
      <c r="E133" s="296">
        <f t="shared" si="88"/>
        <v>5184.936218</v>
      </c>
      <c r="F133" s="296">
        <f t="shared" si="88"/>
        <v>6002.557151</v>
      </c>
      <c r="G133" s="296">
        <f t="shared" si="88"/>
        <v>3237.903485</v>
      </c>
      <c r="H133" s="296">
        <f t="shared" si="88"/>
        <v>459.0207873</v>
      </c>
      <c r="I133" s="296">
        <f t="shared" si="88"/>
        <v>7575.044831</v>
      </c>
      <c r="J133" s="296">
        <f t="shared" si="88"/>
        <v>5452.077629</v>
      </c>
      <c r="K133" s="296">
        <f t="shared" si="88"/>
        <v>2167.590876</v>
      </c>
      <c r="L133" s="296">
        <f t="shared" si="88"/>
        <v>6155.323308</v>
      </c>
    </row>
    <row r="134">
      <c r="A134" s="325"/>
      <c r="B134" s="322"/>
      <c r="C134" s="326"/>
      <c r="D134" s="326"/>
      <c r="E134" s="326"/>
      <c r="F134" s="326"/>
      <c r="G134" s="326"/>
      <c r="H134" s="326"/>
      <c r="I134" s="326"/>
      <c r="J134" s="326"/>
      <c r="K134" s="326"/>
      <c r="L134" s="326"/>
    </row>
    <row r="135">
      <c r="A135" s="325" t="s">
        <v>239</v>
      </c>
      <c r="B135" s="322">
        <f t="array" ref="B135">index(C135:AA135,,match($A$3,$C$1:$AA$1,0))</f>
        <v>19.1676088</v>
      </c>
      <c r="C135" s="326">
        <f t="array" ref="C135">C133/index(Cash!$B:$B,match("Total units of value generated with hypothetical donation ($100,000)",Cash!$A:$A,0))</f>
        <v>19.1676088</v>
      </c>
      <c r="D135" s="326">
        <f t="array" ref="D135">D133/index(Cash!$B:$B,match("Total units of value generated with hypothetical donation ($100,000)",Cash!$A:$A,0))</f>
        <v>23.18578136</v>
      </c>
      <c r="E135" s="326">
        <f t="array" ref="E135">E133/index(Cash!$B:$B,match("Total units of value generated with hypothetical donation ($100,000)",Cash!$A:$A,0))</f>
        <v>15.0714104</v>
      </c>
      <c r="F135" s="326">
        <f t="array" ref="F135">F133/index(Cash!$B:$B,match("Total units of value generated with hypothetical donation ($100,000)",Cash!$A:$A,0))</f>
        <v>17.44804535</v>
      </c>
      <c r="G135" s="326">
        <f t="array" ref="G135">G133/index(Cash!$B:$B,match("Total units of value generated with hypothetical donation ($100,000)",Cash!$A:$A,0))</f>
        <v>9.411836563</v>
      </c>
      <c r="H135" s="326">
        <f t="array" ref="H135">H133/index(Cash!$B:$B,match("Total units of value generated with hypothetical donation ($100,000)",Cash!$A:$A,0))</f>
        <v>1.334267265</v>
      </c>
      <c r="I135" s="326">
        <f t="array" ref="I135">I133/index(Cash!$B:$B,match("Total units of value generated with hypothetical donation ($100,000)",Cash!$A:$A,0))</f>
        <v>22.01890335</v>
      </c>
      <c r="J135" s="326">
        <f t="array" ref="J135">J133/index(Cash!$B:$B,match("Total units of value generated with hypothetical donation ($100,000)",Cash!$A:$A,0))</f>
        <v>15.8479287</v>
      </c>
      <c r="K135" s="326">
        <f t="array" ref="K135">K133/index(Cash!$B:$B,match("Total units of value generated with hypothetical donation ($100,000)",Cash!$A:$A,0))</f>
        <v>6.300685353</v>
      </c>
      <c r="L135" s="326">
        <f t="array" ref="L135">L133/index(Cash!$B:$B,match("Total units of value generated with hypothetical donation ($100,000)",Cash!$A:$A,0))</f>
        <v>17.89210124</v>
      </c>
    </row>
    <row r="136">
      <c r="A136" s="35"/>
      <c r="B136" s="295"/>
      <c r="C136" s="270"/>
      <c r="D136" s="296"/>
      <c r="E136" s="296"/>
      <c r="F136" s="296"/>
      <c r="G136" s="296"/>
      <c r="H136" s="296"/>
      <c r="I136" s="296"/>
      <c r="J136" s="296"/>
      <c r="K136" s="296"/>
      <c r="L136" s="296"/>
    </row>
    <row r="137">
      <c r="A137" s="264" t="s">
        <v>240</v>
      </c>
      <c r="B137" s="265"/>
      <c r="C137" s="266"/>
      <c r="D137" s="266"/>
      <c r="E137" s="266"/>
      <c r="F137" s="266"/>
      <c r="G137" s="266"/>
      <c r="H137" s="266"/>
      <c r="I137" s="266"/>
      <c r="J137" s="266"/>
      <c r="K137" s="266"/>
      <c r="L137" s="266"/>
    </row>
    <row r="138" outlineLevel="1">
      <c r="A138" s="39"/>
      <c r="B138" s="324"/>
      <c r="C138" s="39"/>
      <c r="D138" s="39"/>
      <c r="E138" s="39"/>
      <c r="F138" s="39"/>
      <c r="G138" s="39"/>
      <c r="H138" s="39"/>
      <c r="I138" s="39"/>
      <c r="J138" s="39"/>
      <c r="K138" s="39"/>
      <c r="L138" s="39"/>
    </row>
    <row r="139" outlineLevel="1">
      <c r="A139" s="327" t="s">
        <v>241</v>
      </c>
      <c r="B139" s="328">
        <v>-0.10248109253344584</v>
      </c>
      <c r="C139" s="329">
        <v>-0.10248109253344584</v>
      </c>
      <c r="D139" s="329">
        <v>-0.12092148555476301</v>
      </c>
      <c r="E139" s="329">
        <v>-0.08919172884862425</v>
      </c>
      <c r="F139" s="329">
        <v>-0.09097836458567943</v>
      </c>
      <c r="G139" s="329">
        <v>-0.005296299043079933</v>
      </c>
      <c r="H139" s="329">
        <v>1.5233748697382148</v>
      </c>
      <c r="I139" s="329">
        <v>-0.11325883524448899</v>
      </c>
      <c r="J139" s="329">
        <v>-0.08436200083557288</v>
      </c>
      <c r="K139" s="329">
        <v>0.14546674548210525</v>
      </c>
      <c r="L139" s="329">
        <v>-0.08687636970530688</v>
      </c>
    </row>
    <row r="140">
      <c r="B140" s="252"/>
    </row>
    <row r="141">
      <c r="A141" s="330" t="s">
        <v>242</v>
      </c>
      <c r="B141" s="331"/>
      <c r="C141" s="332"/>
      <c r="D141" s="332"/>
      <c r="E141" s="332"/>
      <c r="F141" s="332"/>
      <c r="G141" s="332"/>
      <c r="H141" s="332"/>
      <c r="I141" s="332"/>
      <c r="J141" s="332"/>
      <c r="K141" s="332"/>
      <c r="L141" s="332"/>
    </row>
    <row r="142">
      <c r="A142" s="170"/>
      <c r="B142" s="322"/>
      <c r="C142" s="323"/>
      <c r="D142" s="323"/>
      <c r="E142" s="323"/>
      <c r="F142" s="323"/>
      <c r="G142" s="323"/>
      <c r="H142" s="323"/>
      <c r="I142" s="323"/>
      <c r="J142" s="323"/>
      <c r="K142" s="323"/>
      <c r="L142" s="323"/>
    </row>
    <row r="143">
      <c r="A143" s="333" t="s">
        <v>243</v>
      </c>
      <c r="B143" s="322"/>
      <c r="C143" s="323"/>
      <c r="D143" s="323"/>
      <c r="E143" s="323"/>
      <c r="F143" s="323"/>
      <c r="G143" s="323"/>
      <c r="H143" s="323"/>
      <c r="I143" s="323"/>
      <c r="J143" s="323"/>
      <c r="K143" s="323"/>
      <c r="L143" s="323"/>
    </row>
    <row r="144">
      <c r="A144" s="170" t="s">
        <v>244</v>
      </c>
      <c r="B144" s="322"/>
      <c r="C144" s="323"/>
      <c r="D144" s="323"/>
      <c r="E144" s="323"/>
      <c r="F144" s="323"/>
      <c r="G144" s="323"/>
      <c r="H144" s="323"/>
      <c r="I144" s="323"/>
      <c r="J144" s="323"/>
      <c r="K144" s="323"/>
      <c r="L144" s="323"/>
    </row>
    <row r="145">
      <c r="A145" s="35" t="s">
        <v>189</v>
      </c>
      <c r="B145" s="295">
        <f t="shared" ref="B145:B147" si="90">index(C145:AA145,,match($A$3,$C$1:$AA$1,0))</f>
        <v>26.95240231</v>
      </c>
      <c r="C145" s="270">
        <f t="shared" ref="C145:L145" si="89">C58*(1+C$139)</f>
        <v>26.95240231</v>
      </c>
      <c r="D145" s="270">
        <f t="shared" si="89"/>
        <v>19.44447399</v>
      </c>
      <c r="E145" s="270">
        <f t="shared" si="89"/>
        <v>0.6478933616</v>
      </c>
      <c r="F145" s="270">
        <f t="shared" si="89"/>
        <v>1.513043871</v>
      </c>
      <c r="G145" s="270">
        <f t="shared" si="89"/>
        <v>0.6930514995</v>
      </c>
      <c r="H145" s="270">
        <f t="shared" si="89"/>
        <v>0.06536989061</v>
      </c>
      <c r="I145" s="270">
        <f t="shared" si="89"/>
        <v>1.010527528</v>
      </c>
      <c r="J145" s="270">
        <f t="shared" si="89"/>
        <v>2.979637843</v>
      </c>
      <c r="K145" s="270">
        <f t="shared" si="89"/>
        <v>0.4793973467</v>
      </c>
      <c r="L145" s="270">
        <f t="shared" si="89"/>
        <v>0.000002686249628</v>
      </c>
    </row>
    <row r="146">
      <c r="A146" s="35" t="s">
        <v>199</v>
      </c>
      <c r="B146" s="295">
        <f t="shared" si="90"/>
        <v>15.95034346</v>
      </c>
      <c r="C146" s="270">
        <f t="shared" ref="C146:L146" si="91">C73*(1+C$139)</f>
        <v>15.95034346</v>
      </c>
      <c r="D146" s="270">
        <f t="shared" si="91"/>
        <v>10.41289628</v>
      </c>
      <c r="E146" s="270">
        <f t="shared" si="91"/>
        <v>1.100517694</v>
      </c>
      <c r="F146" s="270">
        <f t="shared" si="91"/>
        <v>0.8270855914</v>
      </c>
      <c r="G146" s="270">
        <f t="shared" si="91"/>
        <v>0.7199488151</v>
      </c>
      <c r="H146" s="270">
        <f t="shared" si="91"/>
        <v>0.372950788</v>
      </c>
      <c r="I146" s="270">
        <f t="shared" si="91"/>
        <v>0.9486950509</v>
      </c>
      <c r="J146" s="270">
        <f t="shared" si="91"/>
        <v>1.422679944</v>
      </c>
      <c r="K146" s="270">
        <f t="shared" si="91"/>
        <v>0.3585280581</v>
      </c>
      <c r="L146" s="270">
        <f t="shared" si="91"/>
        <v>0.000002160866941</v>
      </c>
    </row>
    <row r="147">
      <c r="A147" s="35" t="s">
        <v>245</v>
      </c>
      <c r="B147" s="295">
        <f t="shared" si="90"/>
        <v>1128.499915</v>
      </c>
      <c r="C147" s="270">
        <f t="shared" ref="C147:L147" si="92">sum(C123,C124)*(1+C$139)</f>
        <v>1128.499915</v>
      </c>
      <c r="D147" s="270">
        <f t="shared" si="92"/>
        <v>758.3340834</v>
      </c>
      <c r="E147" s="270">
        <f t="shared" si="92"/>
        <v>23.66836666</v>
      </c>
      <c r="F147" s="270">
        <f t="shared" si="92"/>
        <v>64.72214169</v>
      </c>
      <c r="G147" s="270">
        <f t="shared" si="92"/>
        <v>26.81190745</v>
      </c>
      <c r="H147" s="270">
        <f t="shared" si="92"/>
        <v>1.049188432</v>
      </c>
      <c r="I147" s="270">
        <f t="shared" si="92"/>
        <v>87.62975699</v>
      </c>
      <c r="J147" s="270">
        <f t="shared" si="92"/>
        <v>145.361527</v>
      </c>
      <c r="K147" s="270">
        <f t="shared" si="92"/>
        <v>14.40472703</v>
      </c>
      <c r="L147" s="270">
        <f t="shared" si="92"/>
        <v>0.00005361178722</v>
      </c>
    </row>
    <row r="148">
      <c r="A148" s="170"/>
      <c r="B148" s="315"/>
      <c r="C148" s="320"/>
      <c r="D148" s="320"/>
      <c r="E148" s="320"/>
      <c r="F148" s="320"/>
      <c r="G148" s="320"/>
      <c r="H148" s="320"/>
      <c r="I148" s="320"/>
      <c r="J148" s="320"/>
      <c r="K148" s="320"/>
      <c r="L148" s="320"/>
    </row>
    <row r="149">
      <c r="A149" s="170" t="s">
        <v>246</v>
      </c>
      <c r="B149" s="322"/>
      <c r="C149" s="323"/>
      <c r="D149" s="323"/>
      <c r="E149" s="323"/>
      <c r="F149" s="323"/>
      <c r="G149" s="323"/>
      <c r="H149" s="323"/>
      <c r="I149" s="323"/>
      <c r="J149" s="323"/>
      <c r="K149" s="323"/>
      <c r="L149" s="323"/>
    </row>
    <row r="150">
      <c r="A150" s="35" t="s">
        <v>247</v>
      </c>
      <c r="B150" s="295">
        <f t="shared" ref="B150:B153" si="94">index(C150:AA150,,match($A$3,$C$1:$AA$1,0))</f>
        <v>2695.240231</v>
      </c>
      <c r="C150" s="270">
        <f t="shared" ref="C150:L150" si="93">C62*(1+C$139)</f>
        <v>2695.240231</v>
      </c>
      <c r="D150" s="270">
        <f t="shared" si="93"/>
        <v>1944.447399</v>
      </c>
      <c r="E150" s="270">
        <f t="shared" si="93"/>
        <v>64.78933616</v>
      </c>
      <c r="F150" s="270">
        <f t="shared" si="93"/>
        <v>151.3043871</v>
      </c>
      <c r="G150" s="270">
        <f t="shared" si="93"/>
        <v>69.30514995</v>
      </c>
      <c r="H150" s="270">
        <f t="shared" si="93"/>
        <v>6.536989061</v>
      </c>
      <c r="I150" s="270">
        <f t="shared" si="93"/>
        <v>101.0527528</v>
      </c>
      <c r="J150" s="270">
        <f t="shared" si="93"/>
        <v>297.9637843</v>
      </c>
      <c r="K150" s="270">
        <f t="shared" si="93"/>
        <v>47.93973467</v>
      </c>
      <c r="L150" s="270">
        <f t="shared" si="93"/>
        <v>0.0002686249628</v>
      </c>
    </row>
    <row r="151">
      <c r="A151" s="35" t="s">
        <v>248</v>
      </c>
      <c r="B151" s="295">
        <f t="shared" si="94"/>
        <v>1595.034346</v>
      </c>
      <c r="C151" s="270">
        <f t="shared" ref="C151:L151" si="95">C77*(1+C$139)</f>
        <v>1595.034346</v>
      </c>
      <c r="D151" s="270">
        <f t="shared" si="95"/>
        <v>1041.289628</v>
      </c>
      <c r="E151" s="270">
        <f t="shared" si="95"/>
        <v>110.0517694</v>
      </c>
      <c r="F151" s="270">
        <f t="shared" si="95"/>
        <v>82.70855914</v>
      </c>
      <c r="G151" s="270">
        <f t="shared" si="95"/>
        <v>71.99488151</v>
      </c>
      <c r="H151" s="270">
        <f t="shared" si="95"/>
        <v>37.2950788</v>
      </c>
      <c r="I151" s="270">
        <f t="shared" si="95"/>
        <v>94.86950509</v>
      </c>
      <c r="J151" s="270">
        <f t="shared" si="95"/>
        <v>142.2679944</v>
      </c>
      <c r="K151" s="270">
        <f t="shared" si="95"/>
        <v>35.85280581</v>
      </c>
      <c r="L151" s="270">
        <f t="shared" si="95"/>
        <v>0.0002160866941</v>
      </c>
    </row>
    <row r="152">
      <c r="A152" s="294" t="s">
        <v>249</v>
      </c>
      <c r="B152" s="295">
        <f t="shared" si="94"/>
        <v>1628.081156</v>
      </c>
      <c r="C152" s="270">
        <f t="shared" ref="C152:L152" si="96">C128*(1+C$139)</f>
        <v>1628.081156</v>
      </c>
      <c r="D152" s="270">
        <f t="shared" si="96"/>
        <v>1094.044821</v>
      </c>
      <c r="E152" s="270">
        <f t="shared" si="96"/>
        <v>34.14623521</v>
      </c>
      <c r="F152" s="270">
        <f t="shared" si="96"/>
        <v>93.37431285</v>
      </c>
      <c r="G152" s="270">
        <f t="shared" si="96"/>
        <v>38.68140592</v>
      </c>
      <c r="H152" s="270">
        <f t="shared" si="96"/>
        <v>1.513658948</v>
      </c>
      <c r="I152" s="270">
        <f t="shared" si="96"/>
        <v>126.4230158</v>
      </c>
      <c r="J152" s="270">
        <f t="shared" si="96"/>
        <v>209.7123541</v>
      </c>
      <c r="K152" s="270">
        <f t="shared" si="96"/>
        <v>20.78162826</v>
      </c>
      <c r="L152" s="270">
        <f t="shared" si="96"/>
        <v>0.00007734545956</v>
      </c>
    </row>
    <row r="153">
      <c r="A153" s="334" t="s">
        <v>250</v>
      </c>
      <c r="B153" s="335">
        <f t="shared" si="94"/>
        <v>5918.347188</v>
      </c>
      <c r="C153" s="336">
        <f>sum(D153:K153)</f>
        <v>5918.347188</v>
      </c>
      <c r="D153" s="336">
        <f t="shared" ref="D153:L153" si="97">iferror(D132*(1+D139),"n/a")</f>
        <v>4079.781849</v>
      </c>
      <c r="E153" s="336">
        <f t="shared" si="97"/>
        <v>208.9873408</v>
      </c>
      <c r="F153" s="336">
        <f t="shared" si="97"/>
        <v>327.3872591</v>
      </c>
      <c r="G153" s="336">
        <f t="shared" si="97"/>
        <v>179.9814374</v>
      </c>
      <c r="H153" s="336">
        <f t="shared" si="97"/>
        <v>45.34572681</v>
      </c>
      <c r="I153" s="336">
        <f t="shared" si="97"/>
        <v>322.3452737</v>
      </c>
      <c r="J153" s="336">
        <f t="shared" si="97"/>
        <v>649.9441328</v>
      </c>
      <c r="K153" s="336">
        <f t="shared" si="97"/>
        <v>104.5741687</v>
      </c>
      <c r="L153" s="336">
        <f t="shared" si="97"/>
        <v>0.0005620571165</v>
      </c>
    </row>
    <row r="154">
      <c r="A154" s="297"/>
      <c r="B154" s="252"/>
    </row>
    <row r="155">
      <c r="A155" s="35" t="s">
        <v>251</v>
      </c>
      <c r="B155" s="337">
        <f t="array" ref="B155">index(C155:AA155,,match($A$3,$C$1:$AA$1,0))</f>
        <v>5918.347188</v>
      </c>
      <c r="C155" s="338">
        <f>C153</f>
        <v>5918.347188</v>
      </c>
      <c r="D155" s="338">
        <f t="shared" ref="D155:L155" si="98">D153*$C$11/D11</f>
        <v>7011.95183</v>
      </c>
      <c r="E155" s="338">
        <f t="shared" si="98"/>
        <v>4722.482792</v>
      </c>
      <c r="F155" s="338">
        <f t="shared" si="98"/>
        <v>5456.454318</v>
      </c>
      <c r="G155" s="338">
        <f t="shared" si="98"/>
        <v>3220.75458</v>
      </c>
      <c r="H155" s="338">
        <f t="shared" si="98"/>
        <v>1158.281519</v>
      </c>
      <c r="I155" s="338">
        <f t="shared" si="98"/>
        <v>6717.104076</v>
      </c>
      <c r="J155" s="338">
        <f t="shared" si="98"/>
        <v>4992.129451</v>
      </c>
      <c r="K155" s="338">
        <f t="shared" si="98"/>
        <v>2482.903267</v>
      </c>
      <c r="L155" s="338">
        <f t="shared" si="98"/>
        <v>5620.571165</v>
      </c>
    </row>
    <row r="156">
      <c r="A156" s="339"/>
      <c r="B156" s="295"/>
      <c r="C156" s="340"/>
      <c r="D156" s="340"/>
      <c r="E156" s="340"/>
      <c r="F156" s="340"/>
      <c r="G156" s="340"/>
      <c r="H156" s="340"/>
      <c r="I156" s="340"/>
      <c r="J156" s="340"/>
      <c r="K156" s="340"/>
      <c r="L156" s="340"/>
    </row>
    <row r="157">
      <c r="A157" s="339" t="s">
        <v>252</v>
      </c>
      <c r="B157" s="295">
        <f t="array" ref="B157">index(C157:AA157,,match($A$3,$C$1:$AA$1,0))</f>
        <v>-0.008544420717</v>
      </c>
      <c r="C157" s="340">
        <f t="shared" ref="C157:L157" si="99">C153-sum(C150:C152)</f>
        <v>-0.008544420717</v>
      </c>
      <c r="D157" s="340">
        <f t="shared" si="99"/>
        <v>0</v>
      </c>
      <c r="E157" s="340">
        <f t="shared" si="99"/>
        <v>0</v>
      </c>
      <c r="F157" s="340">
        <f t="shared" si="99"/>
        <v>0</v>
      </c>
      <c r="G157" s="340">
        <f t="shared" si="99"/>
        <v>0</v>
      </c>
      <c r="H157" s="340">
        <f t="shared" si="99"/>
        <v>0</v>
      </c>
      <c r="I157" s="340">
        <f t="shared" si="99"/>
        <v>0</v>
      </c>
      <c r="J157" s="340">
        <f t="shared" si="99"/>
        <v>0</v>
      </c>
      <c r="K157" s="340">
        <f t="shared" si="99"/>
        <v>0</v>
      </c>
      <c r="L157" s="340">
        <f t="shared" si="99"/>
        <v>0</v>
      </c>
    </row>
    <row r="158">
      <c r="A158" s="297"/>
      <c r="B158" s="252"/>
    </row>
    <row r="159">
      <c r="A159" s="297" t="s">
        <v>253</v>
      </c>
      <c r="B159" s="252"/>
    </row>
    <row r="160">
      <c r="A160" s="35" t="s">
        <v>254</v>
      </c>
      <c r="B160" s="341">
        <f t="shared" ref="B160:B163" si="101">index(C160:AA160,,match($A$3,$C$1:$AA$1,0))</f>
        <v>3710.24441</v>
      </c>
      <c r="C160" s="342">
        <f t="shared" ref="C160:L160" si="100">C$11/C145</f>
        <v>3710.24441</v>
      </c>
      <c r="D160" s="342">
        <f t="shared" si="100"/>
        <v>2992.277164</v>
      </c>
      <c r="E160" s="342">
        <f t="shared" si="100"/>
        <v>6830.39887</v>
      </c>
      <c r="F160" s="342">
        <f t="shared" si="100"/>
        <v>3965.516212</v>
      </c>
      <c r="G160" s="342">
        <f t="shared" si="100"/>
        <v>8063.14696</v>
      </c>
      <c r="H160" s="342">
        <f t="shared" si="100"/>
        <v>59888.64427</v>
      </c>
      <c r="I160" s="342">
        <f t="shared" si="100"/>
        <v>4748.878746</v>
      </c>
      <c r="J160" s="342">
        <f t="shared" si="100"/>
        <v>4369.449333</v>
      </c>
      <c r="K160" s="342">
        <f t="shared" si="100"/>
        <v>8785.550817</v>
      </c>
      <c r="L160" s="342">
        <f t="shared" si="100"/>
        <v>3722.662218</v>
      </c>
    </row>
    <row r="161">
      <c r="A161" s="35" t="s">
        <v>255</v>
      </c>
      <c r="B161" s="341">
        <f t="shared" si="101"/>
        <v>6269.457473</v>
      </c>
      <c r="C161" s="342">
        <f t="shared" ref="C161:L161" si="102">C$11/C146</f>
        <v>6269.457473</v>
      </c>
      <c r="D161" s="342">
        <f t="shared" si="102"/>
        <v>5587.615006</v>
      </c>
      <c r="E161" s="342">
        <f t="shared" si="102"/>
        <v>4021.171227</v>
      </c>
      <c r="F161" s="342">
        <f t="shared" si="102"/>
        <v>7254.388255</v>
      </c>
      <c r="G161" s="342">
        <f t="shared" si="102"/>
        <v>7761.907477</v>
      </c>
      <c r="H161" s="342">
        <f t="shared" si="102"/>
        <v>10497.13327</v>
      </c>
      <c r="I161" s="342">
        <f t="shared" si="102"/>
        <v>5058.393311</v>
      </c>
      <c r="J161" s="342">
        <f t="shared" si="102"/>
        <v>9151.303942</v>
      </c>
      <c r="K161" s="342">
        <f t="shared" si="102"/>
        <v>11747.39231</v>
      </c>
      <c r="L161" s="342">
        <f t="shared" si="102"/>
        <v>4627.772219</v>
      </c>
    </row>
    <row r="162">
      <c r="A162" s="206" t="s">
        <v>256</v>
      </c>
      <c r="B162" s="341">
        <f t="shared" si="101"/>
        <v>2330.853147</v>
      </c>
      <c r="C162" s="342">
        <f t="shared" ref="C162:L162" si="103">C$11/sum(C145:C146)</f>
        <v>2330.853147</v>
      </c>
      <c r="D162" s="342">
        <f t="shared" si="103"/>
        <v>1948.706633</v>
      </c>
      <c r="E162" s="342">
        <f t="shared" si="103"/>
        <v>2531.081047</v>
      </c>
      <c r="F162" s="342">
        <f t="shared" si="103"/>
        <v>2563.960711</v>
      </c>
      <c r="G162" s="342">
        <f t="shared" si="103"/>
        <v>3954.83004</v>
      </c>
      <c r="H162" s="342">
        <f t="shared" si="103"/>
        <v>8931.62088</v>
      </c>
      <c r="I162" s="342">
        <f t="shared" si="103"/>
        <v>2449.375968</v>
      </c>
      <c r="J162" s="342">
        <f t="shared" si="103"/>
        <v>2957.391359</v>
      </c>
      <c r="K162" s="342">
        <f t="shared" si="103"/>
        <v>5026.425654</v>
      </c>
      <c r="L162" s="342">
        <f t="shared" si="103"/>
        <v>2063.082217</v>
      </c>
    </row>
    <row r="163">
      <c r="A163" s="35" t="s">
        <v>117</v>
      </c>
      <c r="B163" s="341">
        <f t="shared" si="101"/>
        <v>1689.660928</v>
      </c>
      <c r="C163" s="342">
        <f t="array" ref="C163">C11/C153*index('Moral weights'!$A$1:$ZG$33,match("Value assigned to averting the death of an individual under 5 — AMF",'Moral weights'!$A$1:$A$33,0),match($B1,'Moral weights'!$A$1:$ZG1,0))</f>
        <v>1689.660928</v>
      </c>
      <c r="D163" s="342">
        <f t="array" ref="D163">D11/D153*index('Moral weights'!$A$1:$ZG$33,match("Value assigned to averting the death of an individual under 5 — AMF",'Moral weights'!$A$1:$A$33,0),match($B1,'Moral weights'!$A$1:$ZG1,0))</f>
        <v>1426.136437</v>
      </c>
      <c r="E163" s="342">
        <f t="array" ref="E163">E11/E153*index('Moral weights'!$A$1:$ZG$33,match("Value assigned to averting the death of an individual under 5 — AMF",'Moral weights'!$A$1:$A$33,0),match($B1,'Moral weights'!$A$1:$ZG1,0))</f>
        <v>2117.530214</v>
      </c>
      <c r="F163" s="342">
        <f t="array" ref="F163">F11/F153*index('Moral weights'!$A$1:$ZG$33,match("Value assigned to averting the death of an individual under 5 — AMF",'Moral weights'!$A$1:$A$33,0),match($B1,'Moral weights'!$A$1:$ZG1,0))</f>
        <v>1832.691968</v>
      </c>
      <c r="G163" s="342">
        <f t="array" ref="G163">G11/G153*index('Moral weights'!$A$1:$ZG$33,match("Value assigned to averting the death of an individual under 5 — AMF",'Moral weights'!$A$1:$A$33,0),match($B1,'Moral weights'!$A$1:$ZG1,0))</f>
        <v>3104.862464</v>
      </c>
      <c r="H163" s="342">
        <f t="array" ref="H163">H11/H153*index('Moral weights'!$A$1:$ZG$33,match("Value assigned to averting the death of an individual under 5 — AMF",'Moral weights'!$A$1:$A$33,0),match($B1,'Moral weights'!$A$1:$ZG1,0))</f>
        <v>8633.479714</v>
      </c>
      <c r="I163" s="342">
        <f t="array" ref="I163">I11/I153*index('Moral weights'!$A$1:$ZG$33,match("Value assigned to averting the death of an individual under 5 — AMF",'Moral weights'!$A$1:$A$33,0),match($B1,'Moral weights'!$A$1:$ZG1,0))</f>
        <v>1488.736796</v>
      </c>
      <c r="J163" s="342">
        <f t="array" ref="J163">J11/J153*index('Moral weights'!$A$1:$ZG$33,match("Value assigned to averting the death of an individual under 5 — AMF",'Moral weights'!$A$1:$A$33,0),match($B1,'Moral weights'!$A$1:$ZG1,0))</f>
        <v>2003.153183</v>
      </c>
      <c r="K163" s="342">
        <f t="array" ref="K163">K11/K153*index('Moral weights'!$A$1:$ZG$33,match("Value assigned to averting the death of an individual under 5 — AMF",'Moral weights'!$A$1:$A$33,0),match($B1,'Moral weights'!$A$1:$ZG1,0))</f>
        <v>4027.543132</v>
      </c>
      <c r="L163" s="342">
        <f t="array" ref="L163">L11/L153*index('Moral weights'!$A$1:$ZG$33,match("Value assigned to averting the death of an individual under 5 — AMF",'Moral weights'!$A$1:$A$33,0),match($B1,'Moral weights'!$A$1:$ZG1,0))</f>
        <v>1779.178611</v>
      </c>
    </row>
    <row r="164">
      <c r="A164" s="343"/>
      <c r="B164" s="344"/>
      <c r="C164" s="345"/>
      <c r="D164" s="345"/>
      <c r="E164" s="345"/>
      <c r="F164" s="345"/>
      <c r="G164" s="345"/>
      <c r="H164" s="345"/>
      <c r="I164" s="345"/>
      <c r="J164" s="345"/>
      <c r="K164" s="345"/>
      <c r="L164" s="345"/>
    </row>
    <row r="165">
      <c r="A165" s="346" t="s">
        <v>126</v>
      </c>
      <c r="B165" s="347"/>
      <c r="C165" s="133"/>
      <c r="D165" s="133"/>
      <c r="E165" s="133"/>
      <c r="F165" s="133"/>
      <c r="G165" s="133"/>
      <c r="H165" s="133"/>
      <c r="I165" s="133"/>
      <c r="J165" s="133"/>
      <c r="K165" s="133"/>
      <c r="L165" s="133"/>
    </row>
    <row r="166">
      <c r="A166" s="109" t="s">
        <v>129</v>
      </c>
      <c r="B166" s="179">
        <f t="shared" ref="B166:B168" si="105">index(C166:AA166,,match($A$3,$C$1:$AA$1,0))</f>
        <v>0.4554042109</v>
      </c>
      <c r="C166" s="33">
        <f t="shared" ref="C166:L166" si="104">C150/C$153</f>
        <v>0.4554042109</v>
      </c>
      <c r="D166" s="33">
        <f t="shared" si="104"/>
        <v>0.4766057283</v>
      </c>
      <c r="E166" s="33">
        <f t="shared" si="104"/>
        <v>0.3100156015</v>
      </c>
      <c r="F166" s="33">
        <f t="shared" si="104"/>
        <v>0.4621572248</v>
      </c>
      <c r="G166" s="33">
        <f t="shared" si="104"/>
        <v>0.3850683212</v>
      </c>
      <c r="H166" s="33">
        <f t="shared" si="104"/>
        <v>0.1441588772</v>
      </c>
      <c r="I166" s="33">
        <f t="shared" si="104"/>
        <v>0.3134922737</v>
      </c>
      <c r="J166" s="33">
        <f t="shared" si="104"/>
        <v>0.4584452251</v>
      </c>
      <c r="K166" s="33">
        <f t="shared" si="104"/>
        <v>0.4584280731</v>
      </c>
      <c r="L166" s="33">
        <f t="shared" si="104"/>
        <v>0.4779317883</v>
      </c>
    </row>
    <row r="167">
      <c r="A167" s="109" t="s">
        <v>130</v>
      </c>
      <c r="B167" s="179">
        <f t="shared" si="105"/>
        <v>0.2695067213</v>
      </c>
      <c r="C167" s="33">
        <f t="shared" ref="C167:L167" si="106">C151/C$153</f>
        <v>0.2695067213</v>
      </c>
      <c r="D167" s="33">
        <f t="shared" si="106"/>
        <v>0.2552316929</v>
      </c>
      <c r="E167" s="33">
        <f t="shared" si="106"/>
        <v>0.5265953861</v>
      </c>
      <c r="F167" s="33">
        <f t="shared" si="106"/>
        <v>0.2526321866</v>
      </c>
      <c r="G167" s="33">
        <f t="shared" si="106"/>
        <v>0.4000128155</v>
      </c>
      <c r="H167" s="33">
        <f t="shared" si="106"/>
        <v>0.8224607129</v>
      </c>
      <c r="I167" s="33">
        <f t="shared" si="106"/>
        <v>0.2943102096</v>
      </c>
      <c r="J167" s="33">
        <f t="shared" si="106"/>
        <v>0.2188926513</v>
      </c>
      <c r="K167" s="33">
        <f t="shared" si="106"/>
        <v>0.3428457165</v>
      </c>
      <c r="L167" s="33">
        <f t="shared" si="106"/>
        <v>0.3844568244</v>
      </c>
    </row>
    <row r="168">
      <c r="A168" s="109" t="s">
        <v>131</v>
      </c>
      <c r="B168" s="179">
        <f t="shared" si="105"/>
        <v>0.2750905116</v>
      </c>
      <c r="C168" s="33">
        <f t="shared" ref="C168:L168" si="107">C152/C$153</f>
        <v>0.2750905116</v>
      </c>
      <c r="D168" s="33">
        <f t="shared" si="107"/>
        <v>0.2681625788</v>
      </c>
      <c r="E168" s="33">
        <f t="shared" si="107"/>
        <v>0.1633890124</v>
      </c>
      <c r="F168" s="33">
        <f t="shared" si="107"/>
        <v>0.2852105886</v>
      </c>
      <c r="G168" s="33">
        <f t="shared" si="107"/>
        <v>0.2149188632</v>
      </c>
      <c r="H168" s="33">
        <f t="shared" si="107"/>
        <v>0.0333804099</v>
      </c>
      <c r="I168" s="33">
        <f t="shared" si="107"/>
        <v>0.3921975166</v>
      </c>
      <c r="J168" s="33">
        <f t="shared" si="107"/>
        <v>0.3226621236</v>
      </c>
      <c r="K168" s="33">
        <f t="shared" si="107"/>
        <v>0.1987262104</v>
      </c>
      <c r="L168" s="33">
        <f t="shared" si="107"/>
        <v>0.1376113873</v>
      </c>
    </row>
    <row r="169">
      <c r="A169" s="343"/>
      <c r="B169" s="344"/>
      <c r="C169" s="345"/>
      <c r="D169" s="345"/>
      <c r="E169" s="345"/>
      <c r="F169" s="345"/>
      <c r="G169" s="345"/>
      <c r="H169" s="345"/>
      <c r="I169" s="345"/>
      <c r="J169" s="345"/>
      <c r="K169" s="345"/>
      <c r="L169" s="345"/>
    </row>
    <row r="170">
      <c r="A170" s="325" t="s">
        <v>257</v>
      </c>
      <c r="B170" s="348">
        <f t="array" ref="B170">index(C170:AA170,,match($A$3,$C$1:$AA$1,0))</f>
        <v>17.20326647</v>
      </c>
      <c r="C170" s="349">
        <f t="array" ref="C170">C155/index(Cash!$B:$B,match("Total units of value generated with hypothetical donation ($100,000)",Cash!$A:$A,0))</f>
        <v>17.20326647</v>
      </c>
      <c r="D170" s="349">
        <f t="array" ref="D170">D155/index(Cash!$B:$B,match("Total units of value generated with hypothetical donation ($100,000)",Cash!$A:$A,0))</f>
        <v>20.38212223</v>
      </c>
      <c r="E170" s="349">
        <f t="array" ref="E170">E155/index(Cash!$B:$B,match("Total units of value generated with hypothetical donation ($100,000)",Cash!$A:$A,0))</f>
        <v>13.72716525</v>
      </c>
      <c r="F170" s="349">
        <f t="array" ref="F170">F155/index(Cash!$B:$B,match("Total units of value generated with hypothetical donation ($100,000)",Cash!$A:$A,0))</f>
        <v>15.86065072</v>
      </c>
      <c r="G170" s="349">
        <f t="array" ref="G170">G155/index(Cash!$B:$B,match("Total units of value generated with hypothetical donation ($100,000)",Cash!$A:$A,0))</f>
        <v>9.361988662</v>
      </c>
      <c r="H170" s="349">
        <f t="array" ref="H170">H155/index(Cash!$B:$B,match("Total units of value generated with hypothetical donation ($100,000)",Cash!$A:$A,0))</f>
        <v>3.366856487</v>
      </c>
      <c r="I170" s="349">
        <f t="array" ref="I170">I155/index(Cash!$B:$B,match("Total units of value generated with hypothetical donation ($100,000)",Cash!$A:$A,0))</f>
        <v>19.52506801</v>
      </c>
      <c r="J170" s="349">
        <f t="array" ref="J170">J155/index(Cash!$B:$B,match("Total units of value generated with hypothetical donation ($100,000)",Cash!$A:$A,0))</f>
        <v>14.51096573</v>
      </c>
      <c r="K170" s="349">
        <f t="array" ref="K170">K155/index(Cash!$B:$B,match("Total units of value generated with hypothetical donation ($100,000)",Cash!$A:$A,0))</f>
        <v>7.217225546</v>
      </c>
      <c r="L170" s="349">
        <f t="array" ref="L170">L155/index(Cash!$B:$B,match("Total units of value generated with hypothetical donation ($100,000)",Cash!$A:$A,0))</f>
        <v>16.33770044</v>
      </c>
    </row>
    <row r="171">
      <c r="A171" s="343"/>
      <c r="B171" s="344"/>
      <c r="C171" s="345"/>
      <c r="D171" s="345"/>
      <c r="E171" s="345"/>
      <c r="F171" s="345"/>
      <c r="G171" s="345"/>
      <c r="H171" s="345"/>
      <c r="I171" s="345"/>
      <c r="J171" s="345"/>
      <c r="K171" s="345"/>
      <c r="L171" s="345"/>
    </row>
    <row r="172">
      <c r="A172" s="350" t="s">
        <v>258</v>
      </c>
      <c r="B172" s="351"/>
      <c r="C172" s="350"/>
      <c r="D172" s="350"/>
      <c r="E172" s="350"/>
      <c r="F172" s="350"/>
      <c r="G172" s="350"/>
      <c r="H172" s="350"/>
      <c r="I172" s="350"/>
      <c r="J172" s="350"/>
      <c r="K172" s="350"/>
      <c r="L172" s="350"/>
    </row>
    <row r="173" outlineLevel="1">
      <c r="A173" s="352"/>
      <c r="B173" s="252"/>
      <c r="E173" s="353"/>
      <c r="F173" s="353"/>
      <c r="G173" s="353"/>
      <c r="H173" s="353"/>
      <c r="I173" s="353"/>
      <c r="J173" s="353"/>
      <c r="K173" s="353"/>
      <c r="L173" s="353"/>
    </row>
    <row r="174" outlineLevel="1">
      <c r="A174" s="62" t="s">
        <v>259</v>
      </c>
      <c r="B174" s="354"/>
      <c r="C174" s="110"/>
      <c r="D174" s="353"/>
      <c r="E174" s="353"/>
      <c r="F174" s="353"/>
      <c r="G174" s="353"/>
      <c r="H174" s="353"/>
      <c r="I174" s="353"/>
      <c r="J174" s="353"/>
      <c r="K174" s="353"/>
      <c r="L174" s="353"/>
    </row>
    <row r="175" outlineLevel="1">
      <c r="A175" s="40" t="s">
        <v>260</v>
      </c>
      <c r="B175" s="355">
        <f t="shared" ref="B175:B178" si="109">index(C175:AA175,,match($A$3,$C$1:$AA$1,0))</f>
        <v>0</v>
      </c>
      <c r="C175" s="356">
        <v>0.0</v>
      </c>
      <c r="D175" s="357">
        <f t="shared" ref="D175:L175" si="108">$C175</f>
        <v>0</v>
      </c>
      <c r="E175" s="357">
        <f t="shared" si="108"/>
        <v>0</v>
      </c>
      <c r="F175" s="357">
        <f t="shared" si="108"/>
        <v>0</v>
      </c>
      <c r="G175" s="357">
        <f t="shared" si="108"/>
        <v>0</v>
      </c>
      <c r="H175" s="357">
        <f t="shared" si="108"/>
        <v>0</v>
      </c>
      <c r="I175" s="357">
        <f t="shared" si="108"/>
        <v>0</v>
      </c>
      <c r="J175" s="357">
        <f t="shared" si="108"/>
        <v>0</v>
      </c>
      <c r="K175" s="357">
        <f t="shared" si="108"/>
        <v>0</v>
      </c>
      <c r="L175" s="357">
        <f t="shared" si="108"/>
        <v>0</v>
      </c>
    </row>
    <row r="176" outlineLevel="1">
      <c r="A176" s="40" t="s">
        <v>261</v>
      </c>
      <c r="B176" s="355">
        <f t="shared" si="109"/>
        <v>0.02</v>
      </c>
      <c r="C176" s="356">
        <v>0.02</v>
      </c>
      <c r="D176" s="357">
        <f t="shared" ref="D176:L176" si="110">$C176</f>
        <v>0.02</v>
      </c>
      <c r="E176" s="357">
        <f t="shared" si="110"/>
        <v>0.02</v>
      </c>
      <c r="F176" s="357">
        <f t="shared" si="110"/>
        <v>0.02</v>
      </c>
      <c r="G176" s="357">
        <f t="shared" si="110"/>
        <v>0.02</v>
      </c>
      <c r="H176" s="357">
        <f t="shared" si="110"/>
        <v>0.02</v>
      </c>
      <c r="I176" s="357">
        <f t="shared" si="110"/>
        <v>0.02</v>
      </c>
      <c r="J176" s="357">
        <f t="shared" si="110"/>
        <v>0.02</v>
      </c>
      <c r="K176" s="357">
        <f t="shared" si="110"/>
        <v>0.02</v>
      </c>
      <c r="L176" s="357">
        <f t="shared" si="110"/>
        <v>0.02</v>
      </c>
    </row>
    <row r="177" outlineLevel="1">
      <c r="A177" s="40" t="s">
        <v>262</v>
      </c>
      <c r="B177" s="355">
        <f t="shared" si="109"/>
        <v>0.05</v>
      </c>
      <c r="C177" s="356">
        <v>0.05</v>
      </c>
      <c r="D177" s="357">
        <f t="shared" ref="D177:L177" si="111">$C177</f>
        <v>0.05</v>
      </c>
      <c r="E177" s="357">
        <f t="shared" si="111"/>
        <v>0.05</v>
      </c>
      <c r="F177" s="357">
        <f t="shared" si="111"/>
        <v>0.05</v>
      </c>
      <c r="G177" s="357">
        <f t="shared" si="111"/>
        <v>0.05</v>
      </c>
      <c r="H177" s="357">
        <f t="shared" si="111"/>
        <v>0.05</v>
      </c>
      <c r="I177" s="357">
        <f t="shared" si="111"/>
        <v>0.05</v>
      </c>
      <c r="J177" s="357">
        <f t="shared" si="111"/>
        <v>0.05</v>
      </c>
      <c r="K177" s="357">
        <f t="shared" si="111"/>
        <v>0.05</v>
      </c>
      <c r="L177" s="357">
        <f t="shared" si="111"/>
        <v>0.05</v>
      </c>
    </row>
    <row r="178" outlineLevel="1">
      <c r="A178" s="358" t="s">
        <v>263</v>
      </c>
      <c r="B178" s="359">
        <f t="shared" si="109"/>
        <v>0.07</v>
      </c>
      <c r="C178" s="360">
        <f t="shared" ref="C178:L178" si="112">SUM(C175:C177)</f>
        <v>0.07</v>
      </c>
      <c r="D178" s="360">
        <f t="shared" si="112"/>
        <v>0.07</v>
      </c>
      <c r="E178" s="360">
        <f t="shared" si="112"/>
        <v>0.07</v>
      </c>
      <c r="F178" s="360">
        <f t="shared" si="112"/>
        <v>0.07</v>
      </c>
      <c r="G178" s="360">
        <f t="shared" si="112"/>
        <v>0.07</v>
      </c>
      <c r="H178" s="360">
        <f t="shared" si="112"/>
        <v>0.07</v>
      </c>
      <c r="I178" s="360">
        <f t="shared" si="112"/>
        <v>0.07</v>
      </c>
      <c r="J178" s="360">
        <f t="shared" si="112"/>
        <v>0.07</v>
      </c>
      <c r="K178" s="360">
        <f t="shared" si="112"/>
        <v>0.07</v>
      </c>
      <c r="L178" s="360">
        <f t="shared" si="112"/>
        <v>0.07</v>
      </c>
    </row>
    <row r="179" outlineLevel="1">
      <c r="A179" s="40"/>
      <c r="B179" s="355"/>
      <c r="C179" s="361"/>
      <c r="D179" s="353"/>
      <c r="E179" s="353"/>
      <c r="F179" s="353"/>
      <c r="G179" s="353"/>
      <c r="H179" s="353"/>
      <c r="I179" s="353"/>
      <c r="J179" s="353"/>
      <c r="K179" s="353"/>
      <c r="L179" s="353"/>
    </row>
    <row r="180" outlineLevel="1">
      <c r="A180" s="355"/>
      <c r="C180" s="361"/>
      <c r="D180" s="353"/>
      <c r="E180" s="353"/>
      <c r="F180" s="353"/>
      <c r="G180" s="353"/>
      <c r="H180" s="353"/>
      <c r="I180" s="353"/>
      <c r="J180" s="353"/>
      <c r="K180" s="353"/>
      <c r="L180" s="353"/>
    </row>
    <row r="181" outlineLevel="1">
      <c r="A181" s="40" t="s">
        <v>264</v>
      </c>
      <c r="B181" s="355">
        <f t="shared" ref="B181:B183" si="114">index(C181:AA181,,match($A$3,$C$1:$AA$1,0))</f>
        <v>0.03</v>
      </c>
      <c r="C181" s="356">
        <v>0.03</v>
      </c>
      <c r="D181" s="357">
        <f t="shared" ref="D181:L181" si="113">$C181</f>
        <v>0.03</v>
      </c>
      <c r="E181" s="357">
        <f t="shared" si="113"/>
        <v>0.03</v>
      </c>
      <c r="F181" s="357">
        <f t="shared" si="113"/>
        <v>0.03</v>
      </c>
      <c r="G181" s="357">
        <f t="shared" si="113"/>
        <v>0.03</v>
      </c>
      <c r="H181" s="357">
        <f t="shared" si="113"/>
        <v>0.03</v>
      </c>
      <c r="I181" s="357">
        <f t="shared" si="113"/>
        <v>0.03</v>
      </c>
      <c r="J181" s="357">
        <f t="shared" si="113"/>
        <v>0.03</v>
      </c>
      <c r="K181" s="357">
        <f t="shared" si="113"/>
        <v>0.03</v>
      </c>
      <c r="L181" s="357">
        <f t="shared" si="113"/>
        <v>0.03</v>
      </c>
    </row>
    <row r="182" outlineLevel="1">
      <c r="A182" s="40" t="s">
        <v>265</v>
      </c>
      <c r="B182" s="355">
        <f t="shared" si="114"/>
        <v>0.1</v>
      </c>
      <c r="C182" s="356">
        <v>0.1</v>
      </c>
      <c r="D182" s="357">
        <f t="shared" ref="D182:L182" si="115">$C182</f>
        <v>0.1</v>
      </c>
      <c r="E182" s="357">
        <f t="shared" si="115"/>
        <v>0.1</v>
      </c>
      <c r="F182" s="357">
        <f t="shared" si="115"/>
        <v>0.1</v>
      </c>
      <c r="G182" s="357">
        <f t="shared" si="115"/>
        <v>0.1</v>
      </c>
      <c r="H182" s="357">
        <f t="shared" si="115"/>
        <v>0.1</v>
      </c>
      <c r="I182" s="357">
        <f t="shared" si="115"/>
        <v>0.1</v>
      </c>
      <c r="J182" s="357">
        <f t="shared" si="115"/>
        <v>0.1</v>
      </c>
      <c r="K182" s="357">
        <f t="shared" si="115"/>
        <v>0.1</v>
      </c>
      <c r="L182" s="357">
        <f t="shared" si="115"/>
        <v>0.1</v>
      </c>
    </row>
    <row r="183" outlineLevel="1">
      <c r="A183" s="358" t="s">
        <v>266</v>
      </c>
      <c r="B183" s="359">
        <f t="shared" si="114"/>
        <v>0.13</v>
      </c>
      <c r="C183" s="360">
        <f t="shared" ref="C183:L183" si="116">sum(C180:C182)</f>
        <v>0.13</v>
      </c>
      <c r="D183" s="360">
        <f t="shared" si="116"/>
        <v>0.13</v>
      </c>
      <c r="E183" s="360">
        <f t="shared" si="116"/>
        <v>0.13</v>
      </c>
      <c r="F183" s="360">
        <f t="shared" si="116"/>
        <v>0.13</v>
      </c>
      <c r="G183" s="360">
        <f t="shared" si="116"/>
        <v>0.13</v>
      </c>
      <c r="H183" s="360">
        <f t="shared" si="116"/>
        <v>0.13</v>
      </c>
      <c r="I183" s="360">
        <f t="shared" si="116"/>
        <v>0.13</v>
      </c>
      <c r="J183" s="360">
        <f t="shared" si="116"/>
        <v>0.13</v>
      </c>
      <c r="K183" s="360">
        <f t="shared" si="116"/>
        <v>0.13</v>
      </c>
      <c r="L183" s="360">
        <f t="shared" si="116"/>
        <v>0.13</v>
      </c>
    </row>
    <row r="184" outlineLevel="1">
      <c r="A184" s="40"/>
      <c r="B184" s="355"/>
      <c r="C184" s="361"/>
      <c r="D184" s="353"/>
      <c r="E184" s="353"/>
      <c r="F184" s="353"/>
      <c r="G184" s="353"/>
      <c r="H184" s="353"/>
      <c r="I184" s="353"/>
      <c r="J184" s="353"/>
      <c r="K184" s="353"/>
      <c r="L184" s="353"/>
    </row>
    <row r="185" outlineLevel="1">
      <c r="A185" s="62" t="s">
        <v>267</v>
      </c>
      <c r="B185" s="355"/>
      <c r="C185" s="361"/>
      <c r="D185" s="353"/>
      <c r="E185" s="353"/>
      <c r="F185" s="353"/>
      <c r="G185" s="353"/>
      <c r="H185" s="353"/>
      <c r="I185" s="353"/>
      <c r="J185" s="353"/>
      <c r="K185" s="353"/>
      <c r="L185" s="353"/>
    </row>
    <row r="186" outlineLevel="1">
      <c r="A186" s="40" t="s">
        <v>268</v>
      </c>
      <c r="B186" s="355">
        <f t="shared" ref="B186:B189" si="118">index(C186:AA186,,match($A$3,$C$1:$AA$1,0))</f>
        <v>0</v>
      </c>
      <c r="C186" s="356">
        <v>0.0</v>
      </c>
      <c r="D186" s="357">
        <f t="shared" ref="D186:L186" si="117">$C186</f>
        <v>0</v>
      </c>
      <c r="E186" s="357">
        <f t="shared" si="117"/>
        <v>0</v>
      </c>
      <c r="F186" s="357">
        <f t="shared" si="117"/>
        <v>0</v>
      </c>
      <c r="G186" s="357">
        <f t="shared" si="117"/>
        <v>0</v>
      </c>
      <c r="H186" s="357">
        <f t="shared" si="117"/>
        <v>0</v>
      </c>
      <c r="I186" s="357">
        <f t="shared" si="117"/>
        <v>0</v>
      </c>
      <c r="J186" s="357">
        <f t="shared" si="117"/>
        <v>0</v>
      </c>
      <c r="K186" s="357">
        <f t="shared" si="117"/>
        <v>0</v>
      </c>
      <c r="L186" s="357">
        <f t="shared" si="117"/>
        <v>0</v>
      </c>
    </row>
    <row r="187" outlineLevel="1">
      <c r="A187" s="40" t="s">
        <v>269</v>
      </c>
      <c r="B187" s="355">
        <f t="shared" si="118"/>
        <v>0</v>
      </c>
      <c r="C187" s="356">
        <v>0.0</v>
      </c>
      <c r="D187" s="357">
        <f t="shared" ref="D187:L187" si="119">$C187</f>
        <v>0</v>
      </c>
      <c r="E187" s="357">
        <f t="shared" si="119"/>
        <v>0</v>
      </c>
      <c r="F187" s="357">
        <f t="shared" si="119"/>
        <v>0</v>
      </c>
      <c r="G187" s="357">
        <f t="shared" si="119"/>
        <v>0</v>
      </c>
      <c r="H187" s="357">
        <f t="shared" si="119"/>
        <v>0</v>
      </c>
      <c r="I187" s="357">
        <f t="shared" si="119"/>
        <v>0</v>
      </c>
      <c r="J187" s="357">
        <f t="shared" si="119"/>
        <v>0</v>
      </c>
      <c r="K187" s="357">
        <f t="shared" si="119"/>
        <v>0</v>
      </c>
      <c r="L187" s="357">
        <f t="shared" si="119"/>
        <v>0</v>
      </c>
    </row>
    <row r="188" outlineLevel="1">
      <c r="A188" s="40" t="s">
        <v>270</v>
      </c>
      <c r="B188" s="355">
        <f t="shared" si="118"/>
        <v>0</v>
      </c>
      <c r="C188" s="356">
        <v>0.0</v>
      </c>
      <c r="D188" s="357">
        <f t="shared" ref="D188:L188" si="120">$C188</f>
        <v>0</v>
      </c>
      <c r="E188" s="357">
        <f t="shared" si="120"/>
        <v>0</v>
      </c>
      <c r="F188" s="357">
        <f t="shared" si="120"/>
        <v>0</v>
      </c>
      <c r="G188" s="357">
        <f t="shared" si="120"/>
        <v>0</v>
      </c>
      <c r="H188" s="357">
        <f t="shared" si="120"/>
        <v>0</v>
      </c>
      <c r="I188" s="357">
        <f t="shared" si="120"/>
        <v>0</v>
      </c>
      <c r="J188" s="357">
        <f t="shared" si="120"/>
        <v>0</v>
      </c>
      <c r="K188" s="357">
        <f t="shared" si="120"/>
        <v>0</v>
      </c>
      <c r="L188" s="357">
        <f t="shared" si="120"/>
        <v>0</v>
      </c>
    </row>
    <row r="189" outlineLevel="1">
      <c r="A189" s="362" t="s">
        <v>271</v>
      </c>
      <c r="B189" s="359">
        <f t="shared" si="118"/>
        <v>0</v>
      </c>
      <c r="C189" s="360">
        <f t="shared" ref="C189:L189" si="121">sum(C186:C188)</f>
        <v>0</v>
      </c>
      <c r="D189" s="360">
        <f t="shared" si="121"/>
        <v>0</v>
      </c>
      <c r="E189" s="360">
        <f t="shared" si="121"/>
        <v>0</v>
      </c>
      <c r="F189" s="360">
        <f t="shared" si="121"/>
        <v>0</v>
      </c>
      <c r="G189" s="360">
        <f t="shared" si="121"/>
        <v>0</v>
      </c>
      <c r="H189" s="360">
        <f t="shared" si="121"/>
        <v>0</v>
      </c>
      <c r="I189" s="360">
        <f t="shared" si="121"/>
        <v>0</v>
      </c>
      <c r="J189" s="360">
        <f t="shared" si="121"/>
        <v>0</v>
      </c>
      <c r="K189" s="360">
        <f t="shared" si="121"/>
        <v>0</v>
      </c>
      <c r="L189" s="360">
        <f t="shared" si="121"/>
        <v>0</v>
      </c>
    </row>
    <row r="190" outlineLevel="1">
      <c r="A190" s="40"/>
      <c r="B190" s="355"/>
      <c r="C190" s="361"/>
      <c r="D190" s="353"/>
      <c r="E190" s="353"/>
      <c r="F190" s="353"/>
      <c r="G190" s="353"/>
      <c r="H190" s="353"/>
      <c r="I190" s="353"/>
      <c r="J190" s="353"/>
      <c r="K190" s="353"/>
      <c r="L190" s="353"/>
    </row>
    <row r="191" outlineLevel="1">
      <c r="A191" s="109" t="s">
        <v>272</v>
      </c>
      <c r="B191" s="355">
        <f t="array" ref="B191">index(C191:AA191,,match($A$3,$C$1:$AA$1,0))</f>
        <v>0.8</v>
      </c>
      <c r="C191" s="361">
        <f t="shared" ref="C191:L191" si="122">1-sum(C178,C183,C189)</f>
        <v>0.8</v>
      </c>
      <c r="D191" s="361">
        <f t="shared" si="122"/>
        <v>0.8</v>
      </c>
      <c r="E191" s="361">
        <f t="shared" si="122"/>
        <v>0.8</v>
      </c>
      <c r="F191" s="361">
        <f t="shared" si="122"/>
        <v>0.8</v>
      </c>
      <c r="G191" s="361">
        <f t="shared" si="122"/>
        <v>0.8</v>
      </c>
      <c r="H191" s="361">
        <f t="shared" si="122"/>
        <v>0.8</v>
      </c>
      <c r="I191" s="361">
        <f t="shared" si="122"/>
        <v>0.8</v>
      </c>
      <c r="J191" s="361">
        <f t="shared" si="122"/>
        <v>0.8</v>
      </c>
      <c r="K191" s="361">
        <f t="shared" si="122"/>
        <v>0.8</v>
      </c>
      <c r="L191" s="361">
        <f t="shared" si="122"/>
        <v>0.8</v>
      </c>
    </row>
    <row r="192">
      <c r="A192" s="167"/>
      <c r="B192" s="363"/>
      <c r="C192" s="364"/>
      <c r="D192" s="364"/>
      <c r="E192" s="364"/>
      <c r="F192" s="364"/>
      <c r="G192" s="364"/>
      <c r="H192" s="364"/>
      <c r="I192" s="364"/>
      <c r="J192" s="364"/>
      <c r="K192" s="364"/>
      <c r="L192" s="364"/>
    </row>
    <row r="193">
      <c r="A193" s="350" t="s">
        <v>273</v>
      </c>
      <c r="B193" s="351"/>
      <c r="C193" s="350"/>
      <c r="D193" s="350"/>
      <c r="E193" s="350"/>
      <c r="F193" s="350"/>
      <c r="G193" s="350"/>
      <c r="H193" s="350"/>
      <c r="I193" s="350"/>
      <c r="J193" s="350"/>
      <c r="K193" s="350"/>
      <c r="L193" s="350"/>
    </row>
    <row r="194" outlineLevel="1">
      <c r="A194" s="352" t="s">
        <v>274</v>
      </c>
      <c r="B194" s="363"/>
      <c r="C194" s="364"/>
      <c r="D194" s="364"/>
      <c r="E194" s="364"/>
      <c r="F194" s="364"/>
      <c r="G194" s="364"/>
      <c r="H194" s="364"/>
      <c r="I194" s="364"/>
      <c r="J194" s="364"/>
      <c r="K194" s="364"/>
      <c r="L194" s="364"/>
    </row>
    <row r="195" outlineLevel="1">
      <c r="A195" s="35" t="str">
        <f>IFERROR(__xludf.DUMMYFUNCTION("filter(InclusionExclusion!B:B,InclusionExclusion!A:A=""AMF"",InclusionExclusion!C:C=""Included"")"),"Malaria child mortality")</f>
        <v>Malaria child mortality</v>
      </c>
      <c r="B195" s="363"/>
      <c r="C195" s="364"/>
      <c r="D195" s="364"/>
      <c r="E195" s="364"/>
      <c r="F195" s="364"/>
      <c r="G195" s="364"/>
      <c r="H195" s="364"/>
      <c r="I195" s="364"/>
      <c r="J195" s="364"/>
      <c r="K195" s="364"/>
      <c r="L195" s="364"/>
    </row>
    <row r="196" outlineLevel="1">
      <c r="A196" t="str">
        <f>IFERROR(__xludf.DUMMYFUNCTION("""COMPUTED_VALUE"""),"Malaria adult mortality")</f>
        <v>Malaria adult mortality</v>
      </c>
      <c r="B196" s="363"/>
      <c r="C196" s="364"/>
      <c r="D196" s="364"/>
      <c r="E196" s="364"/>
      <c r="F196" s="364"/>
      <c r="G196" s="364"/>
      <c r="H196" s="364"/>
      <c r="I196" s="364"/>
      <c r="J196" s="364"/>
      <c r="K196" s="364"/>
      <c r="L196" s="364"/>
    </row>
    <row r="197" outlineLevel="1">
      <c r="A197" s="109" t="str">
        <f>IFERROR(__xludf.DUMMYFUNCTION("""COMPUTED_VALUE"""),"Developmental effects")</f>
        <v>Developmental effects</v>
      </c>
      <c r="B197" s="363"/>
      <c r="C197" s="364"/>
      <c r="D197" s="364"/>
      <c r="E197" s="364"/>
      <c r="F197" s="364"/>
      <c r="G197" s="364"/>
      <c r="H197" s="364"/>
      <c r="I197" s="364"/>
      <c r="J197" s="364"/>
      <c r="K197" s="364"/>
      <c r="L197" s="364"/>
    </row>
    <row r="198" outlineLevel="1">
      <c r="A198" s="167"/>
      <c r="B198" s="363"/>
      <c r="C198" s="364"/>
      <c r="D198" s="364"/>
      <c r="E198" s="364"/>
      <c r="F198" s="364"/>
      <c r="G198" s="364"/>
      <c r="H198" s="364"/>
      <c r="I198" s="364"/>
      <c r="J198" s="364"/>
      <c r="K198" s="364"/>
      <c r="L198" s="364"/>
    </row>
    <row r="199" outlineLevel="1">
      <c r="A199" s="352" t="s">
        <v>275</v>
      </c>
      <c r="B199" s="363"/>
      <c r="C199" s="364"/>
      <c r="D199" s="364"/>
      <c r="E199" s="364"/>
      <c r="F199" s="364"/>
      <c r="G199" s="364"/>
      <c r="H199" s="364"/>
      <c r="I199" s="364"/>
      <c r="J199" s="364"/>
      <c r="K199" s="364"/>
      <c r="L199" s="364"/>
    </row>
    <row r="200" outlineLevel="1">
      <c r="A200" s="109" t="str">
        <f>IFERROR(__xludf.DUMMYFUNCTION("filter(InclusionExclusion!B:B,InclusionExclusion!A:A=""AMF"",InclusionExclusion!C:C=""Excluded"")"),"Malaria morbidity")</f>
        <v>Malaria morbidity</v>
      </c>
      <c r="B200" s="354">
        <f t="shared" ref="B200:B212" si="124">index(C200:AA200,,match($A$3,$C$1:$AA$1,0))</f>
        <v>0.09</v>
      </c>
      <c r="C200" s="110">
        <f t="array" ref="C200">iferror(if(isblank(A200),"",index(InclusionExclusion!$L:L,match(1,(InclusionExclusion!B:B=A200)*(InclusionExclusion!A:A="AMF"),0))),"Not specified")</f>
        <v>0.09</v>
      </c>
      <c r="D200" s="365">
        <f t="shared" ref="D200:L200" si="123">$C200</f>
        <v>0.09</v>
      </c>
      <c r="E200" s="365">
        <f t="shared" si="123"/>
        <v>0.09</v>
      </c>
      <c r="F200" s="365">
        <f t="shared" si="123"/>
        <v>0.09</v>
      </c>
      <c r="G200" s="365">
        <f t="shared" si="123"/>
        <v>0.09</v>
      </c>
      <c r="H200" s="365">
        <f t="shared" si="123"/>
        <v>0.09</v>
      </c>
      <c r="I200" s="365">
        <f t="shared" si="123"/>
        <v>0.09</v>
      </c>
      <c r="J200" s="365">
        <f t="shared" si="123"/>
        <v>0.09</v>
      </c>
      <c r="K200" s="365">
        <f t="shared" si="123"/>
        <v>0.09</v>
      </c>
      <c r="L200" s="365">
        <f t="shared" si="123"/>
        <v>0.09</v>
      </c>
    </row>
    <row r="201" outlineLevel="1">
      <c r="A201" s="109" t="str">
        <f>IFERROR(__xludf.DUMMYFUNCTION("""COMPUTED_VALUE"""),"Short-term anemia effects")</f>
        <v>Short-term anemia effects</v>
      </c>
      <c r="B201" s="354">
        <f t="shared" si="124"/>
        <v>0.09</v>
      </c>
      <c r="C201" s="110">
        <f t="array" ref="C201">iferror(if(isblank(A201),"",index(InclusionExclusion!$L:L,match(1,(InclusionExclusion!B:B=A201)*(InclusionExclusion!A:A="AMF"),0))),"Not specified")</f>
        <v>0.09</v>
      </c>
      <c r="D201" s="365">
        <f t="shared" ref="D201:L201" si="125">$C201</f>
        <v>0.09</v>
      </c>
      <c r="E201" s="365">
        <f t="shared" si="125"/>
        <v>0.09</v>
      </c>
      <c r="F201" s="365">
        <f t="shared" si="125"/>
        <v>0.09</v>
      </c>
      <c r="G201" s="365">
        <f t="shared" si="125"/>
        <v>0.09</v>
      </c>
      <c r="H201" s="365">
        <f t="shared" si="125"/>
        <v>0.09</v>
      </c>
      <c r="I201" s="365">
        <f t="shared" si="125"/>
        <v>0.09</v>
      </c>
      <c r="J201" s="365">
        <f t="shared" si="125"/>
        <v>0.09</v>
      </c>
      <c r="K201" s="365">
        <f t="shared" si="125"/>
        <v>0.09</v>
      </c>
      <c r="L201" s="365">
        <f t="shared" si="125"/>
        <v>0.09</v>
      </c>
    </row>
    <row r="202" outlineLevel="1">
      <c r="A202" s="35" t="str">
        <f>IFERROR(__xludf.DUMMYFUNCTION("""COMPUTED_VALUE"""),"Prevention of diseases other than malaria (e.g. dengue, yellow fever, zika, encephalitis)")</f>
        <v>Prevention of diseases other than malaria (e.g. dengue, yellow fever, zika, encephalitis)</v>
      </c>
      <c r="B202" s="354">
        <f t="shared" si="124"/>
        <v>0.02</v>
      </c>
      <c r="C202" s="110">
        <f t="array" ref="C202">iferror(if(isblank(A202),"",index(InclusionExclusion!$L:L,match(1,(InclusionExclusion!B:B=A202)*(InclusionExclusion!A:A="AMF"),0))),"Not specified")</f>
        <v>0.02</v>
      </c>
      <c r="D202" s="365">
        <f t="shared" ref="D202:L202" si="126">$C202</f>
        <v>0.02</v>
      </c>
      <c r="E202" s="365">
        <f t="shared" si="126"/>
        <v>0.02</v>
      </c>
      <c r="F202" s="365">
        <f t="shared" si="126"/>
        <v>0.02</v>
      </c>
      <c r="G202" s="365">
        <f t="shared" si="126"/>
        <v>0.02</v>
      </c>
      <c r="H202" s="365">
        <f t="shared" si="126"/>
        <v>0.02</v>
      </c>
      <c r="I202" s="365">
        <f t="shared" si="126"/>
        <v>0.02</v>
      </c>
      <c r="J202" s="365">
        <f t="shared" si="126"/>
        <v>0.02</v>
      </c>
      <c r="K202" s="365">
        <f t="shared" si="126"/>
        <v>0.02</v>
      </c>
      <c r="L202" s="365">
        <f t="shared" si="126"/>
        <v>0.02</v>
      </c>
    </row>
    <row r="203" outlineLevel="1">
      <c r="A203" s="35" t="str">
        <f>IFERROR(__xludf.DUMMYFUNCTION("""COMPUTED_VALUE"""),"Prevention of stillbirths")</f>
        <v>Prevention of stillbirths</v>
      </c>
      <c r="B203" s="354">
        <f t="shared" si="124"/>
        <v>0.09</v>
      </c>
      <c r="C203" s="110">
        <f t="array" ref="C203">iferror(if(isblank(A203),"",index(InclusionExclusion!$L:L,match(1,(InclusionExclusion!B:B=A203)*(InclusionExclusion!A:A="AMF"),0))),"Not specified")</f>
        <v>0.09</v>
      </c>
      <c r="D203" s="365">
        <f t="shared" ref="D203:L203" si="127">$C203</f>
        <v>0.09</v>
      </c>
      <c r="E203" s="365">
        <f t="shared" si="127"/>
        <v>0.09</v>
      </c>
      <c r="F203" s="365">
        <f t="shared" si="127"/>
        <v>0.09</v>
      </c>
      <c r="G203" s="365">
        <f t="shared" si="127"/>
        <v>0.09</v>
      </c>
      <c r="H203" s="365">
        <f t="shared" si="127"/>
        <v>0.09</v>
      </c>
      <c r="I203" s="365">
        <f t="shared" si="127"/>
        <v>0.09</v>
      </c>
      <c r="J203" s="365">
        <f t="shared" si="127"/>
        <v>0.09</v>
      </c>
      <c r="K203" s="365">
        <f t="shared" si="127"/>
        <v>0.09</v>
      </c>
      <c r="L203" s="365">
        <f t="shared" si="127"/>
        <v>0.09</v>
      </c>
    </row>
    <row r="204" outlineLevel="1">
      <c r="A204" s="109" t="str">
        <f>IFERROR(__xludf.DUMMYFUNCTION("""COMPUTED_VALUE"""),"Investment of income increases")</f>
        <v>Investment of income increases</v>
      </c>
      <c r="B204" s="354">
        <f t="shared" si="124"/>
        <v>0.025</v>
      </c>
      <c r="C204" s="110">
        <f t="array" ref="C204">iferror(if(isblank(A204),"",index(InclusionExclusion!$L:L,match(1,(InclusionExclusion!B:B=A204)*(InclusionExclusion!A:A="AMF"),0))),"Not specified")</f>
        <v>0.025</v>
      </c>
      <c r="D204" s="365">
        <f t="shared" ref="D204:L204" si="128">$C204</f>
        <v>0.025</v>
      </c>
      <c r="E204" s="365">
        <f t="shared" si="128"/>
        <v>0.025</v>
      </c>
      <c r="F204" s="365">
        <f t="shared" si="128"/>
        <v>0.025</v>
      </c>
      <c r="G204" s="365">
        <f t="shared" si="128"/>
        <v>0.025</v>
      </c>
      <c r="H204" s="365">
        <f t="shared" si="128"/>
        <v>0.025</v>
      </c>
      <c r="I204" s="365">
        <f t="shared" si="128"/>
        <v>0.025</v>
      </c>
      <c r="J204" s="365">
        <f t="shared" si="128"/>
        <v>0.025</v>
      </c>
      <c r="K204" s="365">
        <f t="shared" si="128"/>
        <v>0.025</v>
      </c>
      <c r="L204" s="365">
        <f t="shared" si="128"/>
        <v>0.025</v>
      </c>
    </row>
    <row r="205" outlineLevel="1">
      <c r="A205" s="109" t="str">
        <f>IFERROR(__xludf.DUMMYFUNCTION("""COMPUTED_VALUE"""),"Rebound effects / decreased immunity development")</f>
        <v>Rebound effects / decreased immunity development</v>
      </c>
      <c r="B205" s="354">
        <f t="shared" si="124"/>
        <v>-0.04</v>
      </c>
      <c r="C205" s="110">
        <f t="array" ref="C205">iferror(if(isblank(A205),"",index(InclusionExclusion!$L:L,match(1,(InclusionExclusion!B:B=A205)*(InclusionExclusion!A:A="AMF"),0))),"Not specified")</f>
        <v>-0.04</v>
      </c>
      <c r="D205" s="365">
        <f t="shared" ref="D205:L205" si="129">$C205</f>
        <v>-0.04</v>
      </c>
      <c r="E205" s="365">
        <f t="shared" si="129"/>
        <v>-0.04</v>
      </c>
      <c r="F205" s="365">
        <f t="shared" si="129"/>
        <v>-0.04</v>
      </c>
      <c r="G205" s="365">
        <f t="shared" si="129"/>
        <v>-0.04</v>
      </c>
      <c r="H205" s="365">
        <f t="shared" si="129"/>
        <v>-0.04</v>
      </c>
      <c r="I205" s="365">
        <f t="shared" si="129"/>
        <v>-0.04</v>
      </c>
      <c r="J205" s="365">
        <f t="shared" si="129"/>
        <v>-0.04</v>
      </c>
      <c r="K205" s="365">
        <f t="shared" si="129"/>
        <v>-0.04</v>
      </c>
      <c r="L205" s="365">
        <f t="shared" si="129"/>
        <v>-0.04</v>
      </c>
    </row>
    <row r="206" outlineLevel="1">
      <c r="A206" s="109" t="str">
        <f>IFERROR(__xludf.DUMMYFUNCTION("""COMPUTED_VALUE"""),"Effect on fertility")</f>
        <v>Effect on fertility</v>
      </c>
      <c r="B206" s="354" t="str">
        <f t="shared" si="124"/>
        <v>Not specified</v>
      </c>
      <c r="C206" s="110" t="str">
        <f t="array" ref="C206">iferror(if(isblank(A206),"",index(InclusionExclusion!$L:L,match(1,(InclusionExclusion!B:B=A206)*(InclusionExclusion!A:A="AMF"),0))),"Not specified")</f>
        <v>Not specified</v>
      </c>
      <c r="D206" s="365" t="str">
        <f t="shared" ref="D206:L206" si="130">$C206</f>
        <v>Not specified</v>
      </c>
      <c r="E206" s="365" t="str">
        <f t="shared" si="130"/>
        <v>Not specified</v>
      </c>
      <c r="F206" s="365" t="str">
        <f t="shared" si="130"/>
        <v>Not specified</v>
      </c>
      <c r="G206" s="365" t="str">
        <f t="shared" si="130"/>
        <v>Not specified</v>
      </c>
      <c r="H206" s="365" t="str">
        <f t="shared" si="130"/>
        <v>Not specified</v>
      </c>
      <c r="I206" s="365" t="str">
        <f t="shared" si="130"/>
        <v>Not specified</v>
      </c>
      <c r="J206" s="365" t="str">
        <f t="shared" si="130"/>
        <v>Not specified</v>
      </c>
      <c r="K206" s="365" t="str">
        <f t="shared" si="130"/>
        <v>Not specified</v>
      </c>
      <c r="L206" s="365" t="str">
        <f t="shared" si="130"/>
        <v>Not specified</v>
      </c>
    </row>
    <row r="207" outlineLevel="1">
      <c r="A207" s="109" t="str">
        <f>IFERROR(__xludf.DUMMYFUNCTION("""COMPUTED_VALUE"""),"Treatment costs averted from prevention")</f>
        <v>Treatment costs averted from prevention</v>
      </c>
      <c r="B207" s="354">
        <f t="shared" si="124"/>
        <v>0.06</v>
      </c>
      <c r="C207" s="110">
        <f t="array" ref="C207">iferror(if(isblank(A207),"",index(InclusionExclusion!$L:L,match(1,(InclusionExclusion!B:B=A207)*(InclusionExclusion!A:A="AMF"),0))),"Not specified")</f>
        <v>0.06</v>
      </c>
      <c r="D207" s="365">
        <f t="shared" ref="D207:L207" si="131">$C207</f>
        <v>0.06</v>
      </c>
      <c r="E207" s="365">
        <f t="shared" si="131"/>
        <v>0.06</v>
      </c>
      <c r="F207" s="365">
        <f t="shared" si="131"/>
        <v>0.06</v>
      </c>
      <c r="G207" s="365">
        <f t="shared" si="131"/>
        <v>0.06</v>
      </c>
      <c r="H207" s="365">
        <f t="shared" si="131"/>
        <v>0.06</v>
      </c>
      <c r="I207" s="365">
        <f t="shared" si="131"/>
        <v>0.06</v>
      </c>
      <c r="J207" s="365">
        <f t="shared" si="131"/>
        <v>0.06</v>
      </c>
      <c r="K207" s="365">
        <f t="shared" si="131"/>
        <v>0.06</v>
      </c>
      <c r="L207" s="365">
        <f t="shared" si="131"/>
        <v>0.06</v>
      </c>
    </row>
    <row r="208" outlineLevel="1">
      <c r="A208" s="200" t="str">
        <f>IFERROR(__xludf.DUMMYFUNCTION("""COMPUTED_VALUE"""),"Subnational adjustments")</f>
        <v>Subnational adjustments</v>
      </c>
      <c r="B208" s="354">
        <f t="shared" si="124"/>
        <v>0.024</v>
      </c>
      <c r="C208" s="110">
        <f t="array" ref="C208">iferror(if(isblank(A208),"",index(InclusionExclusion!$L:L,match(1,(InclusionExclusion!B:B=A208)*(InclusionExclusion!A:A="AMF"),0))),"Not specified")</f>
        <v>0.024</v>
      </c>
      <c r="D208" s="365">
        <f t="shared" ref="D208:L208" si="132">$C208</f>
        <v>0.024</v>
      </c>
      <c r="E208" s="365">
        <f t="shared" si="132"/>
        <v>0.024</v>
      </c>
      <c r="F208" s="365">
        <f t="shared" si="132"/>
        <v>0.024</v>
      </c>
      <c r="G208" s="365">
        <f t="shared" si="132"/>
        <v>0.024</v>
      </c>
      <c r="H208" s="365">
        <f t="shared" si="132"/>
        <v>0.024</v>
      </c>
      <c r="I208" s="365">
        <f t="shared" si="132"/>
        <v>0.024</v>
      </c>
      <c r="J208" s="365">
        <f t="shared" si="132"/>
        <v>0.024</v>
      </c>
      <c r="K208" s="365">
        <f t="shared" si="132"/>
        <v>0.024</v>
      </c>
      <c r="L208" s="365">
        <f t="shared" si="132"/>
        <v>0.024</v>
      </c>
    </row>
    <row r="209" outlineLevel="1">
      <c r="A209" s="200" t="str">
        <f>IFERROR(__xludf.DUMMYFUNCTION("""COMPUTED_VALUE"""),"Marginal funding goes to lower priority areas")</f>
        <v>Marginal funding goes to lower priority areas</v>
      </c>
      <c r="B209" s="354">
        <f t="shared" si="124"/>
        <v>-0.15</v>
      </c>
      <c r="C209" s="110">
        <f t="array" ref="C209">iferror(if(isblank(A209),"",index(InclusionExclusion!$L:L,match(1,(InclusionExclusion!B:B=A209)*(InclusionExclusion!A:A="AMF"),0))),"Not specified")</f>
        <v>-0.15</v>
      </c>
      <c r="D209" s="365">
        <f t="shared" ref="D209:L209" si="133">$C209</f>
        <v>-0.15</v>
      </c>
      <c r="E209" s="365">
        <f t="shared" si="133"/>
        <v>-0.15</v>
      </c>
      <c r="F209" s="365">
        <f t="shared" si="133"/>
        <v>-0.15</v>
      </c>
      <c r="G209" s="365">
        <f t="shared" si="133"/>
        <v>-0.15</v>
      </c>
      <c r="H209" s="365">
        <f t="shared" si="133"/>
        <v>-0.15</v>
      </c>
      <c r="I209" s="365">
        <f t="shared" si="133"/>
        <v>-0.15</v>
      </c>
      <c r="J209" s="365">
        <f t="shared" si="133"/>
        <v>-0.15</v>
      </c>
      <c r="K209" s="365">
        <f t="shared" si="133"/>
        <v>-0.15</v>
      </c>
      <c r="L209" s="365">
        <f t="shared" si="133"/>
        <v>-0.15</v>
      </c>
    </row>
    <row r="210" outlineLevel="1">
      <c r="A210" s="200" t="str">
        <f>IFERROR(__xludf.DUMMYFUNCTION("""COMPUTED_VALUE"""),"Mosquito insecticide resistance in trials underlying our estimates")</f>
        <v>Mosquito insecticide resistance in trials underlying our estimates</v>
      </c>
      <c r="B210" s="354">
        <f t="shared" si="124"/>
        <v>0.05</v>
      </c>
      <c r="C210" s="110">
        <f t="array" ref="C210">iferror(if(isblank(A210),"",index(InclusionExclusion!$L:L,match(1,(InclusionExclusion!B:B=A210)*(InclusionExclusion!A:A="AMF"),0))),"Not specified")</f>
        <v>0.05</v>
      </c>
      <c r="D210" s="365">
        <f t="shared" ref="D210:L210" si="134">$C210</f>
        <v>0.05</v>
      </c>
      <c r="E210" s="365">
        <f t="shared" si="134"/>
        <v>0.05</v>
      </c>
      <c r="F210" s="365">
        <f t="shared" si="134"/>
        <v>0.05</v>
      </c>
      <c r="G210" s="365">
        <f t="shared" si="134"/>
        <v>0.05</v>
      </c>
      <c r="H210" s="365">
        <f t="shared" si="134"/>
        <v>0.05</v>
      </c>
      <c r="I210" s="365">
        <f t="shared" si="134"/>
        <v>0.05</v>
      </c>
      <c r="J210" s="365">
        <f t="shared" si="134"/>
        <v>0.05</v>
      </c>
      <c r="K210" s="365">
        <f t="shared" si="134"/>
        <v>0.05</v>
      </c>
      <c r="L210" s="365">
        <f t="shared" si="134"/>
        <v>0.05</v>
      </c>
    </row>
    <row r="211" outlineLevel="1">
      <c r="A211" s="200" t="str">
        <f>IFERROR(__xludf.DUMMYFUNCTION("""COMPUTED_VALUE"""),"Differences in net types")</f>
        <v>Differences in net types</v>
      </c>
      <c r="B211" s="354">
        <f t="shared" si="124"/>
        <v>0.02</v>
      </c>
      <c r="C211" s="110">
        <f t="array" ref="C211">iferror(if(isblank(A211),"",index(InclusionExclusion!$L:L,match(1,(InclusionExclusion!B:B=A211)*(InclusionExclusion!A:A="AMF"),0))),"Not specified")</f>
        <v>0.02</v>
      </c>
      <c r="D211" s="365">
        <f t="shared" ref="D211:L211" si="135">$C211</f>
        <v>0.02</v>
      </c>
      <c r="E211" s="365">
        <f t="shared" si="135"/>
        <v>0.02</v>
      </c>
      <c r="F211" s="365">
        <f t="shared" si="135"/>
        <v>0.02</v>
      </c>
      <c r="G211" s="365">
        <f t="shared" si="135"/>
        <v>0.02</v>
      </c>
      <c r="H211" s="365">
        <f t="shared" si="135"/>
        <v>0.02</v>
      </c>
      <c r="I211" s="365">
        <f t="shared" si="135"/>
        <v>0.02</v>
      </c>
      <c r="J211" s="365">
        <f t="shared" si="135"/>
        <v>0.02</v>
      </c>
      <c r="K211" s="365">
        <f t="shared" si="135"/>
        <v>0.02</v>
      </c>
      <c r="L211" s="365">
        <f t="shared" si="135"/>
        <v>0.02</v>
      </c>
    </row>
    <row r="212" outlineLevel="1">
      <c r="A212" s="200" t="str">
        <f>IFERROR(__xludf.DUMMYFUNCTION("""COMPUTED_VALUE"""),"Differences in mosquito species")</f>
        <v>Differences in mosquito species</v>
      </c>
      <c r="B212" s="354">
        <f t="shared" si="124"/>
        <v>-0.02</v>
      </c>
      <c r="C212" s="110">
        <f t="array" ref="C212">iferror(if(isblank(A212),"",index(InclusionExclusion!$L:L,match(1,(InclusionExclusion!B:B=A212)*(InclusionExclusion!A:A="AMF"),0))),"Not specified")</f>
        <v>-0.02</v>
      </c>
      <c r="D212" s="365">
        <f t="shared" ref="D212:L212" si="136">$C212</f>
        <v>-0.02</v>
      </c>
      <c r="E212" s="365">
        <f t="shared" si="136"/>
        <v>-0.02</v>
      </c>
      <c r="F212" s="365">
        <f t="shared" si="136"/>
        <v>-0.02</v>
      </c>
      <c r="G212" s="365">
        <f t="shared" si="136"/>
        <v>-0.02</v>
      </c>
      <c r="H212" s="365">
        <f t="shared" si="136"/>
        <v>-0.02</v>
      </c>
      <c r="I212" s="365">
        <f t="shared" si="136"/>
        <v>-0.02</v>
      </c>
      <c r="J212" s="365">
        <f t="shared" si="136"/>
        <v>-0.02</v>
      </c>
      <c r="K212" s="365">
        <f t="shared" si="136"/>
        <v>-0.02</v>
      </c>
      <c r="L212" s="365">
        <f t="shared" si="136"/>
        <v>-0.02</v>
      </c>
    </row>
    <row r="213" outlineLevel="1">
      <c r="A213" s="167"/>
      <c r="B213" s="363"/>
      <c r="C213" s="364"/>
      <c r="D213" s="365" t="str">
        <f t="shared" ref="D213:L213" si="137">$C213</f>
        <v/>
      </c>
      <c r="E213" s="365" t="str">
        <f t="shared" si="137"/>
        <v/>
      </c>
      <c r="F213" s="365" t="str">
        <f t="shared" si="137"/>
        <v/>
      </c>
      <c r="G213" s="365" t="str">
        <f t="shared" si="137"/>
        <v/>
      </c>
      <c r="H213" s="365" t="str">
        <f t="shared" si="137"/>
        <v/>
      </c>
      <c r="I213" s="365" t="str">
        <f t="shared" si="137"/>
        <v/>
      </c>
      <c r="J213" s="365" t="str">
        <f t="shared" si="137"/>
        <v/>
      </c>
      <c r="K213" s="365" t="str">
        <f t="shared" si="137"/>
        <v/>
      </c>
      <c r="L213" s="365" t="str">
        <f t="shared" si="137"/>
        <v/>
      </c>
    </row>
    <row r="214" outlineLevel="1">
      <c r="A214" s="366" t="s">
        <v>276</v>
      </c>
      <c r="B214" s="355">
        <f t="shared" ref="B214:B215" si="139">index(C214:AA214,,match($A$3,$C$1:$AA$1,0))</f>
        <v>1.259</v>
      </c>
      <c r="C214" s="361">
        <f t="shared" ref="C214:L214" si="138">1+sum(C198:C212)</f>
        <v>1.259</v>
      </c>
      <c r="D214" s="361">
        <f t="shared" si="138"/>
        <v>1.259</v>
      </c>
      <c r="E214" s="361">
        <f t="shared" si="138"/>
        <v>1.259</v>
      </c>
      <c r="F214" s="361">
        <f t="shared" si="138"/>
        <v>1.259</v>
      </c>
      <c r="G214" s="361">
        <f t="shared" si="138"/>
        <v>1.259</v>
      </c>
      <c r="H214" s="361">
        <f t="shared" si="138"/>
        <v>1.259</v>
      </c>
      <c r="I214" s="361">
        <f t="shared" si="138"/>
        <v>1.259</v>
      </c>
      <c r="J214" s="361">
        <f t="shared" si="138"/>
        <v>1.259</v>
      </c>
      <c r="K214" s="361">
        <f t="shared" si="138"/>
        <v>1.259</v>
      </c>
      <c r="L214" s="361">
        <f t="shared" si="138"/>
        <v>1.259</v>
      </c>
    </row>
    <row r="215" outlineLevel="1">
      <c r="A215" s="367" t="s">
        <v>277</v>
      </c>
      <c r="B215" s="363" t="str">
        <f t="shared" si="139"/>
        <v>OK</v>
      </c>
      <c r="C215" s="368" t="str">
        <f t="array" ref="C215">if(C214=index(InclusionExclusion!$L:$L,match("AMF adjustment factor",InclusionExclusion!$J:$J,0)),"OK","Error")</f>
        <v>OK</v>
      </c>
      <c r="D215" s="368" t="str">
        <f t="array" ref="D215">if(D214=index(InclusionExclusion!$L:$L,match("AMF adjustment factor",InclusionExclusion!$J:$J,0)),"OK","Error")</f>
        <v>OK</v>
      </c>
      <c r="E215" s="368" t="str">
        <f t="array" ref="E215">if(E214=index(InclusionExclusion!$L:$L,match("AMF adjustment factor",InclusionExclusion!$J:$J,0)),"OK","Error")</f>
        <v>OK</v>
      </c>
      <c r="F215" s="368" t="str">
        <f t="array" ref="F215">if(F214=index(InclusionExclusion!$L:$L,match("AMF adjustment factor",InclusionExclusion!$J:$J,0)),"OK","Error")</f>
        <v>OK</v>
      </c>
      <c r="G215" s="368" t="str">
        <f t="array" ref="G215">if(G214=index(InclusionExclusion!$L:$L,match("AMF adjustment factor",InclusionExclusion!$J:$J,0)),"OK","Error")</f>
        <v>OK</v>
      </c>
      <c r="H215" s="368" t="str">
        <f t="array" ref="H215">if(H214=index(InclusionExclusion!$L:$L,match("AMF adjustment factor",InclusionExclusion!$J:$J,0)),"OK","Error")</f>
        <v>OK</v>
      </c>
      <c r="I215" s="368" t="str">
        <f t="array" ref="I215">if(I214=index(InclusionExclusion!$L:$L,match("AMF adjustment factor",InclusionExclusion!$J:$J,0)),"OK","Error")</f>
        <v>OK</v>
      </c>
      <c r="J215" s="368" t="str">
        <f t="array" ref="J215">if(J214=index(InclusionExclusion!$L:$L,match("AMF adjustment factor",InclusionExclusion!$J:$J,0)),"OK","Error")</f>
        <v>OK</v>
      </c>
      <c r="K215" s="368" t="str">
        <f t="array" ref="K215">if(K214=index(InclusionExclusion!$L:$L,match("AMF adjustment factor",InclusionExclusion!$J:$J,0)),"OK","Error")</f>
        <v>OK</v>
      </c>
      <c r="L215" s="368" t="str">
        <f t="array" ref="L215">if(L214=index(InclusionExclusion!$L:$L,match("AMF adjustment factor",InclusionExclusion!$J:$J,0)),"OK","Error")</f>
        <v>OK</v>
      </c>
    </row>
    <row r="216" outlineLevel="1">
      <c r="A216" s="167"/>
      <c r="B216" s="363"/>
      <c r="C216" s="364"/>
      <c r="D216" s="364"/>
      <c r="E216" s="364"/>
      <c r="F216" s="364"/>
      <c r="G216" s="364"/>
      <c r="H216" s="364"/>
      <c r="I216" s="364"/>
      <c r="J216" s="364"/>
      <c r="K216" s="364"/>
      <c r="L216" s="364"/>
    </row>
    <row r="217">
      <c r="A217" s="167"/>
      <c r="B217" s="363"/>
      <c r="C217" s="364"/>
      <c r="D217" s="364"/>
      <c r="E217" s="364"/>
      <c r="F217" s="364"/>
      <c r="G217" s="364"/>
      <c r="H217" s="364"/>
      <c r="I217" s="364"/>
      <c r="J217" s="364"/>
      <c r="K217" s="364"/>
      <c r="L217" s="364"/>
    </row>
    <row r="218">
      <c r="A218" s="350" t="s">
        <v>278</v>
      </c>
      <c r="B218" s="351"/>
      <c r="C218" s="350"/>
      <c r="D218" s="350"/>
      <c r="E218" s="350"/>
      <c r="F218" s="350"/>
      <c r="G218" s="350"/>
      <c r="H218" s="350"/>
      <c r="I218" s="350"/>
      <c r="J218" s="350"/>
      <c r="K218" s="350"/>
      <c r="L218" s="350"/>
    </row>
    <row r="219">
      <c r="A219" s="167" t="s">
        <v>279</v>
      </c>
      <c r="B219" s="363">
        <f t="array" ref="B219">index(C219:AA219,,match($A$3,$C$1:$AA$1,0))</f>
        <v>5960.959288</v>
      </c>
      <c r="C219" s="364">
        <f t="shared" ref="C219:L219" si="140">C155*C214*C191</f>
        <v>5960.959288</v>
      </c>
      <c r="D219" s="364">
        <f t="shared" si="140"/>
        <v>7062.437883</v>
      </c>
      <c r="E219" s="364">
        <f t="shared" si="140"/>
        <v>4756.484668</v>
      </c>
      <c r="F219" s="364">
        <f t="shared" si="140"/>
        <v>5495.740789</v>
      </c>
      <c r="G219" s="364">
        <f t="shared" si="140"/>
        <v>3243.944013</v>
      </c>
      <c r="H219" s="364">
        <f t="shared" si="140"/>
        <v>1166.621146</v>
      </c>
      <c r="I219" s="364">
        <f t="shared" si="140"/>
        <v>6765.467226</v>
      </c>
      <c r="J219" s="364">
        <f t="shared" si="140"/>
        <v>5028.072783</v>
      </c>
      <c r="K219" s="364">
        <f t="shared" si="140"/>
        <v>2500.78017</v>
      </c>
      <c r="L219" s="364">
        <f t="shared" si="140"/>
        <v>5661.039277</v>
      </c>
    </row>
    <row r="220">
      <c r="A220" s="369"/>
      <c r="B220" s="370"/>
      <c r="C220" s="371"/>
      <c r="D220" s="371"/>
      <c r="E220" s="371"/>
      <c r="F220" s="371"/>
      <c r="G220" s="371"/>
      <c r="H220" s="371"/>
      <c r="I220" s="371"/>
      <c r="J220" s="371"/>
      <c r="K220" s="371"/>
      <c r="L220" s="371"/>
    </row>
    <row r="221">
      <c r="A221" s="369" t="s">
        <v>280</v>
      </c>
      <c r="B221" s="370">
        <f t="array" ref="B221">index(C221:AA221,,match($A$3,$C$1:$AA$1,0))</f>
        <v>17.32712999</v>
      </c>
      <c r="C221" s="371">
        <f t="array" ref="C221">C219/index(Cash!$B:$B,match("Total units of value generated with hypothetical donation ($100,000)",Cash!$A:$A,0))</f>
        <v>17.32712999</v>
      </c>
      <c r="D221" s="371">
        <f t="array" ref="D221">D219/index(Cash!$B:$B,match("Total units of value generated with hypothetical donation ($100,000)",Cash!$A:$A,0))</f>
        <v>20.52887351</v>
      </c>
      <c r="E221" s="371">
        <f t="array" ref="E221">E219/index(Cash!$B:$B,match("Total units of value generated with hypothetical donation ($100,000)",Cash!$A:$A,0))</f>
        <v>13.82600084</v>
      </c>
      <c r="F221" s="371">
        <f t="array" ref="F221">F219/index(Cash!$B:$B,match("Total units of value generated with hypothetical donation ($100,000)",Cash!$A:$A,0))</f>
        <v>15.97484741</v>
      </c>
      <c r="G221" s="371">
        <f t="array" ref="G221">G219/index(Cash!$B:$B,match("Total units of value generated with hypothetical donation ($100,000)",Cash!$A:$A,0))</f>
        <v>9.42939498</v>
      </c>
      <c r="H221" s="371">
        <f t="array" ref="H221">H219/index(Cash!$B:$B,match("Total units of value generated with hypothetical donation ($100,000)",Cash!$A:$A,0))</f>
        <v>3.391097854</v>
      </c>
      <c r="I221" s="371">
        <f t="array" ref="I221">I219/index(Cash!$B:$B,match("Total units of value generated with hypothetical donation ($100,000)",Cash!$A:$A,0))</f>
        <v>19.6656485</v>
      </c>
      <c r="J221" s="371">
        <f t="array" ref="J221">J219/index(Cash!$B:$B,match("Total units of value generated with hypothetical donation ($100,000)",Cash!$A:$A,0))</f>
        <v>14.61544468</v>
      </c>
      <c r="K221" s="371">
        <f t="array" ref="K221">K219/index(Cash!$B:$B,match("Total units of value generated with hypothetical donation ($100,000)",Cash!$A:$A,0))</f>
        <v>7.26918957</v>
      </c>
      <c r="L221" s="371">
        <f t="array" ref="L221">L219/index(Cash!$B:$B,match("Total units of value generated with hypothetical donation ($100,000)",Cash!$A:$A,0))</f>
        <v>16.45533188</v>
      </c>
    </row>
    <row r="222">
      <c r="A222" s="167"/>
      <c r="B222" s="363"/>
      <c r="C222" s="364"/>
      <c r="D222" s="364"/>
      <c r="E222" s="364"/>
      <c r="F222" s="364"/>
      <c r="G222" s="364"/>
      <c r="H222" s="364"/>
      <c r="I222" s="364"/>
      <c r="J222" s="364"/>
      <c r="K222" s="364"/>
      <c r="L222" s="36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96.14"/>
    <col customWidth="1" min="2" max="2" width="17.29"/>
  </cols>
  <sheetData>
    <row r="1" ht="13.5" customHeight="1">
      <c r="A1" s="372" t="s">
        <v>281</v>
      </c>
      <c r="B1" s="373" t="s">
        <v>39</v>
      </c>
    </row>
    <row r="2" ht="13.5" customHeight="1">
      <c r="A2" s="374"/>
      <c r="B2" s="375"/>
    </row>
    <row r="3" ht="13.5" customHeight="1">
      <c r="A3" s="376" t="s">
        <v>282</v>
      </c>
      <c r="B3" s="375"/>
    </row>
    <row r="4" ht="13.5" customHeight="1">
      <c r="A4" s="374" t="s">
        <v>153</v>
      </c>
      <c r="B4" s="375">
        <v>100000.0</v>
      </c>
    </row>
    <row r="5" ht="13.5" customHeight="1">
      <c r="A5" s="377" t="s">
        <v>283</v>
      </c>
      <c r="B5" s="378">
        <v>0.83</v>
      </c>
    </row>
    <row r="6" ht="13.5" customHeight="1">
      <c r="A6" s="374" t="s">
        <v>284</v>
      </c>
      <c r="B6" s="379">
        <f>B4*B5</f>
        <v>83000</v>
      </c>
    </row>
    <row r="7" ht="13.5" customHeight="1">
      <c r="A7" s="374" t="s">
        <v>285</v>
      </c>
      <c r="B7" s="380">
        <v>1000.0</v>
      </c>
    </row>
    <row r="8" ht="13.5" customHeight="1">
      <c r="A8" s="381" t="s">
        <v>286</v>
      </c>
      <c r="B8" s="382">
        <v>4.7</v>
      </c>
    </row>
    <row r="9" ht="13.5" customHeight="1">
      <c r="A9" s="377" t="s">
        <v>287</v>
      </c>
      <c r="B9" s="383">
        <f>B7/B8</f>
        <v>212.7659574</v>
      </c>
    </row>
    <row r="10" ht="13.5" customHeight="1">
      <c r="A10" s="377"/>
      <c r="B10" s="384"/>
    </row>
    <row r="11" ht="13.5" customHeight="1">
      <c r="A11" s="385" t="s">
        <v>288</v>
      </c>
      <c r="B11" s="384"/>
    </row>
    <row r="12" ht="13.5" customHeight="1">
      <c r="A12" s="377" t="s">
        <v>63</v>
      </c>
      <c r="B12" s="384">
        <f t="array" ref="B12">index('User inputs'!$A$1:$ZZ$17,match($A12,'User inputs'!$A$1:$A$17,0),match(B$1,'User inputs'!$A$1:$ZZ$1,0))</f>
        <v>0.39</v>
      </c>
    </row>
    <row r="13" ht="13.5" customHeight="1">
      <c r="A13" s="386" t="s">
        <v>289</v>
      </c>
      <c r="B13" s="387">
        <f>B9*B12</f>
        <v>82.9787234</v>
      </c>
    </row>
    <row r="14" ht="13.5" customHeight="1">
      <c r="A14" s="386" t="s">
        <v>290</v>
      </c>
      <c r="B14" s="387">
        <f>(1-B12)*B9</f>
        <v>129.787234</v>
      </c>
    </row>
    <row r="15">
      <c r="A15" s="377" t="s">
        <v>64</v>
      </c>
      <c r="B15" s="384">
        <f t="array" ref="B15">index('User inputs'!$A$1:$ZZ$17,match($A15,'User inputs'!$A$1:$A$17,0),match(B$1,'User inputs'!$A$1:$ZZ$1,0))</f>
        <v>0.1</v>
      </c>
    </row>
    <row r="16" ht="1.5" customHeight="1">
      <c r="A16" s="388" t="s">
        <v>291</v>
      </c>
      <c r="B16" s="389">
        <f>B13*B15</f>
        <v>8.29787234</v>
      </c>
    </row>
    <row r="17">
      <c r="A17" s="377"/>
      <c r="B17" s="390"/>
    </row>
    <row r="18">
      <c r="A18" s="385" t="s">
        <v>292</v>
      </c>
      <c r="B18" s="390"/>
    </row>
    <row r="19" ht="1.5" customHeight="1">
      <c r="A19" s="377" t="s">
        <v>293</v>
      </c>
      <c r="B19" s="390">
        <v>285.92228810603416</v>
      </c>
    </row>
    <row r="20" ht="1.5" customHeight="1">
      <c r="A20" s="388" t="s">
        <v>294</v>
      </c>
      <c r="B20" s="391">
        <f>LN(B19+B14)-LN(B19)</f>
        <v>0.3742666983</v>
      </c>
    </row>
    <row r="21" ht="1.5" customHeight="1">
      <c r="A21" s="388" t="s">
        <v>295</v>
      </c>
      <c r="B21" s="392">
        <f>LN(B19+B16)-LN(B19)</f>
        <v>0.02860827816</v>
      </c>
    </row>
    <row r="22" ht="13.5" customHeight="1">
      <c r="A22" s="393" t="s">
        <v>59</v>
      </c>
      <c r="B22" s="394">
        <f t="array" ref="B22">index('User inputs'!$A$1:$ZZ$17,match($A22,'User inputs'!$A$1:$A$17,0),match(B$1,'User inputs'!$A$1:$ZZ$1,0))</f>
        <v>0.03995</v>
      </c>
    </row>
    <row r="23" ht="1.5" customHeight="1">
      <c r="A23" s="395" t="s">
        <v>66</v>
      </c>
      <c r="B23" s="396">
        <f t="array" ref="B23">index('User inputs'!$A$1:$ZZ$17,match($A23,'User inputs'!$A$1:$A$17,0),match(B$1,'User inputs'!$A$1:$ZZ$1,0))</f>
        <v>10</v>
      </c>
    </row>
    <row r="24" ht="1.5" customHeight="1">
      <c r="A24" s="397" t="s">
        <v>296</v>
      </c>
      <c r="B24" s="392">
        <f>PV(B22,B23-1,-B21)</f>
        <v>0.2127605076</v>
      </c>
    </row>
    <row r="25" ht="7.5" customHeight="1">
      <c r="A25" s="377" t="s">
        <v>297</v>
      </c>
      <c r="B25" s="378">
        <v>0.2</v>
      </c>
    </row>
    <row r="26" ht="1.5" customHeight="1">
      <c r="A26" s="398" t="s">
        <v>298</v>
      </c>
      <c r="B26" s="399">
        <f>(LN(B19+B13*(B15+B25))-LN(B19))/(1+B22)^B23</f>
        <v>0.05642371629</v>
      </c>
    </row>
    <row r="27" ht="1.5" customHeight="1">
      <c r="A27" s="388" t="s">
        <v>299</v>
      </c>
      <c r="B27" s="391">
        <f>B26+B24</f>
        <v>0.2691842239</v>
      </c>
    </row>
    <row r="28" ht="8.25" customHeight="1">
      <c r="A28" s="377" t="s">
        <v>300</v>
      </c>
      <c r="B28" s="400">
        <f>B27+B20</f>
        <v>0.6434509222</v>
      </c>
    </row>
    <row r="29" ht="3.75" customHeight="1">
      <c r="A29" s="401" t="s">
        <v>301</v>
      </c>
      <c r="B29" s="402">
        <v>0.05</v>
      </c>
    </row>
    <row r="30" ht="3.75" customHeight="1">
      <c r="A30" s="401" t="s">
        <v>302</v>
      </c>
      <c r="B30" s="403">
        <f>(1-B29)*B28</f>
        <v>0.6112783761</v>
      </c>
    </row>
    <row r="31" ht="15.0" customHeight="1">
      <c r="A31" s="404" t="s">
        <v>303</v>
      </c>
      <c r="B31" s="405">
        <f>B30*B8</f>
        <v>2.873008368</v>
      </c>
    </row>
    <row r="32" ht="15.0" customHeight="1">
      <c r="A32" s="404"/>
      <c r="B32" s="405"/>
    </row>
    <row r="33" ht="15.0" customHeight="1">
      <c r="A33" s="404" t="s">
        <v>304</v>
      </c>
      <c r="B33" s="406">
        <f>B6/B7</f>
        <v>83</v>
      </c>
    </row>
    <row r="34" ht="15.0" customHeight="1">
      <c r="A34" s="404" t="s">
        <v>305</v>
      </c>
      <c r="B34" s="406">
        <f>B31*B33</f>
        <v>238.4596945</v>
      </c>
    </row>
    <row r="35" ht="15.0" customHeight="1">
      <c r="A35" s="407" t="s">
        <v>84</v>
      </c>
      <c r="B35" s="408">
        <f t="array" ref="B35">index('Moral weights'!$A$1:$ZG$33,match($A35,'Moral weights'!$A$1:$A$33,0),match(B$1,'Moral weights'!$A$1:$ZG1,0))</f>
        <v>1.442695041</v>
      </c>
    </row>
    <row r="36" ht="15.0" customHeight="1">
      <c r="A36" s="409"/>
      <c r="B36" s="410"/>
    </row>
    <row r="37" ht="15.0" customHeight="1">
      <c r="A37" s="404" t="s">
        <v>306</v>
      </c>
      <c r="B37" s="406">
        <f>B34*B35</f>
        <v>344.0246187</v>
      </c>
    </row>
    <row r="38" ht="15.0" customHeight="1">
      <c r="A38" s="404"/>
      <c r="B38" s="411"/>
    </row>
    <row r="39">
      <c r="A39" s="264" t="s">
        <v>307</v>
      </c>
      <c r="B39" s="266"/>
    </row>
    <row r="40">
      <c r="A40" s="412"/>
      <c r="B40" s="120"/>
    </row>
    <row r="41" ht="1.5" customHeight="1">
      <c r="A41" s="413" t="s">
        <v>117</v>
      </c>
      <c r="B41" s="414">
        <f t="array" ref="B41">iferror((index('Moral weights'!$A$1:$ZG$33,match(CONCATENATE("Value assigned to ",mid($A41, 30,1000)),'Moral weights'!$A$1:$A$33,0),match(B$1,'Moral weights'!$A$1:$ZG$1,0))/B37)*B4," ")</f>
        <v>29067.68718</v>
      </c>
    </row>
    <row r="42">
      <c r="A42" s="109"/>
      <c r="B42" s="415"/>
    </row>
    <row r="43">
      <c r="A43" s="416" t="s">
        <v>126</v>
      </c>
      <c r="B43" s="417"/>
    </row>
    <row r="44">
      <c r="A44" s="418"/>
      <c r="B44" s="133"/>
    </row>
    <row r="45">
      <c r="A45" s="109" t="s">
        <v>127</v>
      </c>
      <c r="B45" s="419">
        <f>if(B12&lt;&gt;"", iferror(B20/(B20+B27)," "), "")</f>
        <v>0.5816553919</v>
      </c>
    </row>
    <row r="46">
      <c r="A46" s="109" t="s">
        <v>128</v>
      </c>
      <c r="B46" s="419">
        <f>if(B12&lt;&gt;"", iferror(B27/(B27+B20)," "), "")</f>
        <v>0.4183446081</v>
      </c>
    </row>
    <row r="47">
      <c r="A47" s="40"/>
      <c r="B47" s="415"/>
    </row>
    <row r="48">
      <c r="A48" s="420" t="s">
        <v>308</v>
      </c>
      <c r="B48" s="421">
        <f t="array" ref="B48">B37/index(Cash!B:B,match("Total units of value generated with hypothetical donation ($100,000)",Cash!A:A,0))</f>
        <v>1</v>
      </c>
    </row>
    <row r="49">
      <c r="A49" s="40"/>
      <c r="B49" s="415"/>
    </row>
    <row r="50">
      <c r="A50" s="264" t="s">
        <v>309</v>
      </c>
      <c r="B50" s="422"/>
    </row>
    <row r="51" outlineLevel="1">
      <c r="A51" s="120"/>
      <c r="B51" s="120"/>
    </row>
    <row r="52" outlineLevel="1">
      <c r="A52" s="62" t="s">
        <v>259</v>
      </c>
      <c r="B52" s="423"/>
    </row>
    <row r="53" outlineLevel="1">
      <c r="A53" s="40" t="s">
        <v>260</v>
      </c>
      <c r="B53" s="202">
        <v>0.0</v>
      </c>
    </row>
    <row r="54" outlineLevel="1">
      <c r="A54" s="40" t="s">
        <v>261</v>
      </c>
      <c r="B54" s="202">
        <v>0.0</v>
      </c>
    </row>
    <row r="55" outlineLevel="1">
      <c r="A55" s="40" t="s">
        <v>262</v>
      </c>
      <c r="B55" s="424">
        <v>0.03</v>
      </c>
    </row>
    <row r="56" outlineLevel="1">
      <c r="A56" s="358" t="s">
        <v>263</v>
      </c>
      <c r="B56" s="425">
        <f>sum(B53:B55)</f>
        <v>0.03</v>
      </c>
    </row>
    <row r="57" outlineLevel="1">
      <c r="A57" s="40"/>
      <c r="B57" s="39"/>
    </row>
    <row r="58" outlineLevel="1">
      <c r="A58" s="62" t="s">
        <v>310</v>
      </c>
      <c r="B58" s="39"/>
    </row>
    <row r="59" outlineLevel="1">
      <c r="A59" s="40" t="s">
        <v>264</v>
      </c>
      <c r="B59" s="202">
        <v>0.0</v>
      </c>
    </row>
    <row r="60" outlineLevel="1">
      <c r="A60" s="40" t="s">
        <v>265</v>
      </c>
      <c r="B60" s="424">
        <v>0.0</v>
      </c>
    </row>
    <row r="61" outlineLevel="1">
      <c r="A61" s="358" t="s">
        <v>266</v>
      </c>
      <c r="B61" s="425">
        <f>sum(B58:B60)</f>
        <v>0</v>
      </c>
    </row>
    <row r="62" outlineLevel="1">
      <c r="A62" s="40"/>
      <c r="B62" s="39"/>
    </row>
    <row r="63" outlineLevel="1">
      <c r="A63" s="62" t="s">
        <v>267</v>
      </c>
      <c r="B63" s="39"/>
    </row>
    <row r="64" outlineLevel="1">
      <c r="A64" s="40" t="s">
        <v>268</v>
      </c>
      <c r="B64" s="202">
        <v>0.0</v>
      </c>
    </row>
    <row r="65" outlineLevel="1">
      <c r="A65" s="40" t="s">
        <v>269</v>
      </c>
      <c r="B65" s="202">
        <v>0.0</v>
      </c>
    </row>
    <row r="66" outlineLevel="1">
      <c r="A66" s="40" t="s">
        <v>270</v>
      </c>
      <c r="B66" s="424">
        <v>0.05</v>
      </c>
    </row>
    <row r="67" outlineLevel="1">
      <c r="A67" s="362" t="s">
        <v>271</v>
      </c>
      <c r="B67" s="425">
        <f>sum(B64:B66)</f>
        <v>0.05</v>
      </c>
    </row>
    <row r="68" outlineLevel="1">
      <c r="A68" s="426"/>
      <c r="B68" s="39"/>
    </row>
    <row r="69">
      <c r="A69" s="427" t="s">
        <v>272</v>
      </c>
      <c r="B69" s="361">
        <f>1-sum(B56,B61,B67)</f>
        <v>0.92</v>
      </c>
    </row>
    <row r="70">
      <c r="A70" s="426"/>
      <c r="B70" s="39"/>
    </row>
    <row r="71">
      <c r="A71" s="167"/>
      <c r="B71" s="364"/>
    </row>
    <row r="72">
      <c r="A72" s="264" t="s">
        <v>311</v>
      </c>
      <c r="B72" s="287"/>
    </row>
    <row r="73" outlineLevel="1">
      <c r="A73" s="428" t="s">
        <v>274</v>
      </c>
      <c r="B73" s="429"/>
    </row>
    <row r="74" outlineLevel="1">
      <c r="A74" s="94" t="str">
        <f>IFERROR(__xludf.DUMMYFUNCTION("filter(InclusionExclusion!B:B,InclusionExclusion!A:A=""Cash"",InclusionExclusion!C:C=""Included"")"),"Immediate consumption benefit")</f>
        <v>Immediate consumption benefit</v>
      </c>
      <c r="B74" s="429"/>
    </row>
    <row r="75" outlineLevel="1">
      <c r="A75" s="200" t="str">
        <f>IFERROR(__xludf.DUMMYFUNCTION("""COMPUTED_VALUE"""),"Investment of income increases")</f>
        <v>Investment of income increases</v>
      </c>
      <c r="B75" s="429"/>
    </row>
    <row r="76" outlineLevel="1">
      <c r="A76" s="428"/>
      <c r="B76" s="429"/>
    </row>
    <row r="77" outlineLevel="1">
      <c r="A77" s="412" t="s">
        <v>275</v>
      </c>
      <c r="B77" s="429"/>
    </row>
    <row r="78" outlineLevel="1">
      <c r="A78" s="94" t="str">
        <f>IFERROR(__xludf.DUMMYFUNCTION("filter(InclusionExclusion!B:B,InclusionExclusion!A:A=""Cash"",InclusionExclusion!C:C=""Excluded"")"),"Changes in PPP and exchange rates")</f>
        <v>Changes in PPP and exchange rates</v>
      </c>
      <c r="B78" s="33">
        <f t="array" ref="B78">iferror(if(isblank(A78),"",index(InclusionExclusion!$L:L,match(1,(InclusionExclusion!B:B=A78)*(InclusionExclusion!A:A="Cash"),0))),"Not specified")</f>
        <v>-0.07</v>
      </c>
    </row>
    <row r="79" outlineLevel="1">
      <c r="A79" s="200" t="str">
        <f>IFERROR(__xludf.DUMMYFUNCTION("""COMPUTED_VALUE"""),"Developmental effects")</f>
        <v>Developmental effects</v>
      </c>
      <c r="B79" s="33">
        <f t="array" ref="B79">iferror(if(isblank(A79),"",index(InclusionExclusion!$L:L,match(1,(InclusionExclusion!B:B=A79)*(InclusionExclusion!A:A="Cash"),0))),"Not specified")</f>
        <v>0.05</v>
      </c>
    </row>
    <row r="80" outlineLevel="1">
      <c r="A80" s="200" t="str">
        <f>IFERROR(__xludf.DUMMYFUNCTION("""COMPUTED_VALUE"""),"Reduced morbidity")</f>
        <v>Reduced morbidity</v>
      </c>
      <c r="B80" s="33">
        <f t="array" ref="B80">iferror(if(isblank(A80),"",index(InclusionExclusion!$L:L,match(1,(InclusionExclusion!B:B=A80)*(InclusionExclusion!A:A="Cash"),0))),"Not specified")</f>
        <v>0.04</v>
      </c>
    </row>
    <row r="81" outlineLevel="1">
      <c r="A81" s="200" t="str">
        <f>IFERROR(__xludf.DUMMYFUNCTION("""COMPUTED_VALUE"""),"Child mortality effects")</f>
        <v>Child mortality effects</v>
      </c>
      <c r="B81" s="33">
        <f t="array" ref="B81">iferror(if(isblank(A81),"",index(InclusionExclusion!$L:L,match(1,(InclusionExclusion!B:B=A81)*(InclusionExclusion!A:A="Cash"),0))),"Not specified")</f>
        <v>0.04</v>
      </c>
    </row>
    <row r="82" outlineLevel="1">
      <c r="A82" s="200"/>
      <c r="B82" s="33" t="str">
        <f t="array" ref="B82">iferror(if(isblank(A82),"",index(InclusionExclusion!$L:L,match(1,(InclusionExclusion!B:B=A82)*(InclusionExclusion!A:A="Cash"),0))),"Not specified")</f>
        <v/>
      </c>
    </row>
    <row r="83">
      <c r="A83" s="39" t="s">
        <v>276</v>
      </c>
      <c r="B83" s="180">
        <f>1+sum(B77:B82)</f>
        <v>1.06</v>
      </c>
    </row>
    <row r="84">
      <c r="A84" s="430" t="s">
        <v>277</v>
      </c>
      <c r="B84" s="340" t="str">
        <f t="array" ref="B84">if(B83=index(InclusionExclusion!$L:$L,match("Cash adjustment factor",InclusionExclusion!$J:$J,0)),"OK","Error")</f>
        <v>OK</v>
      </c>
    </row>
    <row r="85">
      <c r="A85" s="94"/>
      <c r="B85" s="429"/>
    </row>
    <row r="86">
      <c r="A86" s="291" t="s">
        <v>278</v>
      </c>
      <c r="B86" s="431"/>
    </row>
    <row r="87">
      <c r="A87" s="165" t="s">
        <v>312</v>
      </c>
      <c r="B87" s="296">
        <f>B37*(B69)*B83</f>
        <v>335.4928082</v>
      </c>
    </row>
    <row r="88">
      <c r="A88" s="94"/>
      <c r="B88" s="429"/>
    </row>
    <row r="89">
      <c r="A89" s="432" t="s">
        <v>313</v>
      </c>
      <c r="B89" s="371">
        <f t="array" ref="B89">B87/index(Cash!$B:$B,match("Total units of value generated with hypothetical donation ($100,000)",Cash!$A:$A,0))</f>
        <v>0.9752</v>
      </c>
    </row>
    <row r="90">
      <c r="A90" s="94"/>
      <c r="B90" s="429"/>
    </row>
  </sheetData>
  <dataValidations>
    <dataValidation type="list" allowBlank="1" sqref="A41">
      <formula1>'Helper sheet'!$B$2:$B$35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86"/>
    <col customWidth="1" min="2" max="2" width="17.29"/>
    <col customWidth="1" min="3" max="3" width="17.71"/>
    <col customWidth="1" min="4" max="18" width="17.29"/>
  </cols>
  <sheetData>
    <row r="1" ht="13.5" customHeight="1">
      <c r="A1" s="433" t="s">
        <v>314</v>
      </c>
      <c r="B1" s="434" t="str">
        <f>"Active"</f>
        <v>Active</v>
      </c>
      <c r="C1" s="435" t="s">
        <v>96</v>
      </c>
      <c r="D1" s="435" t="s">
        <v>315</v>
      </c>
      <c r="E1" s="435" t="s">
        <v>316</v>
      </c>
      <c r="F1" s="435" t="s">
        <v>317</v>
      </c>
      <c r="G1" s="435" t="s">
        <v>318</v>
      </c>
      <c r="H1" s="435" t="s">
        <v>319</v>
      </c>
      <c r="I1" s="435" t="s">
        <v>320</v>
      </c>
      <c r="J1" s="435" t="s">
        <v>321</v>
      </c>
      <c r="K1" s="436" t="s">
        <v>322</v>
      </c>
      <c r="L1" s="436" t="s">
        <v>323</v>
      </c>
      <c r="M1" s="436" t="s">
        <v>324</v>
      </c>
      <c r="N1" s="435" t="s">
        <v>325</v>
      </c>
      <c r="O1" s="435" t="s">
        <v>326</v>
      </c>
      <c r="P1" s="435" t="s">
        <v>327</v>
      </c>
      <c r="Q1" s="435" t="s">
        <v>328</v>
      </c>
      <c r="R1" s="435" t="s">
        <v>329</v>
      </c>
    </row>
    <row r="2" ht="12.0" customHeight="1">
      <c r="A2" s="437" t="s">
        <v>148</v>
      </c>
      <c r="B2" s="438"/>
      <c r="C2" s="429"/>
      <c r="D2" s="429"/>
      <c r="E2" s="429"/>
      <c r="F2" s="429"/>
      <c r="G2" s="429"/>
      <c r="H2" s="429"/>
      <c r="I2" s="429"/>
      <c r="J2" s="429"/>
      <c r="K2" s="429"/>
      <c r="L2" s="429"/>
      <c r="M2" s="429"/>
      <c r="N2" s="429"/>
      <c r="O2" s="429"/>
      <c r="P2" s="429"/>
      <c r="Q2" s="429"/>
      <c r="R2" s="429"/>
    </row>
    <row r="3" ht="12.0" customHeight="1">
      <c r="A3" s="95" t="str">
        <f>Results!C9</f>
        <v>Overall</v>
      </c>
      <c r="B3" s="438"/>
      <c r="C3" s="429"/>
      <c r="D3" s="429"/>
      <c r="E3" s="429"/>
      <c r="F3" s="429"/>
      <c r="G3" s="429"/>
      <c r="H3" s="429"/>
      <c r="I3" s="429"/>
      <c r="J3" s="429"/>
      <c r="K3" s="429"/>
      <c r="L3" s="429"/>
      <c r="M3" s="429"/>
      <c r="N3" s="429"/>
      <c r="O3" s="429"/>
      <c r="P3" s="429"/>
      <c r="Q3" s="429"/>
      <c r="R3" s="429"/>
    </row>
    <row r="4" ht="12.0" customHeight="1">
      <c r="A4" s="120"/>
      <c r="B4" s="438"/>
      <c r="C4" s="429"/>
      <c r="D4" s="429"/>
      <c r="E4" s="429"/>
      <c r="F4" s="429"/>
      <c r="G4" s="429"/>
      <c r="H4" s="429"/>
      <c r="I4" s="429"/>
      <c r="J4" s="429"/>
      <c r="K4" s="429"/>
      <c r="L4" s="429"/>
      <c r="M4" s="429"/>
      <c r="N4" s="429"/>
      <c r="O4" s="429"/>
      <c r="P4" s="429"/>
      <c r="Q4" s="429"/>
      <c r="R4" s="429"/>
    </row>
    <row r="5" ht="12.0" customHeight="1">
      <c r="A5" s="439" t="s">
        <v>330</v>
      </c>
      <c r="B5" s="286"/>
      <c r="C5" s="287"/>
      <c r="D5" s="287"/>
      <c r="E5" s="287"/>
      <c r="F5" s="287"/>
      <c r="G5" s="287"/>
      <c r="H5" s="287"/>
      <c r="I5" s="287"/>
      <c r="J5" s="287"/>
      <c r="K5" s="287"/>
      <c r="L5" s="287"/>
      <c r="M5" s="287"/>
      <c r="N5" s="287"/>
      <c r="O5" s="287"/>
      <c r="P5" s="287"/>
      <c r="Q5" s="287"/>
      <c r="R5" s="287"/>
    </row>
    <row r="6" ht="15.0" customHeight="1">
      <c r="A6" s="94"/>
      <c r="B6" s="438"/>
      <c r="C6" s="429"/>
      <c r="D6" s="429"/>
      <c r="E6" s="429"/>
      <c r="F6" s="429"/>
      <c r="G6" s="429"/>
      <c r="H6" s="429"/>
      <c r="I6" s="429"/>
      <c r="J6" s="429"/>
      <c r="K6" s="429"/>
      <c r="L6" s="429"/>
      <c r="M6" s="429"/>
      <c r="N6" s="429"/>
      <c r="O6" s="429"/>
      <c r="P6" s="429"/>
      <c r="Q6" s="429"/>
      <c r="R6" s="429"/>
    </row>
    <row r="7" ht="15.0" customHeight="1">
      <c r="A7" s="200" t="s">
        <v>331</v>
      </c>
      <c r="B7" s="440">
        <f t="shared" ref="B7:B15" si="2">index(A7:R7,,match($A$3,$A$1:$R$1,0))</f>
        <v>0.109</v>
      </c>
      <c r="C7" s="441">
        <v>0.109</v>
      </c>
      <c r="D7" s="442">
        <f t="shared" ref="D7:R7" si="1">$C7</f>
        <v>0.109</v>
      </c>
      <c r="E7" s="442">
        <f t="shared" si="1"/>
        <v>0.109</v>
      </c>
      <c r="F7" s="442">
        <f t="shared" si="1"/>
        <v>0.109</v>
      </c>
      <c r="G7" s="442">
        <f t="shared" si="1"/>
        <v>0.109</v>
      </c>
      <c r="H7" s="442">
        <f t="shared" si="1"/>
        <v>0.109</v>
      </c>
      <c r="I7" s="442">
        <f t="shared" si="1"/>
        <v>0.109</v>
      </c>
      <c r="J7" s="442">
        <f t="shared" si="1"/>
        <v>0.109</v>
      </c>
      <c r="K7" s="442">
        <f t="shared" si="1"/>
        <v>0.109</v>
      </c>
      <c r="L7" s="442">
        <f t="shared" si="1"/>
        <v>0.109</v>
      </c>
      <c r="M7" s="442">
        <f t="shared" si="1"/>
        <v>0.109</v>
      </c>
      <c r="N7" s="442">
        <f t="shared" si="1"/>
        <v>0.109</v>
      </c>
      <c r="O7" s="442">
        <f t="shared" si="1"/>
        <v>0.109</v>
      </c>
      <c r="P7" s="442">
        <f t="shared" si="1"/>
        <v>0.109</v>
      </c>
      <c r="Q7" s="442">
        <f t="shared" si="1"/>
        <v>0.109</v>
      </c>
      <c r="R7" s="442">
        <f t="shared" si="1"/>
        <v>0.109</v>
      </c>
    </row>
    <row r="8" ht="15.0" customHeight="1">
      <c r="A8" s="443" t="s">
        <v>332</v>
      </c>
      <c r="B8" s="179">
        <f t="shared" si="2"/>
        <v>0.75</v>
      </c>
      <c r="C8" s="47">
        <v>0.75</v>
      </c>
      <c r="D8" s="289">
        <f t="shared" ref="D8:R8" si="3">$C8</f>
        <v>0.75</v>
      </c>
      <c r="E8" s="289">
        <f t="shared" si="3"/>
        <v>0.75</v>
      </c>
      <c r="F8" s="289">
        <f t="shared" si="3"/>
        <v>0.75</v>
      </c>
      <c r="G8" s="289">
        <f t="shared" si="3"/>
        <v>0.75</v>
      </c>
      <c r="H8" s="289">
        <f t="shared" si="3"/>
        <v>0.75</v>
      </c>
      <c r="I8" s="289">
        <f t="shared" si="3"/>
        <v>0.75</v>
      </c>
      <c r="J8" s="289">
        <f t="shared" si="3"/>
        <v>0.75</v>
      </c>
      <c r="K8" s="289">
        <f t="shared" si="3"/>
        <v>0.75</v>
      </c>
      <c r="L8" s="289">
        <f t="shared" si="3"/>
        <v>0.75</v>
      </c>
      <c r="M8" s="289">
        <f t="shared" si="3"/>
        <v>0.75</v>
      </c>
      <c r="N8" s="289">
        <f t="shared" si="3"/>
        <v>0.75</v>
      </c>
      <c r="O8" s="289">
        <f t="shared" si="3"/>
        <v>0.75</v>
      </c>
      <c r="P8" s="289">
        <f t="shared" si="3"/>
        <v>0.75</v>
      </c>
      <c r="Q8" s="289">
        <f t="shared" si="3"/>
        <v>0.75</v>
      </c>
      <c r="R8" s="289">
        <f t="shared" si="3"/>
        <v>0.75</v>
      </c>
    </row>
    <row r="9" ht="15.0" customHeight="1">
      <c r="A9" s="443" t="s">
        <v>333</v>
      </c>
      <c r="B9" s="179">
        <f t="shared" si="2"/>
        <v>0.05</v>
      </c>
      <c r="C9" s="47">
        <v>0.05</v>
      </c>
      <c r="D9" s="289">
        <f t="shared" ref="D9:R9" si="4">$C9</f>
        <v>0.05</v>
      </c>
      <c r="E9" s="289">
        <f t="shared" si="4"/>
        <v>0.05</v>
      </c>
      <c r="F9" s="289">
        <f t="shared" si="4"/>
        <v>0.05</v>
      </c>
      <c r="G9" s="289">
        <f t="shared" si="4"/>
        <v>0.05</v>
      </c>
      <c r="H9" s="289">
        <f t="shared" si="4"/>
        <v>0.05</v>
      </c>
      <c r="I9" s="289">
        <f t="shared" si="4"/>
        <v>0.05</v>
      </c>
      <c r="J9" s="289">
        <f t="shared" si="4"/>
        <v>0.05</v>
      </c>
      <c r="K9" s="289">
        <f t="shared" si="4"/>
        <v>0.05</v>
      </c>
      <c r="L9" s="289">
        <f t="shared" si="4"/>
        <v>0.05</v>
      </c>
      <c r="M9" s="289">
        <f t="shared" si="4"/>
        <v>0.05</v>
      </c>
      <c r="N9" s="289">
        <f t="shared" si="4"/>
        <v>0.05</v>
      </c>
      <c r="O9" s="289">
        <f t="shared" si="4"/>
        <v>0.05</v>
      </c>
      <c r="P9" s="289">
        <f t="shared" si="4"/>
        <v>0.05</v>
      </c>
      <c r="Q9" s="289">
        <f t="shared" si="4"/>
        <v>0.05</v>
      </c>
      <c r="R9" s="289">
        <f t="shared" si="4"/>
        <v>0.05</v>
      </c>
    </row>
    <row r="10" ht="15.0" customHeight="1">
      <c r="A10" s="94" t="s">
        <v>334</v>
      </c>
      <c r="B10" s="440">
        <f t="shared" si="2"/>
        <v>0.1569361457</v>
      </c>
      <c r="C10" s="444">
        <f t="shared" ref="C10:R10" si="5">C7/((C8-C9)-C9*C7)</f>
        <v>0.1569361457</v>
      </c>
      <c r="D10" s="444">
        <f t="shared" si="5"/>
        <v>0.1569361457</v>
      </c>
      <c r="E10" s="444">
        <f t="shared" si="5"/>
        <v>0.1569361457</v>
      </c>
      <c r="F10" s="444">
        <f t="shared" si="5"/>
        <v>0.1569361457</v>
      </c>
      <c r="G10" s="444">
        <f t="shared" si="5"/>
        <v>0.1569361457</v>
      </c>
      <c r="H10" s="444">
        <f t="shared" si="5"/>
        <v>0.1569361457</v>
      </c>
      <c r="I10" s="444">
        <f t="shared" si="5"/>
        <v>0.1569361457</v>
      </c>
      <c r="J10" s="444">
        <f t="shared" si="5"/>
        <v>0.1569361457</v>
      </c>
      <c r="K10" s="444">
        <f t="shared" si="5"/>
        <v>0.1569361457</v>
      </c>
      <c r="L10" s="444">
        <f t="shared" si="5"/>
        <v>0.1569361457</v>
      </c>
      <c r="M10" s="444">
        <f t="shared" si="5"/>
        <v>0.1569361457</v>
      </c>
      <c r="N10" s="444">
        <f t="shared" si="5"/>
        <v>0.1569361457</v>
      </c>
      <c r="O10" s="444">
        <f t="shared" si="5"/>
        <v>0.1569361457</v>
      </c>
      <c r="P10" s="444">
        <f t="shared" si="5"/>
        <v>0.1569361457</v>
      </c>
      <c r="Q10" s="444">
        <f t="shared" si="5"/>
        <v>0.1569361457</v>
      </c>
      <c r="R10" s="444">
        <f t="shared" si="5"/>
        <v>0.1569361457</v>
      </c>
    </row>
    <row r="11" ht="15.0" customHeight="1">
      <c r="A11" s="445" t="s">
        <v>61</v>
      </c>
      <c r="B11" s="179">
        <f t="shared" si="2"/>
        <v>0.13</v>
      </c>
      <c r="C11" s="289">
        <f t="array" ref="C11">index('User inputs'!$A$1:$ZZ$17,match($A11,'User inputs'!$A$1:$A$17,0),match(B$1,'User inputs'!$A$1:$ZZ$1,0))</f>
        <v>0.13</v>
      </c>
      <c r="D11" s="289">
        <f t="shared" ref="D11:R11" si="6">$C11</f>
        <v>0.13</v>
      </c>
      <c r="E11" s="289">
        <f t="shared" si="6"/>
        <v>0.13</v>
      </c>
      <c r="F11" s="289">
        <f t="shared" si="6"/>
        <v>0.13</v>
      </c>
      <c r="G11" s="289">
        <f t="shared" si="6"/>
        <v>0.13</v>
      </c>
      <c r="H11" s="289">
        <f t="shared" si="6"/>
        <v>0.13</v>
      </c>
      <c r="I11" s="289">
        <f t="shared" si="6"/>
        <v>0.13</v>
      </c>
      <c r="J11" s="289">
        <f t="shared" si="6"/>
        <v>0.13</v>
      </c>
      <c r="K11" s="289">
        <f t="shared" si="6"/>
        <v>0.13</v>
      </c>
      <c r="L11" s="289">
        <f t="shared" si="6"/>
        <v>0.13</v>
      </c>
      <c r="M11" s="289">
        <f t="shared" si="6"/>
        <v>0.13</v>
      </c>
      <c r="N11" s="289">
        <f t="shared" si="6"/>
        <v>0.13</v>
      </c>
      <c r="O11" s="289">
        <f t="shared" si="6"/>
        <v>0.13</v>
      </c>
      <c r="P11" s="289">
        <f t="shared" si="6"/>
        <v>0.13</v>
      </c>
      <c r="Q11" s="289">
        <f t="shared" si="6"/>
        <v>0.13</v>
      </c>
      <c r="R11" s="289">
        <f t="shared" si="6"/>
        <v>0.13</v>
      </c>
    </row>
    <row r="12" ht="15.0" customHeight="1">
      <c r="A12" s="445" t="s">
        <v>335</v>
      </c>
      <c r="B12" s="179">
        <f t="shared" si="2"/>
        <v>0.65</v>
      </c>
      <c r="C12" s="47">
        <v>0.65</v>
      </c>
      <c r="D12" s="289">
        <f t="shared" ref="D12:M12" si="7">$C12</f>
        <v>0.65</v>
      </c>
      <c r="E12" s="289">
        <f t="shared" si="7"/>
        <v>0.65</v>
      </c>
      <c r="F12" s="289">
        <f t="shared" si="7"/>
        <v>0.65</v>
      </c>
      <c r="G12" s="289">
        <f t="shared" si="7"/>
        <v>0.65</v>
      </c>
      <c r="H12" s="289">
        <f t="shared" si="7"/>
        <v>0.65</v>
      </c>
      <c r="I12" s="289">
        <f t="shared" si="7"/>
        <v>0.65</v>
      </c>
      <c r="J12" s="289">
        <f t="shared" si="7"/>
        <v>0.65</v>
      </c>
      <c r="K12" s="289">
        <f t="shared" si="7"/>
        <v>0.65</v>
      </c>
      <c r="L12" s="289">
        <f t="shared" si="7"/>
        <v>0.65</v>
      </c>
      <c r="M12" s="289">
        <f t="shared" si="7"/>
        <v>0.65</v>
      </c>
      <c r="N12" s="289">
        <f t="shared" ref="N12:R12" si="8">$C$18</f>
        <v>8</v>
      </c>
      <c r="O12" s="289">
        <f t="shared" si="8"/>
        <v>8</v>
      </c>
      <c r="P12" s="289">
        <f t="shared" si="8"/>
        <v>8</v>
      </c>
      <c r="Q12" s="289">
        <f t="shared" si="8"/>
        <v>8</v>
      </c>
      <c r="R12" s="289">
        <f t="shared" si="8"/>
        <v>8</v>
      </c>
    </row>
    <row r="13" ht="15.0" customHeight="1">
      <c r="A13" s="445" t="s">
        <v>336</v>
      </c>
      <c r="B13" s="179">
        <f t="shared" si="2"/>
        <v>0.9</v>
      </c>
      <c r="C13" s="47">
        <v>0.9</v>
      </c>
      <c r="D13" s="289">
        <f t="shared" ref="D13:M13" si="9">$C13</f>
        <v>0.9</v>
      </c>
      <c r="E13" s="289">
        <f t="shared" si="9"/>
        <v>0.9</v>
      </c>
      <c r="F13" s="289">
        <f t="shared" si="9"/>
        <v>0.9</v>
      </c>
      <c r="G13" s="289">
        <f t="shared" si="9"/>
        <v>0.9</v>
      </c>
      <c r="H13" s="289">
        <f t="shared" si="9"/>
        <v>0.9</v>
      </c>
      <c r="I13" s="289">
        <f t="shared" si="9"/>
        <v>0.9</v>
      </c>
      <c r="J13" s="289">
        <f t="shared" si="9"/>
        <v>0.9</v>
      </c>
      <c r="K13" s="289">
        <f t="shared" si="9"/>
        <v>0.9</v>
      </c>
      <c r="L13" s="289">
        <f t="shared" si="9"/>
        <v>0.9</v>
      </c>
      <c r="M13" s="289">
        <f t="shared" si="9"/>
        <v>0.9</v>
      </c>
      <c r="N13" s="289">
        <f t="shared" ref="N13:R13" si="10">$C$19</f>
        <v>0.003619974273</v>
      </c>
      <c r="O13" s="289">
        <f t="shared" si="10"/>
        <v>0.003619974273</v>
      </c>
      <c r="P13" s="289">
        <f t="shared" si="10"/>
        <v>0.003619974273</v>
      </c>
      <c r="Q13" s="289">
        <f t="shared" si="10"/>
        <v>0.003619974273</v>
      </c>
      <c r="R13" s="289">
        <f t="shared" si="10"/>
        <v>0.003619974273</v>
      </c>
    </row>
    <row r="14" ht="15.0" customHeight="1">
      <c r="A14" s="443" t="s">
        <v>337</v>
      </c>
      <c r="B14" s="315">
        <f t="shared" si="2"/>
        <v>2.41</v>
      </c>
      <c r="C14" s="446">
        <v>2.41</v>
      </c>
      <c r="D14" s="447">
        <f t="shared" ref="D14:R14" si="11">$C14</f>
        <v>2.41</v>
      </c>
      <c r="E14" s="447">
        <f t="shared" si="11"/>
        <v>2.41</v>
      </c>
      <c r="F14" s="447">
        <f t="shared" si="11"/>
        <v>2.41</v>
      </c>
      <c r="G14" s="447">
        <f t="shared" si="11"/>
        <v>2.41</v>
      </c>
      <c r="H14" s="447">
        <f t="shared" si="11"/>
        <v>2.41</v>
      </c>
      <c r="I14" s="447">
        <f t="shared" si="11"/>
        <v>2.41</v>
      </c>
      <c r="J14" s="447">
        <f t="shared" si="11"/>
        <v>2.41</v>
      </c>
      <c r="K14" s="447">
        <f t="shared" si="11"/>
        <v>2.41</v>
      </c>
      <c r="L14" s="447">
        <f t="shared" si="11"/>
        <v>2.41</v>
      </c>
      <c r="M14" s="447">
        <f t="shared" si="11"/>
        <v>2.41</v>
      </c>
      <c r="N14" s="447">
        <f t="shared" si="11"/>
        <v>2.41</v>
      </c>
      <c r="O14" s="447">
        <f t="shared" si="11"/>
        <v>2.41</v>
      </c>
      <c r="P14" s="447">
        <f t="shared" si="11"/>
        <v>2.41</v>
      </c>
      <c r="Q14" s="447">
        <f t="shared" si="11"/>
        <v>2.41</v>
      </c>
      <c r="R14" s="447">
        <f t="shared" si="11"/>
        <v>2.41</v>
      </c>
    </row>
    <row r="15" ht="15.0" customHeight="1">
      <c r="A15" s="267" t="s">
        <v>338</v>
      </c>
      <c r="B15" s="448">
        <f t="shared" si="2"/>
        <v>0.004952279619</v>
      </c>
      <c r="C15" s="449">
        <f t="shared" ref="C15:M15" si="12">C10*C11/C14*C12*C13</f>
        <v>0.004952279619</v>
      </c>
      <c r="D15" s="449">
        <f t="shared" si="12"/>
        <v>0.004952279619</v>
      </c>
      <c r="E15" s="449">
        <f t="shared" si="12"/>
        <v>0.004952279619</v>
      </c>
      <c r="F15" s="449">
        <f t="shared" si="12"/>
        <v>0.004952279619</v>
      </c>
      <c r="G15" s="449">
        <f t="shared" si="12"/>
        <v>0.004952279619</v>
      </c>
      <c r="H15" s="449">
        <f t="shared" si="12"/>
        <v>0.004952279619</v>
      </c>
      <c r="I15" s="449">
        <f t="shared" si="12"/>
        <v>0.004952279619</v>
      </c>
      <c r="J15" s="449">
        <f t="shared" si="12"/>
        <v>0.004952279619</v>
      </c>
      <c r="K15" s="449">
        <f t="shared" si="12"/>
        <v>0.004952279619</v>
      </c>
      <c r="L15" s="449">
        <f t="shared" si="12"/>
        <v>0.004952279619</v>
      </c>
      <c r="M15" s="449">
        <f t="shared" si="12"/>
        <v>0.004952279619</v>
      </c>
      <c r="N15" s="449">
        <f t="shared" ref="N15:R15" si="13">N10*N11/N14</f>
        <v>0.008465435246</v>
      </c>
      <c r="O15" s="449">
        <f t="shared" si="13"/>
        <v>0.008465435246</v>
      </c>
      <c r="P15" s="449">
        <f t="shared" si="13"/>
        <v>0.008465435246</v>
      </c>
      <c r="Q15" s="449">
        <f t="shared" si="13"/>
        <v>0.008465435246</v>
      </c>
      <c r="R15" s="449">
        <f t="shared" si="13"/>
        <v>0.008465435246</v>
      </c>
    </row>
    <row r="16" ht="15.0" customHeight="1">
      <c r="A16" s="450"/>
      <c r="B16" s="451"/>
      <c r="C16" s="450"/>
      <c r="D16" s="452"/>
      <c r="E16" s="452"/>
      <c r="F16" s="452"/>
      <c r="G16" s="452"/>
      <c r="H16" s="452"/>
      <c r="I16" s="452"/>
      <c r="J16" s="452"/>
      <c r="K16" s="452"/>
      <c r="L16" s="452"/>
      <c r="M16" s="452"/>
      <c r="N16" s="452"/>
      <c r="O16" s="452"/>
      <c r="P16" s="452"/>
      <c r="Q16" s="452"/>
      <c r="R16" s="452"/>
    </row>
    <row r="17" ht="15.0" customHeight="1">
      <c r="A17" s="453" t="s">
        <v>59</v>
      </c>
      <c r="B17" s="311">
        <f t="shared" ref="B17:B20" si="15">index(A17:R17,,match($A$3,$A$1:$R$1,0))</f>
        <v>0.03995</v>
      </c>
      <c r="C17" s="312">
        <f t="array" ref="C17">index('User inputs'!$A$1:$ZZ$17,match($A17,'User inputs'!$A$1:$A$17,0),match(B$1,'User inputs'!$A$1:$ZZ$1,0))</f>
        <v>0.03995</v>
      </c>
      <c r="D17" s="312">
        <f t="shared" ref="D17:R17" si="14">$C17</f>
        <v>0.03995</v>
      </c>
      <c r="E17" s="312">
        <f t="shared" si="14"/>
        <v>0.03995</v>
      </c>
      <c r="F17" s="312">
        <f t="shared" si="14"/>
        <v>0.03995</v>
      </c>
      <c r="G17" s="312">
        <f t="shared" si="14"/>
        <v>0.03995</v>
      </c>
      <c r="H17" s="312">
        <f t="shared" si="14"/>
        <v>0.03995</v>
      </c>
      <c r="I17" s="312">
        <f t="shared" si="14"/>
        <v>0.03995</v>
      </c>
      <c r="J17" s="312">
        <f t="shared" si="14"/>
        <v>0.03995</v>
      </c>
      <c r="K17" s="312">
        <f t="shared" si="14"/>
        <v>0.03995</v>
      </c>
      <c r="L17" s="312">
        <f t="shared" si="14"/>
        <v>0.03995</v>
      </c>
      <c r="M17" s="312">
        <f t="shared" si="14"/>
        <v>0.03995</v>
      </c>
      <c r="N17" s="312">
        <f t="shared" si="14"/>
        <v>0.03995</v>
      </c>
      <c r="O17" s="312">
        <f t="shared" si="14"/>
        <v>0.03995</v>
      </c>
      <c r="P17" s="312">
        <f t="shared" si="14"/>
        <v>0.03995</v>
      </c>
      <c r="Q17" s="312">
        <f t="shared" si="14"/>
        <v>0.03995</v>
      </c>
      <c r="R17" s="312">
        <f t="shared" si="14"/>
        <v>0.03995</v>
      </c>
    </row>
    <row r="18" ht="15.0" customHeight="1">
      <c r="A18" s="454" t="s">
        <v>339</v>
      </c>
      <c r="B18" s="295">
        <f t="shared" si="15"/>
        <v>8</v>
      </c>
      <c r="C18" s="57">
        <v>8.0</v>
      </c>
      <c r="D18" s="318">
        <f t="shared" ref="D18:R18" si="16">$C18</f>
        <v>8</v>
      </c>
      <c r="E18" s="318">
        <f t="shared" si="16"/>
        <v>8</v>
      </c>
      <c r="F18" s="318">
        <f t="shared" si="16"/>
        <v>8</v>
      </c>
      <c r="G18" s="318">
        <f t="shared" si="16"/>
        <v>8</v>
      </c>
      <c r="H18" s="318">
        <f t="shared" si="16"/>
        <v>8</v>
      </c>
      <c r="I18" s="318">
        <f t="shared" si="16"/>
        <v>8</v>
      </c>
      <c r="J18" s="318">
        <f t="shared" si="16"/>
        <v>8</v>
      </c>
      <c r="K18" s="318">
        <f t="shared" si="16"/>
        <v>8</v>
      </c>
      <c r="L18" s="318">
        <f t="shared" si="16"/>
        <v>8</v>
      </c>
      <c r="M18" s="318">
        <f t="shared" si="16"/>
        <v>8</v>
      </c>
      <c r="N18" s="318">
        <f t="shared" si="16"/>
        <v>8</v>
      </c>
      <c r="O18" s="318">
        <f t="shared" si="16"/>
        <v>8</v>
      </c>
      <c r="P18" s="318">
        <f t="shared" si="16"/>
        <v>8</v>
      </c>
      <c r="Q18" s="318">
        <f t="shared" si="16"/>
        <v>8</v>
      </c>
      <c r="R18" s="318">
        <f t="shared" si="16"/>
        <v>8</v>
      </c>
    </row>
    <row r="19" ht="15.0" customHeight="1">
      <c r="A19" s="455" t="s">
        <v>340</v>
      </c>
      <c r="B19" s="302">
        <f t="shared" si="15"/>
        <v>0.003619974273</v>
      </c>
      <c r="C19" s="456">
        <f>C15/(1+C17)^C18</f>
        <v>0.003619974273</v>
      </c>
      <c r="D19" s="457">
        <f t="shared" ref="D19:R19" si="17">$C19</f>
        <v>0.003619974273</v>
      </c>
      <c r="E19" s="457">
        <f t="shared" si="17"/>
        <v>0.003619974273</v>
      </c>
      <c r="F19" s="457">
        <f t="shared" si="17"/>
        <v>0.003619974273</v>
      </c>
      <c r="G19" s="457">
        <f t="shared" si="17"/>
        <v>0.003619974273</v>
      </c>
      <c r="H19" s="457">
        <f t="shared" si="17"/>
        <v>0.003619974273</v>
      </c>
      <c r="I19" s="457">
        <f t="shared" si="17"/>
        <v>0.003619974273</v>
      </c>
      <c r="J19" s="457">
        <f t="shared" si="17"/>
        <v>0.003619974273</v>
      </c>
      <c r="K19" s="457">
        <f t="shared" si="17"/>
        <v>0.003619974273</v>
      </c>
      <c r="L19" s="457">
        <f t="shared" si="17"/>
        <v>0.003619974273</v>
      </c>
      <c r="M19" s="457">
        <f t="shared" si="17"/>
        <v>0.003619974273</v>
      </c>
      <c r="N19" s="457">
        <f t="shared" si="17"/>
        <v>0.003619974273</v>
      </c>
      <c r="O19" s="457">
        <f t="shared" si="17"/>
        <v>0.003619974273</v>
      </c>
      <c r="P19" s="457">
        <f t="shared" si="17"/>
        <v>0.003619974273</v>
      </c>
      <c r="Q19" s="457">
        <f t="shared" si="17"/>
        <v>0.003619974273</v>
      </c>
      <c r="R19" s="457">
        <f t="shared" si="17"/>
        <v>0.003619974273</v>
      </c>
    </row>
    <row r="20" ht="15.0" customHeight="1">
      <c r="A20" s="454" t="s">
        <v>341</v>
      </c>
      <c r="B20" s="295">
        <f t="shared" si="15"/>
        <v>40</v>
      </c>
      <c r="C20" s="57">
        <v>40.0</v>
      </c>
      <c r="D20" s="318">
        <f t="shared" ref="D20:R20" si="18">$C20</f>
        <v>40</v>
      </c>
      <c r="E20" s="318">
        <f t="shared" si="18"/>
        <v>40</v>
      </c>
      <c r="F20" s="318">
        <f t="shared" si="18"/>
        <v>40</v>
      </c>
      <c r="G20" s="318">
        <f t="shared" si="18"/>
        <v>40</v>
      </c>
      <c r="H20" s="318">
        <f t="shared" si="18"/>
        <v>40</v>
      </c>
      <c r="I20" s="318">
        <f t="shared" si="18"/>
        <v>40</v>
      </c>
      <c r="J20" s="318">
        <f t="shared" si="18"/>
        <v>40</v>
      </c>
      <c r="K20" s="318">
        <f t="shared" si="18"/>
        <v>40</v>
      </c>
      <c r="L20" s="318">
        <f t="shared" si="18"/>
        <v>40</v>
      </c>
      <c r="M20" s="318">
        <f t="shared" si="18"/>
        <v>40</v>
      </c>
      <c r="N20" s="318">
        <f t="shared" si="18"/>
        <v>40</v>
      </c>
      <c r="O20" s="318">
        <f t="shared" si="18"/>
        <v>40</v>
      </c>
      <c r="P20" s="318">
        <f t="shared" si="18"/>
        <v>40</v>
      </c>
      <c r="Q20" s="318">
        <f t="shared" si="18"/>
        <v>40</v>
      </c>
      <c r="R20" s="318">
        <f t="shared" si="18"/>
        <v>40</v>
      </c>
    </row>
    <row r="21" ht="15.0" customHeight="1">
      <c r="A21" s="453"/>
      <c r="B21" s="458"/>
      <c r="C21" s="453"/>
      <c r="D21" s="453"/>
      <c r="E21" s="453"/>
      <c r="F21" s="453"/>
      <c r="G21" s="453"/>
      <c r="H21" s="453"/>
      <c r="I21" s="453"/>
      <c r="J21" s="453"/>
      <c r="K21" s="453"/>
      <c r="L21" s="453"/>
      <c r="M21" s="453"/>
      <c r="N21" s="453"/>
      <c r="O21" s="453"/>
      <c r="P21" s="453"/>
      <c r="Q21" s="453"/>
      <c r="R21" s="453"/>
    </row>
    <row r="22" ht="15.0" customHeight="1">
      <c r="A22" s="459" t="s">
        <v>342</v>
      </c>
      <c r="B22" s="302">
        <f t="array" ref="B22">index(A22:R22,,match($A$3,$A$1:$R$1,0))</f>
        <v>0.07456719666</v>
      </c>
      <c r="C22" s="456">
        <f>pv(C17,C20,-C19,,1)</f>
        <v>0.07456719666</v>
      </c>
      <c r="D22" s="442">
        <f t="shared" ref="D22:R22" si="19">C$22</f>
        <v>0.07456719666</v>
      </c>
      <c r="E22" s="442">
        <f t="shared" si="19"/>
        <v>0.07456719666</v>
      </c>
      <c r="F22" s="442">
        <f t="shared" si="19"/>
        <v>0.07456719666</v>
      </c>
      <c r="G22" s="442">
        <f t="shared" si="19"/>
        <v>0.07456719666</v>
      </c>
      <c r="H22" s="442">
        <f t="shared" si="19"/>
        <v>0.07456719666</v>
      </c>
      <c r="I22" s="442">
        <f t="shared" si="19"/>
        <v>0.07456719666</v>
      </c>
      <c r="J22" s="442">
        <f t="shared" si="19"/>
        <v>0.07456719666</v>
      </c>
      <c r="K22" s="442">
        <f t="shared" si="19"/>
        <v>0.07456719666</v>
      </c>
      <c r="L22" s="442">
        <f t="shared" si="19"/>
        <v>0.07456719666</v>
      </c>
      <c r="M22" s="442">
        <f t="shared" si="19"/>
        <v>0.07456719666</v>
      </c>
      <c r="N22" s="442">
        <f t="shared" si="19"/>
        <v>0.07456719666</v>
      </c>
      <c r="O22" s="442">
        <f t="shared" si="19"/>
        <v>0.07456719666</v>
      </c>
      <c r="P22" s="442">
        <f t="shared" si="19"/>
        <v>0.07456719666</v>
      </c>
      <c r="Q22" s="442">
        <f t="shared" si="19"/>
        <v>0.07456719666</v>
      </c>
      <c r="R22" s="442">
        <f t="shared" si="19"/>
        <v>0.07456719666</v>
      </c>
    </row>
    <row r="23" ht="15.0" customHeight="1">
      <c r="A23" s="460"/>
      <c r="B23" s="461"/>
      <c r="C23" s="460"/>
      <c r="D23" s="460"/>
      <c r="E23" s="460"/>
      <c r="F23" s="460"/>
      <c r="G23" s="460"/>
      <c r="H23" s="460"/>
      <c r="I23" s="460"/>
      <c r="J23" s="460"/>
      <c r="K23" s="460"/>
      <c r="L23" s="460"/>
      <c r="M23" s="460"/>
      <c r="N23" s="460"/>
      <c r="O23" s="460"/>
      <c r="P23" s="460"/>
      <c r="Q23" s="460"/>
      <c r="R23" s="460"/>
    </row>
    <row r="24" ht="15.0" customHeight="1">
      <c r="A24" s="462" t="s">
        <v>231</v>
      </c>
      <c r="B24" s="295">
        <f t="array" ref="B24">index(A24:R24,,match($A$3,$A$1:$R$1,0))</f>
        <v>2</v>
      </c>
      <c r="C24" s="57">
        <v>2.0</v>
      </c>
      <c r="D24" s="318">
        <f t="shared" ref="D24:R24" si="20">C$24</f>
        <v>2</v>
      </c>
      <c r="E24" s="318">
        <f t="shared" si="20"/>
        <v>2</v>
      </c>
      <c r="F24" s="318">
        <f t="shared" si="20"/>
        <v>2</v>
      </c>
      <c r="G24" s="318">
        <f t="shared" si="20"/>
        <v>2</v>
      </c>
      <c r="H24" s="318">
        <f t="shared" si="20"/>
        <v>2</v>
      </c>
      <c r="I24" s="318">
        <f t="shared" si="20"/>
        <v>2</v>
      </c>
      <c r="J24" s="318">
        <f t="shared" si="20"/>
        <v>2</v>
      </c>
      <c r="K24" s="318">
        <f t="shared" si="20"/>
        <v>2</v>
      </c>
      <c r="L24" s="318">
        <f t="shared" si="20"/>
        <v>2</v>
      </c>
      <c r="M24" s="318">
        <f t="shared" si="20"/>
        <v>2</v>
      </c>
      <c r="N24" s="318">
        <f t="shared" si="20"/>
        <v>2</v>
      </c>
      <c r="O24" s="318">
        <f t="shared" si="20"/>
        <v>2</v>
      </c>
      <c r="P24" s="318">
        <f t="shared" si="20"/>
        <v>2</v>
      </c>
      <c r="Q24" s="318">
        <f t="shared" si="20"/>
        <v>2</v>
      </c>
      <c r="R24" s="318">
        <f t="shared" si="20"/>
        <v>2</v>
      </c>
    </row>
    <row r="25" ht="15.0" customHeight="1">
      <c r="A25" s="460"/>
      <c r="B25" s="461"/>
      <c r="C25" s="460"/>
      <c r="D25" s="460"/>
      <c r="E25" s="460"/>
      <c r="F25" s="460"/>
      <c r="G25" s="460"/>
      <c r="H25" s="460"/>
      <c r="I25" s="460"/>
      <c r="J25" s="460"/>
      <c r="K25" s="460"/>
      <c r="L25" s="460"/>
      <c r="M25" s="460"/>
      <c r="N25" s="460"/>
      <c r="O25" s="460"/>
      <c r="P25" s="460"/>
      <c r="Q25" s="460"/>
      <c r="R25" s="460"/>
    </row>
    <row r="26" ht="15.0" customHeight="1">
      <c r="A26" s="463" t="s">
        <v>343</v>
      </c>
      <c r="B26" s="464">
        <f t="array" ref="B26">index(A26:R26,,match($A$3,$A$1:$R$1,0))</f>
        <v>0.1491343933</v>
      </c>
      <c r="C26" s="465">
        <f t="shared" ref="C26:R26" si="21">C24*C22</f>
        <v>0.1491343933</v>
      </c>
      <c r="D26" s="465">
        <f t="shared" si="21"/>
        <v>0.1491343933</v>
      </c>
      <c r="E26" s="465">
        <f t="shared" si="21"/>
        <v>0.1491343933</v>
      </c>
      <c r="F26" s="465">
        <f t="shared" si="21"/>
        <v>0.1491343933</v>
      </c>
      <c r="G26" s="465">
        <f t="shared" si="21"/>
        <v>0.1491343933</v>
      </c>
      <c r="H26" s="465">
        <f t="shared" si="21"/>
        <v>0.1491343933</v>
      </c>
      <c r="I26" s="465">
        <f t="shared" si="21"/>
        <v>0.1491343933</v>
      </c>
      <c r="J26" s="465">
        <f t="shared" si="21"/>
        <v>0.1491343933</v>
      </c>
      <c r="K26" s="465">
        <f t="shared" si="21"/>
        <v>0.1491343933</v>
      </c>
      <c r="L26" s="465">
        <f t="shared" si="21"/>
        <v>0.1491343933</v>
      </c>
      <c r="M26" s="465">
        <f t="shared" si="21"/>
        <v>0.1491343933</v>
      </c>
      <c r="N26" s="465">
        <f t="shared" si="21"/>
        <v>0.1491343933</v>
      </c>
      <c r="O26" s="465">
        <f t="shared" si="21"/>
        <v>0.1491343933</v>
      </c>
      <c r="P26" s="465">
        <f t="shared" si="21"/>
        <v>0.1491343933</v>
      </c>
      <c r="Q26" s="465">
        <f t="shared" si="21"/>
        <v>0.1491343933</v>
      </c>
      <c r="R26" s="465">
        <f t="shared" si="21"/>
        <v>0.1491343933</v>
      </c>
    </row>
    <row r="27" ht="13.5" customHeight="1">
      <c r="A27" s="120"/>
      <c r="B27" s="466"/>
      <c r="C27" s="467"/>
      <c r="D27" s="468"/>
      <c r="E27" s="468"/>
      <c r="F27" s="468"/>
      <c r="G27" s="468"/>
      <c r="H27" s="468"/>
      <c r="I27" s="468"/>
      <c r="J27" s="468"/>
      <c r="K27" s="468"/>
      <c r="L27" s="468"/>
      <c r="M27" s="468"/>
      <c r="N27" s="468"/>
      <c r="O27" s="468"/>
      <c r="P27" s="468"/>
      <c r="Q27" s="468"/>
      <c r="R27" s="468"/>
    </row>
    <row r="28" ht="13.5" customHeight="1">
      <c r="A28" s="439" t="s">
        <v>149</v>
      </c>
      <c r="B28" s="469"/>
      <c r="C28" s="469"/>
      <c r="D28" s="469"/>
      <c r="E28" s="469"/>
      <c r="F28" s="469"/>
      <c r="G28" s="469"/>
      <c r="H28" s="469"/>
      <c r="I28" s="469"/>
      <c r="J28" s="469"/>
      <c r="K28" s="469"/>
      <c r="L28" s="469"/>
      <c r="M28" s="469"/>
      <c r="N28" s="469"/>
      <c r="O28" s="469"/>
      <c r="P28" s="469"/>
      <c r="Q28" s="469"/>
      <c r="R28" s="469"/>
    </row>
    <row r="29" ht="13.5" customHeight="1">
      <c r="A29" s="120"/>
      <c r="B29" s="452"/>
      <c r="C29" s="452"/>
      <c r="D29" s="452"/>
      <c r="E29" s="452"/>
      <c r="F29" s="452"/>
      <c r="G29" s="452"/>
      <c r="H29" s="452"/>
      <c r="I29" s="452"/>
      <c r="J29" s="452"/>
      <c r="K29" s="452"/>
      <c r="L29" s="452"/>
      <c r="M29" s="452"/>
      <c r="N29" s="452"/>
      <c r="O29" s="452"/>
      <c r="P29" s="452"/>
      <c r="Q29" s="452"/>
      <c r="R29" s="452"/>
    </row>
    <row r="30" ht="13.5" customHeight="1">
      <c r="A30" s="94" t="s">
        <v>150</v>
      </c>
      <c r="B30" s="179">
        <f t="array" ref="B30">index(A30:R30,,match($A$3,$A$1:$R$1,0))</f>
        <v>1</v>
      </c>
      <c r="C30" s="180">
        <f>sum(D30:R30)</f>
        <v>1</v>
      </c>
      <c r="D30" s="47">
        <f t="shared" ref="D30:R30" si="22">D40*D42/sumproduct($D$40:$R$40,$D$42:$R$42)</f>
        <v>0.222115017</v>
      </c>
      <c r="E30" s="47">
        <f t="shared" si="22"/>
        <v>0.08424174728</v>
      </c>
      <c r="F30" s="47">
        <f t="shared" si="22"/>
        <v>0.07240933679</v>
      </c>
      <c r="G30" s="47">
        <f t="shared" si="22"/>
        <v>0.1759840728</v>
      </c>
      <c r="H30" s="47">
        <f t="shared" si="22"/>
        <v>0.0756388733</v>
      </c>
      <c r="I30" s="47">
        <f t="shared" si="22"/>
        <v>0.03581814719</v>
      </c>
      <c r="J30" s="47">
        <f t="shared" si="22"/>
        <v>0.3337928056</v>
      </c>
      <c r="K30" s="47">
        <f t="shared" si="22"/>
        <v>0</v>
      </c>
      <c r="L30" s="47">
        <f t="shared" si="22"/>
        <v>0</v>
      </c>
      <c r="M30" s="47">
        <f t="shared" si="22"/>
        <v>0</v>
      </c>
      <c r="N30" s="47">
        <f t="shared" si="22"/>
        <v>0</v>
      </c>
      <c r="O30" s="47">
        <f t="shared" si="22"/>
        <v>0</v>
      </c>
      <c r="P30" s="47">
        <f t="shared" si="22"/>
        <v>0</v>
      </c>
      <c r="Q30" s="47">
        <f t="shared" si="22"/>
        <v>0</v>
      </c>
      <c r="R30" s="47">
        <f t="shared" si="22"/>
        <v>0</v>
      </c>
    </row>
    <row r="31" ht="13.5" customHeight="1">
      <c r="A31" s="120"/>
      <c r="B31" s="452"/>
      <c r="C31" s="452"/>
      <c r="D31" s="452"/>
      <c r="E31" s="452"/>
      <c r="F31" s="452"/>
      <c r="G31" s="452"/>
      <c r="H31" s="452"/>
      <c r="I31" s="452"/>
      <c r="J31" s="452"/>
      <c r="K31" s="452"/>
      <c r="L31" s="452"/>
      <c r="M31" s="452"/>
      <c r="N31" s="452"/>
      <c r="O31" s="452"/>
      <c r="P31" s="452"/>
      <c r="Q31" s="452"/>
      <c r="R31" s="452"/>
    </row>
    <row r="32" ht="13.5" customHeight="1">
      <c r="A32" s="470" t="s">
        <v>344</v>
      </c>
      <c r="B32" s="471"/>
      <c r="C32" s="471"/>
      <c r="D32" s="471"/>
      <c r="E32" s="471"/>
      <c r="F32" s="471"/>
      <c r="G32" s="471"/>
      <c r="H32" s="471"/>
      <c r="I32" s="471"/>
      <c r="J32" s="471"/>
      <c r="K32" s="471"/>
      <c r="L32" s="471"/>
      <c r="M32" s="471"/>
      <c r="N32" s="471"/>
      <c r="O32" s="471"/>
      <c r="P32" s="471"/>
      <c r="Q32" s="471"/>
      <c r="R32" s="471"/>
    </row>
    <row r="33" ht="13.5" customHeight="1">
      <c r="A33" s="94"/>
      <c r="B33" s="472"/>
      <c r="C33" s="472"/>
      <c r="D33" s="472"/>
      <c r="E33" s="472"/>
      <c r="F33" s="472"/>
      <c r="G33" s="472"/>
      <c r="H33" s="472"/>
      <c r="I33" s="472"/>
      <c r="J33" s="472"/>
      <c r="K33" s="472"/>
      <c r="L33" s="472"/>
      <c r="M33" s="472"/>
      <c r="N33" s="472"/>
      <c r="O33" s="472"/>
      <c r="P33" s="472"/>
      <c r="Q33" s="472"/>
      <c r="R33" s="472"/>
    </row>
    <row r="34" ht="13.5" customHeight="1">
      <c r="A34" s="94" t="s">
        <v>153</v>
      </c>
      <c r="B34" s="473">
        <f t="shared" ref="B34:B42" si="24">index(A34:R34,,match($A$3,$A$1:$R$1,0))</f>
        <v>100000</v>
      </c>
      <c r="C34" s="474">
        <v>100000.0</v>
      </c>
      <c r="D34" s="475">
        <f t="shared" ref="D34:R34" si="23">if($C$34*D30&lt;&gt;0,$C$34*D30,0.01)</f>
        <v>22211.5017</v>
      </c>
      <c r="E34" s="475">
        <f t="shared" si="23"/>
        <v>8424.174728</v>
      </c>
      <c r="F34" s="475">
        <f t="shared" si="23"/>
        <v>7240.933679</v>
      </c>
      <c r="G34" s="475">
        <f t="shared" si="23"/>
        <v>17598.40728</v>
      </c>
      <c r="H34" s="475">
        <f t="shared" si="23"/>
        <v>7563.88733</v>
      </c>
      <c r="I34" s="475">
        <f t="shared" si="23"/>
        <v>3581.814719</v>
      </c>
      <c r="J34" s="475">
        <f t="shared" si="23"/>
        <v>33379.28056</v>
      </c>
      <c r="K34" s="475">
        <f t="shared" si="23"/>
        <v>0.01</v>
      </c>
      <c r="L34" s="475">
        <f t="shared" si="23"/>
        <v>0.01</v>
      </c>
      <c r="M34" s="475">
        <f t="shared" si="23"/>
        <v>0.01</v>
      </c>
      <c r="N34" s="475">
        <f t="shared" si="23"/>
        <v>0.01</v>
      </c>
      <c r="O34" s="475">
        <f t="shared" si="23"/>
        <v>0.01</v>
      </c>
      <c r="P34" s="475">
        <f t="shared" si="23"/>
        <v>0.01</v>
      </c>
      <c r="Q34" s="475">
        <f t="shared" si="23"/>
        <v>0.01</v>
      </c>
      <c r="R34" s="475">
        <f t="shared" si="23"/>
        <v>0.01</v>
      </c>
    </row>
    <row r="35" ht="1.5" customHeight="1">
      <c r="A35" s="476" t="s">
        <v>345</v>
      </c>
      <c r="B35" s="477">
        <f t="shared" si="24"/>
        <v>1</v>
      </c>
      <c r="C35" s="478">
        <v>1.0</v>
      </c>
      <c r="D35" s="479">
        <f t="shared" ref="D35:R35" si="25">$C$35</f>
        <v>1</v>
      </c>
      <c r="E35" s="479">
        <f t="shared" si="25"/>
        <v>1</v>
      </c>
      <c r="F35" s="479">
        <f t="shared" si="25"/>
        <v>1</v>
      </c>
      <c r="G35" s="479">
        <f t="shared" si="25"/>
        <v>1</v>
      </c>
      <c r="H35" s="479">
        <f t="shared" si="25"/>
        <v>1</v>
      </c>
      <c r="I35" s="479">
        <f t="shared" si="25"/>
        <v>1</v>
      </c>
      <c r="J35" s="479">
        <f t="shared" si="25"/>
        <v>1</v>
      </c>
      <c r="K35" s="479">
        <f t="shared" si="25"/>
        <v>1</v>
      </c>
      <c r="L35" s="479">
        <f t="shared" si="25"/>
        <v>1</v>
      </c>
      <c r="M35" s="479">
        <f t="shared" si="25"/>
        <v>1</v>
      </c>
      <c r="N35" s="479">
        <f t="shared" si="25"/>
        <v>1</v>
      </c>
      <c r="O35" s="479">
        <f t="shared" si="25"/>
        <v>1</v>
      </c>
      <c r="P35" s="479">
        <f t="shared" si="25"/>
        <v>1</v>
      </c>
      <c r="Q35" s="479">
        <f t="shared" si="25"/>
        <v>1</v>
      </c>
      <c r="R35" s="479">
        <f t="shared" si="25"/>
        <v>1</v>
      </c>
    </row>
    <row r="36" ht="12.0" customHeight="1">
      <c r="A36" s="200" t="s">
        <v>346</v>
      </c>
      <c r="B36" s="311">
        <f t="shared" si="24"/>
        <v>0.1272735484</v>
      </c>
      <c r="C36" s="480">
        <f>sumproduct(ifna(D36:R36,0),D42:R42)</f>
        <v>0.1272735484</v>
      </c>
      <c r="D36" s="31">
        <v>0.163</v>
      </c>
      <c r="E36" s="31">
        <v>0.026</v>
      </c>
      <c r="F36" s="31">
        <v>0.026</v>
      </c>
      <c r="G36" s="31">
        <v>0.188</v>
      </c>
      <c r="H36" s="31">
        <v>0.188</v>
      </c>
      <c r="I36" s="31">
        <v>0.188</v>
      </c>
      <c r="J36" s="31">
        <v>0.098</v>
      </c>
      <c r="K36" s="31">
        <v>0.099</v>
      </c>
      <c r="L36" s="31">
        <v>0.099</v>
      </c>
      <c r="M36" s="31">
        <v>0.099</v>
      </c>
      <c r="N36" s="481">
        <v>0.053</v>
      </c>
      <c r="O36" s="481">
        <v>0.082</v>
      </c>
      <c r="P36" s="481">
        <v>0.126</v>
      </c>
      <c r="Q36" s="481">
        <v>0.084</v>
      </c>
      <c r="R36" s="481">
        <v>0.072</v>
      </c>
    </row>
    <row r="37">
      <c r="A37" s="455" t="s">
        <v>347</v>
      </c>
      <c r="B37" s="482">
        <f t="shared" si="24"/>
        <v>0.01898086342</v>
      </c>
      <c r="C37" s="483">
        <f>$C$26*$C$35*C36</f>
        <v>0.01898086342</v>
      </c>
      <c r="D37" s="483">
        <f t="shared" ref="D37:R37" si="26">D26*D35*D36</f>
        <v>0.02430890611</v>
      </c>
      <c r="E37" s="483">
        <f t="shared" si="26"/>
        <v>0.003877494226</v>
      </c>
      <c r="F37" s="483">
        <f t="shared" si="26"/>
        <v>0.003877494226</v>
      </c>
      <c r="G37" s="483">
        <f t="shared" si="26"/>
        <v>0.02803726594</v>
      </c>
      <c r="H37" s="483">
        <f t="shared" si="26"/>
        <v>0.02803726594</v>
      </c>
      <c r="I37" s="483">
        <f t="shared" si="26"/>
        <v>0.02803726594</v>
      </c>
      <c r="J37" s="483">
        <f t="shared" si="26"/>
        <v>0.01461517055</v>
      </c>
      <c r="K37" s="483">
        <f t="shared" si="26"/>
        <v>0.01476430494</v>
      </c>
      <c r="L37" s="483">
        <f t="shared" si="26"/>
        <v>0.01476430494</v>
      </c>
      <c r="M37" s="483">
        <f t="shared" si="26"/>
        <v>0.01476430494</v>
      </c>
      <c r="N37" s="483">
        <f t="shared" si="26"/>
        <v>0.007904122846</v>
      </c>
      <c r="O37" s="483">
        <f t="shared" si="26"/>
        <v>0.01222902025</v>
      </c>
      <c r="P37" s="483">
        <f t="shared" si="26"/>
        <v>0.01879093356</v>
      </c>
      <c r="Q37" s="483">
        <f t="shared" si="26"/>
        <v>0.01252728904</v>
      </c>
      <c r="R37" s="483">
        <f t="shared" si="26"/>
        <v>0.01073767632</v>
      </c>
    </row>
    <row r="38" ht="1.5" customHeight="1">
      <c r="A38" s="462" t="s">
        <v>84</v>
      </c>
      <c r="B38" s="315">
        <f t="shared" si="24"/>
        <v>1.442695041</v>
      </c>
      <c r="C38" s="320">
        <f t="array" ref="C38">index('Moral weights'!$A$1:$ZG$33,match($A38,'Moral weights'!$A$1:$A$33,0),match(B$1,'Moral weights'!$A$1:$ZG1,0))</f>
        <v>1.442695041</v>
      </c>
      <c r="D38" s="320">
        <f t="shared" ref="D38:R38" si="27">$C$38</f>
        <v>1.442695041</v>
      </c>
      <c r="E38" s="320">
        <f t="shared" si="27"/>
        <v>1.442695041</v>
      </c>
      <c r="F38" s="320">
        <f t="shared" si="27"/>
        <v>1.442695041</v>
      </c>
      <c r="G38" s="320">
        <f t="shared" si="27"/>
        <v>1.442695041</v>
      </c>
      <c r="H38" s="320">
        <f t="shared" si="27"/>
        <v>1.442695041</v>
      </c>
      <c r="I38" s="320">
        <f t="shared" si="27"/>
        <v>1.442695041</v>
      </c>
      <c r="J38" s="320">
        <f t="shared" si="27"/>
        <v>1.442695041</v>
      </c>
      <c r="K38" s="320">
        <f t="shared" si="27"/>
        <v>1.442695041</v>
      </c>
      <c r="L38" s="320">
        <f t="shared" si="27"/>
        <v>1.442695041</v>
      </c>
      <c r="M38" s="320">
        <f t="shared" si="27"/>
        <v>1.442695041</v>
      </c>
      <c r="N38" s="320">
        <f t="shared" si="27"/>
        <v>1.442695041</v>
      </c>
      <c r="O38" s="320">
        <f t="shared" si="27"/>
        <v>1.442695041</v>
      </c>
      <c r="P38" s="320">
        <f t="shared" si="27"/>
        <v>1.442695041</v>
      </c>
      <c r="Q38" s="320">
        <f t="shared" si="27"/>
        <v>1.442695041</v>
      </c>
      <c r="R38" s="320">
        <f t="shared" si="27"/>
        <v>1.442695041</v>
      </c>
    </row>
    <row r="39">
      <c r="A39" s="484" t="s">
        <v>348</v>
      </c>
      <c r="B39" s="485">
        <f t="shared" si="24"/>
        <v>0.02738359753</v>
      </c>
      <c r="C39" s="486">
        <f>(C37*$C$38)</f>
        <v>0.02738359753</v>
      </c>
      <c r="D39" s="486">
        <f t="shared" ref="D39:R39" si="28">(D37*D38)</f>
        <v>0.0350703383</v>
      </c>
      <c r="E39" s="486">
        <f t="shared" si="28"/>
        <v>0.005594041691</v>
      </c>
      <c r="F39" s="486">
        <f t="shared" si="28"/>
        <v>0.005594041691</v>
      </c>
      <c r="G39" s="486">
        <f t="shared" si="28"/>
        <v>0.04044922454</v>
      </c>
      <c r="H39" s="486">
        <f t="shared" si="28"/>
        <v>0.04044922454</v>
      </c>
      <c r="I39" s="486">
        <f t="shared" si="28"/>
        <v>0.04044922454</v>
      </c>
      <c r="J39" s="486">
        <f t="shared" si="28"/>
        <v>0.02108523407</v>
      </c>
      <c r="K39" s="486">
        <f t="shared" si="28"/>
        <v>0.02130038952</v>
      </c>
      <c r="L39" s="486">
        <f t="shared" si="28"/>
        <v>0.02130038952</v>
      </c>
      <c r="M39" s="486">
        <f t="shared" si="28"/>
        <v>0.02130038952</v>
      </c>
      <c r="N39" s="486">
        <f t="shared" si="28"/>
        <v>0.01140323883</v>
      </c>
      <c r="O39" s="486">
        <f t="shared" si="28"/>
        <v>0.01764274687</v>
      </c>
      <c r="P39" s="486">
        <f t="shared" si="28"/>
        <v>0.02710958666</v>
      </c>
      <c r="Q39" s="486">
        <f t="shared" si="28"/>
        <v>0.01807305777</v>
      </c>
      <c r="R39" s="486">
        <f t="shared" si="28"/>
        <v>0.01549119238</v>
      </c>
    </row>
    <row r="40">
      <c r="A40" s="487" t="s">
        <v>349</v>
      </c>
      <c r="B40" s="488">
        <f t="shared" si="24"/>
        <v>0.4964078384</v>
      </c>
      <c r="C40" s="489">
        <f>C34/C41</f>
        <v>0.4964078384</v>
      </c>
      <c r="D40" s="490">
        <v>0.34044323955685857</v>
      </c>
      <c r="E40" s="490">
        <v>0.3208828501553262</v>
      </c>
      <c r="F40" s="490">
        <v>0.3571416339660987</v>
      </c>
      <c r="G40" s="490">
        <v>0.6637640193236581</v>
      </c>
      <c r="H40" s="490">
        <v>0.3730705458527585</v>
      </c>
      <c r="I40" s="490">
        <v>0.4052889041508185</v>
      </c>
      <c r="J40" s="490">
        <v>0.9802710803548089</v>
      </c>
      <c r="K40" s="490">
        <v>0.37124267962592633</v>
      </c>
      <c r="L40" s="490">
        <v>0.33136169133351273</v>
      </c>
      <c r="M40" s="490">
        <v>0.37124267962592633</v>
      </c>
      <c r="N40" s="490">
        <v>0.9802710803548089</v>
      </c>
      <c r="O40" s="490">
        <v>1.0337986829267785</v>
      </c>
      <c r="P40" s="490">
        <v>2.0332656425701328</v>
      </c>
      <c r="Q40" s="490">
        <v>1.1550731687679072</v>
      </c>
      <c r="R40" s="490">
        <v>0.6910139835235976</v>
      </c>
    </row>
    <row r="41">
      <c r="A41" s="487" t="s">
        <v>350</v>
      </c>
      <c r="B41" s="295">
        <f t="shared" si="24"/>
        <v>201447.2622</v>
      </c>
      <c r="C41" s="270">
        <f>sum(D41:M41)</f>
        <v>201447.2622</v>
      </c>
      <c r="D41" s="270">
        <f t="shared" ref="D41:R41" si="29">D34/D40</f>
        <v>65242.89255</v>
      </c>
      <c r="E41" s="270">
        <f t="shared" si="29"/>
        <v>26253.11613</v>
      </c>
      <c r="F41" s="270">
        <f t="shared" si="29"/>
        <v>20274.68374</v>
      </c>
      <c r="G41" s="270">
        <f t="shared" si="29"/>
        <v>26513.04797</v>
      </c>
      <c r="H41" s="270">
        <f t="shared" si="29"/>
        <v>20274.68374</v>
      </c>
      <c r="I41" s="270">
        <f t="shared" si="29"/>
        <v>8837.682656</v>
      </c>
      <c r="J41" s="270">
        <f t="shared" si="29"/>
        <v>34051.07141</v>
      </c>
      <c r="K41" s="270">
        <f t="shared" si="29"/>
        <v>0.02693655808</v>
      </c>
      <c r="L41" s="270">
        <f t="shared" si="29"/>
        <v>0.03017850362</v>
      </c>
      <c r="M41" s="270">
        <f t="shared" si="29"/>
        <v>0.02693655808</v>
      </c>
      <c r="N41" s="270">
        <f t="shared" si="29"/>
        <v>0.01020125984</v>
      </c>
      <c r="O41" s="270">
        <f t="shared" si="29"/>
        <v>0.009673063204</v>
      </c>
      <c r="P41" s="270">
        <f t="shared" si="29"/>
        <v>0.004918196516</v>
      </c>
      <c r="Q41" s="270">
        <f t="shared" si="29"/>
        <v>0.008657460212</v>
      </c>
      <c r="R41" s="270">
        <f t="shared" si="29"/>
        <v>0.01447148717</v>
      </c>
    </row>
    <row r="42">
      <c r="A42" s="487" t="s">
        <v>351</v>
      </c>
      <c r="B42" s="179">
        <f t="shared" si="24"/>
        <v>1</v>
      </c>
      <c r="C42" s="33">
        <f>sum(D42:ZZ42)</f>
        <v>1</v>
      </c>
      <c r="D42" s="31">
        <f>0.251/0.775</f>
        <v>0.3238709677</v>
      </c>
      <c r="E42" s="31">
        <f>0.101/0.775</f>
        <v>0.1303225806</v>
      </c>
      <c r="F42" s="31">
        <f>0.078/0.775</f>
        <v>0.1006451613</v>
      </c>
      <c r="G42" s="31">
        <f>0.102/0.775</f>
        <v>0.1316129032</v>
      </c>
      <c r="H42" s="31">
        <f>0.078/0.775</f>
        <v>0.1006451613</v>
      </c>
      <c r="I42" s="31">
        <f>0.034/0.775</f>
        <v>0.04387096774</v>
      </c>
      <c r="J42" s="31">
        <f>0.131/0.775</f>
        <v>0.1690322581</v>
      </c>
      <c r="K42" s="31">
        <v>0.0</v>
      </c>
      <c r="L42" s="31">
        <v>0.0</v>
      </c>
      <c r="M42" s="31">
        <v>0.0</v>
      </c>
      <c r="N42" s="31">
        <v>0.0</v>
      </c>
      <c r="O42" s="31">
        <v>0.0</v>
      </c>
      <c r="P42" s="31">
        <v>0.0</v>
      </c>
      <c r="Q42" s="31">
        <v>0.0</v>
      </c>
      <c r="R42" s="31">
        <v>0.0</v>
      </c>
    </row>
    <row r="43">
      <c r="A43" s="120"/>
      <c r="B43" s="491"/>
      <c r="C43" s="120"/>
      <c r="D43" s="423"/>
      <c r="E43" s="423"/>
      <c r="F43" s="423"/>
      <c r="G43" s="423"/>
      <c r="H43" s="423"/>
      <c r="I43" s="423"/>
      <c r="J43" s="423"/>
      <c r="K43" s="423"/>
      <c r="L43" s="423"/>
      <c r="M43" s="423"/>
      <c r="N43" s="423"/>
      <c r="O43" s="423"/>
      <c r="P43" s="423"/>
      <c r="Q43" s="423"/>
      <c r="R43" s="423"/>
    </row>
    <row r="44">
      <c r="A44" s="291" t="s">
        <v>352</v>
      </c>
      <c r="B44" s="265"/>
      <c r="C44" s="266"/>
      <c r="D44" s="266"/>
      <c r="E44" s="266"/>
      <c r="F44" s="266"/>
      <c r="G44" s="266"/>
      <c r="H44" s="266"/>
      <c r="I44" s="266"/>
      <c r="J44" s="266"/>
      <c r="K44" s="266"/>
      <c r="L44" s="266"/>
      <c r="M44" s="266"/>
      <c r="N44" s="266"/>
      <c r="O44" s="266"/>
      <c r="P44" s="266"/>
      <c r="Q44" s="266"/>
      <c r="R44" s="266"/>
    </row>
    <row r="45">
      <c r="A45" s="94"/>
      <c r="B45" s="491"/>
      <c r="C45" s="120"/>
      <c r="D45" s="120"/>
      <c r="E45" s="120"/>
      <c r="F45" s="120"/>
      <c r="G45" s="120"/>
      <c r="H45" s="120"/>
      <c r="I45" s="120"/>
      <c r="J45" s="120"/>
      <c r="K45" s="120"/>
      <c r="L45" s="120"/>
      <c r="M45" s="120"/>
      <c r="N45" s="120"/>
      <c r="O45" s="120"/>
      <c r="P45" s="120"/>
      <c r="Q45" s="120"/>
      <c r="R45" s="120"/>
    </row>
    <row r="46">
      <c r="A46" s="94" t="s">
        <v>353</v>
      </c>
      <c r="B46" s="492">
        <f t="array" ref="B46">index(A46:R46,,match($A$3,$A$1:$R$1,0))</f>
        <v>0.009679153355</v>
      </c>
      <c r="C46" s="493">
        <f t="shared" ref="C46:R46" si="30">product(C11:C13,C36)</f>
        <v>0.009679153355</v>
      </c>
      <c r="D46" s="493">
        <f t="shared" si="30"/>
        <v>0.01239615</v>
      </c>
      <c r="E46" s="493">
        <f t="shared" si="30"/>
        <v>0.0019773</v>
      </c>
      <c r="F46" s="493">
        <f t="shared" si="30"/>
        <v>0.0019773</v>
      </c>
      <c r="G46" s="493">
        <f t="shared" si="30"/>
        <v>0.0142974</v>
      </c>
      <c r="H46" s="493">
        <f t="shared" si="30"/>
        <v>0.0142974</v>
      </c>
      <c r="I46" s="493">
        <f t="shared" si="30"/>
        <v>0.0142974</v>
      </c>
      <c r="J46" s="493">
        <f t="shared" si="30"/>
        <v>0.0074529</v>
      </c>
      <c r="K46" s="493">
        <f t="shared" si="30"/>
        <v>0.00752895</v>
      </c>
      <c r="L46" s="493">
        <f t="shared" si="30"/>
        <v>0.00752895</v>
      </c>
      <c r="M46" s="493">
        <f t="shared" si="30"/>
        <v>0.00752895</v>
      </c>
      <c r="N46" s="493">
        <f t="shared" si="30"/>
        <v>0.0001995329819</v>
      </c>
      <c r="O46" s="493">
        <f t="shared" si="30"/>
        <v>0.000308711406</v>
      </c>
      <c r="P46" s="493">
        <f t="shared" si="30"/>
        <v>0.0004743614288</v>
      </c>
      <c r="Q46" s="493">
        <f t="shared" si="30"/>
        <v>0.0003162409525</v>
      </c>
      <c r="R46" s="493">
        <f t="shared" si="30"/>
        <v>0.0002710636736</v>
      </c>
    </row>
    <row r="47">
      <c r="A47" s="120"/>
      <c r="B47" s="491"/>
      <c r="C47" s="120"/>
      <c r="D47" s="423"/>
      <c r="E47" s="423"/>
      <c r="F47" s="423"/>
      <c r="G47" s="423"/>
      <c r="H47" s="423"/>
      <c r="I47" s="423"/>
      <c r="J47" s="423"/>
      <c r="K47" s="423"/>
      <c r="L47" s="423"/>
      <c r="M47" s="423"/>
      <c r="N47" s="423"/>
      <c r="O47" s="423"/>
      <c r="P47" s="423"/>
      <c r="Q47" s="423"/>
      <c r="R47" s="423"/>
    </row>
    <row r="48">
      <c r="A48" s="291" t="s">
        <v>354</v>
      </c>
      <c r="B48" s="265"/>
      <c r="C48" s="266"/>
      <c r="D48" s="266"/>
      <c r="E48" s="266"/>
      <c r="F48" s="266"/>
      <c r="G48" s="266"/>
      <c r="H48" s="266"/>
      <c r="I48" s="266"/>
      <c r="J48" s="266"/>
      <c r="K48" s="266"/>
      <c r="L48" s="266"/>
      <c r="M48" s="266"/>
      <c r="N48" s="266"/>
      <c r="O48" s="266"/>
      <c r="P48" s="266"/>
      <c r="Q48" s="266"/>
      <c r="R48" s="266"/>
    </row>
    <row r="49">
      <c r="A49" s="94"/>
      <c r="B49" s="491"/>
      <c r="C49" s="120"/>
      <c r="D49" s="120"/>
      <c r="E49" s="120"/>
      <c r="F49" s="120"/>
      <c r="G49" s="120"/>
      <c r="H49" s="120"/>
      <c r="I49" s="120"/>
      <c r="J49" s="120"/>
      <c r="K49" s="120"/>
      <c r="L49" s="120"/>
      <c r="M49" s="120"/>
      <c r="N49" s="120"/>
      <c r="O49" s="120"/>
      <c r="P49" s="120"/>
      <c r="Q49" s="120"/>
      <c r="R49" s="120"/>
    </row>
    <row r="50">
      <c r="A50" s="494" t="str">
        <f t="shared" ref="A50:A51" si="32">A37</f>
        <v>Present value of lifetime benefits from a year of deworming — in terms of increases in ln(consumption) — DtW</v>
      </c>
      <c r="B50" s="495">
        <f t="shared" ref="B50:B54" si="33">index(A50:R50,,match($A$3,$A$1:$R$1,0))</f>
        <v>0.01898086342</v>
      </c>
      <c r="C50" s="496">
        <f t="shared" ref="C50:R50" si="31">C37</f>
        <v>0.01898086342</v>
      </c>
      <c r="D50" s="496">
        <f t="shared" si="31"/>
        <v>0.02430890611</v>
      </c>
      <c r="E50" s="496">
        <f t="shared" si="31"/>
        <v>0.003877494226</v>
      </c>
      <c r="F50" s="496">
        <f t="shared" si="31"/>
        <v>0.003877494226</v>
      </c>
      <c r="G50" s="496">
        <f t="shared" si="31"/>
        <v>0.02803726594</v>
      </c>
      <c r="H50" s="496">
        <f t="shared" si="31"/>
        <v>0.02803726594</v>
      </c>
      <c r="I50" s="496">
        <f t="shared" si="31"/>
        <v>0.02803726594</v>
      </c>
      <c r="J50" s="496">
        <f t="shared" si="31"/>
        <v>0.01461517055</v>
      </c>
      <c r="K50" s="496">
        <f t="shared" si="31"/>
        <v>0.01476430494</v>
      </c>
      <c r="L50" s="496">
        <f t="shared" si="31"/>
        <v>0.01476430494</v>
      </c>
      <c r="M50" s="496">
        <f t="shared" si="31"/>
        <v>0.01476430494</v>
      </c>
      <c r="N50" s="496">
        <f t="shared" si="31"/>
        <v>0.007904122846</v>
      </c>
      <c r="O50" s="496">
        <f t="shared" si="31"/>
        <v>0.01222902025</v>
      </c>
      <c r="P50" s="496">
        <f t="shared" si="31"/>
        <v>0.01879093356</v>
      </c>
      <c r="Q50" s="496">
        <f t="shared" si="31"/>
        <v>0.01252728904</v>
      </c>
      <c r="R50" s="496">
        <f t="shared" si="31"/>
        <v>0.01073767632</v>
      </c>
    </row>
    <row r="51">
      <c r="A51" s="497" t="str">
        <f t="shared" si="32"/>
        <v>Value assigned to increasing ln(consumption) by one unit for one person for one year</v>
      </c>
      <c r="B51" s="498">
        <f t="shared" si="33"/>
        <v>1.442695041</v>
      </c>
      <c r="C51" s="499">
        <f t="shared" ref="C51:R51" si="34">C38</f>
        <v>1.442695041</v>
      </c>
      <c r="D51" s="499">
        <f t="shared" si="34"/>
        <v>1.442695041</v>
      </c>
      <c r="E51" s="499">
        <f t="shared" si="34"/>
        <v>1.442695041</v>
      </c>
      <c r="F51" s="499">
        <f t="shared" si="34"/>
        <v>1.442695041</v>
      </c>
      <c r="G51" s="499">
        <f t="shared" si="34"/>
        <v>1.442695041</v>
      </c>
      <c r="H51" s="499">
        <f t="shared" si="34"/>
        <v>1.442695041</v>
      </c>
      <c r="I51" s="499">
        <f t="shared" si="34"/>
        <v>1.442695041</v>
      </c>
      <c r="J51" s="499">
        <f t="shared" si="34"/>
        <v>1.442695041</v>
      </c>
      <c r="K51" s="499">
        <f t="shared" si="34"/>
        <v>1.442695041</v>
      </c>
      <c r="L51" s="499">
        <f t="shared" si="34"/>
        <v>1.442695041</v>
      </c>
      <c r="M51" s="499">
        <f t="shared" si="34"/>
        <v>1.442695041</v>
      </c>
      <c r="N51" s="499">
        <f t="shared" si="34"/>
        <v>1.442695041</v>
      </c>
      <c r="O51" s="499">
        <f t="shared" si="34"/>
        <v>1.442695041</v>
      </c>
      <c r="P51" s="499">
        <f t="shared" si="34"/>
        <v>1.442695041</v>
      </c>
      <c r="Q51" s="499">
        <f t="shared" si="34"/>
        <v>1.442695041</v>
      </c>
      <c r="R51" s="499">
        <f t="shared" si="34"/>
        <v>1.442695041</v>
      </c>
    </row>
    <row r="52">
      <c r="A52" s="500" t="str">
        <f>A41</f>
        <v>Total number of children dewormed (per year) with hypothetical donation ($100,000) — DtW</v>
      </c>
      <c r="B52" s="501">
        <f t="shared" si="33"/>
        <v>201447.2622</v>
      </c>
      <c r="C52" s="502">
        <f t="shared" ref="C52:R52" si="35">C41</f>
        <v>201447.2622</v>
      </c>
      <c r="D52" s="502">
        <f t="shared" si="35"/>
        <v>65242.89255</v>
      </c>
      <c r="E52" s="502">
        <f t="shared" si="35"/>
        <v>26253.11613</v>
      </c>
      <c r="F52" s="502">
        <f t="shared" si="35"/>
        <v>20274.68374</v>
      </c>
      <c r="G52" s="502">
        <f t="shared" si="35"/>
        <v>26513.04797</v>
      </c>
      <c r="H52" s="502">
        <f t="shared" si="35"/>
        <v>20274.68374</v>
      </c>
      <c r="I52" s="502">
        <f t="shared" si="35"/>
        <v>8837.682656</v>
      </c>
      <c r="J52" s="502">
        <f t="shared" si="35"/>
        <v>34051.07141</v>
      </c>
      <c r="K52" s="502">
        <f t="shared" si="35"/>
        <v>0.02693655808</v>
      </c>
      <c r="L52" s="502">
        <f t="shared" si="35"/>
        <v>0.03017850362</v>
      </c>
      <c r="M52" s="502">
        <f t="shared" si="35"/>
        <v>0.02693655808</v>
      </c>
      <c r="N52" s="502">
        <f t="shared" si="35"/>
        <v>0.01020125984</v>
      </c>
      <c r="O52" s="502">
        <f t="shared" si="35"/>
        <v>0.009673063204</v>
      </c>
      <c r="P52" s="502">
        <f t="shared" si="35"/>
        <v>0.004918196516</v>
      </c>
      <c r="Q52" s="502">
        <f t="shared" si="35"/>
        <v>0.008657460212</v>
      </c>
      <c r="R52" s="502">
        <f t="shared" si="35"/>
        <v>0.01447148717</v>
      </c>
    </row>
    <row r="53">
      <c r="A53" s="503" t="s">
        <v>237</v>
      </c>
      <c r="B53" s="504">
        <f t="shared" si="33"/>
        <v>5516.351043</v>
      </c>
      <c r="C53" s="505">
        <f>sum(ifna(D53:ZZ53,0))</f>
        <v>5516.351043</v>
      </c>
      <c r="D53" s="505">
        <f t="shared" ref="D53:R53" si="36">product(D50:D52)</f>
        <v>2288.090313</v>
      </c>
      <c r="E53" s="505">
        <f t="shared" si="36"/>
        <v>146.8610261</v>
      </c>
      <c r="F53" s="505">
        <f t="shared" si="36"/>
        <v>113.4174261</v>
      </c>
      <c r="G53" s="505">
        <f t="shared" si="36"/>
        <v>1072.43223</v>
      </c>
      <c r="H53" s="505">
        <f t="shared" si="36"/>
        <v>820.0952351</v>
      </c>
      <c r="I53" s="505">
        <f t="shared" si="36"/>
        <v>357.4774102</v>
      </c>
      <c r="J53" s="505">
        <f t="shared" si="36"/>
        <v>717.974811</v>
      </c>
      <c r="K53" s="505">
        <f t="shared" si="36"/>
        <v>0.0005737591793</v>
      </c>
      <c r="L53" s="505">
        <f t="shared" si="36"/>
        <v>0.000642813882</v>
      </c>
      <c r="M53" s="505">
        <f t="shared" si="36"/>
        <v>0.0005737591793</v>
      </c>
      <c r="N53" s="505">
        <f t="shared" si="36"/>
        <v>0.0001163274023</v>
      </c>
      <c r="O53" s="505">
        <f t="shared" si="36"/>
        <v>0.0001706594056</v>
      </c>
      <c r="P53" s="505">
        <f t="shared" si="36"/>
        <v>0.0001333302747</v>
      </c>
      <c r="Q53" s="505">
        <f t="shared" si="36"/>
        <v>0.0001564667786</v>
      </c>
      <c r="R53" s="505">
        <f t="shared" si="36"/>
        <v>0.0002241805918</v>
      </c>
    </row>
    <row r="54">
      <c r="A54" s="506" t="s">
        <v>238</v>
      </c>
      <c r="B54" s="295">
        <f t="shared" si="33"/>
        <v>5516.351043</v>
      </c>
      <c r="C54" s="429">
        <f t="shared" ref="C54:R54" si="37">$C34/C34*C53</f>
        <v>5516.351043</v>
      </c>
      <c r="D54" s="429">
        <f t="shared" si="37"/>
        <v>10301.37604</v>
      </c>
      <c r="E54" s="429">
        <f t="shared" si="37"/>
        <v>1743.328348</v>
      </c>
      <c r="F54" s="429">
        <f t="shared" si="37"/>
        <v>1566.337038</v>
      </c>
      <c r="G54" s="429">
        <f t="shared" si="37"/>
        <v>6093.916416</v>
      </c>
      <c r="H54" s="429">
        <f t="shared" si="37"/>
        <v>10842.24552</v>
      </c>
      <c r="I54" s="429">
        <f t="shared" si="37"/>
        <v>9980.343435</v>
      </c>
      <c r="J54" s="429">
        <f t="shared" si="37"/>
        <v>2150.959514</v>
      </c>
      <c r="K54" s="429">
        <f t="shared" si="37"/>
        <v>5737.591793</v>
      </c>
      <c r="L54" s="429">
        <f t="shared" si="37"/>
        <v>6428.13882</v>
      </c>
      <c r="M54" s="429">
        <f t="shared" si="37"/>
        <v>5737.591793</v>
      </c>
      <c r="N54" s="429">
        <f t="shared" si="37"/>
        <v>1163.274023</v>
      </c>
      <c r="O54" s="429">
        <f t="shared" si="37"/>
        <v>1706.594056</v>
      </c>
      <c r="P54" s="429">
        <f t="shared" si="37"/>
        <v>1333.302747</v>
      </c>
      <c r="Q54" s="429">
        <f t="shared" si="37"/>
        <v>1564.667786</v>
      </c>
      <c r="R54" s="429">
        <f t="shared" si="37"/>
        <v>2241.805918</v>
      </c>
    </row>
    <row r="55">
      <c r="A55" s="452"/>
      <c r="B55" s="507"/>
      <c r="C55" s="452"/>
      <c r="D55" s="452"/>
      <c r="E55" s="452"/>
      <c r="F55" s="452"/>
      <c r="G55" s="452"/>
      <c r="H55" s="452"/>
      <c r="I55" s="452"/>
      <c r="J55" s="452"/>
      <c r="K55" s="452"/>
      <c r="L55" s="452"/>
      <c r="M55" s="452"/>
      <c r="N55" s="452"/>
      <c r="O55" s="452"/>
      <c r="P55" s="452"/>
      <c r="Q55" s="452"/>
      <c r="R55" s="452"/>
    </row>
    <row r="56">
      <c r="A56" s="325" t="s">
        <v>239</v>
      </c>
      <c r="B56" s="508">
        <f t="array" ref="B56">index(C56:AA56,,match($A$3,$C$1:$AA$1,0))</f>
        <v>16.03475665</v>
      </c>
      <c r="C56" s="421">
        <f t="array" ref="C56">C54/index(Cash!$B:$B,match("Total units of value generated with hypothetical donation ($100,000)",Cash!$A:$A,0))</f>
        <v>16.03475665</v>
      </c>
      <c r="D56" s="421">
        <f t="array" ref="D56">D54/index(Cash!$B:$B,match("Total units of value generated with hypothetical donation ($100,000)",Cash!$A:$A,0))</f>
        <v>29.94371761</v>
      </c>
      <c r="E56" s="421">
        <f t="array" ref="E56">E54/index(Cash!$B:$B,match("Total units of value generated with hypothetical donation ($100,000)",Cash!$A:$A,0))</f>
        <v>5.067452308</v>
      </c>
      <c r="F56" s="421">
        <f t="array" ref="F56">F54/index(Cash!$B:$B,match("Total units of value generated with hypothetical donation ($100,000)",Cash!$A:$A,0))</f>
        <v>4.552979504</v>
      </c>
      <c r="G56" s="421">
        <f t="array" ref="G56">G54/index(Cash!$B:$B,match("Total units of value generated with hypothetical donation ($100,000)",Cash!$A:$A,0))</f>
        <v>17.71360561</v>
      </c>
      <c r="H56" s="421">
        <f t="array" ref="H56">H54/index(Cash!$B:$B,match("Total units of value generated with hypothetical donation ($100,000)",Cash!$A:$A,0))</f>
        <v>31.51590011</v>
      </c>
      <c r="I56" s="421">
        <f t="array" ref="I56">I54/index(Cash!$B:$B,match("Total units of value generated with hypothetical donation ($100,000)",Cash!$A:$A,0))</f>
        <v>29.01055009</v>
      </c>
      <c r="J56" s="421">
        <f t="array" ref="J56">J54/index(Cash!$B:$B,match("Total units of value generated with hypothetical donation ($100,000)",Cash!$A:$A,0))</f>
        <v>6.25234183</v>
      </c>
      <c r="K56" s="421">
        <f t="array" ref="K56">K54/index(Cash!$B:$B,match("Total units of value generated with hypothetical donation ($100,000)",Cash!$A:$A,0))</f>
        <v>16.67785234</v>
      </c>
      <c r="L56" s="421">
        <f t="array" ref="L56">L54/index(Cash!$B:$B,match("Total units of value generated with hypothetical donation ($100,000)",Cash!$A:$A,0))</f>
        <v>18.68511284</v>
      </c>
      <c r="M56" s="421">
        <f t="array" ref="M56">M54/index(Cash!$B:$B,match("Total units of value generated with hypothetical donation ($100,000)",Cash!$A:$A,0))</f>
        <v>16.67785234</v>
      </c>
      <c r="N56" s="421">
        <f t="array" ref="N56">N54/index(Cash!$B:$B,match("Total units of value generated with hypothetical donation ($100,000)",Cash!$A:$A,0))</f>
        <v>3.381368541</v>
      </c>
      <c r="O56" s="421">
        <f t="array" ref="O56">O54/index(Cash!$B:$B,match("Total units of value generated with hypothetical donation ($100,000)",Cash!$A:$A,0))</f>
        <v>4.960674216</v>
      </c>
      <c r="P56" s="421">
        <f t="array" ref="P56">P54/index(Cash!$B:$B,match("Total units of value generated with hypothetical donation ($100,000)",Cash!$A:$A,0))</f>
        <v>3.875602716</v>
      </c>
      <c r="Q56" s="421">
        <f t="array" ref="Q56">Q54/index(Cash!$B:$B,match("Total units of value generated with hypothetical donation ($100,000)",Cash!$A:$A,0))</f>
        <v>4.548127373</v>
      </c>
      <c r="R56" s="421">
        <f t="array" ref="R56">R54/index(Cash!$B:$B,match("Total units of value generated with hypothetical donation ($100,000)",Cash!$A:$A,0))</f>
        <v>6.516411314</v>
      </c>
    </row>
    <row r="57">
      <c r="A57" s="120"/>
      <c r="B57" s="491"/>
      <c r="C57" s="120"/>
      <c r="D57" s="120"/>
      <c r="E57" s="120"/>
      <c r="F57" s="120"/>
      <c r="G57" s="120"/>
      <c r="H57" s="120"/>
      <c r="I57" s="120"/>
      <c r="J57" s="120"/>
      <c r="K57" s="120"/>
      <c r="L57" s="120"/>
      <c r="M57" s="120"/>
      <c r="N57" s="120"/>
      <c r="O57" s="120"/>
      <c r="P57" s="120"/>
      <c r="Q57" s="120"/>
      <c r="R57" s="120"/>
    </row>
    <row r="58">
      <c r="A58" s="291" t="s">
        <v>240</v>
      </c>
      <c r="B58" s="265"/>
      <c r="C58" s="266"/>
      <c r="D58" s="266"/>
      <c r="E58" s="266"/>
      <c r="F58" s="266"/>
      <c r="G58" s="266"/>
      <c r="H58" s="266"/>
      <c r="I58" s="266"/>
      <c r="J58" s="266"/>
      <c r="K58" s="266"/>
      <c r="L58" s="266"/>
      <c r="M58" s="266"/>
      <c r="N58" s="266"/>
      <c r="O58" s="266"/>
      <c r="P58" s="266"/>
      <c r="Q58" s="266"/>
      <c r="R58" s="266"/>
    </row>
    <row r="59" outlineLevel="1">
      <c r="A59" s="310"/>
      <c r="B59" s="491"/>
      <c r="C59" s="120"/>
      <c r="D59" s="120"/>
      <c r="E59" s="120"/>
      <c r="F59" s="120"/>
      <c r="G59" s="468"/>
      <c r="H59" s="468"/>
      <c r="I59" s="468"/>
      <c r="J59" s="468"/>
      <c r="K59" s="468"/>
      <c r="L59" s="468"/>
      <c r="M59" s="468"/>
      <c r="N59" s="467"/>
      <c r="O59" s="468"/>
      <c r="P59" s="468"/>
      <c r="Q59" s="468"/>
      <c r="R59" s="468"/>
    </row>
    <row r="60" outlineLevel="1">
      <c r="A60" s="509" t="s">
        <v>355</v>
      </c>
      <c r="B60" s="491"/>
      <c r="C60" s="120"/>
      <c r="D60" s="120"/>
      <c r="E60" s="120"/>
      <c r="F60" s="120"/>
      <c r="G60" s="468"/>
      <c r="H60" s="468"/>
      <c r="I60" s="468"/>
      <c r="J60" s="468"/>
      <c r="K60" s="468"/>
      <c r="L60" s="468"/>
      <c r="M60" s="468"/>
      <c r="N60" s="467"/>
      <c r="O60" s="468"/>
      <c r="P60" s="468"/>
      <c r="Q60" s="468"/>
      <c r="R60" s="468"/>
    </row>
    <row r="61" outlineLevel="1">
      <c r="A61" s="460" t="s">
        <v>356</v>
      </c>
      <c r="B61" s="488">
        <f t="shared" ref="B61:B66" si="38">index(A61:R61,,match($A$3,$A$1:$R$1,0))</f>
        <v>0.2988828421</v>
      </c>
      <c r="C61" s="510">
        <f t="shared" ref="C61:C64" si="39">sumproduct(D61:Z61,D$30:Z$30)</f>
        <v>0.2988828421</v>
      </c>
      <c r="D61" s="490">
        <v>0.032554334485121864</v>
      </c>
      <c r="E61" s="490">
        <v>0.025738740795444984</v>
      </c>
      <c r="F61" s="490">
        <v>0.03638150769650419</v>
      </c>
      <c r="G61" s="490">
        <v>0.4195302129372591</v>
      </c>
      <c r="H61" s="490">
        <v>0.03996726731992411</v>
      </c>
      <c r="I61" s="490">
        <v>0.0835643197723452</v>
      </c>
      <c r="J61" s="490">
        <v>0.6201528643616371</v>
      </c>
      <c r="K61" s="490">
        <v>0.04682312236327673</v>
      </c>
      <c r="L61" s="490">
        <v>0.020639538894211416</v>
      </c>
      <c r="M61" s="490">
        <v>0.04682312236327673</v>
      </c>
      <c r="N61" s="490">
        <v>0.6201528643616371</v>
      </c>
      <c r="O61" s="490">
        <v>0.6343617874675568</v>
      </c>
      <c r="P61" s="490">
        <v>1.3399085376008497</v>
      </c>
      <c r="Q61" s="490">
        <v>0.7229590110334398</v>
      </c>
      <c r="R61" s="490">
        <v>0.4426757811094105</v>
      </c>
    </row>
    <row r="62" outlineLevel="1">
      <c r="A62" s="460" t="s">
        <v>357</v>
      </c>
      <c r="B62" s="488">
        <f t="shared" si="38"/>
        <v>0.2581124019</v>
      </c>
      <c r="C62" s="510">
        <f t="shared" si="39"/>
        <v>0.2581124019</v>
      </c>
      <c r="D62" s="490">
        <v>0.2547953570433323</v>
      </c>
      <c r="E62" s="490">
        <v>0.2547953570433323</v>
      </c>
      <c r="F62" s="490">
        <v>0.2547953570433322</v>
      </c>
      <c r="G62" s="490">
        <v>0.1991292057970975</v>
      </c>
      <c r="H62" s="490">
        <v>0.2547953570433322</v>
      </c>
      <c r="I62" s="490">
        <v>0.2547953570433323</v>
      </c>
      <c r="J62" s="490">
        <v>0.29408140706586466</v>
      </c>
      <c r="K62" s="490">
        <v>0.2547953570433323</v>
      </c>
      <c r="L62" s="490">
        <v>0.25479535704333234</v>
      </c>
      <c r="M62" s="490">
        <v>0.2547953570433323</v>
      </c>
      <c r="N62" s="490">
        <v>0.29408140706586466</v>
      </c>
      <c r="O62" s="490">
        <v>0.3101396910721539</v>
      </c>
      <c r="P62" s="490">
        <v>0.6099798946485601</v>
      </c>
      <c r="Q62" s="490">
        <v>0.3465221083498907</v>
      </c>
      <c r="R62" s="490">
        <v>0.20730420137756767</v>
      </c>
    </row>
    <row r="63" outlineLevel="1">
      <c r="A63" s="460" t="s">
        <v>358</v>
      </c>
      <c r="B63" s="488">
        <f t="shared" si="38"/>
        <v>0.02155834243</v>
      </c>
      <c r="C63" s="510">
        <f t="shared" si="39"/>
        <v>0.02155834243</v>
      </c>
      <c r="D63" s="490">
        <v>0.031711558233354246</v>
      </c>
      <c r="E63" s="490">
        <v>0.030776123045665363</v>
      </c>
      <c r="F63" s="490">
        <v>0.05771616846699533</v>
      </c>
      <c r="G63" s="490">
        <v>0.0022103535946888216</v>
      </c>
      <c r="H63" s="490">
        <v>0.06657154534934635</v>
      </c>
      <c r="I63" s="490">
        <v>0.05977229803660096</v>
      </c>
      <c r="J63" s="490">
        <v>5.320324028866856E-4</v>
      </c>
      <c r="K63" s="490">
        <v>0.05655483420960315</v>
      </c>
      <c r="L63" s="490">
        <v>0.05100447573345332</v>
      </c>
      <c r="M63" s="490">
        <v>0.05655483420960315</v>
      </c>
      <c r="N63" s="490">
        <v>5.320324028866856E-4</v>
      </c>
      <c r="O63" s="490">
        <v>0.0</v>
      </c>
      <c r="P63" s="490">
        <v>0.0</v>
      </c>
      <c r="Q63" s="490">
        <v>0.002122904720572724</v>
      </c>
      <c r="R63" s="490">
        <v>0.0</v>
      </c>
    </row>
    <row r="64" outlineLevel="1">
      <c r="A64" s="511" t="s">
        <v>359</v>
      </c>
      <c r="B64" s="488">
        <f t="shared" si="38"/>
        <v>0.03671075339</v>
      </c>
      <c r="C64" s="510">
        <f t="shared" si="39"/>
        <v>0.03671075339</v>
      </c>
      <c r="D64" s="512">
        <v>0.02138198979505019</v>
      </c>
      <c r="E64" s="512">
        <v>0.00957262927088361</v>
      </c>
      <c r="F64" s="512">
        <v>0.008248600759266977</v>
      </c>
      <c r="G64" s="512">
        <v>0.0428942469946128</v>
      </c>
      <c r="H64" s="512">
        <v>0.011736376140155822</v>
      </c>
      <c r="I64" s="512">
        <v>0.007156929298540051</v>
      </c>
      <c r="J64" s="512">
        <v>0.06550477652442041</v>
      </c>
      <c r="K64" s="512">
        <v>0.013069366009714159</v>
      </c>
      <c r="L64" s="512">
        <v>0.004922319662515624</v>
      </c>
      <c r="M64" s="512">
        <v>0.013069366009714159</v>
      </c>
      <c r="N64" s="512">
        <v>0.06550477652442041</v>
      </c>
      <c r="O64" s="512">
        <v>0.08929720438706784</v>
      </c>
      <c r="P64" s="512">
        <v>0.0833772103207232</v>
      </c>
      <c r="Q64" s="512">
        <v>0.08346914466400374</v>
      </c>
      <c r="R64" s="512">
        <v>0.04103400103661931</v>
      </c>
    </row>
    <row r="65" outlineLevel="1">
      <c r="A65" s="460" t="s">
        <v>360</v>
      </c>
      <c r="B65" s="513">
        <f t="shared" si="38"/>
        <v>0.6152643398</v>
      </c>
      <c r="C65" s="514">
        <f t="shared" ref="C65:R65" si="40">sum(C61:C64)</f>
        <v>0.6152643398</v>
      </c>
      <c r="D65" s="510">
        <f t="shared" si="40"/>
        <v>0.3404432396</v>
      </c>
      <c r="E65" s="510">
        <f t="shared" si="40"/>
        <v>0.3208828502</v>
      </c>
      <c r="F65" s="515">
        <f t="shared" si="40"/>
        <v>0.357141634</v>
      </c>
      <c r="G65" s="510">
        <f t="shared" si="40"/>
        <v>0.6637640193</v>
      </c>
      <c r="H65" s="510">
        <f t="shared" si="40"/>
        <v>0.3730705459</v>
      </c>
      <c r="I65" s="510">
        <f t="shared" si="40"/>
        <v>0.4052889042</v>
      </c>
      <c r="J65" s="510">
        <f t="shared" si="40"/>
        <v>0.9802710804</v>
      </c>
      <c r="K65" s="510">
        <f t="shared" si="40"/>
        <v>0.3712426796</v>
      </c>
      <c r="L65" s="510">
        <f t="shared" si="40"/>
        <v>0.3313616913</v>
      </c>
      <c r="M65" s="510">
        <f t="shared" si="40"/>
        <v>0.3712426796</v>
      </c>
      <c r="N65" s="510">
        <f t="shared" si="40"/>
        <v>0.9802710804</v>
      </c>
      <c r="O65" s="510">
        <f t="shared" si="40"/>
        <v>1.033798683</v>
      </c>
      <c r="P65" s="510">
        <f t="shared" si="40"/>
        <v>2.033265643</v>
      </c>
      <c r="Q65" s="510">
        <f t="shared" si="40"/>
        <v>1.155073169</v>
      </c>
      <c r="R65" s="510">
        <f t="shared" si="40"/>
        <v>0.6910139835</v>
      </c>
    </row>
    <row r="66" outlineLevel="1">
      <c r="A66" s="516" t="s">
        <v>252</v>
      </c>
      <c r="B66" s="517">
        <f t="shared" si="38"/>
        <v>0.1931795714</v>
      </c>
      <c r="C66" s="518">
        <f t="shared" ref="C66:R66" si="41">(C65-C40)/C65</f>
        <v>0.1931795714</v>
      </c>
      <c r="D66" s="518">
        <f t="shared" si="41"/>
        <v>0</v>
      </c>
      <c r="E66" s="518">
        <f t="shared" si="41"/>
        <v>0</v>
      </c>
      <c r="F66" s="518">
        <f t="shared" si="41"/>
        <v>0</v>
      </c>
      <c r="G66" s="518">
        <f t="shared" si="41"/>
        <v>0</v>
      </c>
      <c r="H66" s="518">
        <f t="shared" si="41"/>
        <v>0</v>
      </c>
      <c r="I66" s="518">
        <f t="shared" si="41"/>
        <v>0</v>
      </c>
      <c r="J66" s="518">
        <f t="shared" si="41"/>
        <v>0</v>
      </c>
      <c r="K66" s="518">
        <f t="shared" si="41"/>
        <v>0</v>
      </c>
      <c r="L66" s="518">
        <f t="shared" si="41"/>
        <v>0</v>
      </c>
      <c r="M66" s="518">
        <f t="shared" si="41"/>
        <v>0</v>
      </c>
      <c r="N66" s="518">
        <f t="shared" si="41"/>
        <v>0</v>
      </c>
      <c r="O66" s="518">
        <f t="shared" si="41"/>
        <v>0</v>
      </c>
      <c r="P66" s="518">
        <f t="shared" si="41"/>
        <v>0</v>
      </c>
      <c r="Q66" s="518">
        <f t="shared" si="41"/>
        <v>0</v>
      </c>
      <c r="R66" s="518">
        <f t="shared" si="41"/>
        <v>0</v>
      </c>
    </row>
    <row r="67" outlineLevel="1">
      <c r="A67" s="310"/>
      <c r="B67" s="491"/>
      <c r="C67" s="120"/>
      <c r="D67" s="120"/>
      <c r="E67" s="120"/>
      <c r="F67" s="120"/>
      <c r="G67" s="120"/>
      <c r="H67" s="120"/>
      <c r="I67" s="120"/>
      <c r="J67" s="120"/>
      <c r="K67" s="120"/>
      <c r="L67" s="120"/>
      <c r="M67" s="120"/>
      <c r="N67" s="120"/>
      <c r="O67" s="120"/>
      <c r="P67" s="120"/>
      <c r="Q67" s="120"/>
      <c r="R67" s="120"/>
    </row>
    <row r="68" outlineLevel="1">
      <c r="A68" s="519" t="s">
        <v>361</v>
      </c>
      <c r="B68" s="491"/>
      <c r="C68" s="120"/>
      <c r="D68" s="120"/>
      <c r="E68" s="120"/>
      <c r="F68" s="120"/>
      <c r="G68" s="468"/>
      <c r="H68" s="468"/>
      <c r="I68" s="468"/>
      <c r="J68" s="468"/>
      <c r="K68" s="468"/>
      <c r="L68" s="468"/>
      <c r="M68" s="468"/>
      <c r="N68" s="467"/>
      <c r="O68" s="468"/>
      <c r="P68" s="468"/>
      <c r="Q68" s="468"/>
      <c r="R68" s="468"/>
    </row>
    <row r="69" outlineLevel="1">
      <c r="A69" s="310" t="s">
        <v>356</v>
      </c>
      <c r="B69" s="473">
        <f t="shared" ref="B69:B73" si="43">index(A69:R69,,match($A$3,$A$1:$R$1,0))</f>
        <v>100000</v>
      </c>
      <c r="C69" s="520">
        <f t="shared" ref="C69:R69" si="42">C34</f>
        <v>100000</v>
      </c>
      <c r="D69" s="520">
        <f t="shared" si="42"/>
        <v>22211.5017</v>
      </c>
      <c r="E69" s="520">
        <f t="shared" si="42"/>
        <v>8424.174728</v>
      </c>
      <c r="F69" s="520">
        <f t="shared" si="42"/>
        <v>7240.933679</v>
      </c>
      <c r="G69" s="520">
        <f t="shared" si="42"/>
        <v>17598.40728</v>
      </c>
      <c r="H69" s="520">
        <f t="shared" si="42"/>
        <v>7563.88733</v>
      </c>
      <c r="I69" s="520">
        <f t="shared" si="42"/>
        <v>3581.814719</v>
      </c>
      <c r="J69" s="520">
        <f t="shared" si="42"/>
        <v>33379.28056</v>
      </c>
      <c r="K69" s="520">
        <f t="shared" si="42"/>
        <v>0.01</v>
      </c>
      <c r="L69" s="520">
        <f t="shared" si="42"/>
        <v>0.01</v>
      </c>
      <c r="M69" s="520">
        <f t="shared" si="42"/>
        <v>0.01</v>
      </c>
      <c r="N69" s="520">
        <f t="shared" si="42"/>
        <v>0.01</v>
      </c>
      <c r="O69" s="520">
        <f t="shared" si="42"/>
        <v>0.01</v>
      </c>
      <c r="P69" s="520">
        <f t="shared" si="42"/>
        <v>0.01</v>
      </c>
      <c r="Q69" s="520">
        <f t="shared" si="42"/>
        <v>0.01</v>
      </c>
      <c r="R69" s="520">
        <f t="shared" si="42"/>
        <v>0.01</v>
      </c>
    </row>
    <row r="70" outlineLevel="1">
      <c r="A70" s="460" t="s">
        <v>357</v>
      </c>
      <c r="B70" s="473">
        <f t="shared" si="43"/>
        <v>86359.05629</v>
      </c>
      <c r="C70" s="475">
        <f t="shared" ref="C70:E70" si="44">(C62/C61)*C69</f>
        <v>86359.05629</v>
      </c>
      <c r="D70" s="475">
        <f t="shared" si="44"/>
        <v>173844.3619</v>
      </c>
      <c r="E70" s="475">
        <f t="shared" si="44"/>
        <v>83393.38061</v>
      </c>
      <c r="F70" s="475">
        <f t="shared" ref="F70:R70" si="45">(F62/F$61)*F$69</f>
        <v>50711.37506</v>
      </c>
      <c r="G70" s="475">
        <f t="shared" si="45"/>
        <v>8353.050049</v>
      </c>
      <c r="H70" s="475">
        <f t="shared" si="45"/>
        <v>48220.54402</v>
      </c>
      <c r="I70" s="475">
        <f t="shared" si="45"/>
        <v>10921.2851</v>
      </c>
      <c r="J70" s="475">
        <f t="shared" si="45"/>
        <v>15828.71959</v>
      </c>
      <c r="K70" s="475">
        <f t="shared" si="45"/>
        <v>0.0544165669</v>
      </c>
      <c r="L70" s="475">
        <f t="shared" si="45"/>
        <v>0.1234501208</v>
      </c>
      <c r="M70" s="475">
        <f t="shared" si="45"/>
        <v>0.0544165669</v>
      </c>
      <c r="N70" s="475">
        <f t="shared" si="45"/>
        <v>0.004742079316</v>
      </c>
      <c r="O70" s="475">
        <f t="shared" si="45"/>
        <v>0.004889003361</v>
      </c>
      <c r="P70" s="475">
        <f t="shared" si="45"/>
        <v>0.004552399492</v>
      </c>
      <c r="Q70" s="475">
        <f t="shared" si="45"/>
        <v>0.004793108642</v>
      </c>
      <c r="R70" s="475">
        <f t="shared" si="45"/>
        <v>0.004682980416</v>
      </c>
    </row>
    <row r="71" outlineLevel="1">
      <c r="A71" s="460" t="s">
        <v>358</v>
      </c>
      <c r="B71" s="473">
        <f t="shared" si="43"/>
        <v>7212.974245</v>
      </c>
      <c r="C71" s="475">
        <f t="shared" ref="C71:E71" si="46">(C63/C61)*C69</f>
        <v>7212.974245</v>
      </c>
      <c r="D71" s="475">
        <f t="shared" si="46"/>
        <v>21636.48376</v>
      </c>
      <c r="E71" s="475">
        <f t="shared" si="46"/>
        <v>10072.88741</v>
      </c>
      <c r="F71" s="475">
        <f t="shared" ref="F71:R71" si="47">(F63/F$61)*F$69</f>
        <v>11487.12559</v>
      </c>
      <c r="G71" s="475">
        <f t="shared" si="47"/>
        <v>92.71966977</v>
      </c>
      <c r="H71" s="475">
        <f t="shared" si="47"/>
        <v>12598.80152</v>
      </c>
      <c r="I71" s="475">
        <f t="shared" si="47"/>
        <v>2562.018066</v>
      </c>
      <c r="J71" s="475">
        <f t="shared" si="47"/>
        <v>28.63626029</v>
      </c>
      <c r="K71" s="475">
        <f t="shared" si="47"/>
        <v>0.01207839874</v>
      </c>
      <c r="L71" s="475">
        <f t="shared" si="47"/>
        <v>0.02471202288</v>
      </c>
      <c r="M71" s="475">
        <f t="shared" si="47"/>
        <v>0.01207839874</v>
      </c>
      <c r="N71" s="475">
        <f t="shared" si="47"/>
        <v>0.000008579052577</v>
      </c>
      <c r="O71" s="475">
        <f t="shared" si="47"/>
        <v>0</v>
      </c>
      <c r="P71" s="475">
        <f t="shared" si="47"/>
        <v>0</v>
      </c>
      <c r="Q71" s="475">
        <f t="shared" si="47"/>
        <v>0.000029364109</v>
      </c>
      <c r="R71" s="475">
        <f t="shared" si="47"/>
        <v>0</v>
      </c>
    </row>
    <row r="72" outlineLevel="1">
      <c r="A72" s="511" t="s">
        <v>359</v>
      </c>
      <c r="B72" s="521">
        <f t="shared" si="43"/>
        <v>12282.65669</v>
      </c>
      <c r="C72" s="522">
        <f t="shared" ref="C72:E72" si="48">(C64/C61)*C69</f>
        <v>12282.65669</v>
      </c>
      <c r="D72" s="522">
        <f t="shared" si="48"/>
        <v>14588.72098</v>
      </c>
      <c r="E72" s="522">
        <f t="shared" si="48"/>
        <v>3133.07874</v>
      </c>
      <c r="F72" s="522">
        <f t="shared" ref="F72:R72" si="49">(F64/F$61)*F$69</f>
        <v>1641.701371</v>
      </c>
      <c r="G72" s="522">
        <f t="shared" si="49"/>
        <v>1799.323161</v>
      </c>
      <c r="H72" s="522">
        <f t="shared" si="49"/>
        <v>2221.133261</v>
      </c>
      <c r="I72" s="522">
        <f t="shared" si="49"/>
        <v>306.7672276</v>
      </c>
      <c r="J72" s="522">
        <f t="shared" si="49"/>
        <v>3525.747343</v>
      </c>
      <c r="K72" s="522">
        <f t="shared" si="49"/>
        <v>0.002791220523</v>
      </c>
      <c r="L72" s="522">
        <f t="shared" si="49"/>
        <v>0.002384898077</v>
      </c>
      <c r="M72" s="522">
        <f t="shared" si="49"/>
        <v>0.002791220523</v>
      </c>
      <c r="N72" s="522">
        <f t="shared" si="49"/>
        <v>0.001056268225</v>
      </c>
      <c r="O72" s="522">
        <f t="shared" si="49"/>
        <v>0.001407669979</v>
      </c>
      <c r="P72" s="522">
        <f t="shared" si="49"/>
        <v>0.0006222604602</v>
      </c>
      <c r="Q72" s="522">
        <f t="shared" si="49"/>
        <v>0.001154548783</v>
      </c>
      <c r="R72" s="522">
        <f t="shared" si="49"/>
        <v>0.0009269538291</v>
      </c>
    </row>
    <row r="73" outlineLevel="1">
      <c r="A73" s="310" t="s">
        <v>362</v>
      </c>
      <c r="B73" s="473">
        <f t="shared" si="43"/>
        <v>205854.6872</v>
      </c>
      <c r="C73" s="475">
        <f t="shared" ref="C73:R73" si="50">sum(C69:C72)</f>
        <v>205854.6872</v>
      </c>
      <c r="D73" s="475">
        <f t="shared" si="50"/>
        <v>232281.0684</v>
      </c>
      <c r="E73" s="475">
        <f t="shared" si="50"/>
        <v>105023.5215</v>
      </c>
      <c r="F73" s="475">
        <f t="shared" si="50"/>
        <v>71081.13571</v>
      </c>
      <c r="G73" s="475">
        <f t="shared" si="50"/>
        <v>27843.50016</v>
      </c>
      <c r="H73" s="475">
        <f t="shared" si="50"/>
        <v>70604.36613</v>
      </c>
      <c r="I73" s="475">
        <f t="shared" si="50"/>
        <v>17371.88511</v>
      </c>
      <c r="J73" s="475">
        <f t="shared" si="50"/>
        <v>52762.38375</v>
      </c>
      <c r="K73" s="475">
        <f t="shared" si="50"/>
        <v>0.07928618616</v>
      </c>
      <c r="L73" s="475">
        <f t="shared" si="50"/>
        <v>0.1605470418</v>
      </c>
      <c r="M73" s="475">
        <f t="shared" si="50"/>
        <v>0.07928618616</v>
      </c>
      <c r="N73" s="475">
        <f t="shared" si="50"/>
        <v>0.01580692659</v>
      </c>
      <c r="O73" s="475">
        <f t="shared" si="50"/>
        <v>0.01629667334</v>
      </c>
      <c r="P73" s="475">
        <f t="shared" si="50"/>
        <v>0.01517465995</v>
      </c>
      <c r="Q73" s="475">
        <f t="shared" si="50"/>
        <v>0.01597702153</v>
      </c>
      <c r="R73" s="475">
        <f t="shared" si="50"/>
        <v>0.01560993425</v>
      </c>
    </row>
    <row r="74" outlineLevel="1">
      <c r="A74" s="310"/>
      <c r="B74" s="491"/>
      <c r="C74" s="120"/>
      <c r="D74" s="120"/>
      <c r="E74" s="120"/>
      <c r="F74" s="120"/>
      <c r="G74" s="468"/>
      <c r="H74" s="468"/>
      <c r="I74" s="468"/>
      <c r="J74" s="468"/>
      <c r="K74" s="468"/>
      <c r="L74" s="468"/>
      <c r="M74" s="468"/>
      <c r="N74" s="467"/>
      <c r="O74" s="468"/>
      <c r="P74" s="468"/>
      <c r="Q74" s="468"/>
      <c r="R74" s="468"/>
    </row>
    <row r="75" outlineLevel="1">
      <c r="A75" s="519" t="s">
        <v>363</v>
      </c>
      <c r="B75" s="491"/>
      <c r="C75" s="120"/>
      <c r="D75" s="120"/>
      <c r="E75" s="120"/>
      <c r="F75" s="120"/>
      <c r="G75" s="468"/>
      <c r="H75" s="468"/>
      <c r="I75" s="468"/>
      <c r="J75" s="468"/>
      <c r="K75" s="468"/>
      <c r="L75" s="468"/>
      <c r="M75" s="468"/>
      <c r="N75" s="467"/>
      <c r="O75" s="468"/>
      <c r="P75" s="468"/>
      <c r="Q75" s="468"/>
      <c r="R75" s="468"/>
    </row>
    <row r="76" outlineLevel="1">
      <c r="A76" s="310" t="s">
        <v>364</v>
      </c>
      <c r="B76" s="473">
        <f t="shared" ref="B76:B77" si="52">index(A76:R76,,match($A$3,$A$1:$R$1,0))</f>
        <v>107212.9742</v>
      </c>
      <c r="C76" s="475">
        <f t="shared" ref="C76:R76" si="51">C69+C71</f>
        <v>107212.9742</v>
      </c>
      <c r="D76" s="475">
        <f t="shared" si="51"/>
        <v>43847.98546</v>
      </c>
      <c r="E76" s="475">
        <f t="shared" si="51"/>
        <v>18497.06213</v>
      </c>
      <c r="F76" s="475">
        <f t="shared" si="51"/>
        <v>18728.05927</v>
      </c>
      <c r="G76" s="475">
        <f t="shared" si="51"/>
        <v>17691.12695</v>
      </c>
      <c r="H76" s="475">
        <f t="shared" si="51"/>
        <v>20162.68885</v>
      </c>
      <c r="I76" s="475">
        <f t="shared" si="51"/>
        <v>6143.832785</v>
      </c>
      <c r="J76" s="475">
        <f t="shared" si="51"/>
        <v>33407.91682</v>
      </c>
      <c r="K76" s="475">
        <f t="shared" si="51"/>
        <v>0.02207839874</v>
      </c>
      <c r="L76" s="475">
        <f t="shared" si="51"/>
        <v>0.03471202288</v>
      </c>
      <c r="M76" s="475">
        <f t="shared" si="51"/>
        <v>0.02207839874</v>
      </c>
      <c r="N76" s="475">
        <f t="shared" si="51"/>
        <v>0.01000857905</v>
      </c>
      <c r="O76" s="475">
        <f t="shared" si="51"/>
        <v>0.01</v>
      </c>
      <c r="P76" s="475">
        <f t="shared" si="51"/>
        <v>0.01</v>
      </c>
      <c r="Q76" s="475">
        <f t="shared" si="51"/>
        <v>0.01002936411</v>
      </c>
      <c r="R76" s="475">
        <f t="shared" si="51"/>
        <v>0.01</v>
      </c>
    </row>
    <row r="77" outlineLevel="1">
      <c r="A77" s="310" t="s">
        <v>365</v>
      </c>
      <c r="B77" s="473">
        <f t="shared" si="52"/>
        <v>98641.71298</v>
      </c>
      <c r="C77" s="475">
        <f t="shared" ref="C77:R77" si="53">C70+C72</f>
        <v>98641.71298</v>
      </c>
      <c r="D77" s="475">
        <f t="shared" si="53"/>
        <v>188433.0829</v>
      </c>
      <c r="E77" s="475">
        <f t="shared" si="53"/>
        <v>86526.45935</v>
      </c>
      <c r="F77" s="475">
        <f t="shared" si="53"/>
        <v>52353.07643</v>
      </c>
      <c r="G77" s="475">
        <f t="shared" si="53"/>
        <v>10152.37321</v>
      </c>
      <c r="H77" s="475">
        <f t="shared" si="53"/>
        <v>50441.67728</v>
      </c>
      <c r="I77" s="475">
        <f t="shared" si="53"/>
        <v>11228.05233</v>
      </c>
      <c r="J77" s="475">
        <f t="shared" si="53"/>
        <v>19354.46693</v>
      </c>
      <c r="K77" s="475">
        <f t="shared" si="53"/>
        <v>0.05720778742</v>
      </c>
      <c r="L77" s="475">
        <f t="shared" si="53"/>
        <v>0.1258350189</v>
      </c>
      <c r="M77" s="475">
        <f t="shared" si="53"/>
        <v>0.05720778742</v>
      </c>
      <c r="N77" s="475">
        <f t="shared" si="53"/>
        <v>0.005798347541</v>
      </c>
      <c r="O77" s="475">
        <f t="shared" si="53"/>
        <v>0.006296673339</v>
      </c>
      <c r="P77" s="475">
        <f t="shared" si="53"/>
        <v>0.005174659953</v>
      </c>
      <c r="Q77" s="475">
        <f t="shared" si="53"/>
        <v>0.005947657425</v>
      </c>
      <c r="R77" s="475">
        <f t="shared" si="53"/>
        <v>0.005609934246</v>
      </c>
    </row>
    <row r="78" outlineLevel="1">
      <c r="A78" s="310"/>
      <c r="B78" s="491"/>
      <c r="C78" s="120"/>
      <c r="D78" s="120"/>
      <c r="E78" s="120"/>
      <c r="F78" s="120"/>
      <c r="G78" s="120"/>
      <c r="H78" s="120"/>
      <c r="I78" s="120"/>
      <c r="J78" s="120"/>
      <c r="K78" s="120"/>
      <c r="L78" s="120"/>
      <c r="M78" s="120"/>
      <c r="N78" s="120"/>
      <c r="O78" s="120"/>
      <c r="P78" s="120"/>
      <c r="Q78" s="120"/>
      <c r="R78" s="120"/>
    </row>
    <row r="79" outlineLevel="1">
      <c r="A79" s="523" t="s">
        <v>366</v>
      </c>
      <c r="B79" s="461"/>
      <c r="C79" s="460"/>
      <c r="D79" s="460"/>
      <c r="E79" s="460"/>
      <c r="F79" s="460"/>
      <c r="G79" s="460"/>
      <c r="H79" s="460"/>
      <c r="I79" s="460"/>
      <c r="J79" s="460"/>
      <c r="K79" s="460"/>
      <c r="L79" s="460"/>
      <c r="M79" s="460"/>
      <c r="N79" s="460"/>
      <c r="O79" s="460"/>
      <c r="P79" s="460"/>
      <c r="Q79" s="460"/>
      <c r="R79" s="460"/>
    </row>
    <row r="80" outlineLevel="1">
      <c r="A80" s="460" t="s">
        <v>357</v>
      </c>
      <c r="B80" s="305">
        <f t="shared" ref="B80:B82" si="54">index(A80:R80,,match($A$3,$A$1:$R$1,0))</f>
        <v>357.7681507</v>
      </c>
      <c r="C80" s="308">
        <f>100000/'Counterfactual non-philanthropi'!D32*'Moral weights'!B6</f>
        <v>357.7681507</v>
      </c>
      <c r="D80" s="308">
        <f>100000/'Counterfactual non-philanthropi'!$D$32*'Moral weights'!$B$6</f>
        <v>357.7681507</v>
      </c>
      <c r="E80" s="308">
        <f>100000/'Counterfactual non-philanthropi'!$D$32*'Moral weights'!$B$6</f>
        <v>357.7681507</v>
      </c>
      <c r="F80" s="308">
        <f>100000/'Counterfactual non-philanthropi'!$D$32*'Moral weights'!$B$6</f>
        <v>357.7681507</v>
      </c>
      <c r="G80" s="308">
        <f>100000/'Counterfactual non-philanthropi'!$D$32*'Moral weights'!$B$6</f>
        <v>357.7681507</v>
      </c>
      <c r="H80" s="308">
        <f>100000/'Counterfactual non-philanthropi'!$D$32*'Moral weights'!$B$6</f>
        <v>357.7681507</v>
      </c>
      <c r="I80" s="308">
        <f>100000/'Counterfactual non-philanthropi'!$D$32*'Moral weights'!$B$6</f>
        <v>357.7681507</v>
      </c>
      <c r="J80" s="308">
        <f>100000/'Counterfactual non-philanthropi'!$D$32*'Moral weights'!$B$6</f>
        <v>357.7681507</v>
      </c>
      <c r="K80" s="308">
        <f>100000/'Counterfactual non-philanthropi'!$D$32*'Moral weights'!$B$6</f>
        <v>357.7681507</v>
      </c>
      <c r="L80" s="308">
        <f>100000/'Counterfactual non-philanthropi'!$D$32*'Moral weights'!$B$6</f>
        <v>357.7681507</v>
      </c>
      <c r="M80" s="308">
        <f>100000/'Counterfactual non-philanthropi'!$D$32*'Moral weights'!$B$6</f>
        <v>357.7681507</v>
      </c>
      <c r="N80" s="308">
        <f>100000/'Counterfactual non-philanthropi'!$D$32*'Moral weights'!$B$6</f>
        <v>357.7681507</v>
      </c>
      <c r="O80" s="308">
        <f>100000/'Counterfactual non-philanthropi'!$D$32*'Moral weights'!$B$6</f>
        <v>357.7681507</v>
      </c>
      <c r="P80" s="308">
        <f>100000/'Counterfactual non-philanthropi'!$D$32*'Moral weights'!$B$6</f>
        <v>357.7681507</v>
      </c>
      <c r="Q80" s="308">
        <f>100000/'Counterfactual non-philanthropi'!$D$32*'Moral weights'!$B$6</f>
        <v>357.7681507</v>
      </c>
      <c r="R80" s="308">
        <f>100000/'Counterfactual non-philanthropi'!$D$32*'Moral weights'!$B$6</f>
        <v>357.7681507</v>
      </c>
    </row>
    <row r="81" outlineLevel="1">
      <c r="A81" s="460" t="s">
        <v>358</v>
      </c>
      <c r="B81" s="305">
        <f t="shared" si="54"/>
        <v>357.7681507</v>
      </c>
      <c r="C81" s="308">
        <f>100000/'Counterfactual non-philanthropi'!D32*'Moral weights'!B6</f>
        <v>357.7681507</v>
      </c>
      <c r="D81" s="308">
        <f>100000/'Counterfactual non-philanthropi'!$D$32*'Moral weights'!$B$6</f>
        <v>357.7681507</v>
      </c>
      <c r="E81" s="308">
        <f>100000/'Counterfactual non-philanthropi'!$D$32*'Moral weights'!$B$6</f>
        <v>357.7681507</v>
      </c>
      <c r="F81" s="308">
        <f>100000/'Counterfactual non-philanthropi'!$D$32*'Moral weights'!$B$6</f>
        <v>357.7681507</v>
      </c>
      <c r="G81" s="308">
        <f>100000/'Counterfactual non-philanthropi'!$D$32*'Moral weights'!$B$6</f>
        <v>357.7681507</v>
      </c>
      <c r="H81" s="308">
        <f>100000/'Counterfactual non-philanthropi'!$D$32*'Moral weights'!$B$6</f>
        <v>357.7681507</v>
      </c>
      <c r="I81" s="308">
        <f>100000/'Counterfactual non-philanthropi'!$D$32*'Moral weights'!$B$6</f>
        <v>357.7681507</v>
      </c>
      <c r="J81" s="308">
        <f>100000/'Counterfactual non-philanthropi'!$D$32*'Moral weights'!$B$6</f>
        <v>357.7681507</v>
      </c>
      <c r="K81" s="308">
        <f>100000/'Counterfactual non-philanthropi'!$D$32*'Moral weights'!$B$6</f>
        <v>357.7681507</v>
      </c>
      <c r="L81" s="308">
        <f>100000/'Counterfactual non-philanthropi'!$D$32*'Moral weights'!$B$6</f>
        <v>357.7681507</v>
      </c>
      <c r="M81" s="308">
        <f>100000/'Counterfactual non-philanthropi'!$D$32*'Moral weights'!$B$6</f>
        <v>357.7681507</v>
      </c>
      <c r="N81" s="308">
        <f>100000/'Counterfactual non-philanthropi'!$D$32*'Moral weights'!$B$6</f>
        <v>357.7681507</v>
      </c>
      <c r="O81" s="308">
        <f>100000/'Counterfactual non-philanthropi'!$D$32*'Moral weights'!$B$6</f>
        <v>357.7681507</v>
      </c>
      <c r="P81" s="308">
        <f>100000/'Counterfactual non-philanthropi'!$D$32*'Moral weights'!$B$6</f>
        <v>357.7681507</v>
      </c>
      <c r="Q81" s="308">
        <f>100000/'Counterfactual non-philanthropi'!$D$32*'Moral weights'!$B$6</f>
        <v>357.7681507</v>
      </c>
      <c r="R81" s="308">
        <f>100000/'Counterfactual non-philanthropi'!$D$32*'Moral weights'!$B$6</f>
        <v>357.7681507</v>
      </c>
    </row>
    <row r="82" outlineLevel="1">
      <c r="A82" s="460" t="s">
        <v>359</v>
      </c>
      <c r="B82" s="305">
        <f t="shared" si="54"/>
        <v>659.4129308</v>
      </c>
      <c r="C82" s="308">
        <f>100000/'Counterfactual non-philanthropi'!D34*'Moral weights'!B6</f>
        <v>659.4129308</v>
      </c>
      <c r="D82" s="308">
        <f>100000/'Counterfactual non-philanthropi'!$D$34*'Moral weights'!$B$6</f>
        <v>659.4129308</v>
      </c>
      <c r="E82" s="308">
        <f>100000/'Counterfactual non-philanthropi'!$D$34*'Moral weights'!$B$6</f>
        <v>659.4129308</v>
      </c>
      <c r="F82" s="308">
        <f>100000/'Counterfactual non-philanthropi'!$D$34*'Moral weights'!$B$6</f>
        <v>659.4129308</v>
      </c>
      <c r="G82" s="308">
        <f>100000/'Counterfactual non-philanthropi'!$D$34*'Moral weights'!$B$6</f>
        <v>659.4129308</v>
      </c>
      <c r="H82" s="308">
        <f>100000/'Counterfactual non-philanthropi'!$D$34*'Moral weights'!$B$6</f>
        <v>659.4129308</v>
      </c>
      <c r="I82" s="308">
        <f>100000/'Counterfactual non-philanthropi'!$D$34*'Moral weights'!$B$6</f>
        <v>659.4129308</v>
      </c>
      <c r="J82" s="308">
        <f>100000/'Counterfactual non-philanthropi'!$D$34*'Moral weights'!$B$6</f>
        <v>659.4129308</v>
      </c>
      <c r="K82" s="308">
        <f>100000/'Counterfactual non-philanthropi'!$D$34*'Moral weights'!$B$6</f>
        <v>659.4129308</v>
      </c>
      <c r="L82" s="308">
        <f>100000/'Counterfactual non-philanthropi'!$D$34*'Moral weights'!$B$6</f>
        <v>659.4129308</v>
      </c>
      <c r="M82" s="308">
        <f>100000/'Counterfactual non-philanthropi'!$D$34*'Moral weights'!$B$6</f>
        <v>659.4129308</v>
      </c>
      <c r="N82" s="308">
        <f>100000/'Counterfactual non-philanthropi'!$D$34*'Moral weights'!$B$6</f>
        <v>659.4129308</v>
      </c>
      <c r="O82" s="308">
        <f>100000/'Counterfactual non-philanthropi'!$D$34*'Moral weights'!$B$6</f>
        <v>659.4129308</v>
      </c>
      <c r="P82" s="308">
        <f>100000/'Counterfactual non-philanthropi'!$D$34*'Moral weights'!$B$6</f>
        <v>659.4129308</v>
      </c>
      <c r="Q82" s="308">
        <f>100000/'Counterfactual non-philanthropi'!$D$34*'Moral weights'!$B$6</f>
        <v>659.4129308</v>
      </c>
      <c r="R82" s="308">
        <f>100000/'Counterfactual non-philanthropi'!$D$34*'Moral weights'!$B$6</f>
        <v>659.4129308</v>
      </c>
    </row>
    <row r="83" outlineLevel="1">
      <c r="A83" s="460"/>
      <c r="B83" s="458"/>
      <c r="C83" s="453"/>
      <c r="D83" s="453"/>
      <c r="E83" s="453"/>
      <c r="F83" s="453"/>
      <c r="G83" s="453"/>
      <c r="H83" s="453"/>
      <c r="I83" s="453"/>
      <c r="J83" s="453"/>
      <c r="K83" s="453"/>
      <c r="L83" s="453"/>
      <c r="M83" s="453"/>
      <c r="N83" s="453"/>
      <c r="O83" s="453"/>
      <c r="P83" s="453"/>
      <c r="Q83" s="453"/>
      <c r="R83" s="453"/>
    </row>
    <row r="84" outlineLevel="1">
      <c r="A84" s="509" t="s">
        <v>367</v>
      </c>
      <c r="B84" s="458"/>
      <c r="C84" s="453"/>
      <c r="D84" s="453"/>
      <c r="E84" s="453"/>
      <c r="F84" s="453"/>
      <c r="G84" s="453"/>
      <c r="H84" s="453"/>
      <c r="I84" s="453"/>
      <c r="J84" s="453"/>
      <c r="K84" s="453"/>
      <c r="L84" s="453"/>
      <c r="M84" s="453"/>
      <c r="N84" s="453"/>
      <c r="O84" s="453"/>
      <c r="P84" s="453"/>
      <c r="Q84" s="453"/>
      <c r="R84" s="453"/>
    </row>
    <row r="85" outlineLevel="1">
      <c r="A85" s="460" t="s">
        <v>368</v>
      </c>
      <c r="B85" s="179">
        <f t="shared" ref="B85:B87" si="55">index(A85:R85,,match($A$3,$A$1:$R$1,0))</f>
        <v>0.1754888439</v>
      </c>
      <c r="C85" s="47">
        <f t="shared" ref="C85:C87" si="56">sumproduct(D85:Z85,D$30:Z$30)</f>
        <v>0.1754888439</v>
      </c>
      <c r="D85" s="47">
        <v>0.15</v>
      </c>
      <c r="E85" s="47">
        <v>0.15</v>
      </c>
      <c r="F85" s="47">
        <v>0.15</v>
      </c>
      <c r="G85" s="47">
        <v>0.2</v>
      </c>
      <c r="H85" s="47">
        <v>0.15</v>
      </c>
      <c r="I85" s="47">
        <v>0.15</v>
      </c>
      <c r="J85" s="47">
        <v>0.2</v>
      </c>
      <c r="K85" s="47">
        <v>0.2</v>
      </c>
      <c r="L85" s="47">
        <v>0.2</v>
      </c>
      <c r="M85" s="47">
        <v>0.2</v>
      </c>
      <c r="N85" s="47">
        <v>0.2</v>
      </c>
      <c r="O85" s="47">
        <v>0.2</v>
      </c>
      <c r="P85" s="47">
        <v>0.2</v>
      </c>
      <c r="Q85" s="47">
        <v>0.2</v>
      </c>
      <c r="R85" s="47">
        <v>0.2</v>
      </c>
    </row>
    <row r="86" outlineLevel="1">
      <c r="A86" s="460" t="s">
        <v>369</v>
      </c>
      <c r="B86" s="179">
        <f t="shared" si="55"/>
        <v>0.2941338729</v>
      </c>
      <c r="C86" s="47">
        <f t="shared" si="56"/>
        <v>0.2941338729</v>
      </c>
      <c r="D86" s="47">
        <v>0.6</v>
      </c>
      <c r="E86" s="47">
        <v>0.6</v>
      </c>
      <c r="F86" s="47">
        <v>0.6</v>
      </c>
      <c r="G86" s="47">
        <v>0.0</v>
      </c>
      <c r="H86" s="47">
        <v>0.6</v>
      </c>
      <c r="I86" s="47">
        <v>0.6</v>
      </c>
      <c r="J86" s="47">
        <v>0.0</v>
      </c>
      <c r="K86" s="47">
        <v>0.0</v>
      </c>
      <c r="L86" s="47">
        <v>0.0</v>
      </c>
      <c r="M86" s="47">
        <v>0.0</v>
      </c>
      <c r="N86" s="47">
        <v>0.0</v>
      </c>
      <c r="O86" s="47">
        <v>0.0</v>
      </c>
      <c r="P86" s="47">
        <v>0.0</v>
      </c>
      <c r="Q86" s="47">
        <v>0.0</v>
      </c>
      <c r="R86" s="47">
        <v>0.0</v>
      </c>
    </row>
    <row r="87" outlineLevel="1">
      <c r="A87" s="460" t="s">
        <v>370</v>
      </c>
      <c r="B87" s="179">
        <f t="shared" si="55"/>
        <v>0.5303772831</v>
      </c>
      <c r="C87" s="47">
        <f t="shared" si="56"/>
        <v>0.5303772831</v>
      </c>
      <c r="D87" s="47">
        <v>0.25</v>
      </c>
      <c r="E87" s="47">
        <v>0.25</v>
      </c>
      <c r="F87" s="47">
        <v>0.25</v>
      </c>
      <c r="G87" s="47">
        <v>0.8</v>
      </c>
      <c r="H87" s="47">
        <v>0.25</v>
      </c>
      <c r="I87" s="47">
        <v>0.25</v>
      </c>
      <c r="J87" s="47">
        <v>0.8</v>
      </c>
      <c r="K87" s="47">
        <v>0.8</v>
      </c>
      <c r="L87" s="47">
        <v>0.8</v>
      </c>
      <c r="M87" s="47">
        <v>0.8</v>
      </c>
      <c r="N87" s="47">
        <v>0.8</v>
      </c>
      <c r="O87" s="47">
        <v>0.8</v>
      </c>
      <c r="P87" s="47">
        <v>0.8</v>
      </c>
      <c r="Q87" s="47">
        <v>0.8</v>
      </c>
      <c r="R87" s="47">
        <v>0.8</v>
      </c>
    </row>
    <row r="88" outlineLevel="1">
      <c r="A88" s="460"/>
      <c r="B88" s="458"/>
      <c r="C88" s="453"/>
      <c r="D88" s="453"/>
      <c r="E88" s="453"/>
      <c r="F88" s="453"/>
      <c r="G88" s="453"/>
      <c r="H88" s="453"/>
      <c r="I88" s="453"/>
      <c r="J88" s="453"/>
      <c r="K88" s="453"/>
      <c r="L88" s="453"/>
      <c r="M88" s="453"/>
      <c r="N88" s="453"/>
      <c r="O88" s="453"/>
      <c r="P88" s="453"/>
      <c r="Q88" s="453"/>
      <c r="R88" s="453"/>
    </row>
    <row r="89" outlineLevel="1">
      <c r="A89" s="509" t="s">
        <v>371</v>
      </c>
      <c r="B89" s="458"/>
      <c r="C89" s="453"/>
      <c r="D89" s="453"/>
      <c r="E89" s="453"/>
      <c r="F89" s="453"/>
      <c r="G89" s="453"/>
      <c r="H89" s="453"/>
      <c r="I89" s="453"/>
      <c r="J89" s="453"/>
      <c r="K89" s="453"/>
      <c r="L89" s="453"/>
      <c r="M89" s="453"/>
      <c r="N89" s="453"/>
      <c r="O89" s="453"/>
      <c r="P89" s="453"/>
      <c r="Q89" s="453"/>
      <c r="R89" s="453"/>
    </row>
    <row r="90" outlineLevel="1">
      <c r="A90" s="460" t="s">
        <v>368</v>
      </c>
      <c r="B90" s="179">
        <f t="shared" ref="B90:B92" si="58">index(A90:R90,,match($A$3,$A$1:$R$1,0))</f>
        <v>1</v>
      </c>
      <c r="C90" s="180">
        <f t="shared" ref="C90:R90" si="57">1</f>
        <v>1</v>
      </c>
      <c r="D90" s="180">
        <f t="shared" si="57"/>
        <v>1</v>
      </c>
      <c r="E90" s="180">
        <f t="shared" si="57"/>
        <v>1</v>
      </c>
      <c r="F90" s="180">
        <f t="shared" si="57"/>
        <v>1</v>
      </c>
      <c r="G90" s="180">
        <f t="shared" si="57"/>
        <v>1</v>
      </c>
      <c r="H90" s="180">
        <f t="shared" si="57"/>
        <v>1</v>
      </c>
      <c r="I90" s="180">
        <f t="shared" si="57"/>
        <v>1</v>
      </c>
      <c r="J90" s="180">
        <f t="shared" si="57"/>
        <v>1</v>
      </c>
      <c r="K90" s="180">
        <f t="shared" si="57"/>
        <v>1</v>
      </c>
      <c r="L90" s="180">
        <f t="shared" si="57"/>
        <v>1</v>
      </c>
      <c r="M90" s="180">
        <f t="shared" si="57"/>
        <v>1</v>
      </c>
      <c r="N90" s="180">
        <f t="shared" si="57"/>
        <v>1</v>
      </c>
      <c r="O90" s="180">
        <f t="shared" si="57"/>
        <v>1</v>
      </c>
      <c r="P90" s="180">
        <f t="shared" si="57"/>
        <v>1</v>
      </c>
      <c r="Q90" s="180">
        <f t="shared" si="57"/>
        <v>1</v>
      </c>
      <c r="R90" s="180">
        <f t="shared" si="57"/>
        <v>1</v>
      </c>
    </row>
    <row r="91" outlineLevel="1">
      <c r="A91" s="460" t="s">
        <v>369</v>
      </c>
      <c r="B91" s="311">
        <f t="shared" si="58"/>
        <v>0.06727706508</v>
      </c>
      <c r="C91" s="524">
        <f t="shared" ref="C91:R91" si="59">C71/C76</f>
        <v>0.06727706508</v>
      </c>
      <c r="D91" s="524">
        <f t="shared" si="59"/>
        <v>0.4934430519</v>
      </c>
      <c r="E91" s="524">
        <f t="shared" si="59"/>
        <v>0.5445668795</v>
      </c>
      <c r="F91" s="524">
        <f t="shared" si="59"/>
        <v>0.6133644402</v>
      </c>
      <c r="G91" s="524">
        <f t="shared" si="59"/>
        <v>0.005241026759</v>
      </c>
      <c r="H91" s="524">
        <f t="shared" si="59"/>
        <v>0.624857211</v>
      </c>
      <c r="I91" s="524">
        <f t="shared" si="59"/>
        <v>0.4170064771</v>
      </c>
      <c r="J91" s="524">
        <f t="shared" si="59"/>
        <v>0.0008571698871</v>
      </c>
      <c r="K91" s="524">
        <f t="shared" si="59"/>
        <v>0.5470686023</v>
      </c>
      <c r="L91" s="524">
        <f t="shared" si="59"/>
        <v>0.7119153777</v>
      </c>
      <c r="M91" s="524">
        <f t="shared" si="59"/>
        <v>0.5470686023</v>
      </c>
      <c r="N91" s="524">
        <f t="shared" si="59"/>
        <v>0.0008571698871</v>
      </c>
      <c r="O91" s="524">
        <f t="shared" si="59"/>
        <v>0</v>
      </c>
      <c r="P91" s="524">
        <f t="shared" si="59"/>
        <v>0</v>
      </c>
      <c r="Q91" s="524">
        <f t="shared" si="59"/>
        <v>0.002927813637</v>
      </c>
      <c r="R91" s="524">
        <f t="shared" si="59"/>
        <v>0</v>
      </c>
    </row>
    <row r="92" outlineLevel="1">
      <c r="A92" s="460" t="s">
        <v>370</v>
      </c>
      <c r="B92" s="179">
        <f t="shared" si="58"/>
        <v>0</v>
      </c>
      <c r="C92" s="180">
        <v>0.0</v>
      </c>
      <c r="D92" s="180">
        <v>0.0</v>
      </c>
      <c r="E92" s="180">
        <v>0.0</v>
      </c>
      <c r="F92" s="180">
        <v>0.0</v>
      </c>
      <c r="G92" s="180">
        <v>0.0</v>
      </c>
      <c r="H92" s="180">
        <v>0.0</v>
      </c>
      <c r="I92" s="180">
        <v>0.0</v>
      </c>
      <c r="J92" s="180">
        <v>0.0</v>
      </c>
      <c r="K92" s="180">
        <v>0.0</v>
      </c>
      <c r="L92" s="180">
        <v>0.0</v>
      </c>
      <c r="M92" s="180">
        <v>0.0</v>
      </c>
      <c r="N92" s="180">
        <v>0.0</v>
      </c>
      <c r="O92" s="180">
        <v>0.0</v>
      </c>
      <c r="P92" s="180">
        <v>0.0</v>
      </c>
      <c r="Q92" s="180">
        <v>0.0</v>
      </c>
      <c r="R92" s="180">
        <v>0.0</v>
      </c>
    </row>
    <row r="93" outlineLevel="1">
      <c r="A93" s="120"/>
      <c r="B93" s="458"/>
      <c r="C93" s="453"/>
      <c r="D93" s="453"/>
      <c r="E93" s="453"/>
      <c r="F93" s="453"/>
      <c r="G93" s="453"/>
      <c r="H93" s="453"/>
      <c r="I93" s="453"/>
      <c r="J93" s="453"/>
      <c r="K93" s="453"/>
      <c r="L93" s="453"/>
      <c r="M93" s="453"/>
      <c r="N93" s="453"/>
      <c r="O93" s="453"/>
      <c r="P93" s="453"/>
      <c r="Q93" s="453"/>
      <c r="R93" s="453"/>
    </row>
    <row r="94" outlineLevel="1">
      <c r="A94" s="523" t="s">
        <v>372</v>
      </c>
      <c r="B94" s="458"/>
      <c r="C94" s="453"/>
      <c r="D94" s="453"/>
      <c r="E94" s="453"/>
      <c r="F94" s="453"/>
      <c r="G94" s="453"/>
      <c r="H94" s="453"/>
      <c r="I94" s="453"/>
      <c r="J94" s="453"/>
      <c r="K94" s="453"/>
      <c r="L94" s="453"/>
      <c r="M94" s="453"/>
      <c r="N94" s="453"/>
      <c r="O94" s="453"/>
      <c r="P94" s="453"/>
      <c r="Q94" s="453"/>
      <c r="R94" s="453"/>
    </row>
    <row r="95" outlineLevel="1">
      <c r="A95" s="460" t="s">
        <v>368</v>
      </c>
      <c r="B95" s="438"/>
      <c r="C95" s="429"/>
      <c r="D95" s="120"/>
      <c r="E95" s="120"/>
      <c r="F95" s="120"/>
      <c r="G95" s="120"/>
      <c r="H95" s="120"/>
      <c r="I95" s="120"/>
      <c r="J95" s="120"/>
      <c r="K95" s="120"/>
      <c r="L95" s="120"/>
      <c r="M95" s="120"/>
      <c r="N95" s="120"/>
      <c r="O95" s="120"/>
      <c r="P95" s="120"/>
      <c r="Q95" s="120"/>
      <c r="R95" s="120"/>
    </row>
    <row r="96" outlineLevel="1">
      <c r="A96" s="460" t="s">
        <v>373</v>
      </c>
      <c r="B96" s="438">
        <f t="shared" ref="B96:B98" si="60">index(A96:R96,,match($A$3,$A$1:$R$1,0))</f>
        <v>0</v>
      </c>
      <c r="C96" s="429">
        <f t="shared" ref="C96:C98" si="61">sumif(D96:Z96,"&lt;&gt;#DIV/0!")</f>
        <v>0</v>
      </c>
      <c r="D96" s="57">
        <v>0.0</v>
      </c>
      <c r="E96" s="57">
        <v>0.0</v>
      </c>
      <c r="F96" s="57">
        <v>0.0</v>
      </c>
      <c r="G96" s="57">
        <v>0.0</v>
      </c>
      <c r="H96" s="57">
        <v>0.0</v>
      </c>
      <c r="I96" s="57">
        <v>0.0</v>
      </c>
      <c r="J96" s="57">
        <v>0.0</v>
      </c>
      <c r="K96" s="57">
        <v>0.0</v>
      </c>
      <c r="L96" s="57">
        <v>0.0</v>
      </c>
      <c r="M96" s="57">
        <v>0.0</v>
      </c>
      <c r="N96" s="57">
        <v>0.0</v>
      </c>
      <c r="O96" s="57">
        <v>0.0</v>
      </c>
      <c r="P96" s="57">
        <v>0.0</v>
      </c>
      <c r="Q96" s="57">
        <v>0.0</v>
      </c>
      <c r="R96" s="57">
        <v>0.0</v>
      </c>
    </row>
    <row r="97" outlineLevel="1">
      <c r="A97" s="460" t="s">
        <v>374</v>
      </c>
      <c r="B97" s="438">
        <f t="shared" si="60"/>
        <v>-100000.08</v>
      </c>
      <c r="C97" s="429">
        <f t="shared" si="61"/>
        <v>-100000.08</v>
      </c>
      <c r="D97" s="429">
        <f t="shared" ref="D97:R97" si="62">-D69</f>
        <v>-22211.5017</v>
      </c>
      <c r="E97" s="429">
        <f t="shared" si="62"/>
        <v>-8424.174728</v>
      </c>
      <c r="F97" s="429">
        <f t="shared" si="62"/>
        <v>-7240.933679</v>
      </c>
      <c r="G97" s="429">
        <f t="shared" si="62"/>
        <v>-17598.40728</v>
      </c>
      <c r="H97" s="429">
        <f t="shared" si="62"/>
        <v>-7563.88733</v>
      </c>
      <c r="I97" s="429">
        <f t="shared" si="62"/>
        <v>-3581.814719</v>
      </c>
      <c r="J97" s="429">
        <f t="shared" si="62"/>
        <v>-33379.28056</v>
      </c>
      <c r="K97" s="429">
        <f t="shared" si="62"/>
        <v>-0.01</v>
      </c>
      <c r="L97" s="429">
        <f t="shared" si="62"/>
        <v>-0.01</v>
      </c>
      <c r="M97" s="429">
        <f t="shared" si="62"/>
        <v>-0.01</v>
      </c>
      <c r="N97" s="429">
        <f t="shared" si="62"/>
        <v>-0.01</v>
      </c>
      <c r="O97" s="429">
        <f t="shared" si="62"/>
        <v>-0.01</v>
      </c>
      <c r="P97" s="429">
        <f t="shared" si="62"/>
        <v>-0.01</v>
      </c>
      <c r="Q97" s="429">
        <f t="shared" si="62"/>
        <v>-0.01</v>
      </c>
      <c r="R97" s="429">
        <f t="shared" si="62"/>
        <v>-0.01</v>
      </c>
    </row>
    <row r="98" outlineLevel="1">
      <c r="A98" s="460" t="s">
        <v>375</v>
      </c>
      <c r="B98" s="438">
        <f t="shared" si="60"/>
        <v>0</v>
      </c>
      <c r="C98" s="429">
        <f t="shared" si="61"/>
        <v>0</v>
      </c>
      <c r="D98" s="57">
        <v>0.0</v>
      </c>
      <c r="E98" s="57">
        <v>0.0</v>
      </c>
      <c r="F98" s="57">
        <v>0.0</v>
      </c>
      <c r="G98" s="57">
        <v>0.0</v>
      </c>
      <c r="H98" s="57">
        <v>0.0</v>
      </c>
      <c r="I98" s="57">
        <v>0.0</v>
      </c>
      <c r="J98" s="57">
        <v>0.0</v>
      </c>
      <c r="K98" s="57">
        <v>0.0</v>
      </c>
      <c r="L98" s="57">
        <v>0.0</v>
      </c>
      <c r="M98" s="57">
        <v>0.0</v>
      </c>
      <c r="N98" s="57">
        <v>0.0</v>
      </c>
      <c r="O98" s="57">
        <v>0.0</v>
      </c>
      <c r="P98" s="57">
        <v>0.0</v>
      </c>
      <c r="Q98" s="57">
        <v>0.0</v>
      </c>
      <c r="R98" s="57">
        <v>0.0</v>
      </c>
    </row>
    <row r="99" outlineLevel="1">
      <c r="A99" s="460"/>
      <c r="B99" s="438"/>
      <c r="C99" s="429"/>
      <c r="D99" s="429"/>
      <c r="E99" s="429"/>
      <c r="F99" s="429"/>
      <c r="G99" s="429"/>
      <c r="H99" s="429"/>
      <c r="I99" s="429"/>
      <c r="J99" s="429"/>
      <c r="K99" s="429"/>
      <c r="L99" s="429"/>
      <c r="M99" s="429"/>
      <c r="N99" s="429"/>
      <c r="O99" s="429"/>
      <c r="P99" s="429"/>
      <c r="Q99" s="429"/>
      <c r="R99" s="429"/>
    </row>
    <row r="100" outlineLevel="1">
      <c r="A100" s="460" t="s">
        <v>369</v>
      </c>
      <c r="B100" s="438"/>
      <c r="C100" s="429"/>
      <c r="D100" s="453"/>
      <c r="E100" s="453"/>
      <c r="F100" s="453"/>
      <c r="G100" s="453"/>
      <c r="H100" s="453"/>
      <c r="I100" s="453"/>
      <c r="J100" s="453"/>
      <c r="K100" s="453"/>
      <c r="L100" s="453"/>
      <c r="M100" s="453"/>
      <c r="N100" s="453"/>
      <c r="O100" s="453"/>
      <c r="P100" s="453"/>
      <c r="Q100" s="453"/>
      <c r="R100" s="453"/>
    </row>
    <row r="101" outlineLevel="1">
      <c r="A101" s="460" t="s">
        <v>373</v>
      </c>
      <c r="B101" s="438">
        <f t="shared" ref="B101:B103" si="64">index(A101:R101,,match($A$3,$A$1:$R$1,0))</f>
        <v>194230.1574</v>
      </c>
      <c r="C101" s="429">
        <f t="shared" ref="C101:C103" si="65">sumif(D101:Z101,"&lt;&gt;#DIV/0!")</f>
        <v>194230.1574</v>
      </c>
      <c r="D101" s="319">
        <f t="shared" ref="D101:R101" si="63">D70-D91*D70</f>
        <v>88062.06942</v>
      </c>
      <c r="E101" s="319">
        <f t="shared" si="63"/>
        <v>37980.10756</v>
      </c>
      <c r="F101" s="319">
        <f t="shared" si="63"/>
        <v>19606.82088</v>
      </c>
      <c r="G101" s="319">
        <f t="shared" si="63"/>
        <v>8309.271491</v>
      </c>
      <c r="H101" s="319">
        <f t="shared" si="63"/>
        <v>18089.58937</v>
      </c>
      <c r="I101" s="319">
        <f t="shared" si="63"/>
        <v>6367.038473</v>
      </c>
      <c r="J101" s="319">
        <f t="shared" si="63"/>
        <v>15815.15169</v>
      </c>
      <c r="K101" s="319">
        <f t="shared" si="63"/>
        <v>0.0246469717</v>
      </c>
      <c r="L101" s="319">
        <f t="shared" si="63"/>
        <v>0.03556408143</v>
      </c>
      <c r="M101" s="319">
        <f t="shared" si="63"/>
        <v>0.0246469717</v>
      </c>
      <c r="N101" s="319">
        <f t="shared" si="63"/>
        <v>0.004738014548</v>
      </c>
      <c r="O101" s="319">
        <f t="shared" si="63"/>
        <v>0.004889003361</v>
      </c>
      <c r="P101" s="319">
        <f t="shared" si="63"/>
        <v>0.004552399492</v>
      </c>
      <c r="Q101" s="319">
        <f t="shared" si="63"/>
        <v>0.004779075313</v>
      </c>
      <c r="R101" s="319">
        <f t="shared" si="63"/>
        <v>0.004682980416</v>
      </c>
    </row>
    <row r="102" outlineLevel="1">
      <c r="A102" s="460" t="s">
        <v>374</v>
      </c>
      <c r="B102" s="438">
        <f t="shared" si="64"/>
        <v>0</v>
      </c>
      <c r="C102" s="429">
        <f t="shared" si="65"/>
        <v>0</v>
      </c>
      <c r="D102" s="57">
        <v>0.0</v>
      </c>
      <c r="E102" s="57">
        <v>0.0</v>
      </c>
      <c r="F102" s="57">
        <v>0.0</v>
      </c>
      <c r="G102" s="57">
        <v>0.0</v>
      </c>
      <c r="H102" s="57">
        <v>0.0</v>
      </c>
      <c r="I102" s="57">
        <v>0.0</v>
      </c>
      <c r="J102" s="57">
        <v>0.0</v>
      </c>
      <c r="K102" s="57">
        <v>0.0</v>
      </c>
      <c r="L102" s="57">
        <v>0.0</v>
      </c>
      <c r="M102" s="57">
        <v>0.0</v>
      </c>
      <c r="N102" s="57">
        <v>0.0</v>
      </c>
      <c r="O102" s="57">
        <v>0.0</v>
      </c>
      <c r="P102" s="57">
        <v>0.0</v>
      </c>
      <c r="Q102" s="57">
        <v>0.0</v>
      </c>
      <c r="R102" s="57">
        <v>0.0</v>
      </c>
    </row>
    <row r="103" outlineLevel="1">
      <c r="A103" s="460" t="s">
        <v>375</v>
      </c>
      <c r="B103" s="438">
        <f t="shared" si="64"/>
        <v>15776.37779</v>
      </c>
      <c r="C103" s="429">
        <f t="shared" si="65"/>
        <v>15776.37779</v>
      </c>
      <c r="D103" s="429">
        <f t="shared" ref="D103:R103" si="66">D72-D72*D91</f>
        <v>7390.017979</v>
      </c>
      <c r="E103" s="429">
        <f t="shared" si="66"/>
        <v>1426.907828</v>
      </c>
      <c r="F103" s="429">
        <f t="shared" si="66"/>
        <v>634.7401284</v>
      </c>
      <c r="G103" s="429">
        <f t="shared" si="66"/>
        <v>1789.89286</v>
      </c>
      <c r="H103" s="429">
        <f t="shared" si="66"/>
        <v>833.2421262</v>
      </c>
      <c r="I103" s="429">
        <f t="shared" si="66"/>
        <v>178.8433067</v>
      </c>
      <c r="J103" s="429">
        <f t="shared" si="66"/>
        <v>3522.725178</v>
      </c>
      <c r="K103" s="429">
        <f t="shared" si="66"/>
        <v>0.001264231413</v>
      </c>
      <c r="L103" s="429">
        <f t="shared" si="66"/>
        <v>0.0006870524618</v>
      </c>
      <c r="M103" s="429">
        <f t="shared" si="66"/>
        <v>0.001264231413</v>
      </c>
      <c r="N103" s="429">
        <f t="shared" si="66"/>
        <v>0.001055362824</v>
      </c>
      <c r="O103" s="429">
        <f t="shared" si="66"/>
        <v>0.001407669979</v>
      </c>
      <c r="P103" s="429">
        <f t="shared" si="66"/>
        <v>0.0006222604602</v>
      </c>
      <c r="Q103" s="429">
        <f t="shared" si="66"/>
        <v>0.00115116848</v>
      </c>
      <c r="R103" s="429">
        <f t="shared" si="66"/>
        <v>0.0009269538291</v>
      </c>
    </row>
    <row r="104" outlineLevel="1">
      <c r="A104" s="460"/>
      <c r="B104" s="438"/>
      <c r="C104" s="429"/>
      <c r="D104" s="429"/>
      <c r="E104" s="429"/>
      <c r="F104" s="429"/>
      <c r="G104" s="429"/>
      <c r="H104" s="429"/>
      <c r="I104" s="429"/>
      <c r="J104" s="429"/>
      <c r="K104" s="429"/>
      <c r="L104" s="429"/>
      <c r="M104" s="429"/>
      <c r="N104" s="429"/>
      <c r="O104" s="429"/>
      <c r="P104" s="429"/>
      <c r="Q104" s="429"/>
      <c r="R104" s="429"/>
    </row>
    <row r="105" outlineLevel="1">
      <c r="A105" s="460" t="s">
        <v>370</v>
      </c>
      <c r="B105" s="438"/>
      <c r="C105" s="429"/>
      <c r="D105" s="429"/>
      <c r="E105" s="429"/>
      <c r="F105" s="429"/>
      <c r="G105" s="429"/>
      <c r="H105" s="429"/>
      <c r="I105" s="429"/>
      <c r="J105" s="429"/>
      <c r="K105" s="429"/>
      <c r="L105" s="429"/>
      <c r="M105" s="429"/>
      <c r="N105" s="429"/>
      <c r="O105" s="429"/>
      <c r="P105" s="429"/>
      <c r="Q105" s="429"/>
      <c r="R105" s="429"/>
    </row>
    <row r="106" outlineLevel="1">
      <c r="A106" s="460" t="s">
        <v>373</v>
      </c>
      <c r="B106" s="438">
        <f t="shared" ref="B106:B108" si="68">index(A106:R106,,match($A$3,$A$1:$R$1,0))</f>
        <v>391272.9723</v>
      </c>
      <c r="C106" s="429">
        <f t="shared" ref="C106:C108" si="69">sumif(D106:Z106,"&lt;&gt;#DIV/0!")</f>
        <v>391272.9723</v>
      </c>
      <c r="D106" s="316">
        <f t="shared" ref="D106:R106" si="67">D70</f>
        <v>173844.3619</v>
      </c>
      <c r="E106" s="316">
        <f t="shared" si="67"/>
        <v>83393.38061</v>
      </c>
      <c r="F106" s="316">
        <f t="shared" si="67"/>
        <v>50711.37506</v>
      </c>
      <c r="G106" s="316">
        <f t="shared" si="67"/>
        <v>8353.050049</v>
      </c>
      <c r="H106" s="316">
        <f t="shared" si="67"/>
        <v>48220.54402</v>
      </c>
      <c r="I106" s="316">
        <f t="shared" si="67"/>
        <v>10921.2851</v>
      </c>
      <c r="J106" s="316">
        <f t="shared" si="67"/>
        <v>15828.71959</v>
      </c>
      <c r="K106" s="316">
        <f t="shared" si="67"/>
        <v>0.0544165669</v>
      </c>
      <c r="L106" s="316">
        <f t="shared" si="67"/>
        <v>0.1234501208</v>
      </c>
      <c r="M106" s="316">
        <f t="shared" si="67"/>
        <v>0.0544165669</v>
      </c>
      <c r="N106" s="316">
        <f t="shared" si="67"/>
        <v>0.004742079316</v>
      </c>
      <c r="O106" s="316">
        <f t="shared" si="67"/>
        <v>0.004889003361</v>
      </c>
      <c r="P106" s="316">
        <f t="shared" si="67"/>
        <v>0.004552399492</v>
      </c>
      <c r="Q106" s="316">
        <f t="shared" si="67"/>
        <v>0.004793108642</v>
      </c>
      <c r="R106" s="316">
        <f t="shared" si="67"/>
        <v>0.004682980416</v>
      </c>
    </row>
    <row r="107" outlineLevel="1">
      <c r="A107" s="460" t="s">
        <v>374</v>
      </c>
      <c r="B107" s="438">
        <f t="shared" si="68"/>
        <v>58478.72119</v>
      </c>
      <c r="C107" s="429">
        <f t="shared" si="69"/>
        <v>58478.72119</v>
      </c>
      <c r="D107" s="316">
        <f t="shared" ref="D107:R107" si="70">D71</f>
        <v>21636.48376</v>
      </c>
      <c r="E107" s="316">
        <f t="shared" si="70"/>
        <v>10072.88741</v>
      </c>
      <c r="F107" s="316">
        <f t="shared" si="70"/>
        <v>11487.12559</v>
      </c>
      <c r="G107" s="316">
        <f t="shared" si="70"/>
        <v>92.71966977</v>
      </c>
      <c r="H107" s="316">
        <f t="shared" si="70"/>
        <v>12598.80152</v>
      </c>
      <c r="I107" s="316">
        <f t="shared" si="70"/>
        <v>2562.018066</v>
      </c>
      <c r="J107" s="316">
        <f t="shared" si="70"/>
        <v>28.63626029</v>
      </c>
      <c r="K107" s="316">
        <f t="shared" si="70"/>
        <v>0.01207839874</v>
      </c>
      <c r="L107" s="316">
        <f t="shared" si="70"/>
        <v>0.02471202288</v>
      </c>
      <c r="M107" s="316">
        <f t="shared" si="70"/>
        <v>0.01207839874</v>
      </c>
      <c r="N107" s="316">
        <f t="shared" si="70"/>
        <v>0.000008579052577</v>
      </c>
      <c r="O107" s="316">
        <f t="shared" si="70"/>
        <v>0</v>
      </c>
      <c r="P107" s="316">
        <f t="shared" si="70"/>
        <v>0</v>
      </c>
      <c r="Q107" s="316">
        <f t="shared" si="70"/>
        <v>0.000029364109</v>
      </c>
      <c r="R107" s="316">
        <f t="shared" si="70"/>
        <v>0</v>
      </c>
    </row>
    <row r="108" outlineLevel="1">
      <c r="A108" s="460" t="s">
        <v>375</v>
      </c>
      <c r="B108" s="438">
        <f t="shared" si="68"/>
        <v>27216.48522</v>
      </c>
      <c r="C108" s="429">
        <f t="shared" si="69"/>
        <v>27216.48522</v>
      </c>
      <c r="D108" s="316">
        <f t="shared" ref="D108:R108" si="71">D72</f>
        <v>14588.72098</v>
      </c>
      <c r="E108" s="316">
        <f t="shared" si="71"/>
        <v>3133.07874</v>
      </c>
      <c r="F108" s="316">
        <f t="shared" si="71"/>
        <v>1641.701371</v>
      </c>
      <c r="G108" s="316">
        <f t="shared" si="71"/>
        <v>1799.323161</v>
      </c>
      <c r="H108" s="316">
        <f t="shared" si="71"/>
        <v>2221.133261</v>
      </c>
      <c r="I108" s="316">
        <f t="shared" si="71"/>
        <v>306.7672276</v>
      </c>
      <c r="J108" s="316">
        <f t="shared" si="71"/>
        <v>3525.747343</v>
      </c>
      <c r="K108" s="316">
        <f t="shared" si="71"/>
        <v>0.002791220523</v>
      </c>
      <c r="L108" s="316">
        <f t="shared" si="71"/>
        <v>0.002384898077</v>
      </c>
      <c r="M108" s="316">
        <f t="shared" si="71"/>
        <v>0.002791220523</v>
      </c>
      <c r="N108" s="316">
        <f t="shared" si="71"/>
        <v>0.001056268225</v>
      </c>
      <c r="O108" s="316">
        <f t="shared" si="71"/>
        <v>0.001407669979</v>
      </c>
      <c r="P108" s="316">
        <f t="shared" si="71"/>
        <v>0.0006222604602</v>
      </c>
      <c r="Q108" s="316">
        <f t="shared" si="71"/>
        <v>0.001154548783</v>
      </c>
      <c r="R108" s="316">
        <f t="shared" si="71"/>
        <v>0.0009269538291</v>
      </c>
    </row>
    <row r="109" outlineLevel="1">
      <c r="A109" s="460"/>
      <c r="B109" s="458"/>
      <c r="C109" s="453"/>
      <c r="D109" s="453"/>
      <c r="E109" s="453"/>
      <c r="F109" s="453"/>
      <c r="G109" s="453"/>
      <c r="H109" s="453"/>
      <c r="I109" s="453"/>
      <c r="J109" s="453"/>
      <c r="K109" s="453"/>
      <c r="L109" s="453"/>
      <c r="M109" s="453"/>
      <c r="N109" s="453"/>
      <c r="O109" s="453"/>
      <c r="P109" s="453"/>
      <c r="Q109" s="453"/>
      <c r="R109" s="453"/>
    </row>
    <row r="110" outlineLevel="1">
      <c r="A110" s="525" t="s">
        <v>376</v>
      </c>
      <c r="B110" s="526"/>
      <c r="C110" s="527"/>
      <c r="D110" s="527"/>
      <c r="E110" s="453"/>
      <c r="F110" s="453"/>
      <c r="G110" s="453"/>
      <c r="H110" s="453"/>
      <c r="I110" s="453"/>
      <c r="J110" s="453"/>
      <c r="K110" s="453"/>
      <c r="L110" s="453"/>
      <c r="M110" s="453"/>
      <c r="N110" s="453"/>
      <c r="O110" s="453"/>
      <c r="P110" s="453"/>
      <c r="Q110" s="453"/>
      <c r="R110" s="453"/>
    </row>
    <row r="111" outlineLevel="1">
      <c r="A111" s="460" t="s">
        <v>368</v>
      </c>
      <c r="B111" s="438"/>
      <c r="C111" s="429"/>
      <c r="D111" s="429"/>
      <c r="E111" s="429"/>
      <c r="F111" s="429"/>
      <c r="G111" s="429"/>
      <c r="H111" s="429"/>
      <c r="I111" s="429"/>
      <c r="J111" s="429"/>
      <c r="K111" s="429"/>
      <c r="L111" s="429"/>
      <c r="M111" s="429"/>
      <c r="N111" s="429"/>
      <c r="O111" s="429"/>
      <c r="P111" s="429"/>
      <c r="Q111" s="429"/>
      <c r="R111" s="429"/>
    </row>
    <row r="112" outlineLevel="1">
      <c r="A112" s="460" t="s">
        <v>373</v>
      </c>
      <c r="B112" s="438">
        <f t="shared" ref="B112:B114" si="74">index(A112:R112,,match($A$3,$A$1:$R$1,0))</f>
        <v>0</v>
      </c>
      <c r="C112" s="429">
        <f t="shared" ref="C112:C114" si="75">sum(ifna(D112:Z112,0))</f>
        <v>0</v>
      </c>
      <c r="D112" s="429">
        <f t="shared" ref="D112:E112" si="72">D53/D34*D96</f>
        <v>0</v>
      </c>
      <c r="E112" s="429">
        <f t="shared" si="72"/>
        <v>0</v>
      </c>
      <c r="F112" s="429">
        <f t="shared" ref="F112:R112" si="73">F$53/F$34*F96</f>
        <v>0</v>
      </c>
      <c r="G112" s="429">
        <f t="shared" si="73"/>
        <v>0</v>
      </c>
      <c r="H112" s="429">
        <f t="shared" si="73"/>
        <v>0</v>
      </c>
      <c r="I112" s="429">
        <f t="shared" si="73"/>
        <v>0</v>
      </c>
      <c r="J112" s="429">
        <f t="shared" si="73"/>
        <v>0</v>
      </c>
      <c r="K112" s="429">
        <f t="shared" si="73"/>
        <v>0</v>
      </c>
      <c r="L112" s="429">
        <f t="shared" si="73"/>
        <v>0</v>
      </c>
      <c r="M112" s="429">
        <f t="shared" si="73"/>
        <v>0</v>
      </c>
      <c r="N112" s="429">
        <f t="shared" si="73"/>
        <v>0</v>
      </c>
      <c r="O112" s="429">
        <f t="shared" si="73"/>
        <v>0</v>
      </c>
      <c r="P112" s="429">
        <f t="shared" si="73"/>
        <v>0</v>
      </c>
      <c r="Q112" s="429">
        <f t="shared" si="73"/>
        <v>0</v>
      </c>
      <c r="R112" s="429">
        <f t="shared" si="73"/>
        <v>0</v>
      </c>
    </row>
    <row r="113" outlineLevel="1">
      <c r="A113" s="460" t="s">
        <v>374</v>
      </c>
      <c r="B113" s="438">
        <f t="shared" si="74"/>
        <v>-5516.351043</v>
      </c>
      <c r="C113" s="429">
        <f t="shared" si="75"/>
        <v>-5516.351043</v>
      </c>
      <c r="D113" s="429">
        <f t="shared" ref="D113:E113" si="76">D53/D34*D97</f>
        <v>-2288.090313</v>
      </c>
      <c r="E113" s="429">
        <f t="shared" si="76"/>
        <v>-146.8610261</v>
      </c>
      <c r="F113" s="429">
        <f t="shared" ref="F113:R113" si="77">F$53/F$34*F97</f>
        <v>-113.4174261</v>
      </c>
      <c r="G113" s="429">
        <f t="shared" si="77"/>
        <v>-1072.43223</v>
      </c>
      <c r="H113" s="429">
        <f t="shared" si="77"/>
        <v>-820.0952351</v>
      </c>
      <c r="I113" s="429">
        <f t="shared" si="77"/>
        <v>-357.4774102</v>
      </c>
      <c r="J113" s="429">
        <f t="shared" si="77"/>
        <v>-717.974811</v>
      </c>
      <c r="K113" s="429">
        <f t="shared" si="77"/>
        <v>-0.0005737591793</v>
      </c>
      <c r="L113" s="429">
        <f t="shared" si="77"/>
        <v>-0.000642813882</v>
      </c>
      <c r="M113" s="429">
        <f t="shared" si="77"/>
        <v>-0.0005737591793</v>
      </c>
      <c r="N113" s="429">
        <f t="shared" si="77"/>
        <v>-0.0001163274023</v>
      </c>
      <c r="O113" s="429">
        <f t="shared" si="77"/>
        <v>-0.0001706594056</v>
      </c>
      <c r="P113" s="429">
        <f t="shared" si="77"/>
        <v>-0.0001333302747</v>
      </c>
      <c r="Q113" s="429">
        <f t="shared" si="77"/>
        <v>-0.0001564667786</v>
      </c>
      <c r="R113" s="429">
        <f t="shared" si="77"/>
        <v>-0.0002241805918</v>
      </c>
    </row>
    <row r="114" outlineLevel="1">
      <c r="A114" s="460" t="s">
        <v>375</v>
      </c>
      <c r="B114" s="438">
        <f t="shared" si="74"/>
        <v>0</v>
      </c>
      <c r="C114" s="429">
        <f t="shared" si="75"/>
        <v>0</v>
      </c>
      <c r="D114" s="429">
        <f t="shared" ref="D114:E114" si="78">D53/D34*D98</f>
        <v>0</v>
      </c>
      <c r="E114" s="429">
        <f t="shared" si="78"/>
        <v>0</v>
      </c>
      <c r="F114" s="429">
        <f t="shared" ref="F114:R114" si="79">F$53/F$34*F98</f>
        <v>0</v>
      </c>
      <c r="G114" s="429">
        <f t="shared" si="79"/>
        <v>0</v>
      </c>
      <c r="H114" s="429">
        <f t="shared" si="79"/>
        <v>0</v>
      </c>
      <c r="I114" s="429">
        <f t="shared" si="79"/>
        <v>0</v>
      </c>
      <c r="J114" s="429">
        <f t="shared" si="79"/>
        <v>0</v>
      </c>
      <c r="K114" s="429">
        <f t="shared" si="79"/>
        <v>0</v>
      </c>
      <c r="L114" s="429">
        <f t="shared" si="79"/>
        <v>0</v>
      </c>
      <c r="M114" s="429">
        <f t="shared" si="79"/>
        <v>0</v>
      </c>
      <c r="N114" s="429">
        <f t="shared" si="79"/>
        <v>0</v>
      </c>
      <c r="O114" s="429">
        <f t="shared" si="79"/>
        <v>0</v>
      </c>
      <c r="P114" s="429">
        <f t="shared" si="79"/>
        <v>0</v>
      </c>
      <c r="Q114" s="429">
        <f t="shared" si="79"/>
        <v>0</v>
      </c>
      <c r="R114" s="429">
        <f t="shared" si="79"/>
        <v>0</v>
      </c>
    </row>
    <row r="115" outlineLevel="1">
      <c r="A115" s="460"/>
      <c r="B115" s="438"/>
      <c r="C115" s="429"/>
      <c r="D115" s="429"/>
      <c r="E115" s="429"/>
      <c r="F115" s="429"/>
      <c r="G115" s="429"/>
      <c r="H115" s="429"/>
      <c r="I115" s="429"/>
      <c r="J115" s="429"/>
      <c r="K115" s="429"/>
      <c r="L115" s="429"/>
      <c r="M115" s="429"/>
      <c r="N115" s="429"/>
      <c r="O115" s="429"/>
      <c r="P115" s="429"/>
      <c r="Q115" s="429"/>
      <c r="R115" s="429"/>
    </row>
    <row r="116" outlineLevel="1">
      <c r="A116" s="460" t="s">
        <v>369</v>
      </c>
      <c r="B116" s="438"/>
      <c r="C116" s="429"/>
      <c r="D116" s="429"/>
      <c r="E116" s="429"/>
      <c r="F116" s="429"/>
      <c r="G116" s="429"/>
      <c r="H116" s="429"/>
      <c r="I116" s="429"/>
      <c r="J116" s="429"/>
      <c r="K116" s="429"/>
      <c r="L116" s="429"/>
      <c r="M116" s="429"/>
      <c r="N116" s="429"/>
      <c r="O116" s="429"/>
      <c r="P116" s="429"/>
      <c r="Q116" s="429"/>
      <c r="R116" s="429"/>
    </row>
    <row r="117" outlineLevel="1">
      <c r="A117" s="460" t="s">
        <v>373</v>
      </c>
      <c r="B117" s="438">
        <f t="shared" ref="B117:B119" si="82">index(A117:R117,,match($A$3,$A$1:$R$1,0))</f>
        <v>13484.14486</v>
      </c>
      <c r="C117" s="429">
        <f t="shared" ref="C117:C119" si="83">sum(ifna(D117:Z117,0))</f>
        <v>13484.14486</v>
      </c>
      <c r="D117" s="429">
        <f t="shared" ref="D117:E117" si="80">D53/D34*D101</f>
        <v>9071.604916</v>
      </c>
      <c r="E117" s="429">
        <f t="shared" si="80"/>
        <v>662.1179818</v>
      </c>
      <c r="F117" s="429">
        <f t="shared" ref="F117:R117" si="81">F$53/F$34*F101</f>
        <v>307.1088975</v>
      </c>
      <c r="G117" s="429">
        <f t="shared" si="81"/>
        <v>506.3600594</v>
      </c>
      <c r="H117" s="429">
        <f t="shared" si="81"/>
        <v>1961.317693</v>
      </c>
      <c r="I117" s="429">
        <f t="shared" si="81"/>
        <v>635.4523062</v>
      </c>
      <c r="J117" s="429">
        <f t="shared" si="81"/>
        <v>340.1775099</v>
      </c>
      <c r="K117" s="429">
        <f t="shared" si="81"/>
        <v>0.001414142626</v>
      </c>
      <c r="L117" s="429">
        <f t="shared" si="81"/>
        <v>0.002286108525</v>
      </c>
      <c r="M117" s="429">
        <f t="shared" si="81"/>
        <v>0.001414142626</v>
      </c>
      <c r="N117" s="429">
        <f t="shared" si="81"/>
        <v>0.00005511609244</v>
      </c>
      <c r="O117" s="429">
        <f t="shared" si="81"/>
        <v>0.00008343544074</v>
      </c>
      <c r="P117" s="429">
        <f t="shared" si="81"/>
        <v>0.00006069726747</v>
      </c>
      <c r="Q117" s="429">
        <f t="shared" si="81"/>
        <v>0.00007477665187</v>
      </c>
      <c r="R117" s="429">
        <f t="shared" si="81"/>
        <v>0.0001049833321</v>
      </c>
    </row>
    <row r="118" outlineLevel="1">
      <c r="A118" s="460" t="s">
        <v>374</v>
      </c>
      <c r="B118" s="438">
        <f t="shared" si="82"/>
        <v>0</v>
      </c>
      <c r="C118" s="429">
        <f t="shared" si="83"/>
        <v>0</v>
      </c>
      <c r="D118" s="429">
        <f t="shared" ref="D118:E118" si="84">D53/D34*D102</f>
        <v>0</v>
      </c>
      <c r="E118" s="429">
        <f t="shared" si="84"/>
        <v>0</v>
      </c>
      <c r="F118" s="429">
        <f t="shared" ref="F118:R118" si="85">F$53/F$34*F102</f>
        <v>0</v>
      </c>
      <c r="G118" s="429">
        <f t="shared" si="85"/>
        <v>0</v>
      </c>
      <c r="H118" s="429">
        <f t="shared" si="85"/>
        <v>0</v>
      </c>
      <c r="I118" s="429">
        <f t="shared" si="85"/>
        <v>0</v>
      </c>
      <c r="J118" s="429">
        <f t="shared" si="85"/>
        <v>0</v>
      </c>
      <c r="K118" s="429">
        <f t="shared" si="85"/>
        <v>0</v>
      </c>
      <c r="L118" s="429">
        <f t="shared" si="85"/>
        <v>0</v>
      </c>
      <c r="M118" s="429">
        <f t="shared" si="85"/>
        <v>0</v>
      </c>
      <c r="N118" s="429">
        <f t="shared" si="85"/>
        <v>0</v>
      </c>
      <c r="O118" s="429">
        <f t="shared" si="85"/>
        <v>0</v>
      </c>
      <c r="P118" s="429">
        <f t="shared" si="85"/>
        <v>0</v>
      </c>
      <c r="Q118" s="429">
        <f t="shared" si="85"/>
        <v>0</v>
      </c>
      <c r="R118" s="429">
        <f t="shared" si="85"/>
        <v>0</v>
      </c>
    </row>
    <row r="119" outlineLevel="1">
      <c r="A119" s="460" t="s">
        <v>375</v>
      </c>
      <c r="B119" s="438">
        <f t="shared" si="82"/>
        <v>1089.129973</v>
      </c>
      <c r="C119" s="429">
        <f t="shared" si="83"/>
        <v>1089.129973</v>
      </c>
      <c r="D119" s="429">
        <f t="shared" ref="D119:E119" si="86">D53/D34*D103</f>
        <v>761.2735412</v>
      </c>
      <c r="E119" s="429">
        <f t="shared" si="86"/>
        <v>24.87568866</v>
      </c>
      <c r="F119" s="429">
        <f t="shared" ref="F119:R119" si="87">F$53/F$34*F103</f>
        <v>9.942169726</v>
      </c>
      <c r="G119" s="429">
        <f t="shared" si="87"/>
        <v>109.0745748</v>
      </c>
      <c r="H119" s="429">
        <f t="shared" si="87"/>
        <v>90.34215708</v>
      </c>
      <c r="I119" s="429">
        <f t="shared" si="87"/>
        <v>17.84917622</v>
      </c>
      <c r="J119" s="429">
        <f t="shared" si="87"/>
        <v>75.77239238</v>
      </c>
      <c r="K119" s="429">
        <f t="shared" si="87"/>
        <v>0.00007253643778</v>
      </c>
      <c r="L119" s="429">
        <f t="shared" si="87"/>
        <v>0.00004416468602</v>
      </c>
      <c r="M119" s="429">
        <f t="shared" si="87"/>
        <v>0.00007253643778</v>
      </c>
      <c r="N119" s="429">
        <f t="shared" si="87"/>
        <v>0.00001227676158</v>
      </c>
      <c r="O119" s="429">
        <f t="shared" si="87"/>
        <v>0.00002402321218</v>
      </c>
      <c r="P119" s="429">
        <f t="shared" si="87"/>
        <v>0.000008296615807</v>
      </c>
      <c r="Q119" s="429">
        <f t="shared" si="87"/>
        <v>0.00001801196236</v>
      </c>
      <c r="R119" s="429">
        <f t="shared" si="87"/>
        <v>0.0000207805058</v>
      </c>
    </row>
    <row r="120" outlineLevel="1">
      <c r="A120" s="460"/>
      <c r="B120" s="438"/>
      <c r="C120" s="429"/>
      <c r="D120" s="429"/>
      <c r="E120" s="429"/>
      <c r="F120" s="429"/>
      <c r="G120" s="429"/>
      <c r="H120" s="429"/>
      <c r="I120" s="429"/>
      <c r="J120" s="429"/>
      <c r="K120" s="429"/>
      <c r="L120" s="429"/>
      <c r="M120" s="429"/>
      <c r="N120" s="429"/>
      <c r="O120" s="429"/>
      <c r="P120" s="429"/>
      <c r="Q120" s="429"/>
      <c r="R120" s="429"/>
    </row>
    <row r="121" outlineLevel="1">
      <c r="A121" s="460" t="s">
        <v>370</v>
      </c>
      <c r="B121" s="438"/>
      <c r="C121" s="429"/>
      <c r="D121" s="429"/>
      <c r="E121" s="429"/>
      <c r="F121" s="429"/>
      <c r="G121" s="429"/>
      <c r="H121" s="429"/>
      <c r="I121" s="429"/>
      <c r="J121" s="429"/>
      <c r="K121" s="429"/>
      <c r="L121" s="429"/>
      <c r="M121" s="429"/>
      <c r="N121" s="429"/>
      <c r="O121" s="429"/>
      <c r="P121" s="429"/>
      <c r="Q121" s="429"/>
      <c r="R121" s="429"/>
    </row>
    <row r="122" outlineLevel="1">
      <c r="A122" s="460" t="s">
        <v>373</v>
      </c>
      <c r="B122" s="438">
        <f t="shared" ref="B122:B124" si="90">index(A122:R122,,match($A$3,$A$1:$R$1,0))</f>
        <v>27324.17626</v>
      </c>
      <c r="C122" s="429">
        <f t="shared" ref="C122:C124" si="91">sum(ifna(D122:Z122,0))</f>
        <v>27324.17626</v>
      </c>
      <c r="D122" s="429">
        <f t="shared" ref="D122:E122" si="88">(D53/D34)*D106</f>
        <v>17908.36144</v>
      </c>
      <c r="E122" s="429">
        <f t="shared" si="88"/>
        <v>1453.820445</v>
      </c>
      <c r="F122" s="429">
        <f t="shared" ref="F122:R122" si="89">F$53/F$34*F106</f>
        <v>794.3110502</v>
      </c>
      <c r="G122" s="429">
        <f t="shared" si="89"/>
        <v>509.0278882</v>
      </c>
      <c r="H122" s="429">
        <f t="shared" si="89"/>
        <v>5228.189772</v>
      </c>
      <c r="I122" s="429">
        <f t="shared" si="89"/>
        <v>1089.98176</v>
      </c>
      <c r="J122" s="429">
        <f t="shared" si="89"/>
        <v>340.46935</v>
      </c>
      <c r="K122" s="429">
        <f t="shared" si="89"/>
        <v>0.003122200476</v>
      </c>
      <c r="L122" s="429">
        <f t="shared" si="89"/>
        <v>0.007935545141</v>
      </c>
      <c r="M122" s="429">
        <f t="shared" si="89"/>
        <v>0.003122200476</v>
      </c>
      <c r="N122" s="429">
        <f t="shared" si="89"/>
        <v>0.00005516337683</v>
      </c>
      <c r="O122" s="429">
        <f t="shared" si="89"/>
        <v>0.00008343544074</v>
      </c>
      <c r="P122" s="429">
        <f t="shared" si="89"/>
        <v>0.00006069726747</v>
      </c>
      <c r="Q122" s="429">
        <f t="shared" si="89"/>
        <v>0.00007499622685</v>
      </c>
      <c r="R122" s="429">
        <f t="shared" si="89"/>
        <v>0.0001049833321</v>
      </c>
    </row>
    <row r="123" outlineLevel="1">
      <c r="A123" s="460" t="s">
        <v>374</v>
      </c>
      <c r="B123" s="438">
        <f t="shared" si="90"/>
        <v>4212.346542</v>
      </c>
      <c r="C123" s="429">
        <f t="shared" si="91"/>
        <v>4212.346542</v>
      </c>
      <c r="D123" s="429">
        <f t="shared" ref="D123:E123" si="92">D53/D34*D107</f>
        <v>2228.855554</v>
      </c>
      <c r="E123" s="429">
        <f t="shared" si="92"/>
        <v>175.6035016</v>
      </c>
      <c r="F123" s="429">
        <f t="shared" ref="F123:R123" si="93">F$53/F$34*F107</f>
        <v>179.9271027</v>
      </c>
      <c r="G123" s="429">
        <f t="shared" si="93"/>
        <v>5.650259177</v>
      </c>
      <c r="H123" s="429">
        <f t="shared" si="93"/>
        <v>1365.992994</v>
      </c>
      <c r="I123" s="429">
        <f t="shared" si="93"/>
        <v>255.6982018</v>
      </c>
      <c r="J123" s="429">
        <f t="shared" si="93"/>
        <v>0.6159543652</v>
      </c>
      <c r="K123" s="429">
        <f t="shared" si="93"/>
        <v>0.0006930092147</v>
      </c>
      <c r="L123" s="429">
        <f t="shared" si="93"/>
        <v>0.001588523136</v>
      </c>
      <c r="M123" s="429">
        <f t="shared" si="93"/>
        <v>0.0006930092147</v>
      </c>
      <c r="N123" s="429">
        <f t="shared" si="93"/>
        <v>0.00000009979789004</v>
      </c>
      <c r="O123" s="429">
        <f t="shared" si="93"/>
        <v>0</v>
      </c>
      <c r="P123" s="429">
        <f t="shared" si="93"/>
        <v>0</v>
      </c>
      <c r="Q123" s="429">
        <f t="shared" si="93"/>
        <v>0.0000004594507541</v>
      </c>
      <c r="R123" s="429">
        <f t="shared" si="93"/>
        <v>0</v>
      </c>
    </row>
    <row r="124" outlineLevel="1">
      <c r="A124" s="460" t="s">
        <v>375</v>
      </c>
      <c r="B124" s="438">
        <f t="shared" si="90"/>
        <v>2040.097783</v>
      </c>
      <c r="C124" s="429">
        <f t="shared" si="91"/>
        <v>2040.097783</v>
      </c>
      <c r="D124" s="429">
        <f t="shared" ref="D124:E124" si="94">D53/D34*D108</f>
        <v>1502.839007</v>
      </c>
      <c r="E124" s="429">
        <f t="shared" si="94"/>
        <v>54.61984985</v>
      </c>
      <c r="F124" s="429">
        <f t="shared" ref="F124:R124" si="95">F$53/F$34*F108</f>
        <v>25.71457662</v>
      </c>
      <c r="G124" s="429">
        <f t="shared" si="95"/>
        <v>109.6492495</v>
      </c>
      <c r="H124" s="429">
        <f t="shared" si="95"/>
        <v>240.8207214</v>
      </c>
      <c r="I124" s="429">
        <f t="shared" si="95"/>
        <v>30.61642286</v>
      </c>
      <c r="J124" s="429">
        <f t="shared" si="95"/>
        <v>75.83739791</v>
      </c>
      <c r="K124" s="429">
        <f t="shared" si="95"/>
        <v>0.0001601488396</v>
      </c>
      <c r="L124" s="429">
        <f t="shared" si="95"/>
        <v>0.0001533045591</v>
      </c>
      <c r="M124" s="429">
        <f t="shared" si="95"/>
        <v>0.0001601488396</v>
      </c>
      <c r="N124" s="429">
        <f t="shared" si="95"/>
        <v>0.00001228729387</v>
      </c>
      <c r="O124" s="429">
        <f t="shared" si="95"/>
        <v>0.00002402321218</v>
      </c>
      <c r="P124" s="429">
        <f t="shared" si="95"/>
        <v>0.000008296615807</v>
      </c>
      <c r="Q124" s="429">
        <f t="shared" si="95"/>
        <v>0.00001806485288</v>
      </c>
      <c r="R124" s="429">
        <f t="shared" si="95"/>
        <v>0.0000207805058</v>
      </c>
    </row>
    <row r="125" outlineLevel="1">
      <c r="A125" s="460"/>
      <c r="B125" s="458"/>
      <c r="C125" s="453"/>
      <c r="D125" s="453"/>
      <c r="E125" s="453"/>
      <c r="F125" s="453"/>
      <c r="G125" s="453"/>
      <c r="H125" s="453"/>
      <c r="I125" s="453"/>
      <c r="J125" s="453"/>
      <c r="K125" s="453"/>
      <c r="L125" s="453"/>
      <c r="M125" s="453"/>
      <c r="N125" s="453"/>
      <c r="O125" s="453"/>
      <c r="P125" s="453"/>
      <c r="Q125" s="453"/>
      <c r="R125" s="453"/>
    </row>
    <row r="126" outlineLevel="1">
      <c r="A126" s="460"/>
      <c r="B126" s="458"/>
      <c r="C126" s="453"/>
      <c r="D126" s="453"/>
      <c r="E126" s="453"/>
      <c r="F126" s="453"/>
      <c r="G126" s="453"/>
      <c r="H126" s="453"/>
      <c r="I126" s="453"/>
      <c r="J126" s="453"/>
      <c r="K126" s="453"/>
      <c r="L126" s="453"/>
      <c r="M126" s="453"/>
      <c r="N126" s="453"/>
      <c r="O126" s="453"/>
      <c r="P126" s="453"/>
      <c r="Q126" s="453"/>
      <c r="R126" s="453"/>
    </row>
    <row r="127" outlineLevel="1">
      <c r="A127" s="525" t="s">
        <v>377</v>
      </c>
      <c r="B127" s="526"/>
      <c r="C127" s="527"/>
      <c r="D127" s="453"/>
      <c r="E127" s="453"/>
      <c r="F127" s="453"/>
      <c r="G127" s="453"/>
      <c r="H127" s="453"/>
      <c r="I127" s="453"/>
      <c r="J127" s="453"/>
      <c r="K127" s="453"/>
      <c r="L127" s="453"/>
      <c r="M127" s="453"/>
      <c r="N127" s="453"/>
      <c r="O127" s="453"/>
      <c r="P127" s="453"/>
      <c r="Q127" s="453"/>
      <c r="R127" s="453"/>
    </row>
    <row r="128" outlineLevel="1">
      <c r="A128" s="460" t="s">
        <v>368</v>
      </c>
      <c r="B128" s="438"/>
      <c r="C128" s="429"/>
      <c r="D128" s="429"/>
      <c r="E128" s="429"/>
      <c r="F128" s="429"/>
      <c r="G128" s="429"/>
      <c r="H128" s="429"/>
      <c r="I128" s="429"/>
      <c r="J128" s="429"/>
      <c r="K128" s="429"/>
      <c r="L128" s="429"/>
      <c r="M128" s="429"/>
      <c r="N128" s="429"/>
      <c r="O128" s="429"/>
      <c r="P128" s="429"/>
      <c r="Q128" s="429"/>
      <c r="R128" s="429"/>
    </row>
    <row r="129" outlineLevel="1">
      <c r="A129" s="460" t="s">
        <v>373</v>
      </c>
      <c r="B129" s="438">
        <f t="shared" ref="B129:B131" si="97">index(A129:R129,,match($A$3,$A$1:$R$1,0))</f>
        <v>0</v>
      </c>
      <c r="C129" s="429">
        <f t="shared" ref="C129:C131" si="98">sumif(D129:Z129,"&lt;&gt;#DIV/0!")</f>
        <v>0</v>
      </c>
      <c r="D129" s="429">
        <f t="shared" ref="D129:D130" si="99">-(D96*D80)/100000</f>
        <v>0</v>
      </c>
      <c r="E129" s="429">
        <f>-(E96*E80)/1000000</f>
        <v>0</v>
      </c>
      <c r="F129" s="429">
        <f t="shared" ref="F129:R129" si="96">-F96*F$80/100000</f>
        <v>0</v>
      </c>
      <c r="G129" s="429">
        <f t="shared" si="96"/>
        <v>0</v>
      </c>
      <c r="H129" s="429">
        <f t="shared" si="96"/>
        <v>0</v>
      </c>
      <c r="I129" s="429">
        <f t="shared" si="96"/>
        <v>0</v>
      </c>
      <c r="J129" s="429">
        <f t="shared" si="96"/>
        <v>0</v>
      </c>
      <c r="K129" s="429">
        <f t="shared" si="96"/>
        <v>0</v>
      </c>
      <c r="L129" s="429">
        <f t="shared" si="96"/>
        <v>0</v>
      </c>
      <c r="M129" s="429">
        <f t="shared" si="96"/>
        <v>0</v>
      </c>
      <c r="N129" s="429">
        <f t="shared" si="96"/>
        <v>0</v>
      </c>
      <c r="O129" s="429">
        <f t="shared" si="96"/>
        <v>0</v>
      </c>
      <c r="P129" s="429">
        <f t="shared" si="96"/>
        <v>0</v>
      </c>
      <c r="Q129" s="429">
        <f t="shared" si="96"/>
        <v>0</v>
      </c>
      <c r="R129" s="429">
        <f t="shared" si="96"/>
        <v>0</v>
      </c>
    </row>
    <row r="130" outlineLevel="1">
      <c r="A130" s="460" t="s">
        <v>374</v>
      </c>
      <c r="B130" s="438">
        <f t="shared" si="97"/>
        <v>357.7684369</v>
      </c>
      <c r="C130" s="429">
        <f t="shared" si="98"/>
        <v>357.7684369</v>
      </c>
      <c r="D130" s="429">
        <f t="shared" si="99"/>
        <v>79.46567887</v>
      </c>
      <c r="E130" s="429">
        <f>-E97*E81/100000</f>
        <v>30.13901414</v>
      </c>
      <c r="F130" s="429">
        <f t="shared" ref="F130:R130" si="100">-F97*F$81/100000</f>
        <v>25.90575452</v>
      </c>
      <c r="G130" s="429">
        <f t="shared" si="100"/>
        <v>62.96149629</v>
      </c>
      <c r="H130" s="429">
        <f t="shared" si="100"/>
        <v>27.06117982</v>
      </c>
      <c r="I130" s="429">
        <f t="shared" si="100"/>
        <v>12.81459228</v>
      </c>
      <c r="J130" s="429">
        <f t="shared" si="100"/>
        <v>119.4204348</v>
      </c>
      <c r="K130" s="429">
        <f t="shared" si="100"/>
        <v>0.00003577681507</v>
      </c>
      <c r="L130" s="429">
        <f t="shared" si="100"/>
        <v>0.00003577681507</v>
      </c>
      <c r="M130" s="429">
        <f t="shared" si="100"/>
        <v>0.00003577681507</v>
      </c>
      <c r="N130" s="429">
        <f t="shared" si="100"/>
        <v>0.00003577681507</v>
      </c>
      <c r="O130" s="429">
        <f t="shared" si="100"/>
        <v>0.00003577681507</v>
      </c>
      <c r="P130" s="429">
        <f t="shared" si="100"/>
        <v>0.00003577681507</v>
      </c>
      <c r="Q130" s="429">
        <f t="shared" si="100"/>
        <v>0.00003577681507</v>
      </c>
      <c r="R130" s="429">
        <f t="shared" si="100"/>
        <v>0.00003577681507</v>
      </c>
    </row>
    <row r="131" outlineLevel="1">
      <c r="A131" s="460" t="s">
        <v>375</v>
      </c>
      <c r="B131" s="438">
        <f t="shared" si="97"/>
        <v>0</v>
      </c>
      <c r="C131" s="429">
        <f t="shared" si="98"/>
        <v>0</v>
      </c>
      <c r="D131" s="429">
        <f t="shared" ref="D131:E131" si="101">-D98*D82/100000</f>
        <v>0</v>
      </c>
      <c r="E131" s="429">
        <f t="shared" si="101"/>
        <v>0</v>
      </c>
      <c r="F131" s="429">
        <f t="shared" ref="F131:R131" si="102">-F98*F$82/100000</f>
        <v>0</v>
      </c>
      <c r="G131" s="429">
        <f t="shared" si="102"/>
        <v>0</v>
      </c>
      <c r="H131" s="429">
        <f t="shared" si="102"/>
        <v>0</v>
      </c>
      <c r="I131" s="429">
        <f t="shared" si="102"/>
        <v>0</v>
      </c>
      <c r="J131" s="429">
        <f t="shared" si="102"/>
        <v>0</v>
      </c>
      <c r="K131" s="429">
        <f t="shared" si="102"/>
        <v>0</v>
      </c>
      <c r="L131" s="429">
        <f t="shared" si="102"/>
        <v>0</v>
      </c>
      <c r="M131" s="429">
        <f t="shared" si="102"/>
        <v>0</v>
      </c>
      <c r="N131" s="429">
        <f t="shared" si="102"/>
        <v>0</v>
      </c>
      <c r="O131" s="429">
        <f t="shared" si="102"/>
        <v>0</v>
      </c>
      <c r="P131" s="429">
        <f t="shared" si="102"/>
        <v>0</v>
      </c>
      <c r="Q131" s="429">
        <f t="shared" si="102"/>
        <v>0</v>
      </c>
      <c r="R131" s="429">
        <f t="shared" si="102"/>
        <v>0</v>
      </c>
    </row>
    <row r="132" outlineLevel="1">
      <c r="A132" s="460"/>
      <c r="B132" s="438"/>
      <c r="C132" s="429"/>
      <c r="D132" s="429"/>
      <c r="E132" s="429"/>
      <c r="F132" s="429"/>
      <c r="G132" s="429"/>
      <c r="H132" s="429"/>
      <c r="I132" s="429"/>
      <c r="J132" s="429"/>
      <c r="K132" s="429"/>
      <c r="L132" s="429"/>
      <c r="M132" s="429"/>
      <c r="N132" s="429"/>
      <c r="O132" s="429"/>
      <c r="P132" s="429"/>
      <c r="Q132" s="429"/>
      <c r="R132" s="429"/>
    </row>
    <row r="133" outlineLevel="1">
      <c r="A133" s="460" t="s">
        <v>369</v>
      </c>
      <c r="B133" s="438"/>
      <c r="C133" s="429"/>
      <c r="D133" s="429"/>
      <c r="E133" s="429"/>
      <c r="F133" s="429"/>
      <c r="G133" s="429"/>
      <c r="H133" s="429"/>
      <c r="I133" s="429"/>
      <c r="J133" s="429"/>
      <c r="K133" s="429"/>
      <c r="L133" s="429"/>
      <c r="M133" s="429"/>
      <c r="N133" s="429"/>
      <c r="O133" s="429"/>
      <c r="P133" s="429"/>
      <c r="Q133" s="429"/>
      <c r="R133" s="429"/>
    </row>
    <row r="134" outlineLevel="1">
      <c r="A134" s="460" t="s">
        <v>373</v>
      </c>
      <c r="B134" s="438">
        <f t="shared" ref="B134:B136" si="105">index(A134:R134,,match($A$3,$A$1:$R$1,0))</f>
        <v>-694.8936422</v>
      </c>
      <c r="C134" s="429">
        <f t="shared" ref="C134:C136" si="106">sumif(D134:Z134,"&lt;&gt;#DIV/0!")</f>
        <v>-694.8936422</v>
      </c>
      <c r="D134" s="429">
        <f t="shared" ref="D134:E134" si="103">-D101*D80/100000</f>
        <v>-315.0580372</v>
      </c>
      <c r="E134" s="429">
        <f t="shared" si="103"/>
        <v>-135.8807285</v>
      </c>
      <c r="F134" s="429">
        <f t="shared" ref="F134:R134" si="104">-F101*F$80/100000</f>
        <v>-70.14696049</v>
      </c>
      <c r="G134" s="429">
        <f t="shared" si="104"/>
        <v>-29.72792695</v>
      </c>
      <c r="H134" s="429">
        <f t="shared" si="104"/>
        <v>-64.71878935</v>
      </c>
      <c r="I134" s="429">
        <f t="shared" si="104"/>
        <v>-22.7792358</v>
      </c>
      <c r="J134" s="429">
        <f t="shared" si="104"/>
        <v>-56.58157573</v>
      </c>
      <c r="K134" s="429">
        <f t="shared" si="104"/>
        <v>-0.00008817901487</v>
      </c>
      <c r="L134" s="429">
        <f t="shared" si="104"/>
        <v>-0.0001272369565</v>
      </c>
      <c r="M134" s="429">
        <f t="shared" si="104"/>
        <v>-0.00008817901487</v>
      </c>
      <c r="N134" s="429">
        <f t="shared" si="104"/>
        <v>-0.00001695110703</v>
      </c>
      <c r="O134" s="429">
        <f t="shared" si="104"/>
        <v>-0.00001749129691</v>
      </c>
      <c r="P134" s="429">
        <f t="shared" si="104"/>
        <v>-0.00001628703548</v>
      </c>
      <c r="Q134" s="429">
        <f t="shared" si="104"/>
        <v>-0.00001709800937</v>
      </c>
      <c r="R134" s="429">
        <f t="shared" si="104"/>
        <v>-0.00001675421243</v>
      </c>
    </row>
    <row r="135" outlineLevel="1">
      <c r="A135" s="460" t="s">
        <v>374</v>
      </c>
      <c r="B135" s="438">
        <f t="shared" si="105"/>
        <v>0</v>
      </c>
      <c r="C135" s="429">
        <f t="shared" si="106"/>
        <v>0</v>
      </c>
      <c r="D135" s="429">
        <f t="shared" ref="D135:E135" si="107">-D102*D81/100000</f>
        <v>0</v>
      </c>
      <c r="E135" s="429">
        <f t="shared" si="107"/>
        <v>0</v>
      </c>
      <c r="F135" s="429">
        <f t="shared" ref="F135:R135" si="108">-F102*F$81/100000</f>
        <v>0</v>
      </c>
      <c r="G135" s="429">
        <f t="shared" si="108"/>
        <v>0</v>
      </c>
      <c r="H135" s="429">
        <f t="shared" si="108"/>
        <v>0</v>
      </c>
      <c r="I135" s="429">
        <f t="shared" si="108"/>
        <v>0</v>
      </c>
      <c r="J135" s="429">
        <f t="shared" si="108"/>
        <v>0</v>
      </c>
      <c r="K135" s="429">
        <f t="shared" si="108"/>
        <v>0</v>
      </c>
      <c r="L135" s="429">
        <f t="shared" si="108"/>
        <v>0</v>
      </c>
      <c r="M135" s="429">
        <f t="shared" si="108"/>
        <v>0</v>
      </c>
      <c r="N135" s="429">
        <f t="shared" si="108"/>
        <v>0</v>
      </c>
      <c r="O135" s="429">
        <f t="shared" si="108"/>
        <v>0</v>
      </c>
      <c r="P135" s="429">
        <f t="shared" si="108"/>
        <v>0</v>
      </c>
      <c r="Q135" s="429">
        <f t="shared" si="108"/>
        <v>0</v>
      </c>
      <c r="R135" s="429">
        <f t="shared" si="108"/>
        <v>0</v>
      </c>
    </row>
    <row r="136" outlineLevel="1">
      <c r="A136" s="460" t="s">
        <v>375</v>
      </c>
      <c r="B136" s="438">
        <f t="shared" si="105"/>
        <v>-104.0314751</v>
      </c>
      <c r="C136" s="429">
        <f t="shared" si="106"/>
        <v>-104.0314751</v>
      </c>
      <c r="D136" s="429">
        <f t="shared" ref="D136:E136" si="109">-D103*D82/100000</f>
        <v>-48.73073415</v>
      </c>
      <c r="E136" s="429">
        <f t="shared" si="109"/>
        <v>-9.409214726</v>
      </c>
      <c r="F136" s="429">
        <f t="shared" ref="F136:R136" si="110">-F103*F$82/100000</f>
        <v>-4.185558484</v>
      </c>
      <c r="G136" s="429">
        <f t="shared" si="110"/>
        <v>-11.80278497</v>
      </c>
      <c r="H136" s="429">
        <f t="shared" si="110"/>
        <v>-5.494506325</v>
      </c>
      <c r="I136" s="429">
        <f t="shared" si="110"/>
        <v>-1.179315891</v>
      </c>
      <c r="J136" s="429">
        <f t="shared" si="110"/>
        <v>-23.22930534</v>
      </c>
      <c r="K136" s="429">
        <f t="shared" si="110"/>
        <v>-0.000008336505412</v>
      </c>
      <c r="L136" s="429">
        <f t="shared" si="110"/>
        <v>-0.000004530512775</v>
      </c>
      <c r="M136" s="429">
        <f t="shared" si="110"/>
        <v>-0.000008336505412</v>
      </c>
      <c r="N136" s="429">
        <f t="shared" si="110"/>
        <v>-0.000006959198926</v>
      </c>
      <c r="O136" s="429">
        <f t="shared" si="110"/>
        <v>-0.000009282357863</v>
      </c>
      <c r="P136" s="429">
        <f t="shared" si="110"/>
        <v>-0.000004103265938</v>
      </c>
      <c r="Q136" s="429">
        <f t="shared" si="110"/>
        <v>-0.000007590953811</v>
      </c>
      <c r="R136" s="429">
        <f t="shared" si="110"/>
        <v>-0.000006112453412</v>
      </c>
    </row>
    <row r="137" outlineLevel="1">
      <c r="A137" s="460"/>
      <c r="B137" s="438"/>
      <c r="C137" s="429"/>
      <c r="D137" s="429"/>
      <c r="E137" s="429"/>
      <c r="F137" s="429"/>
      <c r="G137" s="429"/>
      <c r="H137" s="429"/>
      <c r="I137" s="429"/>
      <c r="J137" s="429"/>
      <c r="K137" s="429"/>
      <c r="L137" s="429"/>
      <c r="M137" s="429"/>
      <c r="N137" s="429"/>
      <c r="O137" s="429"/>
      <c r="P137" s="429"/>
      <c r="Q137" s="429"/>
      <c r="R137" s="429"/>
    </row>
    <row r="138" outlineLevel="1">
      <c r="A138" s="460" t="s">
        <v>370</v>
      </c>
      <c r="B138" s="438"/>
      <c r="C138" s="429"/>
      <c r="D138" s="429"/>
      <c r="E138" s="429"/>
      <c r="F138" s="429"/>
      <c r="G138" s="429"/>
      <c r="H138" s="429"/>
      <c r="I138" s="429"/>
      <c r="J138" s="429"/>
      <c r="K138" s="429"/>
      <c r="L138" s="429"/>
      <c r="M138" s="429"/>
      <c r="N138" s="429"/>
      <c r="O138" s="429"/>
      <c r="P138" s="429"/>
      <c r="Q138" s="429"/>
      <c r="R138" s="429"/>
    </row>
    <row r="139" outlineLevel="1">
      <c r="A139" s="460" t="s">
        <v>373</v>
      </c>
      <c r="B139" s="438">
        <f t="shared" ref="B139:B141" si="113">index(A139:R139,,match($A$3,$A$1:$R$1,0))</f>
        <v>-1399.850077</v>
      </c>
      <c r="C139" s="429">
        <f t="shared" ref="C139:C141" si="114">sumif(D139:Z139,"&lt;&gt;#DIV/0!")</f>
        <v>-1399.850077</v>
      </c>
      <c r="D139" s="429">
        <f t="shared" ref="D139:E139" si="111">-D106*D80/100000</f>
        <v>-621.9597587</v>
      </c>
      <c r="E139" s="429">
        <f t="shared" si="111"/>
        <v>-298.3549556</v>
      </c>
      <c r="F139" s="429">
        <f t="shared" ref="F139:R139" si="112">-F106*F$80/100000</f>
        <v>-181.4291488</v>
      </c>
      <c r="G139" s="429">
        <f t="shared" si="112"/>
        <v>-29.88455269</v>
      </c>
      <c r="H139" s="429">
        <f t="shared" si="112"/>
        <v>-172.5177486</v>
      </c>
      <c r="I139" s="429">
        <f t="shared" si="112"/>
        <v>-39.07287972</v>
      </c>
      <c r="J139" s="429">
        <f t="shared" si="112"/>
        <v>-56.63011736</v>
      </c>
      <c r="K139" s="429">
        <f t="shared" si="112"/>
        <v>-0.0001946851451</v>
      </c>
      <c r="L139" s="429">
        <f t="shared" si="112"/>
        <v>-0.0004416652143</v>
      </c>
      <c r="M139" s="429">
        <f t="shared" si="112"/>
        <v>-0.0001946851451</v>
      </c>
      <c r="N139" s="429">
        <f t="shared" si="112"/>
        <v>-0.00001696564947</v>
      </c>
      <c r="O139" s="429">
        <f t="shared" si="112"/>
        <v>-0.00001749129691</v>
      </c>
      <c r="P139" s="429">
        <f t="shared" si="112"/>
        <v>-0.00001628703548</v>
      </c>
      <c r="Q139" s="429">
        <f t="shared" si="112"/>
        <v>-0.00001714821615</v>
      </c>
      <c r="R139" s="429">
        <f t="shared" si="112"/>
        <v>-0.00001675421243</v>
      </c>
    </row>
    <row r="140" outlineLevel="1">
      <c r="A140" s="460" t="s">
        <v>374</v>
      </c>
      <c r="B140" s="438">
        <f t="shared" si="113"/>
        <v>-209.2182393</v>
      </c>
      <c r="C140" s="429">
        <f t="shared" si="114"/>
        <v>-209.2182393</v>
      </c>
      <c r="D140" s="429">
        <f t="shared" ref="D140:E140" si="115">-D107*D81/100000</f>
        <v>-77.40844784</v>
      </c>
      <c r="E140" s="429">
        <f t="shared" si="115"/>
        <v>-36.03758299</v>
      </c>
      <c r="F140" s="429">
        <f t="shared" ref="F140:R140" si="116">-F107*F$81/100000</f>
        <v>-41.0972768</v>
      </c>
      <c r="G140" s="429">
        <f t="shared" si="116"/>
        <v>-0.3317214479</v>
      </c>
      <c r="H140" s="429">
        <f t="shared" si="116"/>
        <v>-45.07449922</v>
      </c>
      <c r="I140" s="429">
        <f t="shared" si="116"/>
        <v>-9.166084654</v>
      </c>
      <c r="J140" s="429">
        <f t="shared" si="116"/>
        <v>-0.1024514189</v>
      </c>
      <c r="K140" s="429">
        <f t="shared" si="116"/>
        <v>-0.0000432126638</v>
      </c>
      <c r="L140" s="429">
        <f t="shared" si="116"/>
        <v>-0.00008841174725</v>
      </c>
      <c r="M140" s="429">
        <f t="shared" si="116"/>
        <v>-0.0000432126638</v>
      </c>
      <c r="N140" s="429">
        <f t="shared" si="116"/>
        <v>-0.00000003069311775</v>
      </c>
      <c r="O140" s="429">
        <f t="shared" si="116"/>
        <v>0</v>
      </c>
      <c r="P140" s="429">
        <f t="shared" si="116"/>
        <v>0</v>
      </c>
      <c r="Q140" s="429">
        <f t="shared" si="116"/>
        <v>-0.0000001050554298</v>
      </c>
      <c r="R140" s="429">
        <f t="shared" si="116"/>
        <v>0</v>
      </c>
    </row>
    <row r="141" outlineLevel="1">
      <c r="A141" s="460" t="s">
        <v>375</v>
      </c>
      <c r="B141" s="438">
        <f t="shared" si="113"/>
        <v>-179.4690229</v>
      </c>
      <c r="C141" s="429">
        <f t="shared" si="114"/>
        <v>-179.4690229</v>
      </c>
      <c r="D141" s="429">
        <f t="shared" ref="D141:E141" si="117">-D108*D82/100000</f>
        <v>-96.19991262</v>
      </c>
      <c r="E141" s="429">
        <f t="shared" si="117"/>
        <v>-20.65992635</v>
      </c>
      <c r="F141" s="429">
        <f t="shared" ref="F141:R141" si="118">-F108*F$82/100000</f>
        <v>-10.82559112</v>
      </c>
      <c r="G141" s="429">
        <f t="shared" si="118"/>
        <v>-11.86496959</v>
      </c>
      <c r="H141" s="429">
        <f t="shared" si="118"/>
        <v>-14.64643993</v>
      </c>
      <c r="I141" s="429">
        <f t="shared" si="118"/>
        <v>-2.022862767</v>
      </c>
      <c r="J141" s="429">
        <f t="shared" si="118"/>
        <v>-23.24923389</v>
      </c>
      <c r="K141" s="429">
        <f t="shared" si="118"/>
        <v>-0.00001840566906</v>
      </c>
      <c r="L141" s="429">
        <f t="shared" si="118"/>
        <v>-0.00001572632631</v>
      </c>
      <c r="M141" s="429">
        <f t="shared" si="118"/>
        <v>-0.00001840566906</v>
      </c>
      <c r="N141" s="429">
        <f t="shared" si="118"/>
        <v>-0.00000696516926</v>
      </c>
      <c r="O141" s="429">
        <f t="shared" si="118"/>
        <v>-0.000009282357863</v>
      </c>
      <c r="P141" s="429">
        <f t="shared" si="118"/>
        <v>-0.000004103265938</v>
      </c>
      <c r="Q141" s="429">
        <f t="shared" si="118"/>
        <v>-0.000007613243971</v>
      </c>
      <c r="R141" s="429">
        <f t="shared" si="118"/>
        <v>-0.000006112453412</v>
      </c>
    </row>
    <row r="142" outlineLevel="1">
      <c r="A142" s="460"/>
      <c r="B142" s="438"/>
      <c r="C142" s="429"/>
      <c r="D142" s="429"/>
      <c r="E142" s="429"/>
      <c r="F142" s="429"/>
      <c r="G142" s="429"/>
      <c r="H142" s="429"/>
      <c r="I142" s="429"/>
      <c r="J142" s="429"/>
      <c r="K142" s="429"/>
      <c r="L142" s="429"/>
      <c r="M142" s="429"/>
      <c r="N142" s="429"/>
      <c r="O142" s="429"/>
      <c r="P142" s="429"/>
      <c r="Q142" s="429"/>
      <c r="R142" s="429"/>
    </row>
    <row r="143" outlineLevel="1">
      <c r="A143" s="460"/>
      <c r="B143" s="458"/>
      <c r="C143" s="453"/>
      <c r="D143" s="94"/>
      <c r="E143" s="94"/>
      <c r="F143" s="453"/>
      <c r="G143" s="453"/>
      <c r="H143" s="453"/>
      <c r="I143" s="453"/>
      <c r="J143" s="453"/>
      <c r="K143" s="453"/>
      <c r="L143" s="453"/>
      <c r="M143" s="453"/>
      <c r="N143" s="453"/>
      <c r="O143" s="453"/>
      <c r="P143" s="453"/>
      <c r="Q143" s="453"/>
      <c r="R143" s="453"/>
    </row>
    <row r="144" outlineLevel="1">
      <c r="A144" s="525" t="s">
        <v>378</v>
      </c>
      <c r="B144" s="458"/>
      <c r="C144" s="453"/>
      <c r="D144" s="453"/>
      <c r="E144" s="453"/>
      <c r="F144" s="453"/>
      <c r="G144" s="453"/>
      <c r="H144" s="453"/>
      <c r="I144" s="453"/>
      <c r="J144" s="453"/>
      <c r="K144" s="453"/>
      <c r="L144" s="453"/>
      <c r="M144" s="453"/>
      <c r="N144" s="453"/>
      <c r="O144" s="453"/>
      <c r="P144" s="453"/>
      <c r="Q144" s="453"/>
      <c r="R144" s="453"/>
    </row>
    <row r="145" outlineLevel="1">
      <c r="A145" s="460" t="s">
        <v>368</v>
      </c>
      <c r="B145" s="438">
        <f t="shared" ref="B145:B147" si="120">index(A145:R145,,match($A$3,$A$1:$R$1,0))</f>
        <v>-5158.582606</v>
      </c>
      <c r="C145" s="429">
        <f t="shared" ref="C145:C147" si="121">sum(ifna(D145:Z145,0))</f>
        <v>-5158.582606</v>
      </c>
      <c r="D145" s="429">
        <f t="shared" ref="D145:R145" si="119">sum(D129:D131)+sum(D112:D114)</f>
        <v>-2208.624634</v>
      </c>
      <c r="E145" s="429">
        <f t="shared" si="119"/>
        <v>-116.722012</v>
      </c>
      <c r="F145" s="429">
        <f t="shared" si="119"/>
        <v>-87.51167161</v>
      </c>
      <c r="G145" s="429">
        <f t="shared" si="119"/>
        <v>-1009.470734</v>
      </c>
      <c r="H145" s="429">
        <f t="shared" si="119"/>
        <v>-793.0340552</v>
      </c>
      <c r="I145" s="429">
        <f t="shared" si="119"/>
        <v>-344.6628179</v>
      </c>
      <c r="J145" s="429">
        <f t="shared" si="119"/>
        <v>-598.5543762</v>
      </c>
      <c r="K145" s="429">
        <f t="shared" si="119"/>
        <v>-0.0005379823642</v>
      </c>
      <c r="L145" s="429">
        <f t="shared" si="119"/>
        <v>-0.000607037067</v>
      </c>
      <c r="M145" s="429">
        <f t="shared" si="119"/>
        <v>-0.0005379823642</v>
      </c>
      <c r="N145" s="429">
        <f t="shared" si="119"/>
        <v>-0.00008055058723</v>
      </c>
      <c r="O145" s="429">
        <f t="shared" si="119"/>
        <v>-0.0001348825905</v>
      </c>
      <c r="P145" s="429">
        <f t="shared" si="119"/>
        <v>-0.00009755345959</v>
      </c>
      <c r="Q145" s="429">
        <f t="shared" si="119"/>
        <v>-0.0001206899635</v>
      </c>
      <c r="R145" s="429">
        <f t="shared" si="119"/>
        <v>-0.0001884037767</v>
      </c>
    </row>
    <row r="146" outlineLevel="1">
      <c r="A146" s="460" t="s">
        <v>369</v>
      </c>
      <c r="B146" s="438">
        <f t="shared" si="120"/>
        <v>13774.34971</v>
      </c>
      <c r="C146" s="429">
        <f t="shared" si="121"/>
        <v>13774.34971</v>
      </c>
      <c r="D146" s="429">
        <f t="shared" ref="D146:R146" si="122">sum(D134:D136)+sum(D117:D119)</f>
        <v>9469.089685</v>
      </c>
      <c r="E146" s="429">
        <f t="shared" si="122"/>
        <v>541.7037273</v>
      </c>
      <c r="F146" s="429">
        <f t="shared" si="122"/>
        <v>242.7185483</v>
      </c>
      <c r="G146" s="429">
        <f t="shared" si="122"/>
        <v>573.9039223</v>
      </c>
      <c r="H146" s="429">
        <f t="shared" si="122"/>
        <v>1981.446554</v>
      </c>
      <c r="I146" s="429">
        <f t="shared" si="122"/>
        <v>629.3429308</v>
      </c>
      <c r="J146" s="429">
        <f t="shared" si="122"/>
        <v>336.1390213</v>
      </c>
      <c r="K146" s="429">
        <f t="shared" si="122"/>
        <v>0.001390163543</v>
      </c>
      <c r="L146" s="429">
        <f t="shared" si="122"/>
        <v>0.002198505742</v>
      </c>
      <c r="M146" s="429">
        <f t="shared" si="122"/>
        <v>0.001390163543</v>
      </c>
      <c r="N146" s="429">
        <f t="shared" si="122"/>
        <v>0.00004348254806</v>
      </c>
      <c r="O146" s="429">
        <f t="shared" si="122"/>
        <v>0.00008068499815</v>
      </c>
      <c r="P146" s="429">
        <f t="shared" si="122"/>
        <v>0.00004860358186</v>
      </c>
      <c r="Q146" s="429">
        <f t="shared" si="122"/>
        <v>0.00006809965105</v>
      </c>
      <c r="R146" s="429">
        <f t="shared" si="122"/>
        <v>0.0001028971721</v>
      </c>
    </row>
    <row r="147" outlineLevel="1">
      <c r="A147" s="460" t="s">
        <v>370</v>
      </c>
      <c r="B147" s="438">
        <f t="shared" si="120"/>
        <v>31788.08325</v>
      </c>
      <c r="C147" s="429">
        <f t="shared" si="121"/>
        <v>31788.08325</v>
      </c>
      <c r="D147" s="429">
        <f t="shared" ref="D147:R147" si="123">sum(D139:D141)+sum(D122:D124)</f>
        <v>20844.48788</v>
      </c>
      <c r="E147" s="429">
        <f t="shared" si="123"/>
        <v>1328.991331</v>
      </c>
      <c r="F147" s="429">
        <f t="shared" si="123"/>
        <v>766.6007129</v>
      </c>
      <c r="G147" s="429">
        <f t="shared" si="123"/>
        <v>582.2461531</v>
      </c>
      <c r="H147" s="429">
        <f t="shared" si="123"/>
        <v>6602.7648</v>
      </c>
      <c r="I147" s="429">
        <f t="shared" si="123"/>
        <v>1326.034558</v>
      </c>
      <c r="J147" s="429">
        <f t="shared" si="123"/>
        <v>336.9408996</v>
      </c>
      <c r="K147" s="429">
        <f t="shared" si="123"/>
        <v>0.003719055053</v>
      </c>
      <c r="L147" s="429">
        <f t="shared" si="123"/>
        <v>0.009131569548</v>
      </c>
      <c r="M147" s="429">
        <f t="shared" si="123"/>
        <v>0.003719055053</v>
      </c>
      <c r="N147" s="429">
        <f t="shared" si="123"/>
        <v>0.00004358895674</v>
      </c>
      <c r="O147" s="429">
        <f t="shared" si="123"/>
        <v>0.00008068499815</v>
      </c>
      <c r="P147" s="429">
        <f t="shared" si="123"/>
        <v>0.00004860358186</v>
      </c>
      <c r="Q147" s="429">
        <f t="shared" si="123"/>
        <v>0.00006865401494</v>
      </c>
      <c r="R147" s="429">
        <f t="shared" si="123"/>
        <v>0.0001028971721</v>
      </c>
    </row>
    <row r="148" outlineLevel="1">
      <c r="A148" s="460"/>
      <c r="B148" s="458"/>
      <c r="C148" s="453"/>
      <c r="D148" s="429"/>
      <c r="E148" s="429"/>
      <c r="F148" s="429"/>
      <c r="G148" s="429"/>
      <c r="H148" s="429"/>
      <c r="I148" s="429"/>
      <c r="J148" s="429"/>
      <c r="K148" s="429"/>
      <c r="L148" s="429"/>
      <c r="M148" s="429"/>
      <c r="N148" s="429"/>
      <c r="O148" s="429"/>
      <c r="P148" s="429"/>
      <c r="Q148" s="429"/>
      <c r="R148" s="429"/>
    </row>
    <row r="149" outlineLevel="1">
      <c r="A149" s="528" t="s">
        <v>379</v>
      </c>
      <c r="B149" s="458"/>
      <c r="C149" s="453"/>
      <c r="D149" s="453"/>
      <c r="E149" s="453"/>
      <c r="F149" s="453"/>
      <c r="G149" s="453"/>
      <c r="H149" s="453"/>
      <c r="I149" s="453"/>
      <c r="J149" s="453"/>
      <c r="K149" s="453"/>
      <c r="L149" s="453"/>
      <c r="M149" s="453"/>
      <c r="N149" s="453"/>
      <c r="O149" s="453"/>
      <c r="P149" s="453"/>
      <c r="Q149" s="453"/>
      <c r="R149" s="453"/>
    </row>
    <row r="150" outlineLevel="1">
      <c r="A150" s="460" t="s">
        <v>368</v>
      </c>
      <c r="B150" s="438">
        <f t="shared" ref="B150:B153" si="126">index(A150:R150,,match($A$3,$A$1:$R$1,0))</f>
        <v>357.7684369</v>
      </c>
      <c r="C150" s="429">
        <f t="shared" ref="C150:C152" si="127">sum(ifna(D150:Z150,0))</f>
        <v>357.7684369</v>
      </c>
      <c r="D150" s="429">
        <f t="shared" ref="D150:E150" si="124">D53+D145</f>
        <v>79.46567887</v>
      </c>
      <c r="E150" s="429">
        <f t="shared" si="124"/>
        <v>30.13901414</v>
      </c>
      <c r="F150" s="429">
        <f t="shared" ref="F150:R150" si="125">F$53+F145</f>
        <v>25.90575452</v>
      </c>
      <c r="G150" s="429">
        <f t="shared" si="125"/>
        <v>62.96149629</v>
      </c>
      <c r="H150" s="429">
        <f t="shared" si="125"/>
        <v>27.06117982</v>
      </c>
      <c r="I150" s="429">
        <f t="shared" si="125"/>
        <v>12.81459228</v>
      </c>
      <c r="J150" s="429">
        <f t="shared" si="125"/>
        <v>119.4204348</v>
      </c>
      <c r="K150" s="429">
        <f t="shared" si="125"/>
        <v>0.00003577681507</v>
      </c>
      <c r="L150" s="429">
        <f t="shared" si="125"/>
        <v>0.00003577681507</v>
      </c>
      <c r="M150" s="429">
        <f t="shared" si="125"/>
        <v>0.00003577681507</v>
      </c>
      <c r="N150" s="429">
        <f t="shared" si="125"/>
        <v>0.00003577681507</v>
      </c>
      <c r="O150" s="429">
        <f t="shared" si="125"/>
        <v>0.00003577681507</v>
      </c>
      <c r="P150" s="429">
        <f t="shared" si="125"/>
        <v>0.00003577681507</v>
      </c>
      <c r="Q150" s="429">
        <f t="shared" si="125"/>
        <v>0.00003577681507</v>
      </c>
      <c r="R150" s="429">
        <f t="shared" si="125"/>
        <v>0.00003577681507</v>
      </c>
    </row>
    <row r="151" outlineLevel="1">
      <c r="A151" s="460" t="s">
        <v>369</v>
      </c>
      <c r="B151" s="438">
        <f t="shared" si="126"/>
        <v>19290.70076</v>
      </c>
      <c r="C151" s="429">
        <f t="shared" si="127"/>
        <v>19290.70076</v>
      </c>
      <c r="D151" s="429">
        <f t="shared" ref="D151:E151" si="128">D53+D146</f>
        <v>11757.18</v>
      </c>
      <c r="E151" s="429">
        <f t="shared" si="128"/>
        <v>688.5647535</v>
      </c>
      <c r="F151" s="429">
        <f t="shared" ref="F151:R151" si="129">F$53+F146</f>
        <v>356.1359744</v>
      </c>
      <c r="G151" s="429">
        <f t="shared" si="129"/>
        <v>1646.336153</v>
      </c>
      <c r="H151" s="429">
        <f t="shared" si="129"/>
        <v>2801.541789</v>
      </c>
      <c r="I151" s="429">
        <f t="shared" si="129"/>
        <v>986.8203409</v>
      </c>
      <c r="J151" s="429">
        <f t="shared" si="129"/>
        <v>1054.113832</v>
      </c>
      <c r="K151" s="429">
        <f t="shared" si="129"/>
        <v>0.001963922722</v>
      </c>
      <c r="L151" s="429">
        <f t="shared" si="129"/>
        <v>0.002841319624</v>
      </c>
      <c r="M151" s="429">
        <f t="shared" si="129"/>
        <v>0.001963922722</v>
      </c>
      <c r="N151" s="429">
        <f t="shared" si="129"/>
        <v>0.0001598099504</v>
      </c>
      <c r="O151" s="429">
        <f t="shared" si="129"/>
        <v>0.0002513444037</v>
      </c>
      <c r="P151" s="429">
        <f t="shared" si="129"/>
        <v>0.0001819338565</v>
      </c>
      <c r="Q151" s="429">
        <f t="shared" si="129"/>
        <v>0.0002245664296</v>
      </c>
      <c r="R151" s="429">
        <f t="shared" si="129"/>
        <v>0.0003270777638</v>
      </c>
    </row>
    <row r="152" outlineLevel="1">
      <c r="A152" s="511" t="s">
        <v>370</v>
      </c>
      <c r="B152" s="438">
        <f t="shared" si="126"/>
        <v>37304.43429</v>
      </c>
      <c r="C152" s="429">
        <f t="shared" si="127"/>
        <v>37304.43429</v>
      </c>
      <c r="D152" s="529">
        <f t="shared" ref="D152:E152" si="130">D53+D147</f>
        <v>23132.57819</v>
      </c>
      <c r="E152" s="529">
        <f t="shared" si="130"/>
        <v>1475.852357</v>
      </c>
      <c r="F152" s="529">
        <f t="shared" ref="F152:R152" si="131">F$53+F147</f>
        <v>880.018139</v>
      </c>
      <c r="G152" s="529">
        <f t="shared" si="131"/>
        <v>1654.678384</v>
      </c>
      <c r="H152" s="529">
        <f t="shared" si="131"/>
        <v>7422.860035</v>
      </c>
      <c r="I152" s="529">
        <f t="shared" si="131"/>
        <v>1683.511968</v>
      </c>
      <c r="J152" s="529">
        <f t="shared" si="131"/>
        <v>1054.915711</v>
      </c>
      <c r="K152" s="529">
        <f t="shared" si="131"/>
        <v>0.004292814232</v>
      </c>
      <c r="L152" s="529">
        <f t="shared" si="131"/>
        <v>0.00977438343</v>
      </c>
      <c r="M152" s="529">
        <f t="shared" si="131"/>
        <v>0.004292814232</v>
      </c>
      <c r="N152" s="529">
        <f t="shared" si="131"/>
        <v>0.000159916359</v>
      </c>
      <c r="O152" s="529">
        <f t="shared" si="131"/>
        <v>0.0002513444037</v>
      </c>
      <c r="P152" s="529">
        <f t="shared" si="131"/>
        <v>0.0001819338565</v>
      </c>
      <c r="Q152" s="529">
        <f t="shared" si="131"/>
        <v>0.0002251207935</v>
      </c>
      <c r="R152" s="529">
        <f t="shared" si="131"/>
        <v>0.0003270777638</v>
      </c>
    </row>
    <row r="153" outlineLevel="1">
      <c r="A153" s="460" t="s">
        <v>96</v>
      </c>
      <c r="B153" s="504">
        <f t="shared" si="126"/>
        <v>20833.32614</v>
      </c>
      <c r="C153" s="530">
        <f>SUM(iferror(D153:Z153,0))</f>
        <v>20833.32614</v>
      </c>
      <c r="D153" s="270">
        <f t="shared" ref="D153:R153" si="132">SUMPRODUCT(D150:D152,D85:D87)</f>
        <v>12849.3724</v>
      </c>
      <c r="E153" s="270">
        <f t="shared" si="132"/>
        <v>786.6227935</v>
      </c>
      <c r="F153" s="270">
        <f t="shared" si="132"/>
        <v>437.5719826</v>
      </c>
      <c r="G153" s="270">
        <f t="shared" si="132"/>
        <v>1336.335006</v>
      </c>
      <c r="H153" s="270">
        <f t="shared" si="132"/>
        <v>3540.699259</v>
      </c>
      <c r="I153" s="270">
        <f t="shared" si="132"/>
        <v>1014.892385</v>
      </c>
      <c r="J153" s="270">
        <f t="shared" si="132"/>
        <v>867.8166554</v>
      </c>
      <c r="K153" s="270">
        <f t="shared" si="132"/>
        <v>0.003441406748</v>
      </c>
      <c r="L153" s="270">
        <f t="shared" si="132"/>
        <v>0.007826662107</v>
      </c>
      <c r="M153" s="270">
        <f t="shared" si="132"/>
        <v>0.003441406748</v>
      </c>
      <c r="N153" s="270">
        <f t="shared" si="132"/>
        <v>0.0001350884502</v>
      </c>
      <c r="O153" s="270">
        <f t="shared" si="132"/>
        <v>0.000208230886</v>
      </c>
      <c r="P153" s="270">
        <f t="shared" si="132"/>
        <v>0.0001527024482</v>
      </c>
      <c r="Q153" s="270">
        <f t="shared" si="132"/>
        <v>0.0001872519978</v>
      </c>
      <c r="R153" s="270">
        <f t="shared" si="132"/>
        <v>0.0002688175741</v>
      </c>
    </row>
    <row r="154">
      <c r="A154" s="460"/>
      <c r="B154" s="461"/>
      <c r="C154" s="460"/>
      <c r="D154" s="460"/>
      <c r="E154" s="39"/>
      <c r="F154" s="39"/>
      <c r="G154" s="39"/>
      <c r="H154" s="39"/>
      <c r="I154" s="39"/>
      <c r="J154" s="39"/>
      <c r="K154" s="39"/>
      <c r="L154" s="39"/>
      <c r="M154" s="39"/>
      <c r="N154" s="39"/>
      <c r="O154" s="39"/>
      <c r="P154" s="39"/>
      <c r="Q154" s="39"/>
      <c r="R154" s="39"/>
    </row>
    <row r="155">
      <c r="A155" s="460" t="s">
        <v>380</v>
      </c>
      <c r="B155" s="179">
        <f t="array" ref="B155">index(A155:R155,,match($A$3,$A$1:$R$1,0))</f>
        <v>2.776649814</v>
      </c>
      <c r="C155" s="531">
        <f t="shared" ref="C155:J155" si="133">C153/C53-1</f>
        <v>2.776649814</v>
      </c>
      <c r="D155" s="531">
        <f t="shared" si="133"/>
        <v>4.615762772</v>
      </c>
      <c r="E155" s="531">
        <f t="shared" si="133"/>
        <v>4.356239257</v>
      </c>
      <c r="F155" s="531">
        <f t="shared" si="133"/>
        <v>2.858066591</v>
      </c>
      <c r="G155" s="531">
        <f t="shared" si="133"/>
        <v>0.2460787434</v>
      </c>
      <c r="H155" s="531">
        <f t="shared" si="133"/>
        <v>3.317424499</v>
      </c>
      <c r="I155" s="531">
        <f t="shared" si="133"/>
        <v>1.839039213</v>
      </c>
      <c r="J155" s="531">
        <f t="shared" si="133"/>
        <v>0.2087006984</v>
      </c>
      <c r="K155" s="531">
        <f>if(K37&lt;&gt;0,K153/K53-1,"Relative worm burden is 0")</f>
        <v>4.99799859</v>
      </c>
      <c r="L155" s="531">
        <f t="shared" ref="L155:R155" si="134">L153/L53-1</f>
        <v>11.17562708</v>
      </c>
      <c r="M155" s="531">
        <f t="shared" si="134"/>
        <v>4.99799859</v>
      </c>
      <c r="N155" s="531">
        <f t="shared" si="134"/>
        <v>0.1612779756</v>
      </c>
      <c r="O155" s="531">
        <f t="shared" si="134"/>
        <v>0.2201547596</v>
      </c>
      <c r="P155" s="531">
        <f t="shared" si="134"/>
        <v>0.1452946348</v>
      </c>
      <c r="Q155" s="531">
        <f t="shared" si="134"/>
        <v>0.1967524323</v>
      </c>
      <c r="R155" s="531">
        <f t="shared" si="134"/>
        <v>0.1991117159</v>
      </c>
    </row>
    <row r="156">
      <c r="A156" s="94"/>
      <c r="B156" s="466"/>
      <c r="C156" s="467"/>
      <c r="D156" s="467"/>
      <c r="E156" s="467"/>
      <c r="F156" s="467"/>
      <c r="G156" s="467"/>
      <c r="H156" s="467"/>
      <c r="I156" s="467"/>
      <c r="J156" s="467"/>
      <c r="K156" s="467"/>
      <c r="L156" s="467"/>
      <c r="M156" s="467"/>
      <c r="N156" s="467"/>
      <c r="O156" s="467"/>
      <c r="P156" s="467"/>
      <c r="Q156" s="467"/>
      <c r="R156" s="467"/>
    </row>
    <row r="157">
      <c r="A157" s="291" t="s">
        <v>381</v>
      </c>
      <c r="B157" s="532"/>
      <c r="C157" s="291"/>
      <c r="D157" s="291"/>
      <c r="E157" s="291"/>
      <c r="F157" s="291"/>
      <c r="G157" s="291"/>
      <c r="H157" s="291"/>
      <c r="I157" s="291"/>
      <c r="J157" s="291"/>
      <c r="K157" s="291"/>
      <c r="L157" s="291"/>
      <c r="M157" s="291"/>
      <c r="N157" s="291"/>
      <c r="O157" s="291"/>
      <c r="P157" s="291"/>
      <c r="Q157" s="291"/>
      <c r="R157" s="291"/>
    </row>
    <row r="158">
      <c r="A158" s="94"/>
      <c r="B158" s="533"/>
      <c r="C158" s="468"/>
      <c r="D158" s="468"/>
      <c r="E158" s="468"/>
      <c r="F158" s="468"/>
      <c r="G158" s="468"/>
      <c r="H158" s="468"/>
      <c r="I158" s="468"/>
      <c r="J158" s="468"/>
      <c r="K158" s="468"/>
      <c r="L158" s="468"/>
      <c r="M158" s="468"/>
      <c r="N158" s="467"/>
      <c r="O158" s="468"/>
      <c r="P158" s="468"/>
      <c r="Q158" s="468"/>
      <c r="R158" s="468"/>
    </row>
    <row r="159">
      <c r="A159" s="267" t="s">
        <v>250</v>
      </c>
      <c r="B159" s="534">
        <f t="shared" ref="B159:B161" si="136">index(A159:R159,,match($A$3,$A$1:$R$1,0))</f>
        <v>20833.32614</v>
      </c>
      <c r="C159" s="535">
        <f>sum(iferror(D159:Z159,0))</f>
        <v>20833.32614</v>
      </c>
      <c r="D159" s="535">
        <f t="shared" ref="D159:R159" si="135">if(D37&lt;&gt;0,D53*(1+D155),"Relative worm burden is 0")</f>
        <v>12849.3724</v>
      </c>
      <c r="E159" s="535">
        <f t="shared" si="135"/>
        <v>786.6227935</v>
      </c>
      <c r="F159" s="535">
        <f t="shared" si="135"/>
        <v>437.5719826</v>
      </c>
      <c r="G159" s="535">
        <f t="shared" si="135"/>
        <v>1336.335006</v>
      </c>
      <c r="H159" s="535">
        <f t="shared" si="135"/>
        <v>3540.699259</v>
      </c>
      <c r="I159" s="535">
        <f t="shared" si="135"/>
        <v>1014.892385</v>
      </c>
      <c r="J159" s="535">
        <f t="shared" si="135"/>
        <v>867.8166554</v>
      </c>
      <c r="K159" s="535">
        <f t="shared" si="135"/>
        <v>0.003441406748</v>
      </c>
      <c r="L159" s="535">
        <f t="shared" si="135"/>
        <v>0.007826662107</v>
      </c>
      <c r="M159" s="535">
        <f t="shared" si="135"/>
        <v>0.003441406748</v>
      </c>
      <c r="N159" s="535">
        <f t="shared" si="135"/>
        <v>0.0001350884502</v>
      </c>
      <c r="O159" s="535">
        <f t="shared" si="135"/>
        <v>0.000208230886</v>
      </c>
      <c r="P159" s="535">
        <f t="shared" si="135"/>
        <v>0.0001527024482</v>
      </c>
      <c r="Q159" s="535">
        <f t="shared" si="135"/>
        <v>0.0001872519978</v>
      </c>
      <c r="R159" s="535">
        <f t="shared" si="135"/>
        <v>0.0002688175741</v>
      </c>
    </row>
    <row r="160">
      <c r="A160" s="267" t="s">
        <v>251</v>
      </c>
      <c r="B160" s="534">
        <f t="shared" si="136"/>
        <v>20833.32614</v>
      </c>
      <c r="C160" s="535">
        <f>C159</f>
        <v>20833.32614</v>
      </c>
      <c r="D160" s="535">
        <f t="shared" ref="D160:J160" si="137">D159*$C34/D34</f>
        <v>57850.08404</v>
      </c>
      <c r="E160" s="535">
        <f t="shared" si="137"/>
        <v>9337.683737</v>
      </c>
      <c r="F160" s="535">
        <f t="shared" si="137"/>
        <v>6043.032597</v>
      </c>
      <c r="G160" s="535">
        <f t="shared" si="137"/>
        <v>7593.49971</v>
      </c>
      <c r="H160" s="535">
        <f t="shared" si="137"/>
        <v>46810.57642</v>
      </c>
      <c r="I160" s="535">
        <f t="shared" si="137"/>
        <v>28334.58638</v>
      </c>
      <c r="J160" s="535">
        <f t="shared" si="137"/>
        <v>2599.866267</v>
      </c>
      <c r="K160" s="535">
        <f>if(K37&lt;&gt;0,K159*$C34/K34,0)</f>
        <v>34414.06748</v>
      </c>
      <c r="L160" s="535">
        <f t="shared" ref="L160:R160" si="138">L159*$C34/L34</f>
        <v>78266.62107</v>
      </c>
      <c r="M160" s="535">
        <f t="shared" si="138"/>
        <v>34414.06748</v>
      </c>
      <c r="N160" s="535">
        <f t="shared" si="138"/>
        <v>1350.884502</v>
      </c>
      <c r="O160" s="535">
        <f t="shared" si="138"/>
        <v>2082.30886</v>
      </c>
      <c r="P160" s="535">
        <f t="shared" si="138"/>
        <v>1527.024482</v>
      </c>
      <c r="Q160" s="535">
        <f t="shared" si="138"/>
        <v>1872.519978</v>
      </c>
      <c r="R160" s="535">
        <f t="shared" si="138"/>
        <v>2688.175741</v>
      </c>
    </row>
    <row r="161">
      <c r="A161" s="472" t="s">
        <v>117</v>
      </c>
      <c r="B161" s="473">
        <f t="shared" si="136"/>
        <v>480.0001657</v>
      </c>
      <c r="C161" s="536">
        <f t="array" ref="C161">if(C34&lt;&gt;0,C34/C159*index('Moral weights'!$A$1:$ZG$33,match("Value assigned to averting the death of an individual under 5 — AMF",'Moral weights'!$A$1:$A$33,0),match($B1,'Moral weights'!$A$1:$ZG1,0)),"Donation size is 0")</f>
        <v>480.0001657</v>
      </c>
      <c r="D161" s="536">
        <f t="array" ref="D161">if(D34&lt;&gt;0,D34/D160*index('Moral weights'!$A$1:$ZG$33,match("Value assigned to averting the death of an individual under 5 — AMF",'Moral weights'!$A$1:$A$33,0),match($B1,'Moral weights'!$A$1:$ZG1,0)),"Donation size is 0")</f>
        <v>38.39493419</v>
      </c>
      <c r="E161" s="536">
        <f t="array" ref="E161">if(E34&lt;&gt;0,E34/E160*index('Moral weights'!$A$1:$ZG$33,match("Value assigned to averting the death of an individual under 5 — AMF",'Moral weights'!$A$1:$A$33,0),match($B1,'Moral weights'!$A$1:$ZG1,0)),"Donation size is 0")</f>
        <v>90.2169635</v>
      </c>
      <c r="F161" s="536">
        <f t="array" ref="F161">if(F34&lt;&gt;0,F34/F160*index('Moral weights'!$A$1:$ZG$33,match("Value assigned to averting the death of an individual under 5 — AMF",'Moral weights'!$A$1:$A$33,0),match($B1,'Moral weights'!$A$1:$ZG1,0)),"Donation size is 0")</f>
        <v>119.8228466</v>
      </c>
      <c r="G161" s="536">
        <f t="array" ref="G161">if(G34&lt;&gt;0,G34/G160*index('Moral weights'!$A$1:$ZG$33,match("Value assigned to averting the death of an individual under 5 — AMF",'Moral weights'!$A$1:$A$33,0),match($B1,'Moral weights'!$A$1:$ZG1,0)),"Donation size is 0")</f>
        <v>231.756212</v>
      </c>
      <c r="H161" s="536">
        <f t="array" ref="H161">if(H34&lt;&gt;0,H34/H160*index('Moral weights'!$A$1:$ZG$33,match("Value assigned to averting the death of an individual under 5 — AMF",'Moral weights'!$A$1:$A$33,0),match($B1,'Moral weights'!$A$1:$ZG1,0)),"Donation size is 0")</f>
        <v>16.15850073</v>
      </c>
      <c r="I161" s="536">
        <f t="array" ref="I161">if(I34&lt;&gt;0,I34/I160*index('Moral weights'!$A$1:$ZG$33,match("Value assigned to averting the death of an individual under 5 — AMF",'Moral weights'!$A$1:$A$33,0),match($B1,'Moral weights'!$A$1:$ZG1,0)),"Donation size is 0")</f>
        <v>12.64113995</v>
      </c>
      <c r="J161" s="536">
        <f t="array" ref="J161">if(J34&lt;&gt;0,J34/J160*index('Moral weights'!$A$1:$ZG$33,match("Value assigned to averting the death of an individual under 5 — AMF",'Moral weights'!$A$1:$A$33,0),match($B1,'Moral weights'!$A$1:$ZG1,0)),"Donation size is 0")</f>
        <v>1283.884521</v>
      </c>
      <c r="K161" s="536">
        <f t="array" ref="K161">if(K37&lt;&gt;0,if(K34&lt;&gt;0,K34/K160*index('Moral weights'!$A$1:$ZG$33,match("Value assigned to averting the death of an individual under 5 — AMF",'Moral weights'!$A$1:$A$33,0),match($B1,'Moral weights'!$A$1:$ZG1,0)),"Donation size is 0"),"Relative worm burden is 0")</f>
        <v>0.00002905788455</v>
      </c>
      <c r="L161" s="536">
        <f t="array" ref="L161">if(L34&lt;&gt;0,L34/L160*index('Moral weights'!$A$1:$ZG$33,match("Value assigned to averting the death of an individual under 5 — AMF",'Moral weights'!$A$1:$A$33,0),match($B1,'Moral weights'!$A$1:$ZG1,0)),"Donation size is 0")</f>
        <v>0.00001277683879</v>
      </c>
      <c r="M161" s="536">
        <f t="array" ref="M161">if(M34&lt;&gt;0,M34/M160*index('Moral weights'!$A$1:$ZG$33,match("Value assigned to averting the death of an individual under 5 — AMF",'Moral weights'!$A$1:$A$33,0),match($B1,'Moral weights'!$A$1:$ZG1,0)),"Donation size is 0")</f>
        <v>0.00002905788455</v>
      </c>
      <c r="N161" s="536">
        <f t="array" ref="N161">if(N34&lt;&gt;0,N34/N160*index('Moral weights'!$A$1:$ZG$33,match("Value assigned to averting the death of an individual under 5 — AMF",'Moral weights'!$A$1:$A$33,0),match($B1,'Moral weights'!$A$1:$ZG1,0)),"Donation size is 0")</f>
        <v>0.0007402557348</v>
      </c>
      <c r="O161" s="536">
        <f t="array" ref="O161">if(O34&lt;&gt;0,O34/O160*index('Moral weights'!$A$1:$ZG$33,match("Value assigned to averting the death of an individual under 5 — AMF",'Moral weights'!$A$1:$A$33,0),match($B1,'Moral weights'!$A$1:$ZG1,0)),"Donation size is 0")</f>
        <v>0.0004802361548</v>
      </c>
      <c r="P161" s="536">
        <f t="array" ref="P161">if(P34&lt;&gt;0,P34/P160*index('Moral weights'!$A$1:$ZG$33,match("Value assigned to averting the death of an individual under 5 — AMF",'Moral weights'!$A$1:$A$33,0),match($B1,'Moral weights'!$A$1:$ZG1,0)),"Donation size is 0")</f>
        <v>0.000654868348</v>
      </c>
      <c r="Q161" s="536">
        <f t="array" ref="Q161">if(Q34&lt;&gt;0,Q34/Q160*index('Moral weights'!$A$1:$ZG$33,match("Value assigned to averting the death of an individual under 5 — AMF",'Moral weights'!$A$1:$A$33,0),match($B1,'Moral weights'!$A$1:$ZG1,0)),"Donation size is 0")</f>
        <v>0.0005340396961</v>
      </c>
      <c r="R161" s="536">
        <f t="array" ref="R161">if(R34&lt;&gt;0,R34/R160*index('Moral weights'!$A$1:$ZG$33,match("Value assigned to averting the death of an individual under 5 — AMF",'Moral weights'!$A$1:$A$33,0),match($B1,'Moral weights'!$A$1:$ZG1,0)),"Donation size is 0")</f>
        <v>0.0003719994883</v>
      </c>
    </row>
    <row r="162">
      <c r="A162" s="537"/>
      <c r="B162" s="538"/>
      <c r="C162" s="539"/>
      <c r="D162" s="539"/>
      <c r="E162" s="539"/>
      <c r="F162" s="539"/>
      <c r="G162" s="539"/>
      <c r="H162" s="539"/>
      <c r="I162" s="539"/>
      <c r="J162" s="539"/>
      <c r="K162" s="539"/>
      <c r="L162" s="539"/>
      <c r="M162" s="539"/>
      <c r="N162" s="540"/>
      <c r="O162" s="539"/>
      <c r="P162" s="539"/>
      <c r="Q162" s="539"/>
      <c r="R162" s="539"/>
    </row>
    <row r="163">
      <c r="A163" s="325" t="s">
        <v>257</v>
      </c>
      <c r="B163" s="348">
        <f t="array" ref="B163">index(A163:R163,,match($A$3,$A$1:$R$1,0))</f>
        <v>60.55766073</v>
      </c>
      <c r="C163" s="349">
        <f t="array" ref="C163">C160/index(Cash!B:B,match("Total units of value generated with hypothetical donation ($100,000)",Cash!A:A,0))</f>
        <v>60.55766073</v>
      </c>
      <c r="D163" s="349">
        <f t="array" ref="D163">D160/index(Cash!B:B,match("Total units of value generated with hypothetical donation ($100,000)",Cash!A:A,0))</f>
        <v>168.1568146</v>
      </c>
      <c r="E163" s="349">
        <f t="array" ref="E163">E160/index(Cash!B:B,match("Total units of value generated with hypothetical donation ($100,000)",Cash!A:A,0))</f>
        <v>27.14248699</v>
      </c>
      <c r="F163" s="349">
        <f t="array" ref="F163">F160/index(Cash!B:B,match("Total units of value generated with hypothetical donation ($100,000)",Cash!A:A,0))</f>
        <v>17.56569811</v>
      </c>
      <c r="G163" s="349">
        <f t="array" ref="G163">G160/index(Cash!B:B,match("Total units of value generated with hypothetical donation ($100,000)",Cash!A:A,0))</f>
        <v>22.07254742</v>
      </c>
      <c r="H163" s="349">
        <f t="array" ref="H163">H160/index(Cash!B:B,match("Total units of value generated with hypothetical donation ($100,000)",Cash!A:A,0))</f>
        <v>136.0675192</v>
      </c>
      <c r="I163" s="349">
        <f t="array" ref="I163">I160/index(Cash!B:B,match("Total units of value generated with hypothetical donation ($100,000)",Cash!A:A,0))</f>
        <v>82.36208932</v>
      </c>
      <c r="J163" s="349">
        <f t="array" ref="J163">J160/index(Cash!B:B,match("Total units of value generated with hypothetical donation ($100,000)",Cash!A:A,0))</f>
        <v>7.557209936</v>
      </c>
      <c r="K163" s="349">
        <f t="array" ref="K163">K160/index(Cash!B:B,match("Total units of value generated with hypothetical donation ($100,000)",Cash!A:A,0))</f>
        <v>100.0337348</v>
      </c>
      <c r="L163" s="349">
        <f t="array" ref="L163">L160/index(Cash!B:B,match("Total units of value generated with hypothetical donation ($100,000)",Cash!A:A,0))</f>
        <v>227.5029658</v>
      </c>
      <c r="M163" s="349">
        <f t="array" ref="M163">M160/index(Cash!B:B,match("Total units of value generated with hypothetical donation ($100,000)",Cash!A:A,0))</f>
        <v>100.0337348</v>
      </c>
      <c r="N163" s="349">
        <f t="array" ref="N163">N160/index(Cash!B:B,match("Total units of value generated with hypothetical donation ($100,000)",Cash!A:A,0))</f>
        <v>3.926708813</v>
      </c>
      <c r="O163" s="349">
        <f t="array" ref="O163">O160/index(Cash!B:B,match("Total units of value generated with hypothetical donation ($100,000)",Cash!A:A,0))</f>
        <v>6.052790256</v>
      </c>
      <c r="P163" s="349">
        <f t="array" ref="P163">P160/index(Cash!B:B,match("Total units of value generated with hypothetical donation ($100,000)",Cash!A:A,0))</f>
        <v>4.438706997</v>
      </c>
      <c r="Q163" s="349">
        <f t="array" ref="Q163">Q160/index(Cash!B:B,match("Total units of value generated with hypothetical donation ($100,000)",Cash!A:A,0))</f>
        <v>5.442982496</v>
      </c>
      <c r="R163" s="349">
        <f t="array" ref="R163">R160/index(Cash!B:B,match("Total units of value generated with hypothetical donation ($100,000)",Cash!A:A,0))</f>
        <v>7.813905153</v>
      </c>
    </row>
    <row r="164">
      <c r="A164" s="537"/>
      <c r="B164" s="538"/>
      <c r="C164" s="539"/>
      <c r="D164" s="539"/>
      <c r="E164" s="539"/>
      <c r="F164" s="539"/>
      <c r="G164" s="539"/>
      <c r="H164" s="539"/>
      <c r="I164" s="539"/>
      <c r="J164" s="539"/>
      <c r="K164" s="539"/>
      <c r="L164" s="539"/>
      <c r="M164" s="539"/>
      <c r="N164" s="541"/>
      <c r="O164" s="539"/>
      <c r="P164" s="539"/>
      <c r="Q164" s="539"/>
      <c r="R164" s="539"/>
    </row>
    <row r="165">
      <c r="A165" s="350" t="s">
        <v>382</v>
      </c>
      <c r="B165" s="351"/>
      <c r="C165" s="350"/>
      <c r="D165" s="350"/>
      <c r="E165" s="350"/>
      <c r="F165" s="350"/>
      <c r="G165" s="350"/>
      <c r="H165" s="350"/>
      <c r="I165" s="350"/>
      <c r="J165" s="350"/>
      <c r="K165" s="350"/>
      <c r="L165" s="350"/>
      <c r="M165" s="350"/>
      <c r="N165" s="350"/>
      <c r="O165" s="350"/>
      <c r="P165" s="350"/>
      <c r="Q165" s="350"/>
      <c r="R165" s="350"/>
    </row>
    <row r="166" outlineLevel="1">
      <c r="A166" s="352"/>
      <c r="B166" s="252"/>
      <c r="D166" s="415"/>
      <c r="E166" s="539"/>
      <c r="F166" s="539"/>
      <c r="G166" s="539"/>
      <c r="H166" s="539"/>
      <c r="I166" s="539"/>
      <c r="J166" s="539"/>
      <c r="K166" s="539"/>
      <c r="L166" s="539"/>
      <c r="M166" s="539"/>
      <c r="N166" s="540"/>
      <c r="O166" s="539"/>
      <c r="P166" s="539"/>
      <c r="Q166" s="539"/>
      <c r="R166" s="539"/>
    </row>
    <row r="167" outlineLevel="1">
      <c r="A167" s="62" t="s">
        <v>259</v>
      </c>
      <c r="B167" s="354"/>
      <c r="C167" s="110"/>
      <c r="D167" s="415"/>
      <c r="E167" s="539"/>
      <c r="F167" s="539"/>
      <c r="G167" s="539"/>
      <c r="H167" s="539"/>
      <c r="I167" s="539"/>
      <c r="J167" s="539"/>
      <c r="K167" s="539"/>
      <c r="L167" s="539"/>
      <c r="M167" s="539"/>
      <c r="N167" s="540"/>
      <c r="O167" s="539"/>
      <c r="P167" s="539"/>
      <c r="Q167" s="539"/>
      <c r="R167" s="539"/>
    </row>
    <row r="168" outlineLevel="1">
      <c r="A168" s="40" t="s">
        <v>260</v>
      </c>
      <c r="B168" s="179">
        <f t="shared" ref="B168:B171" si="140">index(A168:R168,,match($A$3,$A$1:$R$1,0))</f>
        <v>0</v>
      </c>
      <c r="C168" s="47">
        <v>0.0</v>
      </c>
      <c r="D168" s="357">
        <f t="shared" ref="D168:R168" si="139">$C168</f>
        <v>0</v>
      </c>
      <c r="E168" s="357">
        <f t="shared" si="139"/>
        <v>0</v>
      </c>
      <c r="F168" s="357">
        <f t="shared" si="139"/>
        <v>0</v>
      </c>
      <c r="G168" s="357">
        <f t="shared" si="139"/>
        <v>0</v>
      </c>
      <c r="H168" s="357">
        <f t="shared" si="139"/>
        <v>0</v>
      </c>
      <c r="I168" s="357">
        <f t="shared" si="139"/>
        <v>0</v>
      </c>
      <c r="J168" s="357">
        <f t="shared" si="139"/>
        <v>0</v>
      </c>
      <c r="K168" s="357">
        <f t="shared" si="139"/>
        <v>0</v>
      </c>
      <c r="L168" s="357">
        <f t="shared" si="139"/>
        <v>0</v>
      </c>
      <c r="M168" s="357">
        <f t="shared" si="139"/>
        <v>0</v>
      </c>
      <c r="N168" s="357">
        <f t="shared" si="139"/>
        <v>0</v>
      </c>
      <c r="O168" s="357">
        <f t="shared" si="139"/>
        <v>0</v>
      </c>
      <c r="P168" s="357">
        <f t="shared" si="139"/>
        <v>0</v>
      </c>
      <c r="Q168" s="357">
        <f t="shared" si="139"/>
        <v>0</v>
      </c>
      <c r="R168" s="357">
        <f t="shared" si="139"/>
        <v>0</v>
      </c>
    </row>
    <row r="169" outlineLevel="1">
      <c r="A169" s="40" t="s">
        <v>261</v>
      </c>
      <c r="B169" s="179">
        <f t="shared" si="140"/>
        <v>0.02</v>
      </c>
      <c r="C169" s="47">
        <v>0.02</v>
      </c>
      <c r="D169" s="357">
        <f t="shared" ref="D169:R169" si="141">$C169</f>
        <v>0.02</v>
      </c>
      <c r="E169" s="357">
        <f t="shared" si="141"/>
        <v>0.02</v>
      </c>
      <c r="F169" s="357">
        <f t="shared" si="141"/>
        <v>0.02</v>
      </c>
      <c r="G169" s="357">
        <f t="shared" si="141"/>
        <v>0.02</v>
      </c>
      <c r="H169" s="357">
        <f t="shared" si="141"/>
        <v>0.02</v>
      </c>
      <c r="I169" s="357">
        <f t="shared" si="141"/>
        <v>0.02</v>
      </c>
      <c r="J169" s="357">
        <f t="shared" si="141"/>
        <v>0.02</v>
      </c>
      <c r="K169" s="357">
        <f t="shared" si="141"/>
        <v>0.02</v>
      </c>
      <c r="L169" s="357">
        <f t="shared" si="141"/>
        <v>0.02</v>
      </c>
      <c r="M169" s="357">
        <f t="shared" si="141"/>
        <v>0.02</v>
      </c>
      <c r="N169" s="357">
        <f t="shared" si="141"/>
        <v>0.02</v>
      </c>
      <c r="O169" s="357">
        <f t="shared" si="141"/>
        <v>0.02</v>
      </c>
      <c r="P169" s="357">
        <f t="shared" si="141"/>
        <v>0.02</v>
      </c>
      <c r="Q169" s="357">
        <f t="shared" si="141"/>
        <v>0.02</v>
      </c>
      <c r="R169" s="357">
        <f t="shared" si="141"/>
        <v>0.02</v>
      </c>
    </row>
    <row r="170" outlineLevel="1">
      <c r="A170" s="40" t="s">
        <v>262</v>
      </c>
      <c r="B170" s="542">
        <f t="shared" si="140"/>
        <v>0</v>
      </c>
      <c r="C170" s="543">
        <v>0.0</v>
      </c>
      <c r="D170" s="357">
        <f t="shared" ref="D170:R170" si="142">$C170</f>
        <v>0</v>
      </c>
      <c r="E170" s="357">
        <f t="shared" si="142"/>
        <v>0</v>
      </c>
      <c r="F170" s="357">
        <f t="shared" si="142"/>
        <v>0</v>
      </c>
      <c r="G170" s="357">
        <f t="shared" si="142"/>
        <v>0</v>
      </c>
      <c r="H170" s="357">
        <f t="shared" si="142"/>
        <v>0</v>
      </c>
      <c r="I170" s="357">
        <f t="shared" si="142"/>
        <v>0</v>
      </c>
      <c r="J170" s="357">
        <f t="shared" si="142"/>
        <v>0</v>
      </c>
      <c r="K170" s="357">
        <f t="shared" si="142"/>
        <v>0</v>
      </c>
      <c r="L170" s="357">
        <f t="shared" si="142"/>
        <v>0</v>
      </c>
      <c r="M170" s="357">
        <f t="shared" si="142"/>
        <v>0</v>
      </c>
      <c r="N170" s="357">
        <f t="shared" si="142"/>
        <v>0</v>
      </c>
      <c r="O170" s="357">
        <f t="shared" si="142"/>
        <v>0</v>
      </c>
      <c r="P170" s="357">
        <f t="shared" si="142"/>
        <v>0</v>
      </c>
      <c r="Q170" s="357">
        <f t="shared" si="142"/>
        <v>0</v>
      </c>
      <c r="R170" s="357">
        <f t="shared" si="142"/>
        <v>0</v>
      </c>
    </row>
    <row r="171" outlineLevel="1">
      <c r="A171" s="358" t="s">
        <v>263</v>
      </c>
      <c r="B171" s="179">
        <f t="shared" si="140"/>
        <v>0.02</v>
      </c>
      <c r="C171" s="180">
        <f>sum(C168:C170)</f>
        <v>0.02</v>
      </c>
      <c r="D171" s="360">
        <f t="shared" ref="D171:R171" si="143">SUM(D168:D170)</f>
        <v>0.02</v>
      </c>
      <c r="E171" s="360">
        <f t="shared" si="143"/>
        <v>0.02</v>
      </c>
      <c r="F171" s="360">
        <f t="shared" si="143"/>
        <v>0.02</v>
      </c>
      <c r="G171" s="360">
        <f t="shared" si="143"/>
        <v>0.02</v>
      </c>
      <c r="H171" s="360">
        <f t="shared" si="143"/>
        <v>0.02</v>
      </c>
      <c r="I171" s="360">
        <f t="shared" si="143"/>
        <v>0.02</v>
      </c>
      <c r="J171" s="360">
        <f t="shared" si="143"/>
        <v>0.02</v>
      </c>
      <c r="K171" s="360">
        <f t="shared" si="143"/>
        <v>0.02</v>
      </c>
      <c r="L171" s="360">
        <f t="shared" si="143"/>
        <v>0.02</v>
      </c>
      <c r="M171" s="360">
        <f t="shared" si="143"/>
        <v>0.02</v>
      </c>
      <c r="N171" s="360">
        <f t="shared" si="143"/>
        <v>0.02</v>
      </c>
      <c r="O171" s="360">
        <f t="shared" si="143"/>
        <v>0.02</v>
      </c>
      <c r="P171" s="360">
        <f t="shared" si="143"/>
        <v>0.02</v>
      </c>
      <c r="Q171" s="360">
        <f t="shared" si="143"/>
        <v>0.02</v>
      </c>
      <c r="R171" s="360">
        <f t="shared" si="143"/>
        <v>0.02</v>
      </c>
    </row>
    <row r="172" outlineLevel="1">
      <c r="A172" s="40"/>
      <c r="B172" s="324"/>
      <c r="C172" s="39"/>
      <c r="D172" s="353"/>
      <c r="E172" s="353"/>
      <c r="F172" s="353"/>
      <c r="G172" s="353"/>
      <c r="H172" s="353"/>
      <c r="I172" s="353"/>
      <c r="J172" s="353"/>
      <c r="K172" s="353"/>
      <c r="L172" s="353"/>
      <c r="M172" s="353"/>
      <c r="N172" s="353"/>
      <c r="O172" s="353"/>
      <c r="P172" s="353"/>
      <c r="Q172" s="353"/>
      <c r="R172" s="353"/>
    </row>
    <row r="173" outlineLevel="1">
      <c r="A173" s="62" t="s">
        <v>310</v>
      </c>
      <c r="B173" s="324"/>
      <c r="C173" s="39"/>
      <c r="D173" s="353"/>
      <c r="E173" s="353"/>
      <c r="F173" s="353"/>
      <c r="G173" s="353"/>
      <c r="H173" s="353"/>
      <c r="I173" s="353"/>
      <c r="J173" s="353"/>
      <c r="K173" s="353"/>
      <c r="L173" s="353"/>
      <c r="M173" s="353"/>
      <c r="N173" s="353"/>
      <c r="O173" s="353"/>
      <c r="P173" s="353"/>
      <c r="Q173" s="353"/>
      <c r="R173" s="353"/>
    </row>
    <row r="174" outlineLevel="1">
      <c r="A174" s="40" t="s">
        <v>264</v>
      </c>
      <c r="B174" s="179">
        <f t="shared" ref="B174:B176" si="145">index(A174:R174,,match($A$3,$A$1:$R$1,0))</f>
        <v>0.01</v>
      </c>
      <c r="C174" s="47">
        <v>0.01</v>
      </c>
      <c r="D174" s="357">
        <f t="shared" ref="D174:R174" si="144">$C174</f>
        <v>0.01</v>
      </c>
      <c r="E174" s="357">
        <f t="shared" si="144"/>
        <v>0.01</v>
      </c>
      <c r="F174" s="357">
        <f t="shared" si="144"/>
        <v>0.01</v>
      </c>
      <c r="G174" s="357">
        <f t="shared" si="144"/>
        <v>0.01</v>
      </c>
      <c r="H174" s="357">
        <f t="shared" si="144"/>
        <v>0.01</v>
      </c>
      <c r="I174" s="357">
        <f t="shared" si="144"/>
        <v>0.01</v>
      </c>
      <c r="J174" s="357">
        <f t="shared" si="144"/>
        <v>0.01</v>
      </c>
      <c r="K174" s="357">
        <f t="shared" si="144"/>
        <v>0.01</v>
      </c>
      <c r="L174" s="357">
        <f t="shared" si="144"/>
        <v>0.01</v>
      </c>
      <c r="M174" s="357">
        <f t="shared" si="144"/>
        <v>0.01</v>
      </c>
      <c r="N174" s="357">
        <f t="shared" si="144"/>
        <v>0.01</v>
      </c>
      <c r="O174" s="357">
        <f t="shared" si="144"/>
        <v>0.01</v>
      </c>
      <c r="P174" s="357">
        <f t="shared" si="144"/>
        <v>0.01</v>
      </c>
      <c r="Q174" s="357">
        <f t="shared" si="144"/>
        <v>0.01</v>
      </c>
      <c r="R174" s="357">
        <f t="shared" si="144"/>
        <v>0.01</v>
      </c>
    </row>
    <row r="175" outlineLevel="1">
      <c r="A175" s="40" t="s">
        <v>265</v>
      </c>
      <c r="B175" s="542">
        <f t="shared" si="145"/>
        <v>0</v>
      </c>
      <c r="C175" s="543">
        <v>0.0</v>
      </c>
      <c r="D175" s="357">
        <f t="shared" ref="D175:R175" si="146">$C175</f>
        <v>0</v>
      </c>
      <c r="E175" s="357">
        <f t="shared" si="146"/>
        <v>0</v>
      </c>
      <c r="F175" s="357">
        <f t="shared" si="146"/>
        <v>0</v>
      </c>
      <c r="G175" s="357">
        <f t="shared" si="146"/>
        <v>0</v>
      </c>
      <c r="H175" s="357">
        <f t="shared" si="146"/>
        <v>0</v>
      </c>
      <c r="I175" s="357">
        <f t="shared" si="146"/>
        <v>0</v>
      </c>
      <c r="J175" s="357">
        <f t="shared" si="146"/>
        <v>0</v>
      </c>
      <c r="K175" s="357">
        <f t="shared" si="146"/>
        <v>0</v>
      </c>
      <c r="L175" s="357">
        <f t="shared" si="146"/>
        <v>0</v>
      </c>
      <c r="M175" s="357">
        <f t="shared" si="146"/>
        <v>0</v>
      </c>
      <c r="N175" s="357">
        <f t="shared" si="146"/>
        <v>0</v>
      </c>
      <c r="O175" s="357">
        <f t="shared" si="146"/>
        <v>0</v>
      </c>
      <c r="P175" s="357">
        <f t="shared" si="146"/>
        <v>0</v>
      </c>
      <c r="Q175" s="357">
        <f t="shared" si="146"/>
        <v>0</v>
      </c>
      <c r="R175" s="357">
        <f t="shared" si="146"/>
        <v>0</v>
      </c>
    </row>
    <row r="176" outlineLevel="1">
      <c r="A176" s="358" t="s">
        <v>266</v>
      </c>
      <c r="B176" s="179">
        <f t="shared" si="145"/>
        <v>0.01</v>
      </c>
      <c r="C176" s="180">
        <f t="shared" ref="C176:R176" si="147">sum(C173:C175)</f>
        <v>0.01</v>
      </c>
      <c r="D176" s="360">
        <f t="shared" si="147"/>
        <v>0.01</v>
      </c>
      <c r="E176" s="360">
        <f t="shared" si="147"/>
        <v>0.01</v>
      </c>
      <c r="F176" s="360">
        <f t="shared" si="147"/>
        <v>0.01</v>
      </c>
      <c r="G176" s="360">
        <f t="shared" si="147"/>
        <v>0.01</v>
      </c>
      <c r="H176" s="360">
        <f t="shared" si="147"/>
        <v>0.01</v>
      </c>
      <c r="I176" s="360">
        <f t="shared" si="147"/>
        <v>0.01</v>
      </c>
      <c r="J176" s="360">
        <f t="shared" si="147"/>
        <v>0.01</v>
      </c>
      <c r="K176" s="360">
        <f t="shared" si="147"/>
        <v>0.01</v>
      </c>
      <c r="L176" s="360">
        <f t="shared" si="147"/>
        <v>0.01</v>
      </c>
      <c r="M176" s="360">
        <f t="shared" si="147"/>
        <v>0.01</v>
      </c>
      <c r="N176" s="360">
        <f t="shared" si="147"/>
        <v>0.01</v>
      </c>
      <c r="O176" s="360">
        <f t="shared" si="147"/>
        <v>0.01</v>
      </c>
      <c r="P176" s="360">
        <f t="shared" si="147"/>
        <v>0.01</v>
      </c>
      <c r="Q176" s="360">
        <f t="shared" si="147"/>
        <v>0.01</v>
      </c>
      <c r="R176" s="360">
        <f t="shared" si="147"/>
        <v>0.01</v>
      </c>
    </row>
    <row r="177" outlineLevel="1">
      <c r="A177" s="40"/>
      <c r="B177" s="324"/>
      <c r="C177" s="39"/>
      <c r="D177" s="353"/>
      <c r="E177" s="353"/>
      <c r="F177" s="353"/>
      <c r="G177" s="353"/>
      <c r="H177" s="353"/>
      <c r="I177" s="353"/>
      <c r="J177" s="353"/>
      <c r="K177" s="353"/>
      <c r="L177" s="353"/>
      <c r="M177" s="353"/>
      <c r="N177" s="353"/>
      <c r="O177" s="353"/>
      <c r="P177" s="353"/>
      <c r="Q177" s="353"/>
      <c r="R177" s="353"/>
    </row>
    <row r="178" outlineLevel="1">
      <c r="A178" s="62" t="s">
        <v>267</v>
      </c>
      <c r="B178" s="324"/>
      <c r="C178" s="39"/>
      <c r="D178" s="353"/>
      <c r="E178" s="353"/>
      <c r="F178" s="353"/>
      <c r="G178" s="353"/>
      <c r="H178" s="353"/>
      <c r="I178" s="353"/>
      <c r="J178" s="353"/>
      <c r="K178" s="353"/>
      <c r="L178" s="353"/>
      <c r="M178" s="353"/>
      <c r="N178" s="353"/>
      <c r="O178" s="353"/>
      <c r="P178" s="353"/>
      <c r="Q178" s="353"/>
      <c r="R178" s="353"/>
    </row>
    <row r="179" outlineLevel="1">
      <c r="A179" s="40" t="s">
        <v>268</v>
      </c>
      <c r="B179" s="179">
        <f t="shared" ref="B179:B182" si="149">index(A179:R179,,match($A$3,$A$1:$R$1,0))</f>
        <v>0</v>
      </c>
      <c r="C179" s="47">
        <v>0.0</v>
      </c>
      <c r="D179" s="357">
        <f t="shared" ref="D179:R179" si="148">$C179</f>
        <v>0</v>
      </c>
      <c r="E179" s="357">
        <f t="shared" si="148"/>
        <v>0</v>
      </c>
      <c r="F179" s="357">
        <f t="shared" si="148"/>
        <v>0</v>
      </c>
      <c r="G179" s="357">
        <f t="shared" si="148"/>
        <v>0</v>
      </c>
      <c r="H179" s="357">
        <f t="shared" si="148"/>
        <v>0</v>
      </c>
      <c r="I179" s="357">
        <f t="shared" si="148"/>
        <v>0</v>
      </c>
      <c r="J179" s="357">
        <f t="shared" si="148"/>
        <v>0</v>
      </c>
      <c r="K179" s="357">
        <f t="shared" si="148"/>
        <v>0</v>
      </c>
      <c r="L179" s="357">
        <f t="shared" si="148"/>
        <v>0</v>
      </c>
      <c r="M179" s="357">
        <f t="shared" si="148"/>
        <v>0</v>
      </c>
      <c r="N179" s="357">
        <f t="shared" si="148"/>
        <v>0</v>
      </c>
      <c r="O179" s="357">
        <f t="shared" si="148"/>
        <v>0</v>
      </c>
      <c r="P179" s="357">
        <f t="shared" si="148"/>
        <v>0</v>
      </c>
      <c r="Q179" s="357">
        <f t="shared" si="148"/>
        <v>0</v>
      </c>
      <c r="R179" s="357">
        <f t="shared" si="148"/>
        <v>0</v>
      </c>
    </row>
    <row r="180" outlineLevel="1">
      <c r="A180" s="40" t="s">
        <v>269</v>
      </c>
      <c r="B180" s="179">
        <f t="shared" si="149"/>
        <v>0</v>
      </c>
      <c r="C180" s="47">
        <v>0.0</v>
      </c>
      <c r="D180" s="357">
        <f t="shared" ref="D180:R180" si="150">$C180</f>
        <v>0</v>
      </c>
      <c r="E180" s="357">
        <f t="shared" si="150"/>
        <v>0</v>
      </c>
      <c r="F180" s="357">
        <f t="shared" si="150"/>
        <v>0</v>
      </c>
      <c r="G180" s="357">
        <f t="shared" si="150"/>
        <v>0</v>
      </c>
      <c r="H180" s="357">
        <f t="shared" si="150"/>
        <v>0</v>
      </c>
      <c r="I180" s="357">
        <f t="shared" si="150"/>
        <v>0</v>
      </c>
      <c r="J180" s="357">
        <f t="shared" si="150"/>
        <v>0</v>
      </c>
      <c r="K180" s="357">
        <f t="shared" si="150"/>
        <v>0</v>
      </c>
      <c r="L180" s="357">
        <f t="shared" si="150"/>
        <v>0</v>
      </c>
      <c r="M180" s="357">
        <f t="shared" si="150"/>
        <v>0</v>
      </c>
      <c r="N180" s="357">
        <f t="shared" si="150"/>
        <v>0</v>
      </c>
      <c r="O180" s="357">
        <f t="shared" si="150"/>
        <v>0</v>
      </c>
      <c r="P180" s="357">
        <f t="shared" si="150"/>
        <v>0</v>
      </c>
      <c r="Q180" s="357">
        <f t="shared" si="150"/>
        <v>0</v>
      </c>
      <c r="R180" s="357">
        <f t="shared" si="150"/>
        <v>0</v>
      </c>
    </row>
    <row r="181" outlineLevel="1">
      <c r="A181" s="40" t="s">
        <v>270</v>
      </c>
      <c r="B181" s="542">
        <f t="shared" si="149"/>
        <v>0.05</v>
      </c>
      <c r="C181" s="543">
        <v>0.05</v>
      </c>
      <c r="D181" s="357">
        <f t="shared" ref="D181:R181" si="151">$C181</f>
        <v>0.05</v>
      </c>
      <c r="E181" s="357">
        <f t="shared" si="151"/>
        <v>0.05</v>
      </c>
      <c r="F181" s="357">
        <f t="shared" si="151"/>
        <v>0.05</v>
      </c>
      <c r="G181" s="357">
        <f t="shared" si="151"/>
        <v>0.05</v>
      </c>
      <c r="H181" s="357">
        <f t="shared" si="151"/>
        <v>0.05</v>
      </c>
      <c r="I181" s="357">
        <f t="shared" si="151"/>
        <v>0.05</v>
      </c>
      <c r="J181" s="357">
        <f t="shared" si="151"/>
        <v>0.05</v>
      </c>
      <c r="K181" s="357">
        <f t="shared" si="151"/>
        <v>0.05</v>
      </c>
      <c r="L181" s="357">
        <f t="shared" si="151"/>
        <v>0.05</v>
      </c>
      <c r="M181" s="357">
        <f t="shared" si="151"/>
        <v>0.05</v>
      </c>
      <c r="N181" s="357">
        <f t="shared" si="151"/>
        <v>0.05</v>
      </c>
      <c r="O181" s="357">
        <f t="shared" si="151"/>
        <v>0.05</v>
      </c>
      <c r="P181" s="357">
        <f t="shared" si="151"/>
        <v>0.05</v>
      </c>
      <c r="Q181" s="357">
        <f t="shared" si="151"/>
        <v>0.05</v>
      </c>
      <c r="R181" s="357">
        <f t="shared" si="151"/>
        <v>0.05</v>
      </c>
    </row>
    <row r="182" outlineLevel="1">
      <c r="A182" s="362" t="s">
        <v>271</v>
      </c>
      <c r="B182" s="179">
        <f t="shared" si="149"/>
        <v>0.05</v>
      </c>
      <c r="C182" s="180">
        <f t="shared" ref="C182:R182" si="152">sum(C179:C181)</f>
        <v>0.05</v>
      </c>
      <c r="D182" s="360">
        <f t="shared" si="152"/>
        <v>0.05</v>
      </c>
      <c r="E182" s="360">
        <f t="shared" si="152"/>
        <v>0.05</v>
      </c>
      <c r="F182" s="360">
        <f t="shared" si="152"/>
        <v>0.05</v>
      </c>
      <c r="G182" s="360">
        <f t="shared" si="152"/>
        <v>0.05</v>
      </c>
      <c r="H182" s="360">
        <f t="shared" si="152"/>
        <v>0.05</v>
      </c>
      <c r="I182" s="360">
        <f t="shared" si="152"/>
        <v>0.05</v>
      </c>
      <c r="J182" s="360">
        <f t="shared" si="152"/>
        <v>0.05</v>
      </c>
      <c r="K182" s="360">
        <f t="shared" si="152"/>
        <v>0.05</v>
      </c>
      <c r="L182" s="360">
        <f t="shared" si="152"/>
        <v>0.05</v>
      </c>
      <c r="M182" s="360">
        <f t="shared" si="152"/>
        <v>0.05</v>
      </c>
      <c r="N182" s="360">
        <f t="shared" si="152"/>
        <v>0.05</v>
      </c>
      <c r="O182" s="360">
        <f t="shared" si="152"/>
        <v>0.05</v>
      </c>
      <c r="P182" s="360">
        <f t="shared" si="152"/>
        <v>0.05</v>
      </c>
      <c r="Q182" s="360">
        <f t="shared" si="152"/>
        <v>0.05</v>
      </c>
      <c r="R182" s="360">
        <f t="shared" si="152"/>
        <v>0.05</v>
      </c>
    </row>
    <row r="183" outlineLevel="1">
      <c r="A183" s="40"/>
      <c r="B183" s="324"/>
      <c r="C183" s="39"/>
      <c r="D183" s="353"/>
      <c r="E183" s="353"/>
      <c r="F183" s="353"/>
      <c r="G183" s="353"/>
      <c r="H183" s="353"/>
      <c r="I183" s="353"/>
      <c r="J183" s="353"/>
      <c r="K183" s="353"/>
      <c r="L183" s="353"/>
      <c r="M183" s="353"/>
      <c r="N183" s="353"/>
      <c r="O183" s="353"/>
      <c r="P183" s="353"/>
      <c r="Q183" s="353"/>
      <c r="R183" s="353"/>
    </row>
    <row r="184">
      <c r="A184" s="109" t="s">
        <v>272</v>
      </c>
      <c r="B184" s="355">
        <f t="array" ref="B184">index(A184:R184,,match($A$3,$A$1:$R$1,0))</f>
        <v>0.92</v>
      </c>
      <c r="C184" s="361">
        <f t="shared" ref="C184:R184" si="153">1-sum(C171,C176,C182)</f>
        <v>0.92</v>
      </c>
      <c r="D184" s="361">
        <f t="shared" si="153"/>
        <v>0.92</v>
      </c>
      <c r="E184" s="361">
        <f t="shared" si="153"/>
        <v>0.92</v>
      </c>
      <c r="F184" s="361">
        <f t="shared" si="153"/>
        <v>0.92</v>
      </c>
      <c r="G184" s="361">
        <f t="shared" si="153"/>
        <v>0.92</v>
      </c>
      <c r="H184" s="361">
        <f t="shared" si="153"/>
        <v>0.92</v>
      </c>
      <c r="I184" s="361">
        <f t="shared" si="153"/>
        <v>0.92</v>
      </c>
      <c r="J184" s="361">
        <f t="shared" si="153"/>
        <v>0.92</v>
      </c>
      <c r="K184" s="361">
        <f t="shared" si="153"/>
        <v>0.92</v>
      </c>
      <c r="L184" s="361">
        <f t="shared" si="153"/>
        <v>0.92</v>
      </c>
      <c r="M184" s="361">
        <f t="shared" si="153"/>
        <v>0.92</v>
      </c>
      <c r="N184" s="361">
        <f t="shared" si="153"/>
        <v>0.92</v>
      </c>
      <c r="O184" s="361">
        <f t="shared" si="153"/>
        <v>0.92</v>
      </c>
      <c r="P184" s="361">
        <f t="shared" si="153"/>
        <v>0.92</v>
      </c>
      <c r="Q184" s="361">
        <f t="shared" si="153"/>
        <v>0.92</v>
      </c>
      <c r="R184" s="361">
        <f t="shared" si="153"/>
        <v>0.92</v>
      </c>
    </row>
    <row r="185">
      <c r="A185" s="40"/>
      <c r="B185" s="354"/>
      <c r="C185" s="110"/>
      <c r="D185" s="353"/>
      <c r="E185" s="539"/>
      <c r="F185" s="539"/>
      <c r="G185" s="539"/>
      <c r="H185" s="539"/>
      <c r="I185" s="539"/>
      <c r="J185" s="539"/>
      <c r="K185" s="539"/>
      <c r="L185" s="539"/>
      <c r="M185" s="539"/>
      <c r="N185" s="540"/>
      <c r="O185" s="539"/>
      <c r="P185" s="539"/>
      <c r="Q185" s="539"/>
      <c r="R185" s="539"/>
    </row>
    <row r="186">
      <c r="A186" s="350" t="s">
        <v>383</v>
      </c>
      <c r="B186" s="351"/>
      <c r="C186" s="350"/>
      <c r="D186" s="350"/>
      <c r="E186" s="350"/>
      <c r="F186" s="350"/>
      <c r="G186" s="350"/>
      <c r="H186" s="350"/>
      <c r="I186" s="350"/>
      <c r="J186" s="350"/>
      <c r="K186" s="350"/>
      <c r="L186" s="350"/>
      <c r="M186" s="350"/>
      <c r="N186" s="350"/>
      <c r="O186" s="350"/>
      <c r="P186" s="350"/>
      <c r="Q186" s="350"/>
      <c r="R186" s="350"/>
    </row>
    <row r="187" outlineLevel="1">
      <c r="A187" s="352" t="s">
        <v>274</v>
      </c>
      <c r="B187" s="363"/>
      <c r="C187" s="364"/>
      <c r="D187" s="364"/>
      <c r="E187" s="364"/>
      <c r="F187" s="364"/>
      <c r="G187" s="364"/>
      <c r="H187" s="364"/>
      <c r="I187" s="364"/>
      <c r="J187" s="364"/>
      <c r="K187" s="364"/>
      <c r="L187" s="364"/>
      <c r="M187" s="364"/>
      <c r="N187" s="364"/>
      <c r="O187" s="364"/>
      <c r="P187" s="364"/>
      <c r="Q187" s="364"/>
      <c r="R187" s="364"/>
    </row>
    <row r="188" outlineLevel="1">
      <c r="A188" s="35" t="str">
        <f>IFERROR(__xludf.DUMMYFUNCTION("filter(InclusionExclusion!B:B,InclusionExclusion!A:A=""Deworming"",InclusionExclusion!C:C=""Included"")"),"Developmental effects")</f>
        <v>Developmental effects</v>
      </c>
      <c r="B188" s="363"/>
      <c r="C188" s="364"/>
      <c r="D188" s="364"/>
      <c r="E188" s="364"/>
      <c r="F188" s="364"/>
      <c r="G188" s="364"/>
      <c r="H188" s="364"/>
      <c r="I188" s="364"/>
      <c r="J188" s="364"/>
      <c r="K188" s="364"/>
      <c r="L188" s="364"/>
      <c r="M188" s="364"/>
      <c r="N188" s="364"/>
      <c r="O188" s="364"/>
      <c r="P188" s="364"/>
      <c r="Q188" s="364"/>
      <c r="R188" s="364"/>
    </row>
    <row r="189" outlineLevel="1">
      <c r="A189" s="109"/>
      <c r="B189" s="363"/>
      <c r="C189" s="364"/>
      <c r="D189" s="364"/>
      <c r="E189" s="364"/>
      <c r="F189" s="364"/>
      <c r="G189" s="364"/>
      <c r="H189" s="364"/>
      <c r="I189" s="364"/>
      <c r="J189" s="364"/>
      <c r="K189" s="364"/>
      <c r="L189" s="364"/>
      <c r="M189" s="364"/>
      <c r="N189" s="364"/>
      <c r="O189" s="364"/>
      <c r="P189" s="364"/>
      <c r="Q189" s="364"/>
      <c r="R189" s="364"/>
    </row>
    <row r="190" outlineLevel="1">
      <c r="A190" s="352" t="s">
        <v>275</v>
      </c>
      <c r="B190" s="363"/>
      <c r="C190" s="364"/>
      <c r="D190" s="364"/>
      <c r="E190" s="364"/>
      <c r="F190" s="364"/>
      <c r="G190" s="364"/>
      <c r="H190" s="364"/>
      <c r="I190" s="364"/>
      <c r="J190" s="364"/>
      <c r="K190" s="364"/>
      <c r="L190" s="364"/>
      <c r="M190" s="364"/>
      <c r="N190" s="364"/>
      <c r="O190" s="364"/>
      <c r="P190" s="364"/>
      <c r="Q190" s="364"/>
      <c r="R190" s="364"/>
    </row>
    <row r="191" outlineLevel="1">
      <c r="A191" s="35" t="str">
        <f>IFERROR(__xludf.DUMMYFUNCTION("filter(InclusionExclusion!B:B,InclusionExclusion!A:A=""Deworming"",InclusionExclusion!C:C=""Excluded"")"),"Direct health effects")</f>
        <v>Direct health effects</v>
      </c>
      <c r="B191" s="354">
        <f t="shared" ref="B191:B202" si="155">index(A191:R191,,match($A$3,$A$1:$R$1,0))</f>
        <v>0.008</v>
      </c>
      <c r="C191" s="110">
        <f t="array" ref="C191">iferror(if(isblank(A191),"",index(InclusionExclusion!$L:L,match(1,(InclusionExclusion!B:B=A191)*(InclusionExclusion!A:A="Deworming"),0))),"Not specified")</f>
        <v>0.008</v>
      </c>
      <c r="D191" s="365">
        <f t="shared" ref="D191:R191" si="154">$C191</f>
        <v>0.008</v>
      </c>
      <c r="E191" s="365">
        <f t="shared" si="154"/>
        <v>0.008</v>
      </c>
      <c r="F191" s="365">
        <f t="shared" si="154"/>
        <v>0.008</v>
      </c>
      <c r="G191" s="365">
        <f t="shared" si="154"/>
        <v>0.008</v>
      </c>
      <c r="H191" s="365">
        <f t="shared" si="154"/>
        <v>0.008</v>
      </c>
      <c r="I191" s="365">
        <f t="shared" si="154"/>
        <v>0.008</v>
      </c>
      <c r="J191" s="365">
        <f t="shared" si="154"/>
        <v>0.008</v>
      </c>
      <c r="K191" s="365">
        <f t="shared" si="154"/>
        <v>0.008</v>
      </c>
      <c r="L191" s="365">
        <f t="shared" si="154"/>
        <v>0.008</v>
      </c>
      <c r="M191" s="365">
        <f t="shared" si="154"/>
        <v>0.008</v>
      </c>
      <c r="N191" s="365">
        <f t="shared" si="154"/>
        <v>0.008</v>
      </c>
      <c r="O191" s="365">
        <f t="shared" si="154"/>
        <v>0.008</v>
      </c>
      <c r="P191" s="365">
        <f t="shared" si="154"/>
        <v>0.008</v>
      </c>
      <c r="Q191" s="365">
        <f t="shared" si="154"/>
        <v>0.008</v>
      </c>
      <c r="R191" s="365">
        <f t="shared" si="154"/>
        <v>0.008</v>
      </c>
    </row>
    <row r="192" outlineLevel="1">
      <c r="A192" s="200" t="str">
        <f>IFERROR(__xludf.DUMMYFUNCTION("""COMPUTED_VALUE"""),"HIV reduction")</f>
        <v>HIV reduction</v>
      </c>
      <c r="B192" s="354">
        <f t="shared" si="155"/>
        <v>0.06</v>
      </c>
      <c r="C192" s="110">
        <f t="array" ref="C192">iferror(if(isblank(A192),"",index(InclusionExclusion!$L:L,match(1,(InclusionExclusion!B:B=A192)*(InclusionExclusion!A:A="Deworming"),0))),"Not specified")</f>
        <v>0.06</v>
      </c>
      <c r="D192" s="365">
        <f t="shared" ref="D192:R192" si="156">$C192</f>
        <v>0.06</v>
      </c>
      <c r="E192" s="365">
        <f t="shared" si="156"/>
        <v>0.06</v>
      </c>
      <c r="F192" s="365">
        <f t="shared" si="156"/>
        <v>0.06</v>
      </c>
      <c r="G192" s="365">
        <f t="shared" si="156"/>
        <v>0.06</v>
      </c>
      <c r="H192" s="365">
        <f t="shared" si="156"/>
        <v>0.06</v>
      </c>
      <c r="I192" s="365">
        <f t="shared" si="156"/>
        <v>0.06</v>
      </c>
      <c r="J192" s="365">
        <f t="shared" si="156"/>
        <v>0.06</v>
      </c>
      <c r="K192" s="365">
        <f t="shared" si="156"/>
        <v>0.06</v>
      </c>
      <c r="L192" s="365">
        <f t="shared" si="156"/>
        <v>0.06</v>
      </c>
      <c r="M192" s="365">
        <f t="shared" si="156"/>
        <v>0.06</v>
      </c>
      <c r="N192" s="365">
        <f t="shared" si="156"/>
        <v>0.06</v>
      </c>
      <c r="O192" s="365">
        <f t="shared" si="156"/>
        <v>0.06</v>
      </c>
      <c r="P192" s="365">
        <f t="shared" si="156"/>
        <v>0.06</v>
      </c>
      <c r="Q192" s="365">
        <f t="shared" si="156"/>
        <v>0.06</v>
      </c>
      <c r="R192" s="365">
        <f t="shared" si="156"/>
        <v>0.06</v>
      </c>
    </row>
    <row r="193" outlineLevel="1">
      <c r="A193" s="200" t="str">
        <f>IFERROR(__xludf.DUMMYFUNCTION("""COMPUTED_VALUE"""),"Possible increases in diseases of affluence (harms of deworming)")</f>
        <v>Possible increases in diseases of affluence (harms of deworming)</v>
      </c>
      <c r="B193" s="354">
        <f t="shared" si="155"/>
        <v>-0.025</v>
      </c>
      <c r="C193" s="110">
        <f t="array" ref="C193">iferror(if(isblank(A193),"",index(InclusionExclusion!$L:L,match(1,(InclusionExclusion!B:B=A193)*(InclusionExclusion!A:A="Deworming"),0))),"Not specified")</f>
        <v>-0.025</v>
      </c>
      <c r="D193" s="365">
        <f t="shared" ref="D193:R193" si="157">$C193</f>
        <v>-0.025</v>
      </c>
      <c r="E193" s="365">
        <f t="shared" si="157"/>
        <v>-0.025</v>
      </c>
      <c r="F193" s="365">
        <f t="shared" si="157"/>
        <v>-0.025</v>
      </c>
      <c r="G193" s="365">
        <f t="shared" si="157"/>
        <v>-0.025</v>
      </c>
      <c r="H193" s="365">
        <f t="shared" si="157"/>
        <v>-0.025</v>
      </c>
      <c r="I193" s="365">
        <f t="shared" si="157"/>
        <v>-0.025</v>
      </c>
      <c r="J193" s="365">
        <f t="shared" si="157"/>
        <v>-0.025</v>
      </c>
      <c r="K193" s="365">
        <f t="shared" si="157"/>
        <v>-0.025</v>
      </c>
      <c r="L193" s="365">
        <f t="shared" si="157"/>
        <v>-0.025</v>
      </c>
      <c r="M193" s="365">
        <f t="shared" si="157"/>
        <v>-0.025</v>
      </c>
      <c r="N193" s="365">
        <f t="shared" si="157"/>
        <v>-0.025</v>
      </c>
      <c r="O193" s="365">
        <f t="shared" si="157"/>
        <v>-0.025</v>
      </c>
      <c r="P193" s="365">
        <f t="shared" si="157"/>
        <v>-0.025</v>
      </c>
      <c r="Q193" s="365">
        <f t="shared" si="157"/>
        <v>-0.025</v>
      </c>
      <c r="R193" s="365">
        <f t="shared" si="157"/>
        <v>-0.025</v>
      </c>
    </row>
    <row r="194" outlineLevel="1">
      <c r="A194" s="200" t="str">
        <f>IFERROR(__xludf.DUMMYFUNCTION("""COMPUTED_VALUE"""),"Averted mortality")</f>
        <v>Averted mortality</v>
      </c>
      <c r="B194" s="354">
        <f t="shared" si="155"/>
        <v>0.035</v>
      </c>
      <c r="C194" s="110">
        <f t="array" ref="C194">iferror(if(isblank(A194),"",index(InclusionExclusion!$L:L,match(1,(InclusionExclusion!B:B=A194)*(InclusionExclusion!A:A="Deworming"),0))),"Not specified")</f>
        <v>0.035</v>
      </c>
      <c r="D194" s="365">
        <f t="shared" ref="D194:R194" si="158">$C194</f>
        <v>0.035</v>
      </c>
      <c r="E194" s="365">
        <f t="shared" si="158"/>
        <v>0.035</v>
      </c>
      <c r="F194" s="365">
        <f t="shared" si="158"/>
        <v>0.035</v>
      </c>
      <c r="G194" s="365">
        <f t="shared" si="158"/>
        <v>0.035</v>
      </c>
      <c r="H194" s="365">
        <f t="shared" si="158"/>
        <v>0.035</v>
      </c>
      <c r="I194" s="365">
        <f t="shared" si="158"/>
        <v>0.035</v>
      </c>
      <c r="J194" s="365">
        <f t="shared" si="158"/>
        <v>0.035</v>
      </c>
      <c r="K194" s="365">
        <f t="shared" si="158"/>
        <v>0.035</v>
      </c>
      <c r="L194" s="365">
        <f t="shared" si="158"/>
        <v>0.035</v>
      </c>
      <c r="M194" s="365">
        <f t="shared" si="158"/>
        <v>0.035</v>
      </c>
      <c r="N194" s="365">
        <f t="shared" si="158"/>
        <v>0.035</v>
      </c>
      <c r="O194" s="365">
        <f t="shared" si="158"/>
        <v>0.035</v>
      </c>
      <c r="P194" s="365">
        <f t="shared" si="158"/>
        <v>0.035</v>
      </c>
      <c r="Q194" s="365">
        <f t="shared" si="158"/>
        <v>0.035</v>
      </c>
      <c r="R194" s="365">
        <f t="shared" si="158"/>
        <v>0.035</v>
      </c>
    </row>
    <row r="195" outlineLevel="1">
      <c r="A195" s="200" t="str">
        <f>IFERROR(__xludf.DUMMYFUNCTION("""COMPUTED_VALUE"""),"Short-term anemia effects")</f>
        <v>Short-term anemia effects</v>
      </c>
      <c r="B195" s="354">
        <f t="shared" si="155"/>
        <v>0.09</v>
      </c>
      <c r="C195" s="110">
        <f t="array" ref="C195">iferror(if(isblank(A195),"",index(InclusionExclusion!$L:L,match(1,(InclusionExclusion!B:B=A195)*(InclusionExclusion!A:A="Deworming"),0))),"Not specified")</f>
        <v>0.09</v>
      </c>
      <c r="D195" s="365">
        <f t="shared" ref="D195:R195" si="159">$C195</f>
        <v>0.09</v>
      </c>
      <c r="E195" s="365">
        <f t="shared" si="159"/>
        <v>0.09</v>
      </c>
      <c r="F195" s="365">
        <f t="shared" si="159"/>
        <v>0.09</v>
      </c>
      <c r="G195" s="365">
        <f t="shared" si="159"/>
        <v>0.09</v>
      </c>
      <c r="H195" s="365">
        <f t="shared" si="159"/>
        <v>0.09</v>
      </c>
      <c r="I195" s="365">
        <f t="shared" si="159"/>
        <v>0.09</v>
      </c>
      <c r="J195" s="365">
        <f t="shared" si="159"/>
        <v>0.09</v>
      </c>
      <c r="K195" s="365">
        <f t="shared" si="159"/>
        <v>0.09</v>
      </c>
      <c r="L195" s="365">
        <f t="shared" si="159"/>
        <v>0.09</v>
      </c>
      <c r="M195" s="365">
        <f t="shared" si="159"/>
        <v>0.09</v>
      </c>
      <c r="N195" s="365">
        <f t="shared" si="159"/>
        <v>0.09</v>
      </c>
      <c r="O195" s="365">
        <f t="shared" si="159"/>
        <v>0.09</v>
      </c>
      <c r="P195" s="365">
        <f t="shared" si="159"/>
        <v>0.09</v>
      </c>
      <c r="Q195" s="365">
        <f t="shared" si="159"/>
        <v>0.09</v>
      </c>
      <c r="R195" s="365">
        <f t="shared" si="159"/>
        <v>0.09</v>
      </c>
    </row>
    <row r="196" outlineLevel="1">
      <c r="A196" s="94" t="str">
        <f>IFERROR(__xludf.DUMMYFUNCTION("""COMPUTED_VALUE"""),"Investment of income increases")</f>
        <v>Investment of income increases</v>
      </c>
      <c r="B196" s="354">
        <f t="shared" si="155"/>
        <v>0.1</v>
      </c>
      <c r="C196" s="110">
        <f t="array" ref="C196">iferror(if(isblank(A196),"",index(InclusionExclusion!$L:L,match(1,(InclusionExclusion!B:B=A196)*(InclusionExclusion!A:A="Deworming"),0))),"Not specified")</f>
        <v>0.1</v>
      </c>
      <c r="D196" s="365">
        <f t="shared" ref="D196:R196" si="160">$C196</f>
        <v>0.1</v>
      </c>
      <c r="E196" s="365">
        <f t="shared" si="160"/>
        <v>0.1</v>
      </c>
      <c r="F196" s="365">
        <f t="shared" si="160"/>
        <v>0.1</v>
      </c>
      <c r="G196" s="365">
        <f t="shared" si="160"/>
        <v>0.1</v>
      </c>
      <c r="H196" s="365">
        <f t="shared" si="160"/>
        <v>0.1</v>
      </c>
      <c r="I196" s="365">
        <f t="shared" si="160"/>
        <v>0.1</v>
      </c>
      <c r="J196" s="365">
        <f t="shared" si="160"/>
        <v>0.1</v>
      </c>
      <c r="K196" s="365">
        <f t="shared" si="160"/>
        <v>0.1</v>
      </c>
      <c r="L196" s="365">
        <f t="shared" si="160"/>
        <v>0.1</v>
      </c>
      <c r="M196" s="365">
        <f t="shared" si="160"/>
        <v>0.1</v>
      </c>
      <c r="N196" s="365">
        <f t="shared" si="160"/>
        <v>0.1</v>
      </c>
      <c r="O196" s="365">
        <f t="shared" si="160"/>
        <v>0.1</v>
      </c>
      <c r="P196" s="365">
        <f t="shared" si="160"/>
        <v>0.1</v>
      </c>
      <c r="Q196" s="365">
        <f t="shared" si="160"/>
        <v>0.1</v>
      </c>
      <c r="R196" s="365">
        <f t="shared" si="160"/>
        <v>0.1</v>
      </c>
    </row>
    <row r="197" outlineLevel="1">
      <c r="A197" s="200" t="str">
        <f>IFERROR(__xludf.DUMMYFUNCTION("""COMPUTED_VALUE"""),"Non-income long-run benefits of deworming")</f>
        <v>Non-income long-run benefits of deworming</v>
      </c>
      <c r="B197" s="354">
        <f t="shared" si="155"/>
        <v>0.04</v>
      </c>
      <c r="C197" s="110">
        <f t="array" ref="C197">iferror(if(isblank(A197),"",index(InclusionExclusion!$L:L,match(1,(InclusionExclusion!B:B=A197)*(InclusionExclusion!A:A="Deworming"),0))),"Not specified")</f>
        <v>0.04</v>
      </c>
      <c r="D197" s="365">
        <f t="shared" ref="D197:R197" si="161">$C197</f>
        <v>0.04</v>
      </c>
      <c r="E197" s="365">
        <f t="shared" si="161"/>
        <v>0.04</v>
      </c>
      <c r="F197" s="365">
        <f t="shared" si="161"/>
        <v>0.04</v>
      </c>
      <c r="G197" s="365">
        <f t="shared" si="161"/>
        <v>0.04</v>
      </c>
      <c r="H197" s="365">
        <f t="shared" si="161"/>
        <v>0.04</v>
      </c>
      <c r="I197" s="365">
        <f t="shared" si="161"/>
        <v>0.04</v>
      </c>
      <c r="J197" s="365">
        <f t="shared" si="161"/>
        <v>0.04</v>
      </c>
      <c r="K197" s="365">
        <f t="shared" si="161"/>
        <v>0.04</v>
      </c>
      <c r="L197" s="365">
        <f t="shared" si="161"/>
        <v>0.04</v>
      </c>
      <c r="M197" s="365">
        <f t="shared" si="161"/>
        <v>0.04</v>
      </c>
      <c r="N197" s="365">
        <f t="shared" si="161"/>
        <v>0.04</v>
      </c>
      <c r="O197" s="365">
        <f t="shared" si="161"/>
        <v>0.04</v>
      </c>
      <c r="P197" s="365">
        <f t="shared" si="161"/>
        <v>0.04</v>
      </c>
      <c r="Q197" s="365">
        <f t="shared" si="161"/>
        <v>0.04</v>
      </c>
      <c r="R197" s="365">
        <f t="shared" si="161"/>
        <v>0.04</v>
      </c>
    </row>
    <row r="198" outlineLevel="1">
      <c r="A198" s="200" t="str">
        <f>IFERROR(__xludf.DUMMYFUNCTION("""COMPUTED_VALUE"""),"Other NTD prevention (relevant to Sightsavers and END Fund)")</f>
        <v>Other NTD prevention (relevant to Sightsavers and END Fund)</v>
      </c>
      <c r="B198" s="354">
        <f t="shared" si="155"/>
        <v>0.14</v>
      </c>
      <c r="C198" s="110">
        <f t="array" ref="C198">iferror(if(isblank(A198),"",index(InclusionExclusion!$L:L,match(1,(InclusionExclusion!B:B=A198)*(InclusionExclusion!A:A="Deworming"),0))),"Not specified")</f>
        <v>0.14</v>
      </c>
      <c r="D198" s="365">
        <f t="shared" ref="D198:R198" si="162">$C198</f>
        <v>0.14</v>
      </c>
      <c r="E198" s="365">
        <f t="shared" si="162"/>
        <v>0.14</v>
      </c>
      <c r="F198" s="365">
        <f t="shared" si="162"/>
        <v>0.14</v>
      </c>
      <c r="G198" s="365">
        <f t="shared" si="162"/>
        <v>0.14</v>
      </c>
      <c r="H198" s="365">
        <f t="shared" si="162"/>
        <v>0.14</v>
      </c>
      <c r="I198" s="365">
        <f t="shared" si="162"/>
        <v>0.14</v>
      </c>
      <c r="J198" s="365">
        <f t="shared" si="162"/>
        <v>0.14</v>
      </c>
      <c r="K198" s="365">
        <f t="shared" si="162"/>
        <v>0.14</v>
      </c>
      <c r="L198" s="365">
        <f t="shared" si="162"/>
        <v>0.14</v>
      </c>
      <c r="M198" s="365">
        <f t="shared" si="162"/>
        <v>0.14</v>
      </c>
      <c r="N198" s="365">
        <f t="shared" si="162"/>
        <v>0.14</v>
      </c>
      <c r="O198" s="365">
        <f t="shared" si="162"/>
        <v>0.14</v>
      </c>
      <c r="P198" s="365">
        <f t="shared" si="162"/>
        <v>0.14</v>
      </c>
      <c r="Q198" s="365">
        <f t="shared" si="162"/>
        <v>0.14</v>
      </c>
      <c r="R198" s="365">
        <f t="shared" si="162"/>
        <v>0.14</v>
      </c>
    </row>
    <row r="199" outlineLevel="1">
      <c r="A199" s="200" t="str">
        <f>IFERROR(__xludf.DUMMYFUNCTION("""COMPUTED_VALUE"""),"Drug resistance")</f>
        <v>Drug resistance</v>
      </c>
      <c r="B199" s="354">
        <f t="shared" si="155"/>
        <v>-0.04</v>
      </c>
      <c r="C199" s="110">
        <f t="array" ref="C199">iferror(if(isblank(A199),"",index(InclusionExclusion!$L:L,match(1,(InclusionExclusion!B:B=A199)*(InclusionExclusion!A:A="Deworming"),0))),"Not specified")</f>
        <v>-0.04</v>
      </c>
      <c r="D199" s="365">
        <f t="shared" ref="D199:R199" si="163">$C199</f>
        <v>-0.04</v>
      </c>
      <c r="E199" s="365">
        <f t="shared" si="163"/>
        <v>-0.04</v>
      </c>
      <c r="F199" s="365">
        <f t="shared" si="163"/>
        <v>-0.04</v>
      </c>
      <c r="G199" s="365">
        <f t="shared" si="163"/>
        <v>-0.04</v>
      </c>
      <c r="H199" s="365">
        <f t="shared" si="163"/>
        <v>-0.04</v>
      </c>
      <c r="I199" s="365">
        <f t="shared" si="163"/>
        <v>-0.04</v>
      </c>
      <c r="J199" s="365">
        <f t="shared" si="163"/>
        <v>-0.04</v>
      </c>
      <c r="K199" s="365">
        <f t="shared" si="163"/>
        <v>-0.04</v>
      </c>
      <c r="L199" s="365">
        <f t="shared" si="163"/>
        <v>-0.04</v>
      </c>
      <c r="M199" s="365">
        <f t="shared" si="163"/>
        <v>-0.04</v>
      </c>
      <c r="N199" s="365">
        <f t="shared" si="163"/>
        <v>-0.04</v>
      </c>
      <c r="O199" s="365">
        <f t="shared" si="163"/>
        <v>-0.04</v>
      </c>
      <c r="P199" s="365">
        <f t="shared" si="163"/>
        <v>-0.04</v>
      </c>
      <c r="Q199" s="365">
        <f t="shared" si="163"/>
        <v>-0.04</v>
      </c>
      <c r="R199" s="365">
        <f t="shared" si="163"/>
        <v>-0.04</v>
      </c>
    </row>
    <row r="200" outlineLevel="1">
      <c r="A200" s="200" t="str">
        <f>IFERROR(__xludf.DUMMYFUNCTION("""COMPUTED_VALUE"""),"Unprogrammed deworming")</f>
        <v>Unprogrammed deworming</v>
      </c>
      <c r="B200" s="354">
        <f t="shared" si="155"/>
        <v>-0.14</v>
      </c>
      <c r="C200" s="110">
        <f t="array" ref="C200">iferror(if(isblank(A200),"",index(InclusionExclusion!$L:L,match(1,(InclusionExclusion!B:B=A200)*(InclusionExclusion!A:A="Deworming"),0))),"Not specified")</f>
        <v>-0.14</v>
      </c>
      <c r="D200" s="365">
        <f t="shared" ref="D200:R200" si="164">$C200</f>
        <v>-0.14</v>
      </c>
      <c r="E200" s="365">
        <f t="shared" si="164"/>
        <v>-0.14</v>
      </c>
      <c r="F200" s="365">
        <f t="shared" si="164"/>
        <v>-0.14</v>
      </c>
      <c r="G200" s="365">
        <f t="shared" si="164"/>
        <v>-0.14</v>
      </c>
      <c r="H200" s="365">
        <f t="shared" si="164"/>
        <v>-0.14</v>
      </c>
      <c r="I200" s="365">
        <f t="shared" si="164"/>
        <v>-0.14</v>
      </c>
      <c r="J200" s="365">
        <f t="shared" si="164"/>
        <v>-0.14</v>
      </c>
      <c r="K200" s="365">
        <f t="shared" si="164"/>
        <v>-0.14</v>
      </c>
      <c r="L200" s="365">
        <f t="shared" si="164"/>
        <v>-0.14</v>
      </c>
      <c r="M200" s="365">
        <f t="shared" si="164"/>
        <v>-0.14</v>
      </c>
      <c r="N200" s="365">
        <f t="shared" si="164"/>
        <v>-0.14</v>
      </c>
      <c r="O200" s="365">
        <f t="shared" si="164"/>
        <v>-0.14</v>
      </c>
      <c r="P200" s="365">
        <f t="shared" si="164"/>
        <v>-0.14</v>
      </c>
      <c r="Q200" s="365">
        <f t="shared" si="164"/>
        <v>-0.14</v>
      </c>
      <c r="R200" s="365">
        <f t="shared" si="164"/>
        <v>-0.14</v>
      </c>
    </row>
    <row r="201" outlineLevel="1">
      <c r="A201" s="94" t="str">
        <f>IFERROR(__xludf.DUMMYFUNCTION("""COMPUTED_VALUE"""),"Marginal funding goes to lower priority areas")</f>
        <v>Marginal funding goes to lower priority areas</v>
      </c>
      <c r="B201" s="354">
        <f t="shared" si="155"/>
        <v>-0.025</v>
      </c>
      <c r="C201" s="110">
        <f t="array" ref="C201">iferror(if(isblank(A201),"",index(InclusionExclusion!$L:L,match(1,(InclusionExclusion!B:B=A201)*(InclusionExclusion!A:A="Deworming"),0))),"Not specified")</f>
        <v>-0.025</v>
      </c>
      <c r="D201" s="365">
        <f t="shared" ref="D201:R201" si="165">$C201</f>
        <v>-0.025</v>
      </c>
      <c r="E201" s="365">
        <f t="shared" si="165"/>
        <v>-0.025</v>
      </c>
      <c r="F201" s="365">
        <f t="shared" si="165"/>
        <v>-0.025</v>
      </c>
      <c r="G201" s="365">
        <f t="shared" si="165"/>
        <v>-0.025</v>
      </c>
      <c r="H201" s="365">
        <f t="shared" si="165"/>
        <v>-0.025</v>
      </c>
      <c r="I201" s="365">
        <f t="shared" si="165"/>
        <v>-0.025</v>
      </c>
      <c r="J201" s="365">
        <f t="shared" si="165"/>
        <v>-0.025</v>
      </c>
      <c r="K201" s="365">
        <f t="shared" si="165"/>
        <v>-0.025</v>
      </c>
      <c r="L201" s="365">
        <f t="shared" si="165"/>
        <v>-0.025</v>
      </c>
      <c r="M201" s="365">
        <f t="shared" si="165"/>
        <v>-0.025</v>
      </c>
      <c r="N201" s="365">
        <f t="shared" si="165"/>
        <v>-0.025</v>
      </c>
      <c r="O201" s="365">
        <f t="shared" si="165"/>
        <v>-0.025</v>
      </c>
      <c r="P201" s="365">
        <f t="shared" si="165"/>
        <v>-0.025</v>
      </c>
      <c r="Q201" s="365">
        <f t="shared" si="165"/>
        <v>-0.025</v>
      </c>
      <c r="R201" s="365">
        <f t="shared" si="165"/>
        <v>-0.025</v>
      </c>
    </row>
    <row r="202" outlineLevel="1">
      <c r="A202" s="94" t="str">
        <f>IFERROR(__xludf.DUMMYFUNCTION("""COMPUTED_VALUE"""),"General equilibrium effects")</f>
        <v>General equilibrium effects</v>
      </c>
      <c r="B202" s="354">
        <f t="shared" si="155"/>
        <v>-0.03</v>
      </c>
      <c r="C202" s="110">
        <f t="array" ref="C202">iferror(if(isblank(A202),"",index(InclusionExclusion!$L:L,match(1,(InclusionExclusion!B:B=A202)*(InclusionExclusion!A:A="Deworming"),0))),"Not specified")</f>
        <v>-0.03</v>
      </c>
      <c r="D202" s="365">
        <f t="shared" ref="D202:R202" si="166">$C202</f>
        <v>-0.03</v>
      </c>
      <c r="E202" s="365">
        <f t="shared" si="166"/>
        <v>-0.03</v>
      </c>
      <c r="F202" s="365">
        <f t="shared" si="166"/>
        <v>-0.03</v>
      </c>
      <c r="G202" s="365">
        <f t="shared" si="166"/>
        <v>-0.03</v>
      </c>
      <c r="H202" s="365">
        <f t="shared" si="166"/>
        <v>-0.03</v>
      </c>
      <c r="I202" s="365">
        <f t="shared" si="166"/>
        <v>-0.03</v>
      </c>
      <c r="J202" s="365">
        <f t="shared" si="166"/>
        <v>-0.03</v>
      </c>
      <c r="K202" s="365">
        <f t="shared" si="166"/>
        <v>-0.03</v>
      </c>
      <c r="L202" s="365">
        <f t="shared" si="166"/>
        <v>-0.03</v>
      </c>
      <c r="M202" s="365">
        <f t="shared" si="166"/>
        <v>-0.03</v>
      </c>
      <c r="N202" s="365">
        <f t="shared" si="166"/>
        <v>-0.03</v>
      </c>
      <c r="O202" s="365">
        <f t="shared" si="166"/>
        <v>-0.03</v>
      </c>
      <c r="P202" s="365">
        <f t="shared" si="166"/>
        <v>-0.03</v>
      </c>
      <c r="Q202" s="365">
        <f t="shared" si="166"/>
        <v>-0.03</v>
      </c>
      <c r="R202" s="365">
        <f t="shared" si="166"/>
        <v>-0.03</v>
      </c>
    </row>
    <row r="203" outlineLevel="1">
      <c r="A203" s="94"/>
      <c r="B203" s="354"/>
      <c r="C203" s="110" t="str">
        <f t="array" ref="C203">iferror(if(isblank(A203),"",index(InclusionExclusion!$L:L,match(1,(InclusionExclusion!B:B=A203)*(InclusionExclusion!A:A="Deworming"),0))),"Not specified")</f>
        <v/>
      </c>
      <c r="D203" s="365" t="str">
        <f t="shared" ref="D203:R203" si="167">$C203</f>
        <v/>
      </c>
      <c r="E203" s="365" t="str">
        <f t="shared" si="167"/>
        <v/>
      </c>
      <c r="F203" s="365" t="str">
        <f t="shared" si="167"/>
        <v/>
      </c>
      <c r="G203" s="365" t="str">
        <f t="shared" si="167"/>
        <v/>
      </c>
      <c r="H203" s="365" t="str">
        <f t="shared" si="167"/>
        <v/>
      </c>
      <c r="I203" s="365" t="str">
        <f t="shared" si="167"/>
        <v/>
      </c>
      <c r="J203" s="365" t="str">
        <f t="shared" si="167"/>
        <v/>
      </c>
      <c r="K203" s="365" t="str">
        <f t="shared" si="167"/>
        <v/>
      </c>
      <c r="L203" s="365" t="str">
        <f t="shared" si="167"/>
        <v/>
      </c>
      <c r="M203" s="365" t="str">
        <f t="shared" si="167"/>
        <v/>
      </c>
      <c r="N203" s="365" t="str">
        <f t="shared" si="167"/>
        <v/>
      </c>
      <c r="O203" s="365" t="str">
        <f t="shared" si="167"/>
        <v/>
      </c>
      <c r="P203" s="365" t="str">
        <f t="shared" si="167"/>
        <v/>
      </c>
      <c r="Q203" s="365" t="str">
        <f t="shared" si="167"/>
        <v/>
      </c>
      <c r="R203" s="365" t="str">
        <f t="shared" si="167"/>
        <v/>
      </c>
    </row>
    <row r="204">
      <c r="A204" s="366" t="s">
        <v>276</v>
      </c>
      <c r="B204" s="355">
        <f t="shared" ref="B204:B205" si="169">index(A204:R204,,match($A$3,$A$1:$R$1,0))</f>
        <v>1.213</v>
      </c>
      <c r="C204" s="361">
        <f t="shared" ref="C204:R204" si="168">1+sum(C190:C203)</f>
        <v>1.213</v>
      </c>
      <c r="D204" s="361">
        <f t="shared" si="168"/>
        <v>1.213</v>
      </c>
      <c r="E204" s="361">
        <f t="shared" si="168"/>
        <v>1.213</v>
      </c>
      <c r="F204" s="361">
        <f t="shared" si="168"/>
        <v>1.213</v>
      </c>
      <c r="G204" s="361">
        <f t="shared" si="168"/>
        <v>1.213</v>
      </c>
      <c r="H204" s="361">
        <f t="shared" si="168"/>
        <v>1.213</v>
      </c>
      <c r="I204" s="361">
        <f t="shared" si="168"/>
        <v>1.213</v>
      </c>
      <c r="J204" s="361">
        <f t="shared" si="168"/>
        <v>1.213</v>
      </c>
      <c r="K204" s="361">
        <f t="shared" si="168"/>
        <v>1.213</v>
      </c>
      <c r="L204" s="361">
        <f t="shared" si="168"/>
        <v>1.213</v>
      </c>
      <c r="M204" s="361">
        <f t="shared" si="168"/>
        <v>1.213</v>
      </c>
      <c r="N204" s="361">
        <f t="shared" si="168"/>
        <v>1.213</v>
      </c>
      <c r="O204" s="361">
        <f t="shared" si="168"/>
        <v>1.213</v>
      </c>
      <c r="P204" s="361">
        <f t="shared" si="168"/>
        <v>1.213</v>
      </c>
      <c r="Q204" s="361">
        <f t="shared" si="168"/>
        <v>1.213</v>
      </c>
      <c r="R204" s="361">
        <f t="shared" si="168"/>
        <v>1.213</v>
      </c>
    </row>
    <row r="205">
      <c r="A205" s="367" t="s">
        <v>277</v>
      </c>
      <c r="B205" s="363" t="str">
        <f t="shared" si="169"/>
        <v>OK</v>
      </c>
      <c r="C205" s="544" t="str">
        <f t="array" ref="C205">if(C204=index(InclusionExclusion!$L:$L,match("Deworming adjustment factor",InclusionExclusion!$J:$J,0)),"OK","Error")</f>
        <v>OK</v>
      </c>
      <c r="D205" s="544" t="str">
        <f t="array" ref="D205">if(D204=index(InclusionExclusion!$L:$L,match("Deworming adjustment factor",InclusionExclusion!$J:$J,0)),"OK","Error")</f>
        <v>OK</v>
      </c>
      <c r="E205" s="544" t="str">
        <f t="array" ref="E205">if(E204=index(InclusionExclusion!$L:$L,match("Deworming adjustment factor",InclusionExclusion!$J:$J,0)),"OK","Error")</f>
        <v>OK</v>
      </c>
      <c r="F205" s="544" t="str">
        <f t="array" ref="F205">if(F204=index(InclusionExclusion!$L:$L,match("Deworming adjustment factor",InclusionExclusion!$J:$J,0)),"OK","Error")</f>
        <v>OK</v>
      </c>
      <c r="G205" s="544" t="str">
        <f t="array" ref="G205">if(G204=index(InclusionExclusion!$L:$L,match("Deworming adjustment factor",InclusionExclusion!$J:$J,0)),"OK","Error")</f>
        <v>OK</v>
      </c>
      <c r="H205" s="544" t="str">
        <f t="array" ref="H205">if(H204=index(InclusionExclusion!$L:$L,match("Deworming adjustment factor",InclusionExclusion!$J:$J,0)),"OK","Error")</f>
        <v>OK</v>
      </c>
      <c r="I205" s="544" t="str">
        <f t="array" ref="I205">if(I204=index(InclusionExclusion!$L:$L,match("Deworming adjustment factor",InclusionExclusion!$J:$J,0)),"OK","Error")</f>
        <v>OK</v>
      </c>
      <c r="J205" s="368" t="str">
        <f t="array" ref="J205">if(J204=index(InclusionExclusion!$L:$L,match("Deworming adjustment factor",InclusionExclusion!$J:$J,0)),"OK","Error")</f>
        <v>OK</v>
      </c>
      <c r="K205" s="368" t="str">
        <f t="array" ref="K205">if(K204=index(InclusionExclusion!$L:$L,match("Deworming adjustment factor",InclusionExclusion!$J:$J,0)),"OK","Error")</f>
        <v>OK</v>
      </c>
      <c r="L205" s="368" t="str">
        <f t="array" ref="L205">if(L204=index(InclusionExclusion!$L:$L,match("Deworming adjustment factor",InclusionExclusion!$J:$J,0)),"OK","Error")</f>
        <v>OK</v>
      </c>
      <c r="M205" s="368" t="str">
        <f t="array" ref="M205">if(M204=index(InclusionExclusion!$L:$L,match("Deworming adjustment factor",InclusionExclusion!$J:$J,0)),"OK","Error")</f>
        <v>OK</v>
      </c>
      <c r="N205" s="368" t="str">
        <f t="array" ref="N205">if(N204=index(InclusionExclusion!$L:$L,match("Deworming adjustment factor",InclusionExclusion!$J:$J,0)),"OK","Error")</f>
        <v>OK</v>
      </c>
      <c r="O205" s="368" t="str">
        <f t="array" ref="O205">if(O204=index(InclusionExclusion!$L:$L,match("Deworming adjustment factor",InclusionExclusion!$J:$J,0)),"OK","Error")</f>
        <v>OK</v>
      </c>
      <c r="P205" s="368" t="str">
        <f t="array" ref="P205">if(P204=index(InclusionExclusion!$L:$L,match("Deworming adjustment factor",InclusionExclusion!$J:$J,0)),"OK","Error")</f>
        <v>OK</v>
      </c>
      <c r="Q205" s="368" t="str">
        <f t="array" ref="Q205">if(Q204=index(InclusionExclusion!$L:$L,match("Deworming adjustment factor",InclusionExclusion!$J:$J,0)),"OK","Error")</f>
        <v>OK</v>
      </c>
      <c r="R205" s="368" t="str">
        <f t="array" ref="R205">if(R204=index(InclusionExclusion!$L:$L,match("Deworming adjustment factor",InclusionExclusion!$J:$J,0)),"OK","Error")</f>
        <v>OK</v>
      </c>
    </row>
    <row r="206">
      <c r="A206" s="167"/>
      <c r="B206" s="363"/>
      <c r="C206" s="364"/>
      <c r="D206" s="364"/>
      <c r="E206" s="364"/>
      <c r="F206" s="364"/>
      <c r="G206" s="364"/>
      <c r="H206" s="364"/>
      <c r="I206" s="364"/>
      <c r="J206" s="364"/>
      <c r="K206" s="364"/>
      <c r="L206" s="364"/>
      <c r="M206" s="364"/>
      <c r="N206" s="364"/>
      <c r="O206" s="364"/>
      <c r="P206" s="364"/>
      <c r="Q206" s="364"/>
      <c r="R206" s="364"/>
    </row>
    <row r="207">
      <c r="A207" s="350" t="s">
        <v>278</v>
      </c>
      <c r="B207" s="351"/>
      <c r="C207" s="350"/>
      <c r="D207" s="350"/>
      <c r="E207" s="350"/>
      <c r="F207" s="350"/>
      <c r="G207" s="350"/>
      <c r="H207" s="350"/>
      <c r="I207" s="350"/>
      <c r="J207" s="350"/>
      <c r="K207" s="350"/>
      <c r="L207" s="350"/>
      <c r="M207" s="350"/>
      <c r="N207" s="350"/>
      <c r="O207" s="350"/>
      <c r="P207" s="350"/>
      <c r="Q207" s="350"/>
      <c r="R207" s="350"/>
    </row>
    <row r="208">
      <c r="A208" s="167" t="s">
        <v>279</v>
      </c>
      <c r="B208" s="363">
        <f t="array" ref="B208">index(A208:R208,,match($A$3,$A$1:$R$1,0))</f>
        <v>23249.15864</v>
      </c>
      <c r="C208" s="364">
        <f t="shared" ref="C208:R208" si="170">C160*C184*C204</f>
        <v>23249.15864</v>
      </c>
      <c r="D208" s="364">
        <f t="shared" si="170"/>
        <v>64558.37978</v>
      </c>
      <c r="E208" s="364">
        <f t="shared" si="170"/>
        <v>10420.48154</v>
      </c>
      <c r="F208" s="364">
        <f t="shared" si="170"/>
        <v>6743.782657</v>
      </c>
      <c r="G208" s="364">
        <f t="shared" si="170"/>
        <v>8474.041936</v>
      </c>
      <c r="H208" s="364">
        <f t="shared" si="170"/>
        <v>52238.73086</v>
      </c>
      <c r="I208" s="364">
        <f t="shared" si="170"/>
        <v>31620.26501</v>
      </c>
      <c r="J208" s="364">
        <f t="shared" si="170"/>
        <v>2901.346759</v>
      </c>
      <c r="K208" s="364">
        <f t="shared" si="170"/>
        <v>38404.72275</v>
      </c>
      <c r="L208" s="364">
        <f t="shared" si="170"/>
        <v>87342.41845</v>
      </c>
      <c r="M208" s="364">
        <f t="shared" si="170"/>
        <v>38404.72275</v>
      </c>
      <c r="N208" s="364">
        <f t="shared" si="170"/>
        <v>1507.533069</v>
      </c>
      <c r="O208" s="364">
        <f t="shared" si="170"/>
        <v>2323.773395</v>
      </c>
      <c r="P208" s="364">
        <f t="shared" si="170"/>
        <v>1704.098241</v>
      </c>
      <c r="Q208" s="364">
        <f t="shared" si="170"/>
        <v>2089.657395</v>
      </c>
      <c r="R208" s="364">
        <f t="shared" si="170"/>
        <v>2999.8966</v>
      </c>
    </row>
    <row r="209">
      <c r="A209" s="369"/>
      <c r="B209" s="363"/>
      <c r="C209" s="364"/>
      <c r="D209" s="364"/>
      <c r="E209" s="364"/>
      <c r="F209" s="364"/>
      <c r="G209" s="364"/>
      <c r="H209" s="364"/>
      <c r="I209" s="364"/>
      <c r="J209" s="364"/>
      <c r="K209" s="364"/>
      <c r="L209" s="364"/>
      <c r="M209" s="364"/>
      <c r="N209" s="364"/>
      <c r="O209" s="364"/>
      <c r="P209" s="364"/>
      <c r="Q209" s="364"/>
      <c r="R209" s="364"/>
    </row>
    <row r="210">
      <c r="A210" s="545" t="s">
        <v>280</v>
      </c>
      <c r="B210" s="370">
        <f t="array" ref="B210">index(A210:R210,,match($A$3,$A$1:$R$1,0))</f>
        <v>67.57992706</v>
      </c>
      <c r="C210" s="371">
        <f t="array" ref="C210">C208/index(Cash!$B:$B,match("Total units of value generated with hypothetical donation ($100,000)",Cash!$A:$A,0))</f>
        <v>67.57992706</v>
      </c>
      <c r="D210" s="371">
        <f t="array" ref="D210">D208/index(Cash!$B:$B,match("Total units of value generated with hypothetical donation ($100,000)",Cash!$A:$A,0))</f>
        <v>187.6562789</v>
      </c>
      <c r="E210" s="371">
        <f t="array" ref="E210">E208/index(Cash!$B:$B,match("Total units of value generated with hypothetical donation ($100,000)",Cash!$A:$A,0))</f>
        <v>30.28992978</v>
      </c>
      <c r="F210" s="371">
        <f t="array" ref="F210">F208/index(Cash!$B:$B,match("Total units of value generated with hypothetical donation ($100,000)",Cash!$A:$A,0))</f>
        <v>19.60261647</v>
      </c>
      <c r="G210" s="371">
        <f t="array" ref="G210">G208/index(Cash!$B:$B,match("Total units of value generated with hypothetical donation ($100,000)",Cash!$A:$A,0))</f>
        <v>24.63208002</v>
      </c>
      <c r="H210" s="371">
        <f t="array" ref="H210">H208/index(Cash!$B:$B,match("Total units of value generated with hypothetical donation ($100,000)",Cash!$A:$A,0))</f>
        <v>151.8459087</v>
      </c>
      <c r="I210" s="371">
        <f t="array" ref="I210">I208/index(Cash!$B:$B,match("Total units of value generated with hypothetical donation ($100,000)",Cash!$A:$A,0))</f>
        <v>91.91279719</v>
      </c>
      <c r="J210" s="371">
        <f t="array" ref="J210">J208/index(Cash!$B:$B,match("Total units of value generated with hypothetical donation ($100,000)",Cash!$A:$A,0))</f>
        <v>8.433544</v>
      </c>
      <c r="K210" s="371">
        <f t="array" ref="K210">K208/index(Cash!$B:$B,match("Total units of value generated with hypothetical donation ($100,000)",Cash!$A:$A,0))</f>
        <v>111.6336467</v>
      </c>
      <c r="L210" s="371">
        <f t="array" ref="L210">L208/index(Cash!$B:$B,match("Total units of value generated with hypothetical donation ($100,000)",Cash!$A:$A,0))</f>
        <v>253.8842097</v>
      </c>
      <c r="M210" s="371">
        <f t="array" ref="M210">M208/index(Cash!$B:$B,match("Total units of value generated with hypothetical donation ($100,000)",Cash!$A:$A,0))</f>
        <v>111.6336467</v>
      </c>
      <c r="N210" s="371">
        <f t="array" ref="N210">N208/index(Cash!$B:$B,match("Total units of value generated with hypothetical donation ($100,000)",Cash!$A:$A,0))</f>
        <v>4.382049967</v>
      </c>
      <c r="O210" s="371">
        <f t="array" ref="O210">O208/index(Cash!$B:$B,match("Total units of value generated with hypothetical donation ($100,000)",Cash!$A:$A,0))</f>
        <v>6.754671814</v>
      </c>
      <c r="P210" s="371">
        <f t="array" ref="P210">P208/index(Cash!$B:$B,match("Total units of value generated with hypothetical donation ($100,000)",Cash!$A:$A,0))</f>
        <v>4.95341946</v>
      </c>
      <c r="Q210" s="371">
        <f t="array" ref="Q210">Q208/index(Cash!$B:$B,match("Total units of value generated with hypothetical donation ($100,000)",Cash!$A:$A,0))</f>
        <v>6.074150747</v>
      </c>
      <c r="R210" s="371">
        <f t="array" ref="R210">R208/index(Cash!$B:$B,match("Total units of value generated with hypothetical donation ($100,000)",Cash!$A:$A,0))</f>
        <v>8.720005594</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8" width="17.29"/>
  </cols>
  <sheetData>
    <row r="1">
      <c r="A1" s="546" t="s">
        <v>384</v>
      </c>
      <c r="B1" s="373" t="s">
        <v>39</v>
      </c>
      <c r="C1" s="373" t="s">
        <v>96</v>
      </c>
      <c r="D1" s="373" t="s">
        <v>385</v>
      </c>
      <c r="E1" s="373" t="s">
        <v>386</v>
      </c>
      <c r="F1" s="373" t="s">
        <v>139</v>
      </c>
      <c r="G1" s="373" t="s">
        <v>387</v>
      </c>
      <c r="H1" s="373" t="s">
        <v>388</v>
      </c>
    </row>
    <row r="2">
      <c r="A2" s="547" t="s">
        <v>148</v>
      </c>
      <c r="B2" s="548"/>
      <c r="C2" s="548"/>
      <c r="D2" s="548"/>
      <c r="E2" s="549"/>
      <c r="F2" s="548"/>
      <c r="G2" s="548"/>
      <c r="H2" s="548"/>
    </row>
    <row r="3">
      <c r="A3" s="550" t="str">
        <f>Results!C10</f>
        <v>Overall</v>
      </c>
      <c r="B3" s="548"/>
      <c r="C3" s="548"/>
      <c r="D3" s="548"/>
      <c r="E3" s="549"/>
      <c r="F3" s="548"/>
      <c r="G3" s="548"/>
      <c r="H3" s="548"/>
    </row>
    <row r="4">
      <c r="A4" s="551"/>
      <c r="B4" s="548"/>
      <c r="C4" s="548"/>
      <c r="D4" s="548"/>
      <c r="E4" s="549"/>
      <c r="F4" s="548"/>
      <c r="G4" s="548"/>
      <c r="H4" s="548"/>
    </row>
    <row r="5">
      <c r="A5" s="174" t="s">
        <v>149</v>
      </c>
      <c r="B5" s="174"/>
      <c r="C5" s="174"/>
      <c r="D5" s="174"/>
      <c r="E5" s="174"/>
      <c r="F5" s="174"/>
      <c r="G5" s="174"/>
      <c r="H5" s="174"/>
    </row>
    <row r="6">
      <c r="A6" s="415"/>
      <c r="B6" s="548"/>
      <c r="C6" s="548"/>
      <c r="D6" s="548"/>
      <c r="E6" s="549"/>
      <c r="F6" s="552"/>
      <c r="G6" s="548"/>
      <c r="H6" s="548"/>
    </row>
    <row r="7">
      <c r="A7" s="94" t="s">
        <v>150</v>
      </c>
      <c r="B7" s="553">
        <f t="array" ref="B7">index(A7:ZZ7,,match($A$3,$A$1:$ZZ$1,0))</f>
        <v>1</v>
      </c>
      <c r="C7" s="493">
        <f>sum(D7:H7)</f>
        <v>1</v>
      </c>
      <c r="D7" s="554">
        <v>0.35853132503123974</v>
      </c>
      <c r="E7" s="554">
        <v>0.262297079441862</v>
      </c>
      <c r="F7" s="554">
        <v>0.20404972833036394</v>
      </c>
      <c r="G7" s="554">
        <v>0.08963865898207402</v>
      </c>
      <c r="H7" s="554">
        <v>0.08548320821446027</v>
      </c>
    </row>
    <row r="8">
      <c r="A8" s="555"/>
      <c r="B8" s="556"/>
      <c r="C8" s="548"/>
      <c r="D8" s="548"/>
      <c r="E8" s="549"/>
      <c r="F8" s="552"/>
      <c r="G8" s="548"/>
      <c r="H8" s="548"/>
    </row>
    <row r="9">
      <c r="A9" s="557" t="s">
        <v>389</v>
      </c>
      <c r="B9" s="558"/>
      <c r="C9" s="557"/>
      <c r="D9" s="557"/>
      <c r="E9" s="557"/>
      <c r="F9" s="557"/>
      <c r="G9" s="557"/>
      <c r="H9" s="557"/>
    </row>
    <row r="10">
      <c r="A10" s="555"/>
      <c r="B10" s="559"/>
      <c r="C10" s="560"/>
      <c r="D10" s="560"/>
      <c r="E10" s="560"/>
      <c r="F10" s="561"/>
      <c r="G10" s="560"/>
      <c r="H10" s="560"/>
    </row>
    <row r="11">
      <c r="A11" s="94" t="s">
        <v>153</v>
      </c>
      <c r="B11" s="559">
        <f t="shared" ref="B11:B20" si="2">index(A11:ZZ11,,match($A$3,$A$1:$ZZ$1,0))</f>
        <v>100000</v>
      </c>
      <c r="C11" s="560">
        <v>100000.0</v>
      </c>
      <c r="D11" s="562">
        <f t="shared" ref="D11:H11" si="1">$C$11*D7</f>
        <v>35853.1325</v>
      </c>
      <c r="E11" s="562">
        <f t="shared" si="1"/>
        <v>26229.70794</v>
      </c>
      <c r="F11" s="562">
        <f t="shared" si="1"/>
        <v>20404.97283</v>
      </c>
      <c r="G11" s="562">
        <f t="shared" si="1"/>
        <v>8963.865898</v>
      </c>
      <c r="H11" s="562">
        <f t="shared" si="1"/>
        <v>8548.320821</v>
      </c>
    </row>
    <row r="12">
      <c r="A12" s="563" t="s">
        <v>390</v>
      </c>
      <c r="B12" s="564">
        <f t="shared" si="2"/>
        <v>0.8511219285</v>
      </c>
      <c r="C12" s="564">
        <f>'Deworming - SCI'!C12</f>
        <v>0.8511219285</v>
      </c>
      <c r="D12" s="564">
        <f t="shared" ref="D12:H12" si="3">C12</f>
        <v>0.8511219285</v>
      </c>
      <c r="E12" s="564">
        <f t="shared" si="3"/>
        <v>0.8511219285</v>
      </c>
      <c r="F12" s="564">
        <f t="shared" si="3"/>
        <v>0.8511219285</v>
      </c>
      <c r="G12" s="564">
        <f t="shared" si="3"/>
        <v>0.8511219285</v>
      </c>
      <c r="H12" s="564">
        <f t="shared" si="3"/>
        <v>0.8511219285</v>
      </c>
    </row>
    <row r="13">
      <c r="A13" s="200" t="s">
        <v>391</v>
      </c>
      <c r="B13" s="565">
        <f t="shared" si="2"/>
        <v>0.06223066603</v>
      </c>
      <c r="C13" s="566">
        <f>sumproduct(D7:H7,D13:H13)</f>
        <v>0.06223066603</v>
      </c>
      <c r="D13" s="31">
        <v>0.027626531190339688</v>
      </c>
      <c r="E13" s="31">
        <v>0.09041218264231815</v>
      </c>
      <c r="F13" s="31">
        <v>0.07992333505578277</v>
      </c>
      <c r="G13" s="31">
        <v>0.08330269344420711</v>
      </c>
      <c r="H13" s="31">
        <v>0.05656504136810774</v>
      </c>
    </row>
    <row r="14">
      <c r="A14" s="427" t="s">
        <v>392</v>
      </c>
      <c r="B14" s="567">
        <f t="shared" si="2"/>
        <v>0.1491343933</v>
      </c>
      <c r="C14" s="567">
        <f>'Deworming - DtW'!C26</f>
        <v>0.1491343933</v>
      </c>
      <c r="D14" s="567">
        <f>'Deworming - DtW'!D26</f>
        <v>0.1491343933</v>
      </c>
      <c r="E14" s="567">
        <f>'Deworming - DtW'!E26</f>
        <v>0.1491343933</v>
      </c>
      <c r="F14" s="567">
        <f>'Deworming - DtW'!F26</f>
        <v>0.1491343933</v>
      </c>
      <c r="G14" s="567">
        <f>'Deworming - DtW'!G26</f>
        <v>0.1491343933</v>
      </c>
      <c r="H14" s="567">
        <f>'Deworming - DtW'!H26</f>
        <v>0.1491343933</v>
      </c>
    </row>
    <row r="15">
      <c r="A15" s="568" t="s">
        <v>393</v>
      </c>
      <c r="B15" s="569">
        <f t="shared" si="2"/>
        <v>0.007899035049</v>
      </c>
      <c r="C15" s="570">
        <f t="shared" ref="C15:H15" si="4">C13*C12*C14</f>
        <v>0.007899035049</v>
      </c>
      <c r="D15" s="570">
        <f t="shared" si="4"/>
        <v>0.003506678493</v>
      </c>
      <c r="E15" s="570">
        <f t="shared" si="4"/>
        <v>0.0114761587</v>
      </c>
      <c r="F15" s="570">
        <f t="shared" si="4"/>
        <v>0.010144793</v>
      </c>
      <c r="G15" s="570">
        <f t="shared" si="4"/>
        <v>0.0105737402</v>
      </c>
      <c r="H15" s="570">
        <f t="shared" si="4"/>
        <v>0.007179888515</v>
      </c>
    </row>
    <row r="16">
      <c r="A16" s="571" t="s">
        <v>84</v>
      </c>
      <c r="B16" s="572">
        <f t="shared" si="2"/>
        <v>1.442695041</v>
      </c>
      <c r="C16" s="572">
        <f t="array" ref="C16">index('Moral weights'!$A$1:$ZG$33,match($A16,'Moral weights'!$A$1:$A$33,0),match('Deworming - DtW'!B$1,'Moral weights'!$A$1:$ZG$1,0))</f>
        <v>1.442695041</v>
      </c>
      <c r="D16" s="572">
        <f t="shared" ref="D16:H16" si="5">C16</f>
        <v>1.442695041</v>
      </c>
      <c r="E16" s="572">
        <f t="shared" si="5"/>
        <v>1.442695041</v>
      </c>
      <c r="F16" s="572">
        <f t="shared" si="5"/>
        <v>1.442695041</v>
      </c>
      <c r="G16" s="572">
        <f t="shared" si="5"/>
        <v>1.442695041</v>
      </c>
      <c r="H16" s="572">
        <f t="shared" si="5"/>
        <v>1.442695041</v>
      </c>
    </row>
    <row r="17">
      <c r="A17" s="573" t="s">
        <v>394</v>
      </c>
      <c r="B17" s="574">
        <f t="shared" si="2"/>
        <v>0.01139589869</v>
      </c>
      <c r="C17" s="575">
        <f t="shared" ref="C17:H17" si="6">(C15*C16)</f>
        <v>0.01139589869</v>
      </c>
      <c r="D17" s="575">
        <f t="shared" si="6"/>
        <v>0.005059067672</v>
      </c>
      <c r="E17" s="575">
        <f t="shared" si="6"/>
        <v>0.01655659725</v>
      </c>
      <c r="F17" s="575">
        <f t="shared" si="6"/>
        <v>0.01463584255</v>
      </c>
      <c r="G17" s="575">
        <f t="shared" si="6"/>
        <v>0.01525468255</v>
      </c>
      <c r="H17" s="575">
        <f t="shared" si="6"/>
        <v>0.01035838955</v>
      </c>
    </row>
    <row r="18">
      <c r="A18" s="576" t="s">
        <v>395</v>
      </c>
      <c r="B18" s="577">
        <f t="shared" si="2"/>
        <v>0.805121139</v>
      </c>
      <c r="C18" s="578">
        <v>0.805121139</v>
      </c>
      <c r="D18" s="577">
        <f t="shared" ref="D18:H18" si="7">$C18</f>
        <v>0.805121139</v>
      </c>
      <c r="E18" s="577">
        <f t="shared" si="7"/>
        <v>0.805121139</v>
      </c>
      <c r="F18" s="577">
        <f t="shared" si="7"/>
        <v>0.805121139</v>
      </c>
      <c r="G18" s="577">
        <f t="shared" si="7"/>
        <v>0.805121139</v>
      </c>
      <c r="H18" s="577">
        <f t="shared" si="7"/>
        <v>0.805121139</v>
      </c>
    </row>
    <row r="19">
      <c r="A19" s="537" t="s">
        <v>396</v>
      </c>
      <c r="B19" s="579">
        <f t="shared" si="2"/>
        <v>124204.9117</v>
      </c>
      <c r="C19" s="580">
        <f t="shared" ref="C19:H19" si="8">C11/C18</f>
        <v>124204.9117</v>
      </c>
      <c r="D19" s="580">
        <f t="shared" si="8"/>
        <v>44531.35158</v>
      </c>
      <c r="E19" s="580">
        <f t="shared" si="8"/>
        <v>32578.5856</v>
      </c>
      <c r="F19" s="580">
        <f t="shared" si="8"/>
        <v>25343.9785</v>
      </c>
      <c r="G19" s="580">
        <f t="shared" si="8"/>
        <v>11133.56173</v>
      </c>
      <c r="H19" s="580">
        <f t="shared" si="8"/>
        <v>10617.43433</v>
      </c>
    </row>
    <row r="20">
      <c r="A20" s="573"/>
      <c r="B20" s="581" t="str">
        <f t="shared" si="2"/>
        <v/>
      </c>
      <c r="C20" s="582"/>
      <c r="D20" s="582"/>
      <c r="E20" s="582"/>
      <c r="F20" s="582"/>
      <c r="G20" s="582"/>
      <c r="H20" s="582"/>
    </row>
    <row r="21">
      <c r="A21" s="583" t="s">
        <v>397</v>
      </c>
      <c r="B21" s="584"/>
      <c r="C21" s="585"/>
      <c r="D21" s="585"/>
      <c r="E21" s="585"/>
      <c r="F21" s="585"/>
      <c r="G21" s="585"/>
      <c r="H21" s="585"/>
    </row>
    <row r="22">
      <c r="A22" s="586"/>
      <c r="B22" s="581"/>
      <c r="C22" s="582"/>
      <c r="D22" s="582"/>
      <c r="E22" s="582"/>
      <c r="F22" s="582"/>
      <c r="G22" s="582"/>
      <c r="H22" s="582"/>
    </row>
    <row r="23">
      <c r="A23" s="555" t="s">
        <v>237</v>
      </c>
      <c r="B23" s="587">
        <f t="shared" ref="B23:B24" si="10">index(A23:ZZ23,,match($A$3,$A$1:$ZZ$1,0))</f>
        <v>1415.426591</v>
      </c>
      <c r="C23" s="588">
        <f t="shared" ref="C23:H23" si="9">C17*C19</f>
        <v>1415.426591</v>
      </c>
      <c r="D23" s="588">
        <f t="shared" si="9"/>
        <v>225.2871211</v>
      </c>
      <c r="E23" s="588">
        <f t="shared" si="9"/>
        <v>539.3905207</v>
      </c>
      <c r="F23" s="588">
        <f t="shared" si="9"/>
        <v>370.9304787</v>
      </c>
      <c r="G23" s="588">
        <f t="shared" si="9"/>
        <v>169.8389498</v>
      </c>
      <c r="H23" s="588">
        <f t="shared" si="9"/>
        <v>109.9795209</v>
      </c>
    </row>
    <row r="24">
      <c r="A24" s="506" t="s">
        <v>238</v>
      </c>
      <c r="B24" s="587">
        <f t="shared" si="10"/>
        <v>1415.426591</v>
      </c>
      <c r="C24" s="589">
        <f t="shared" ref="C24:H24" si="11">$C11/C11*C23</f>
        <v>1415.426591</v>
      </c>
      <c r="D24" s="589">
        <f t="shared" si="11"/>
        <v>628.3610536</v>
      </c>
      <c r="E24" s="589">
        <f t="shared" si="11"/>
        <v>2056.4107</v>
      </c>
      <c r="F24" s="589">
        <f t="shared" si="11"/>
        <v>1817.843531</v>
      </c>
      <c r="G24" s="589">
        <f t="shared" si="11"/>
        <v>1894.7065</v>
      </c>
      <c r="H24" s="589">
        <f t="shared" si="11"/>
        <v>1286.56286</v>
      </c>
    </row>
    <row r="25">
      <c r="A25" s="555"/>
      <c r="B25" s="590"/>
      <c r="C25" s="590"/>
      <c r="D25" s="590"/>
      <c r="E25" s="590"/>
      <c r="F25" s="590"/>
      <c r="G25" s="590"/>
      <c r="H25" s="590"/>
    </row>
    <row r="26">
      <c r="A26" s="325" t="s">
        <v>239</v>
      </c>
      <c r="B26" s="508">
        <f t="array" ref="B26">index(C26:AA26,,match($A$3,$C$1:$AA$1,0))</f>
        <v>4.114317738</v>
      </c>
      <c r="C26" s="421">
        <f t="array" ref="C26">C24/index(Cash!$B:$B,match("Total units of value generated with hypothetical donation ($100,000)",Cash!$A:$A,0))</f>
        <v>4.114317738</v>
      </c>
      <c r="D26" s="421">
        <f t="array" ref="D26">D24/index(Cash!$B:$B,match("Total units of value generated with hypothetical donation ($100,000)",Cash!$A:$A,0))</f>
        <v>1.826500254</v>
      </c>
      <c r="E26" s="421">
        <f t="array" ref="E26">E24/index(Cash!$B:$B,match("Total units of value generated with hypothetical donation ($100,000)",Cash!$A:$A,0))</f>
        <v>5.977510294</v>
      </c>
      <c r="F26" s="421">
        <f t="array" ref="F26">F24/index(Cash!$B:$B,match("Total units of value generated with hypothetical donation ($100,000)",Cash!$A:$A,0))</f>
        <v>5.284050712</v>
      </c>
      <c r="G26" s="421">
        <f t="array" ref="G26">G24/index(Cash!$B:$B,match("Total units of value generated with hypothetical donation ($100,000)",Cash!$A:$A,0))</f>
        <v>5.507473584</v>
      </c>
      <c r="H26" s="421">
        <f t="array" ref="H26">H24/index(Cash!$B:$B,match("Total units of value generated with hypothetical donation ($100,000)",Cash!$A:$A,0))</f>
        <v>3.739740676</v>
      </c>
    </row>
    <row r="27">
      <c r="A27" s="563"/>
      <c r="B27" s="564"/>
      <c r="C27" s="564"/>
      <c r="D27" s="564"/>
      <c r="E27" s="564"/>
      <c r="F27" s="564"/>
      <c r="G27" s="564"/>
      <c r="H27" s="564"/>
    </row>
    <row r="28">
      <c r="A28" s="264" t="s">
        <v>352</v>
      </c>
      <c r="B28" s="591"/>
      <c r="C28" s="266"/>
      <c r="D28" s="266"/>
      <c r="E28" s="266"/>
      <c r="F28" s="266"/>
      <c r="G28" s="266"/>
      <c r="H28" s="266"/>
    </row>
    <row r="29">
      <c r="A29" s="412"/>
      <c r="B29" s="592"/>
      <c r="C29" s="120"/>
      <c r="D29" s="120"/>
      <c r="E29" s="120"/>
      <c r="F29" s="120"/>
      <c r="G29" s="120"/>
      <c r="H29" s="120"/>
    </row>
    <row r="30">
      <c r="A30" s="537" t="s">
        <v>398</v>
      </c>
      <c r="B30" s="593">
        <f t="array" ref="B30">index(A30:ZZ30,,match($A$3,$A$1:$ZZ$1,0))</f>
        <v>0.004732642152</v>
      </c>
      <c r="C30" s="467">
        <f>product('Deworming - DtW'!C11:C13,C13)</f>
        <v>0.004732642152</v>
      </c>
      <c r="D30" s="467">
        <f>product('Deworming - DtW'!D11:D13,D13)</f>
        <v>0.002100997697</v>
      </c>
      <c r="E30" s="467">
        <f>product('Deworming - DtW'!E11:E13,E13)</f>
        <v>0.00687584649</v>
      </c>
      <c r="F30" s="467">
        <f>product('Deworming - DtW'!F11:F13,F13)</f>
        <v>0.006078169631</v>
      </c>
      <c r="G30" s="467">
        <f>product('Deworming - DtW'!G11:G13,G13)</f>
        <v>0.006335169836</v>
      </c>
      <c r="H30" s="467">
        <f>product('Deworming - DtW'!H11:H13,H13)</f>
        <v>0.004301771396</v>
      </c>
    </row>
    <row r="31">
      <c r="A31" s="594"/>
      <c r="B31" s="581"/>
      <c r="C31" s="582"/>
      <c r="D31" s="582"/>
      <c r="E31" s="582"/>
      <c r="F31" s="582"/>
      <c r="G31" s="582"/>
      <c r="H31" s="582"/>
    </row>
    <row r="32">
      <c r="A32" s="264" t="s">
        <v>240</v>
      </c>
      <c r="B32" s="595"/>
      <c r="C32" s="596"/>
      <c r="D32" s="596"/>
      <c r="E32" s="596"/>
      <c r="F32" s="596"/>
      <c r="G32" s="596"/>
      <c r="H32" s="596"/>
    </row>
    <row r="33" outlineLevel="1">
      <c r="A33" s="310"/>
      <c r="B33" s="597"/>
      <c r="C33" s="415"/>
      <c r="D33" s="415"/>
      <c r="E33" s="415"/>
      <c r="F33" s="415"/>
      <c r="G33" s="415"/>
      <c r="H33" s="415"/>
    </row>
    <row r="34" outlineLevel="1">
      <c r="A34" s="598" t="s">
        <v>355</v>
      </c>
      <c r="B34" s="597"/>
      <c r="C34" s="415"/>
      <c r="D34" s="415"/>
      <c r="E34" s="415"/>
      <c r="F34" s="415"/>
      <c r="G34" s="415"/>
      <c r="H34" s="415"/>
    </row>
    <row r="35" outlineLevel="1">
      <c r="A35" s="599" t="s">
        <v>356</v>
      </c>
      <c r="B35" s="600">
        <f t="shared" ref="B35:B39" si="12">index(A35:ZZ35,,match($A$3,$A$1:$ZZ$1,0))</f>
        <v>0.4626643629</v>
      </c>
      <c r="C35" s="601">
        <v>0.4626643629</v>
      </c>
      <c r="D35" s="601">
        <v>0.4626643629</v>
      </c>
      <c r="E35" s="601">
        <v>0.4626643629</v>
      </c>
      <c r="F35" s="601">
        <v>0.4626643629</v>
      </c>
      <c r="G35" s="601">
        <v>0.4626643629</v>
      </c>
      <c r="H35" s="601">
        <v>0.4626643629</v>
      </c>
    </row>
    <row r="36" outlineLevel="1">
      <c r="A36" s="599" t="s">
        <v>357</v>
      </c>
      <c r="B36" s="600">
        <f t="shared" si="12"/>
        <v>0.2415363416</v>
      </c>
      <c r="C36" s="601">
        <v>0.2415363416</v>
      </c>
      <c r="D36" s="601">
        <v>0.2415363416</v>
      </c>
      <c r="E36" s="601">
        <v>0.2415363416</v>
      </c>
      <c r="F36" s="601">
        <v>0.2415363416</v>
      </c>
      <c r="G36" s="601">
        <v>0.2415363416</v>
      </c>
      <c r="H36" s="601">
        <v>0.2415363416</v>
      </c>
    </row>
    <row r="37" outlineLevel="1">
      <c r="A37" s="599" t="s">
        <v>358</v>
      </c>
      <c r="B37" s="600">
        <f t="shared" si="12"/>
        <v>0</v>
      </c>
      <c r="C37" s="601">
        <v>0.0</v>
      </c>
      <c r="D37" s="601">
        <v>0.0</v>
      </c>
      <c r="E37" s="601">
        <v>0.0</v>
      </c>
      <c r="F37" s="601">
        <v>0.0</v>
      </c>
      <c r="G37" s="601">
        <v>0.0</v>
      </c>
      <c r="H37" s="601">
        <v>0.0</v>
      </c>
    </row>
    <row r="38" outlineLevel="1">
      <c r="A38" s="599" t="s">
        <v>359</v>
      </c>
      <c r="B38" s="600">
        <f t="shared" si="12"/>
        <v>0.100920434</v>
      </c>
      <c r="C38" s="601">
        <v>0.100920434</v>
      </c>
      <c r="D38" s="601">
        <v>0.100920434</v>
      </c>
      <c r="E38" s="601">
        <v>0.100920434</v>
      </c>
      <c r="F38" s="601">
        <v>0.100920434</v>
      </c>
      <c r="G38" s="601">
        <v>0.100920434</v>
      </c>
      <c r="H38" s="601">
        <v>0.100920434</v>
      </c>
    </row>
    <row r="39" outlineLevel="1">
      <c r="A39" s="602" t="s">
        <v>360</v>
      </c>
      <c r="B39" s="603">
        <f t="shared" si="12"/>
        <v>0.8051211385</v>
      </c>
      <c r="C39" s="604">
        <f t="shared" ref="C39:H39" si="13">sum(C35:C38)</f>
        <v>0.8051211385</v>
      </c>
      <c r="D39" s="604">
        <f t="shared" si="13"/>
        <v>0.8051211385</v>
      </c>
      <c r="E39" s="604">
        <f t="shared" si="13"/>
        <v>0.8051211385</v>
      </c>
      <c r="F39" s="604">
        <f t="shared" si="13"/>
        <v>0.8051211385</v>
      </c>
      <c r="G39" s="604">
        <f t="shared" si="13"/>
        <v>0.8051211385</v>
      </c>
      <c r="H39" s="604">
        <f t="shared" si="13"/>
        <v>0.8051211385</v>
      </c>
    </row>
    <row r="40" outlineLevel="1">
      <c r="A40" s="339" t="s">
        <v>252</v>
      </c>
      <c r="B40" s="605"/>
      <c r="C40" s="606">
        <f t="shared" ref="C40:H40" si="14">(C39-C18)/C39</f>
        <v>-0.0000000006210244725</v>
      </c>
      <c r="D40" s="606">
        <f t="shared" si="14"/>
        <v>-0.0000000006210244725</v>
      </c>
      <c r="E40" s="606">
        <f t="shared" si="14"/>
        <v>-0.0000000006210244725</v>
      </c>
      <c r="F40" s="606">
        <f t="shared" si="14"/>
        <v>-0.0000000006210244725</v>
      </c>
      <c r="G40" s="606">
        <f t="shared" si="14"/>
        <v>-0.0000000006210244725</v>
      </c>
      <c r="H40" s="606">
        <f t="shared" si="14"/>
        <v>-0.0000000006210244725</v>
      </c>
    </row>
    <row r="41" outlineLevel="1">
      <c r="A41" s="310"/>
      <c r="B41" s="597"/>
      <c r="C41" s="415"/>
      <c r="D41" s="415"/>
      <c r="E41" s="415"/>
      <c r="F41" s="415"/>
      <c r="G41" s="415"/>
      <c r="H41" s="415"/>
    </row>
    <row r="42" outlineLevel="1">
      <c r="A42" s="301" t="s">
        <v>361</v>
      </c>
      <c r="B42" s="597"/>
      <c r="C42" s="415"/>
      <c r="D42" s="415"/>
      <c r="E42" s="415"/>
      <c r="F42" s="415"/>
      <c r="G42" s="415"/>
      <c r="H42" s="415"/>
    </row>
    <row r="43" outlineLevel="1">
      <c r="A43" s="294" t="s">
        <v>356</v>
      </c>
      <c r="B43" s="607">
        <f t="shared" ref="B43:B46" si="16">index(A43:ZZ43,,match($A$3,$A$1:$ZZ$1,0))</f>
        <v>100000</v>
      </c>
      <c r="C43" s="607">
        <f t="shared" ref="C43:H43" si="15">C11</f>
        <v>100000</v>
      </c>
      <c r="D43" s="607">
        <f t="shared" si="15"/>
        <v>35853.1325</v>
      </c>
      <c r="E43" s="607">
        <f t="shared" si="15"/>
        <v>26229.70794</v>
      </c>
      <c r="F43" s="607">
        <f t="shared" si="15"/>
        <v>20404.97283</v>
      </c>
      <c r="G43" s="607">
        <f t="shared" si="15"/>
        <v>8963.865898</v>
      </c>
      <c r="H43" s="607">
        <f t="shared" si="15"/>
        <v>8548.320821</v>
      </c>
    </row>
    <row r="44" outlineLevel="1">
      <c r="A44" s="599" t="s">
        <v>357</v>
      </c>
      <c r="B44" s="607">
        <f t="shared" si="16"/>
        <v>52205.5211</v>
      </c>
      <c r="C44" s="608">
        <f t="shared" ref="C44:H44" si="17">(C36/C35)*C43</f>
        <v>52205.5211</v>
      </c>
      <c r="D44" s="608">
        <f t="shared" si="17"/>
        <v>18717.31465</v>
      </c>
      <c r="E44" s="608">
        <f t="shared" si="17"/>
        <v>13693.35572</v>
      </c>
      <c r="F44" s="608">
        <f t="shared" si="17"/>
        <v>10652.5224</v>
      </c>
      <c r="G44" s="608">
        <f t="shared" si="17"/>
        <v>4679.632903</v>
      </c>
      <c r="H44" s="608">
        <f t="shared" si="17"/>
        <v>4462.69543</v>
      </c>
    </row>
    <row r="45" outlineLevel="1">
      <c r="A45" s="599" t="s">
        <v>358</v>
      </c>
      <c r="B45" s="607">
        <f t="shared" si="16"/>
        <v>0</v>
      </c>
      <c r="C45" s="608">
        <f t="shared" ref="C45:H45" si="18">(C37/C35)*C43</f>
        <v>0</v>
      </c>
      <c r="D45" s="608">
        <f t="shared" si="18"/>
        <v>0</v>
      </c>
      <c r="E45" s="608">
        <f t="shared" si="18"/>
        <v>0</v>
      </c>
      <c r="F45" s="608">
        <f t="shared" si="18"/>
        <v>0</v>
      </c>
      <c r="G45" s="608">
        <f t="shared" si="18"/>
        <v>0</v>
      </c>
      <c r="H45" s="608">
        <f t="shared" si="18"/>
        <v>0</v>
      </c>
    </row>
    <row r="46" outlineLevel="1">
      <c r="A46" s="609" t="s">
        <v>359</v>
      </c>
      <c r="B46" s="610">
        <f t="shared" si="16"/>
        <v>21812.88253</v>
      </c>
      <c r="C46" s="611">
        <f t="shared" ref="C46:H46" si="19">(C38/C35)*C43</f>
        <v>21812.88253</v>
      </c>
      <c r="D46" s="611">
        <f t="shared" si="19"/>
        <v>7820.601677</v>
      </c>
      <c r="E46" s="611">
        <f t="shared" si="19"/>
        <v>5721.455383</v>
      </c>
      <c r="F46" s="611">
        <f t="shared" si="19"/>
        <v>4450.912755</v>
      </c>
      <c r="G46" s="611">
        <f t="shared" si="19"/>
        <v>1955.277539</v>
      </c>
      <c r="H46" s="611">
        <f t="shared" si="19"/>
        <v>1864.635179</v>
      </c>
    </row>
    <row r="47" outlineLevel="1">
      <c r="A47" s="612" t="s">
        <v>362</v>
      </c>
      <c r="B47" s="613"/>
      <c r="C47" s="614">
        <f t="shared" ref="C47:H47" si="20">sum(C43:C46)</f>
        <v>174018.4036</v>
      </c>
      <c r="D47" s="614">
        <f t="shared" si="20"/>
        <v>62391.04883</v>
      </c>
      <c r="E47" s="614">
        <f t="shared" si="20"/>
        <v>45644.51904</v>
      </c>
      <c r="F47" s="614">
        <f t="shared" si="20"/>
        <v>35508.40799</v>
      </c>
      <c r="G47" s="614">
        <f t="shared" si="20"/>
        <v>15598.77634</v>
      </c>
      <c r="H47" s="614">
        <f t="shared" si="20"/>
        <v>14875.65143</v>
      </c>
    </row>
    <row r="48" outlineLevel="1">
      <c r="A48" s="310"/>
      <c r="B48" s="597"/>
      <c r="C48" s="415"/>
      <c r="D48" s="415"/>
      <c r="E48" s="415"/>
      <c r="F48" s="415"/>
      <c r="G48" s="415"/>
      <c r="H48" s="415"/>
    </row>
    <row r="49" outlineLevel="1">
      <c r="A49" s="301" t="s">
        <v>363</v>
      </c>
      <c r="B49" s="597"/>
      <c r="C49" s="415"/>
      <c r="D49" s="415"/>
      <c r="E49" s="415"/>
      <c r="F49" s="415"/>
      <c r="G49" s="415"/>
      <c r="H49" s="415"/>
    </row>
    <row r="50" outlineLevel="1">
      <c r="A50" s="294" t="s">
        <v>364</v>
      </c>
      <c r="B50" s="607">
        <f t="shared" ref="B50:B51" si="22">index(A50:ZZ50,,match($A$3,$A$1:$ZZ$1,0))</f>
        <v>100000</v>
      </c>
      <c r="C50" s="608">
        <f t="shared" ref="C50:H50" si="21">C43+C45</f>
        <v>100000</v>
      </c>
      <c r="D50" s="608">
        <f t="shared" si="21"/>
        <v>35853.1325</v>
      </c>
      <c r="E50" s="608">
        <f t="shared" si="21"/>
        <v>26229.70794</v>
      </c>
      <c r="F50" s="608">
        <f t="shared" si="21"/>
        <v>20404.97283</v>
      </c>
      <c r="G50" s="608">
        <f t="shared" si="21"/>
        <v>8963.865898</v>
      </c>
      <c r="H50" s="608">
        <f t="shared" si="21"/>
        <v>8548.320821</v>
      </c>
    </row>
    <row r="51" outlineLevel="1">
      <c r="A51" s="294" t="s">
        <v>365</v>
      </c>
      <c r="B51" s="607">
        <f t="shared" si="22"/>
        <v>74018.40363</v>
      </c>
      <c r="C51" s="608">
        <f t="shared" ref="C51:H51" si="23">C44+C46</f>
        <v>74018.40363</v>
      </c>
      <c r="D51" s="608">
        <f t="shared" si="23"/>
        <v>26537.91633</v>
      </c>
      <c r="E51" s="608">
        <f t="shared" si="23"/>
        <v>19414.8111</v>
      </c>
      <c r="F51" s="608">
        <f t="shared" si="23"/>
        <v>15103.43515</v>
      </c>
      <c r="G51" s="608">
        <f t="shared" si="23"/>
        <v>6634.910442</v>
      </c>
      <c r="H51" s="608">
        <f t="shared" si="23"/>
        <v>6327.33061</v>
      </c>
    </row>
    <row r="52" outlineLevel="1">
      <c r="A52" s="310"/>
      <c r="B52" s="597"/>
      <c r="C52" s="415"/>
      <c r="D52" s="415"/>
      <c r="E52" s="415"/>
      <c r="F52" s="415"/>
      <c r="G52" s="415"/>
      <c r="H52" s="415"/>
    </row>
    <row r="53" outlineLevel="1">
      <c r="A53" s="509" t="s">
        <v>366</v>
      </c>
      <c r="B53" s="615"/>
      <c r="C53" s="460"/>
      <c r="D53" s="460"/>
      <c r="E53" s="460"/>
      <c r="F53" s="460"/>
      <c r="G53" s="460"/>
      <c r="H53" s="460"/>
    </row>
    <row r="54" outlineLevel="1">
      <c r="A54" s="599" t="s">
        <v>357</v>
      </c>
      <c r="B54" s="616">
        <f t="shared" ref="B54:B56" si="24">index(A54:ZZ54,,match($A$3,$A$1:$ZZ$1,0))</f>
        <v>357.7681507</v>
      </c>
      <c r="C54" s="617">
        <f>100000/'Counterfactual non-philanthropi'!$D$32*'Moral weights'!$B$6</f>
        <v>357.7681507</v>
      </c>
      <c r="D54" s="617">
        <f>100000/'Counterfactual non-philanthropi'!$D$32*'Moral weights'!$B$6</f>
        <v>357.7681507</v>
      </c>
      <c r="E54" s="617">
        <f>100000/'Counterfactual non-philanthropi'!$D$32*'Moral weights'!$B$6</f>
        <v>357.7681507</v>
      </c>
      <c r="F54" s="617">
        <f>100000/'Counterfactual non-philanthropi'!$D$32*'Moral weights'!$B$6</f>
        <v>357.7681507</v>
      </c>
      <c r="G54" s="617">
        <f>100000/'Counterfactual non-philanthropi'!$D$32*'Moral weights'!$B$6</f>
        <v>357.7681507</v>
      </c>
      <c r="H54" s="617">
        <f>100000/'Counterfactual non-philanthropi'!$D$32*'Moral weights'!$B$6</f>
        <v>357.7681507</v>
      </c>
    </row>
    <row r="55" outlineLevel="1">
      <c r="A55" s="599" t="s">
        <v>358</v>
      </c>
      <c r="B55" s="616">
        <f t="shared" si="24"/>
        <v>357.7681507</v>
      </c>
      <c r="C55" s="617">
        <f>100000/'Counterfactual non-philanthropi'!$D$32*'Moral weights'!$B$6</f>
        <v>357.7681507</v>
      </c>
      <c r="D55" s="617">
        <f>100000/'Counterfactual non-philanthropi'!$D$32*'Moral weights'!$B$6</f>
        <v>357.7681507</v>
      </c>
      <c r="E55" s="617">
        <f>100000/'Counterfactual non-philanthropi'!$D$32*'Moral weights'!$B$6</f>
        <v>357.7681507</v>
      </c>
      <c r="F55" s="617">
        <f>100000/'Counterfactual non-philanthropi'!$D$32*'Moral weights'!$B$6</f>
        <v>357.7681507</v>
      </c>
      <c r="G55" s="617">
        <f>100000/'Counterfactual non-philanthropi'!$D$32*'Moral weights'!$B$6</f>
        <v>357.7681507</v>
      </c>
      <c r="H55" s="617">
        <f>100000/'Counterfactual non-philanthropi'!$D$32*'Moral weights'!$B$6</f>
        <v>357.7681507</v>
      </c>
    </row>
    <row r="56" outlineLevel="1">
      <c r="A56" s="599" t="s">
        <v>359</v>
      </c>
      <c r="B56" s="616">
        <f t="shared" si="24"/>
        <v>659.4129308</v>
      </c>
      <c r="C56" s="617">
        <f>100000/'Counterfactual non-philanthropi'!$D$34*'Moral weights'!$B$6</f>
        <v>659.4129308</v>
      </c>
      <c r="D56" s="617">
        <f>100000/'Counterfactual non-philanthropi'!$D$34*'Moral weights'!$B$6</f>
        <v>659.4129308</v>
      </c>
      <c r="E56" s="617">
        <f>100000/'Counterfactual non-philanthropi'!$D$34*'Moral weights'!$B$6</f>
        <v>659.4129308</v>
      </c>
      <c r="F56" s="617">
        <f>100000/'Counterfactual non-philanthropi'!$D$34*'Moral weights'!$B$6</f>
        <v>659.4129308</v>
      </c>
      <c r="G56" s="617">
        <f>100000/'Counterfactual non-philanthropi'!$D$34*'Moral weights'!$B$6</f>
        <v>659.4129308</v>
      </c>
      <c r="H56" s="617">
        <f>100000/'Counterfactual non-philanthropi'!$D$34*'Moral weights'!$B$6</f>
        <v>659.4129308</v>
      </c>
    </row>
    <row r="57" outlineLevel="1">
      <c r="A57" s="599"/>
      <c r="B57" s="618"/>
      <c r="C57" s="453"/>
      <c r="D57" s="453"/>
      <c r="E57" s="453"/>
      <c r="F57" s="453"/>
      <c r="G57" s="453"/>
      <c r="H57" s="453"/>
    </row>
    <row r="58" outlineLevel="1">
      <c r="A58" s="509" t="s">
        <v>367</v>
      </c>
      <c r="B58" s="618"/>
      <c r="C58" s="453"/>
      <c r="D58" s="453"/>
      <c r="E58" s="453"/>
      <c r="F58" s="453"/>
      <c r="G58" s="453"/>
      <c r="H58" s="453"/>
    </row>
    <row r="59" outlineLevel="1">
      <c r="A59" s="460" t="s">
        <v>368</v>
      </c>
      <c r="B59" s="619">
        <f t="shared" ref="B59:B61" si="25">index(A59:ZZ59,,match($A$3,$A$1:$ZZ$1,0))</f>
        <v>0.2</v>
      </c>
      <c r="C59" s="202">
        <v>0.2</v>
      </c>
      <c r="D59" s="202">
        <v>0.2</v>
      </c>
      <c r="E59" s="202">
        <v>0.2</v>
      </c>
      <c r="F59" s="202">
        <v>0.2</v>
      </c>
      <c r="G59" s="202">
        <v>0.2</v>
      </c>
      <c r="H59" s="202">
        <v>0.2</v>
      </c>
    </row>
    <row r="60" outlineLevel="1">
      <c r="A60" s="599" t="s">
        <v>369</v>
      </c>
      <c r="B60" s="619">
        <f t="shared" si="25"/>
        <v>0</v>
      </c>
      <c r="C60" s="202">
        <v>0.0</v>
      </c>
      <c r="D60" s="202">
        <v>0.0</v>
      </c>
      <c r="E60" s="202">
        <v>0.0</v>
      </c>
      <c r="F60" s="202">
        <v>0.0</v>
      </c>
      <c r="G60" s="202">
        <v>0.0</v>
      </c>
      <c r="H60" s="202">
        <v>0.0</v>
      </c>
    </row>
    <row r="61" outlineLevel="1">
      <c r="A61" s="599" t="s">
        <v>370</v>
      </c>
      <c r="B61" s="619">
        <f t="shared" si="25"/>
        <v>0.8</v>
      </c>
      <c r="C61" s="202">
        <v>0.8</v>
      </c>
      <c r="D61" s="202">
        <v>0.8</v>
      </c>
      <c r="E61" s="202">
        <v>0.8</v>
      </c>
      <c r="F61" s="202">
        <v>0.8</v>
      </c>
      <c r="G61" s="202">
        <v>0.8</v>
      </c>
      <c r="H61" s="202">
        <v>0.8</v>
      </c>
    </row>
    <row r="62" outlineLevel="1">
      <c r="A62" s="460"/>
      <c r="B62" s="618"/>
      <c r="C62" s="453"/>
      <c r="D62" s="453"/>
      <c r="E62" s="453"/>
      <c r="F62" s="453"/>
      <c r="G62" s="453"/>
      <c r="H62" s="453"/>
    </row>
    <row r="63" outlineLevel="1">
      <c r="A63" s="620" t="s">
        <v>371</v>
      </c>
      <c r="B63" s="618"/>
      <c r="C63" s="453"/>
      <c r="D63" s="453"/>
      <c r="E63" s="453"/>
      <c r="F63" s="453"/>
      <c r="G63" s="453"/>
      <c r="H63" s="453"/>
    </row>
    <row r="64" outlineLevel="1">
      <c r="A64" s="460" t="s">
        <v>368</v>
      </c>
      <c r="B64" s="621">
        <f t="shared" ref="B64:B66" si="27">index(A64:ZZ64,,match($A$3,$A$1:$ZZ$1,0))</f>
        <v>1</v>
      </c>
      <c r="C64" s="204">
        <f t="shared" ref="C64:H64" si="26">1</f>
        <v>1</v>
      </c>
      <c r="D64" s="204">
        <f t="shared" si="26"/>
        <v>1</v>
      </c>
      <c r="E64" s="204">
        <f t="shared" si="26"/>
        <v>1</v>
      </c>
      <c r="F64" s="204">
        <f t="shared" si="26"/>
        <v>1</v>
      </c>
      <c r="G64" s="204">
        <f t="shared" si="26"/>
        <v>1</v>
      </c>
      <c r="H64" s="204">
        <f t="shared" si="26"/>
        <v>1</v>
      </c>
    </row>
    <row r="65" outlineLevel="1">
      <c r="A65" s="599" t="s">
        <v>369</v>
      </c>
      <c r="B65" s="621">
        <f t="shared" si="27"/>
        <v>0</v>
      </c>
      <c r="C65" s="39">
        <f t="shared" ref="C65:H65" si="28">C45/C50</f>
        <v>0</v>
      </c>
      <c r="D65" s="39">
        <f t="shared" si="28"/>
        <v>0</v>
      </c>
      <c r="E65" s="39">
        <f t="shared" si="28"/>
        <v>0</v>
      </c>
      <c r="F65" s="39">
        <f t="shared" si="28"/>
        <v>0</v>
      </c>
      <c r="G65" s="39">
        <f t="shared" si="28"/>
        <v>0</v>
      </c>
      <c r="H65" s="39">
        <f t="shared" si="28"/>
        <v>0</v>
      </c>
    </row>
    <row r="66" outlineLevel="1">
      <c r="A66" s="599" t="s">
        <v>370</v>
      </c>
      <c r="B66" s="622">
        <f t="shared" si="27"/>
        <v>0</v>
      </c>
      <c r="C66" s="623">
        <v>0.0</v>
      </c>
      <c r="D66" s="623">
        <v>0.0</v>
      </c>
      <c r="E66" s="623">
        <v>0.0</v>
      </c>
      <c r="F66" s="623">
        <v>0.0</v>
      </c>
      <c r="G66" s="623">
        <v>0.0</v>
      </c>
      <c r="H66" s="623">
        <v>0.0</v>
      </c>
    </row>
    <row r="67" outlineLevel="1">
      <c r="B67" s="618"/>
      <c r="C67" s="453"/>
      <c r="D67" s="453"/>
      <c r="E67" s="453"/>
      <c r="F67" s="453"/>
      <c r="G67" s="453"/>
      <c r="H67" s="453"/>
    </row>
    <row r="68" outlineLevel="1">
      <c r="A68" s="509" t="s">
        <v>372</v>
      </c>
      <c r="B68" s="618"/>
      <c r="C68" s="453"/>
      <c r="D68" s="453"/>
      <c r="E68" s="453"/>
      <c r="F68" s="453"/>
      <c r="G68" s="453"/>
      <c r="H68" s="453"/>
    </row>
    <row r="69" outlineLevel="1">
      <c r="A69" s="460" t="s">
        <v>368</v>
      </c>
      <c r="B69" s="624"/>
    </row>
    <row r="70" outlineLevel="1">
      <c r="A70" s="625" t="s">
        <v>373</v>
      </c>
      <c r="B70" s="626">
        <f t="shared" ref="B70:B72" si="29">index(A70:ZZ70,,match($A$3,$A$1:$ZZ$1,0))</f>
        <v>0</v>
      </c>
      <c r="C70" s="272">
        <v>0.0</v>
      </c>
      <c r="D70" s="272">
        <v>0.0</v>
      </c>
      <c r="E70" s="272">
        <v>0.0</v>
      </c>
      <c r="F70" s="272">
        <v>0.0</v>
      </c>
      <c r="G70" s="272">
        <v>0.0</v>
      </c>
      <c r="H70" s="272">
        <v>0.0</v>
      </c>
    </row>
    <row r="71" outlineLevel="1">
      <c r="A71" s="625" t="s">
        <v>374</v>
      </c>
      <c r="B71" s="318">
        <f t="shared" si="29"/>
        <v>-100000</v>
      </c>
      <c r="C71" s="270">
        <f t="shared" ref="C71:H71" si="30">-C43</f>
        <v>-100000</v>
      </c>
      <c r="D71" s="270">
        <f t="shared" si="30"/>
        <v>-35853.1325</v>
      </c>
      <c r="E71" s="270">
        <f t="shared" si="30"/>
        <v>-26229.70794</v>
      </c>
      <c r="F71" s="270">
        <f t="shared" si="30"/>
        <v>-20404.97283</v>
      </c>
      <c r="G71" s="270">
        <f t="shared" si="30"/>
        <v>-8963.865898</v>
      </c>
      <c r="H71" s="270">
        <f t="shared" si="30"/>
        <v>-8548.320821</v>
      </c>
    </row>
    <row r="72" outlineLevel="1">
      <c r="A72" s="625" t="s">
        <v>375</v>
      </c>
      <c r="B72" s="626">
        <f t="shared" si="29"/>
        <v>0</v>
      </c>
      <c r="C72" s="272">
        <v>0.0</v>
      </c>
      <c r="D72" s="272">
        <v>0.0</v>
      </c>
      <c r="E72" s="272">
        <v>0.0</v>
      </c>
      <c r="F72" s="272">
        <v>0.0</v>
      </c>
      <c r="G72" s="272">
        <v>0.0</v>
      </c>
      <c r="H72" s="272">
        <v>0.0</v>
      </c>
    </row>
    <row r="73" outlineLevel="1">
      <c r="A73" s="625"/>
      <c r="B73" s="318"/>
      <c r="C73" s="57"/>
      <c r="D73" s="57"/>
      <c r="E73" s="57"/>
      <c r="F73" s="57"/>
      <c r="G73" s="57"/>
      <c r="H73" s="57"/>
    </row>
    <row r="74" outlineLevel="1">
      <c r="A74" s="625" t="s">
        <v>369</v>
      </c>
      <c r="B74" s="312"/>
      <c r="C74" s="31"/>
      <c r="D74" s="31"/>
      <c r="E74" s="31"/>
      <c r="F74" s="31"/>
      <c r="G74" s="31"/>
      <c r="H74" s="31"/>
    </row>
    <row r="75" outlineLevel="1">
      <c r="A75" s="460" t="s">
        <v>373</v>
      </c>
      <c r="B75" s="318">
        <f t="shared" ref="B75:B77" si="32">index(A75:ZZ75,,match($A$3,$A$1:$ZZ$1,0))</f>
        <v>52205.5211</v>
      </c>
      <c r="C75" s="270">
        <f t="shared" ref="C75:H75" si="31">C44-C65*C44</f>
        <v>52205.5211</v>
      </c>
      <c r="D75" s="270">
        <f t="shared" si="31"/>
        <v>18717.31465</v>
      </c>
      <c r="E75" s="270">
        <f t="shared" si="31"/>
        <v>13693.35572</v>
      </c>
      <c r="F75" s="270">
        <f t="shared" si="31"/>
        <v>10652.5224</v>
      </c>
      <c r="G75" s="270">
        <f t="shared" si="31"/>
        <v>4679.632903</v>
      </c>
      <c r="H75" s="270">
        <f t="shared" si="31"/>
        <v>4462.69543</v>
      </c>
    </row>
    <row r="76" outlineLevel="1">
      <c r="A76" s="460" t="s">
        <v>374</v>
      </c>
      <c r="B76" s="626">
        <f t="shared" si="32"/>
        <v>0</v>
      </c>
      <c r="C76" s="272">
        <v>0.0</v>
      </c>
      <c r="D76" s="272">
        <v>0.0</v>
      </c>
      <c r="E76" s="272">
        <v>0.0</v>
      </c>
      <c r="F76" s="272">
        <v>0.0</v>
      </c>
      <c r="G76" s="272">
        <v>0.0</v>
      </c>
      <c r="H76" s="272">
        <v>0.0</v>
      </c>
    </row>
    <row r="77" outlineLevel="1">
      <c r="A77" s="460" t="s">
        <v>375</v>
      </c>
      <c r="B77" s="318">
        <f t="shared" si="32"/>
        <v>21812.88253</v>
      </c>
      <c r="C77" s="270">
        <f t="shared" ref="C77:H77" si="33">C46-C46*C65</f>
        <v>21812.88253</v>
      </c>
      <c r="D77" s="270">
        <f t="shared" si="33"/>
        <v>7820.601677</v>
      </c>
      <c r="E77" s="270">
        <f t="shared" si="33"/>
        <v>5721.455383</v>
      </c>
      <c r="F77" s="270">
        <f t="shared" si="33"/>
        <v>4450.912755</v>
      </c>
      <c r="G77" s="270">
        <f t="shared" si="33"/>
        <v>1955.277539</v>
      </c>
      <c r="H77" s="270">
        <f t="shared" si="33"/>
        <v>1864.635179</v>
      </c>
    </row>
    <row r="78" outlineLevel="1">
      <c r="A78" s="625"/>
      <c r="B78" s="318"/>
      <c r="C78" s="57"/>
      <c r="D78" s="57"/>
      <c r="E78" s="57"/>
      <c r="F78" s="57"/>
      <c r="G78" s="57"/>
      <c r="H78" s="57"/>
    </row>
    <row r="79" outlineLevel="1">
      <c r="A79" s="625" t="s">
        <v>370</v>
      </c>
      <c r="B79" s="318"/>
      <c r="C79" s="318"/>
      <c r="D79" s="318"/>
      <c r="E79" s="318"/>
      <c r="F79" s="318"/>
      <c r="G79" s="318"/>
      <c r="H79" s="318"/>
    </row>
    <row r="80" outlineLevel="1">
      <c r="A80" s="460" t="s">
        <v>373</v>
      </c>
      <c r="B80" s="627">
        <f t="shared" ref="B80:B82" si="35">index(A80:ZZ80,,match($A$3,$A$1:$ZZ$1,0))</f>
        <v>52205.5211</v>
      </c>
      <c r="C80" s="429">
        <f t="shared" ref="C80:H80" si="34">C44</f>
        <v>52205.5211</v>
      </c>
      <c r="D80" s="429">
        <f t="shared" si="34"/>
        <v>18717.31465</v>
      </c>
      <c r="E80" s="429">
        <f t="shared" si="34"/>
        <v>13693.35572</v>
      </c>
      <c r="F80" s="429">
        <f t="shared" si="34"/>
        <v>10652.5224</v>
      </c>
      <c r="G80" s="429">
        <f t="shared" si="34"/>
        <v>4679.632903</v>
      </c>
      <c r="H80" s="429">
        <f t="shared" si="34"/>
        <v>4462.69543</v>
      </c>
    </row>
    <row r="81" outlineLevel="1">
      <c r="A81" s="460" t="s">
        <v>374</v>
      </c>
      <c r="B81" s="627">
        <f t="shared" si="35"/>
        <v>0</v>
      </c>
      <c r="C81" s="429">
        <f t="shared" ref="C81:H81" si="36">C45</f>
        <v>0</v>
      </c>
      <c r="D81" s="429">
        <f t="shared" si="36"/>
        <v>0</v>
      </c>
      <c r="E81" s="429">
        <f t="shared" si="36"/>
        <v>0</v>
      </c>
      <c r="F81" s="429">
        <f t="shared" si="36"/>
        <v>0</v>
      </c>
      <c r="G81" s="429">
        <f t="shared" si="36"/>
        <v>0</v>
      </c>
      <c r="H81" s="429">
        <f t="shared" si="36"/>
        <v>0</v>
      </c>
    </row>
    <row r="82" outlineLevel="1">
      <c r="A82" s="460" t="s">
        <v>375</v>
      </c>
      <c r="B82" s="627">
        <f t="shared" si="35"/>
        <v>21812.88253</v>
      </c>
      <c r="C82" s="429">
        <f t="shared" ref="C82:H82" si="37">C46</f>
        <v>21812.88253</v>
      </c>
      <c r="D82" s="429">
        <f t="shared" si="37"/>
        <v>7820.601677</v>
      </c>
      <c r="E82" s="429">
        <f t="shared" si="37"/>
        <v>5721.455383</v>
      </c>
      <c r="F82" s="429">
        <f t="shared" si="37"/>
        <v>4450.912755</v>
      </c>
      <c r="G82" s="429">
        <f t="shared" si="37"/>
        <v>1955.277539</v>
      </c>
      <c r="H82" s="429">
        <f t="shared" si="37"/>
        <v>1864.635179</v>
      </c>
    </row>
    <row r="83" outlineLevel="1">
      <c r="A83" s="460"/>
      <c r="B83" s="618"/>
      <c r="C83" s="453"/>
      <c r="D83" s="453"/>
      <c r="E83" s="453"/>
      <c r="F83" s="453"/>
      <c r="G83" s="453"/>
      <c r="H83" s="453"/>
    </row>
    <row r="84" outlineLevel="1">
      <c r="A84" s="525" t="s">
        <v>376</v>
      </c>
      <c r="B84" s="618"/>
      <c r="C84" s="453"/>
      <c r="D84" s="453"/>
      <c r="E84" s="453"/>
      <c r="F84" s="453"/>
      <c r="G84" s="453"/>
      <c r="H84" s="453"/>
    </row>
    <row r="85" outlineLevel="1">
      <c r="A85" s="460" t="s">
        <v>368</v>
      </c>
      <c r="B85" s="318"/>
      <c r="C85" s="270"/>
      <c r="D85" s="270"/>
      <c r="E85" s="270"/>
      <c r="F85" s="270"/>
      <c r="G85" s="270"/>
      <c r="H85" s="270"/>
    </row>
    <row r="86" outlineLevel="1">
      <c r="A86" s="460" t="s">
        <v>373</v>
      </c>
      <c r="B86" s="318">
        <f t="shared" ref="B86:B88" si="39">index(A86:ZZ86,,match($A$3,$A$1:$ZZ$1,0))</f>
        <v>0</v>
      </c>
      <c r="C86" s="270">
        <f t="shared" ref="C86:H86" si="38">C23/C11*C70</f>
        <v>0</v>
      </c>
      <c r="D86" s="270">
        <f t="shared" si="38"/>
        <v>0</v>
      </c>
      <c r="E86" s="270">
        <f t="shared" si="38"/>
        <v>0</v>
      </c>
      <c r="F86" s="270">
        <f t="shared" si="38"/>
        <v>0</v>
      </c>
      <c r="G86" s="270">
        <f t="shared" si="38"/>
        <v>0</v>
      </c>
      <c r="H86" s="270">
        <f t="shared" si="38"/>
        <v>0</v>
      </c>
    </row>
    <row r="87" outlineLevel="1">
      <c r="A87" s="460" t="s">
        <v>374</v>
      </c>
      <c r="B87" s="318">
        <f t="shared" si="39"/>
        <v>-1415.426591</v>
      </c>
      <c r="C87" s="270">
        <f t="shared" ref="C87:H87" si="40">C23/C11*C71</f>
        <v>-1415.426591</v>
      </c>
      <c r="D87" s="270">
        <f t="shared" si="40"/>
        <v>-225.2871211</v>
      </c>
      <c r="E87" s="270">
        <f t="shared" si="40"/>
        <v>-539.3905207</v>
      </c>
      <c r="F87" s="270">
        <f t="shared" si="40"/>
        <v>-370.9304787</v>
      </c>
      <c r="G87" s="270">
        <f t="shared" si="40"/>
        <v>-169.8389498</v>
      </c>
      <c r="H87" s="270">
        <f t="shared" si="40"/>
        <v>-109.9795209</v>
      </c>
    </row>
    <row r="88" outlineLevel="1">
      <c r="A88" s="460" t="s">
        <v>375</v>
      </c>
      <c r="B88" s="318">
        <f t="shared" si="39"/>
        <v>0</v>
      </c>
      <c r="C88" s="270">
        <f t="shared" ref="C88:H88" si="41">C23/C11*C72</f>
        <v>0</v>
      </c>
      <c r="D88" s="270">
        <f t="shared" si="41"/>
        <v>0</v>
      </c>
      <c r="E88" s="270">
        <f t="shared" si="41"/>
        <v>0</v>
      </c>
      <c r="F88" s="270">
        <f t="shared" si="41"/>
        <v>0</v>
      </c>
      <c r="G88" s="270">
        <f t="shared" si="41"/>
        <v>0</v>
      </c>
      <c r="H88" s="270">
        <f t="shared" si="41"/>
        <v>0</v>
      </c>
    </row>
    <row r="89" outlineLevel="1">
      <c r="A89" s="625"/>
      <c r="B89" s="318"/>
      <c r="C89" s="270"/>
      <c r="D89" s="270"/>
      <c r="E89" s="270"/>
      <c r="F89" s="270"/>
      <c r="G89" s="270"/>
      <c r="H89" s="270"/>
    </row>
    <row r="90" outlineLevel="1">
      <c r="A90" s="625" t="s">
        <v>369</v>
      </c>
      <c r="B90" s="318"/>
      <c r="C90" s="270"/>
      <c r="D90" s="270"/>
      <c r="E90" s="270"/>
      <c r="F90" s="270"/>
      <c r="G90" s="270"/>
      <c r="H90" s="270"/>
    </row>
    <row r="91" outlineLevel="1">
      <c r="A91" s="460" t="s">
        <v>373</v>
      </c>
      <c r="B91" s="318">
        <f t="shared" ref="B91:B93" si="43">index(A91:ZZ91,,match($A$3,$A$1:$ZZ$1,0))</f>
        <v>738.9308278</v>
      </c>
      <c r="C91" s="270">
        <f t="shared" ref="C91:H91" si="42">C23/C11*C75</f>
        <v>738.9308278</v>
      </c>
      <c r="D91" s="270">
        <f t="shared" si="42"/>
        <v>117.6123156</v>
      </c>
      <c r="E91" s="270">
        <f t="shared" si="42"/>
        <v>281.5916321</v>
      </c>
      <c r="F91" s="270">
        <f t="shared" si="42"/>
        <v>193.6461893</v>
      </c>
      <c r="G91" s="270">
        <f t="shared" si="42"/>
        <v>88.66530879</v>
      </c>
      <c r="H91" s="270">
        <f t="shared" si="42"/>
        <v>57.41538197</v>
      </c>
    </row>
    <row r="92" outlineLevel="1">
      <c r="A92" s="460" t="s">
        <v>374</v>
      </c>
      <c r="B92" s="318">
        <f t="shared" si="43"/>
        <v>0</v>
      </c>
      <c r="C92" s="270">
        <f t="shared" ref="C92:H92" si="44">C23/C11*C76</f>
        <v>0</v>
      </c>
      <c r="D92" s="270">
        <f t="shared" si="44"/>
        <v>0</v>
      </c>
      <c r="E92" s="270">
        <f t="shared" si="44"/>
        <v>0</v>
      </c>
      <c r="F92" s="270">
        <f t="shared" si="44"/>
        <v>0</v>
      </c>
      <c r="G92" s="270">
        <f t="shared" si="44"/>
        <v>0</v>
      </c>
      <c r="H92" s="270">
        <f t="shared" si="44"/>
        <v>0</v>
      </c>
    </row>
    <row r="93" outlineLevel="1">
      <c r="A93" s="460" t="s">
        <v>375</v>
      </c>
      <c r="B93" s="318">
        <f t="shared" si="43"/>
        <v>308.7453397</v>
      </c>
      <c r="C93" s="270">
        <f t="shared" ref="C93:H93" si="45">C23/C11*C77</f>
        <v>308.7453397</v>
      </c>
      <c r="D93" s="270">
        <f t="shared" si="45"/>
        <v>49.14161509</v>
      </c>
      <c r="E93" s="270">
        <f t="shared" si="45"/>
        <v>117.6566207</v>
      </c>
      <c r="F93" s="270">
        <f t="shared" si="45"/>
        <v>80.9106296</v>
      </c>
      <c r="G93" s="270">
        <f t="shared" si="45"/>
        <v>37.04677062</v>
      </c>
      <c r="H93" s="270">
        <f t="shared" si="45"/>
        <v>23.9897037</v>
      </c>
    </row>
    <row r="94" outlineLevel="1">
      <c r="A94" s="625"/>
      <c r="B94" s="318"/>
      <c r="C94" s="270"/>
      <c r="D94" s="270"/>
      <c r="E94" s="270"/>
      <c r="F94" s="270"/>
      <c r="G94" s="270"/>
      <c r="H94" s="270"/>
    </row>
    <row r="95" outlineLevel="1">
      <c r="A95" s="625" t="s">
        <v>370</v>
      </c>
      <c r="B95" s="318"/>
      <c r="C95" s="270"/>
      <c r="D95" s="270"/>
      <c r="E95" s="270"/>
      <c r="F95" s="270"/>
      <c r="G95" s="270"/>
      <c r="H95" s="270"/>
    </row>
    <row r="96" outlineLevel="1">
      <c r="A96" s="460" t="s">
        <v>373</v>
      </c>
      <c r="B96" s="318">
        <f t="shared" ref="B96:B98" si="47">index(A96:ZZ96,,match($A$3,$A$1:$ZZ$1,0))</f>
        <v>738.9308278</v>
      </c>
      <c r="C96" s="270">
        <f t="shared" ref="C96:H96" si="46">(C23/C11)*C80</f>
        <v>738.9308278</v>
      </c>
      <c r="D96" s="270">
        <f t="shared" si="46"/>
        <v>117.6123156</v>
      </c>
      <c r="E96" s="270">
        <f t="shared" si="46"/>
        <v>281.5916321</v>
      </c>
      <c r="F96" s="270">
        <f t="shared" si="46"/>
        <v>193.6461893</v>
      </c>
      <c r="G96" s="270">
        <f t="shared" si="46"/>
        <v>88.66530879</v>
      </c>
      <c r="H96" s="270">
        <f t="shared" si="46"/>
        <v>57.41538197</v>
      </c>
    </row>
    <row r="97" outlineLevel="1">
      <c r="A97" s="460" t="s">
        <v>374</v>
      </c>
      <c r="B97" s="318">
        <f t="shared" si="47"/>
        <v>0</v>
      </c>
      <c r="C97" s="270">
        <f t="shared" ref="C97:H97" si="48">C23/C11*C81</f>
        <v>0</v>
      </c>
      <c r="D97" s="270">
        <f t="shared" si="48"/>
        <v>0</v>
      </c>
      <c r="E97" s="270">
        <f t="shared" si="48"/>
        <v>0</v>
      </c>
      <c r="F97" s="270">
        <f t="shared" si="48"/>
        <v>0</v>
      </c>
      <c r="G97" s="270">
        <f t="shared" si="48"/>
        <v>0</v>
      </c>
      <c r="H97" s="270">
        <f t="shared" si="48"/>
        <v>0</v>
      </c>
    </row>
    <row r="98" outlineLevel="1">
      <c r="A98" s="460" t="s">
        <v>375</v>
      </c>
      <c r="B98" s="318">
        <f t="shared" si="47"/>
        <v>308.7453397</v>
      </c>
      <c r="C98" s="270">
        <f t="shared" ref="C98:H98" si="49">C23/C11*C82</f>
        <v>308.7453397</v>
      </c>
      <c r="D98" s="270">
        <f t="shared" si="49"/>
        <v>49.14161509</v>
      </c>
      <c r="E98" s="270">
        <f t="shared" si="49"/>
        <v>117.6566207</v>
      </c>
      <c r="F98" s="270">
        <f t="shared" si="49"/>
        <v>80.9106296</v>
      </c>
      <c r="G98" s="270">
        <f t="shared" si="49"/>
        <v>37.04677062</v>
      </c>
      <c r="H98" s="270">
        <f t="shared" si="49"/>
        <v>23.9897037</v>
      </c>
    </row>
    <row r="99" outlineLevel="1">
      <c r="A99" s="628"/>
      <c r="B99" s="618"/>
      <c r="C99" s="453"/>
      <c r="D99" s="453"/>
      <c r="E99" s="453"/>
      <c r="F99" s="453"/>
      <c r="G99" s="453"/>
      <c r="H99" s="453"/>
    </row>
    <row r="100" outlineLevel="1">
      <c r="A100" s="628"/>
      <c r="B100" s="618"/>
      <c r="C100" s="453"/>
      <c r="D100" s="453"/>
      <c r="E100" s="453"/>
      <c r="F100" s="453"/>
      <c r="G100" s="453"/>
      <c r="H100" s="453"/>
    </row>
    <row r="101" outlineLevel="1">
      <c r="A101" s="525" t="s">
        <v>377</v>
      </c>
      <c r="B101" s="618"/>
      <c r="C101" s="453"/>
      <c r="D101" s="453"/>
      <c r="E101" s="453"/>
      <c r="F101" s="453"/>
      <c r="G101" s="453"/>
      <c r="H101" s="453"/>
    </row>
    <row r="102" outlineLevel="1">
      <c r="A102" s="460" t="s">
        <v>368</v>
      </c>
      <c r="B102" s="318"/>
      <c r="C102" s="270"/>
      <c r="D102" s="270"/>
      <c r="E102" s="270"/>
      <c r="F102" s="270"/>
      <c r="G102" s="270"/>
      <c r="H102" s="270"/>
    </row>
    <row r="103" outlineLevel="1">
      <c r="A103" s="460" t="s">
        <v>373</v>
      </c>
      <c r="B103" s="318">
        <f t="shared" ref="B103:B105" si="51">index(A103:ZZ103,,match($A$3,$A$1:$ZZ$1,0))</f>
        <v>0</v>
      </c>
      <c r="C103" s="270">
        <f t="shared" ref="C103:H103" si="50">-C70*C54/100000</f>
        <v>0</v>
      </c>
      <c r="D103" s="270">
        <f t="shared" si="50"/>
        <v>0</v>
      </c>
      <c r="E103" s="270">
        <f t="shared" si="50"/>
        <v>0</v>
      </c>
      <c r="F103" s="270">
        <f t="shared" si="50"/>
        <v>0</v>
      </c>
      <c r="G103" s="270">
        <f t="shared" si="50"/>
        <v>0</v>
      </c>
      <c r="H103" s="270">
        <f t="shared" si="50"/>
        <v>0</v>
      </c>
    </row>
    <row r="104" outlineLevel="1">
      <c r="A104" s="460" t="s">
        <v>374</v>
      </c>
      <c r="B104" s="318">
        <f t="shared" si="51"/>
        <v>357.7681507</v>
      </c>
      <c r="C104" s="270">
        <f t="shared" ref="C104:H104" si="52">-C71*C55/100000</f>
        <v>357.7681507</v>
      </c>
      <c r="D104" s="270">
        <f t="shared" si="52"/>
        <v>128.2710891</v>
      </c>
      <c r="E104" s="270">
        <f t="shared" si="52"/>
        <v>93.84154104</v>
      </c>
      <c r="F104" s="270">
        <f t="shared" si="52"/>
        <v>73.00249395</v>
      </c>
      <c r="G104" s="270">
        <f t="shared" si="52"/>
        <v>32.06985725</v>
      </c>
      <c r="H104" s="270">
        <f t="shared" si="52"/>
        <v>30.58316932</v>
      </c>
    </row>
    <row r="105" outlineLevel="1">
      <c r="A105" s="460" t="s">
        <v>375</v>
      </c>
      <c r="B105" s="318">
        <f t="shared" si="51"/>
        <v>0</v>
      </c>
      <c r="C105" s="270">
        <f t="shared" ref="C105:H105" si="53">-C72*C56/100000</f>
        <v>0</v>
      </c>
      <c r="D105" s="270">
        <f t="shared" si="53"/>
        <v>0</v>
      </c>
      <c r="E105" s="270">
        <f t="shared" si="53"/>
        <v>0</v>
      </c>
      <c r="F105" s="270">
        <f t="shared" si="53"/>
        <v>0</v>
      </c>
      <c r="G105" s="270">
        <f t="shared" si="53"/>
        <v>0</v>
      </c>
      <c r="H105" s="270">
        <f t="shared" si="53"/>
        <v>0</v>
      </c>
    </row>
    <row r="106" outlineLevel="1">
      <c r="A106" s="460"/>
      <c r="B106" s="318"/>
      <c r="C106" s="270"/>
      <c r="D106" s="270"/>
      <c r="E106" s="270"/>
      <c r="F106" s="270"/>
      <c r="G106" s="270"/>
      <c r="H106" s="270"/>
    </row>
    <row r="107" outlineLevel="1">
      <c r="A107" s="625" t="s">
        <v>369</v>
      </c>
      <c r="B107" s="318"/>
      <c r="C107" s="270"/>
      <c r="D107" s="270"/>
      <c r="E107" s="270"/>
      <c r="F107" s="270"/>
      <c r="G107" s="270"/>
      <c r="H107" s="270"/>
    </row>
    <row r="108" outlineLevel="1">
      <c r="A108" s="460" t="s">
        <v>373</v>
      </c>
      <c r="B108" s="318">
        <f t="shared" ref="B108:B111" si="55">index(A108:ZZ108,,match($A$3,$A$1:$ZZ$1,0))</f>
        <v>-186.7747274</v>
      </c>
      <c r="C108" s="270">
        <f t="shared" ref="C108:H108" si="54">-C75*C54/100000</f>
        <v>-186.7747274</v>
      </c>
      <c r="D108" s="270">
        <f t="shared" si="54"/>
        <v>-66.9645905</v>
      </c>
      <c r="E108" s="270">
        <f t="shared" si="54"/>
        <v>-48.99046551</v>
      </c>
      <c r="F108" s="270">
        <f t="shared" si="54"/>
        <v>-38.11133239</v>
      </c>
      <c r="G108" s="270">
        <f t="shared" si="54"/>
        <v>-16.7422361</v>
      </c>
      <c r="H108" s="270">
        <f t="shared" si="54"/>
        <v>-15.96610291</v>
      </c>
    </row>
    <row r="109" outlineLevel="1">
      <c r="A109" s="460" t="s">
        <v>374</v>
      </c>
      <c r="B109" s="318">
        <f t="shared" si="55"/>
        <v>0</v>
      </c>
      <c r="C109" s="270">
        <f t="shared" ref="C109:H109" si="56">-C76*C55/100000</f>
        <v>0</v>
      </c>
      <c r="D109" s="270">
        <f t="shared" si="56"/>
        <v>0</v>
      </c>
      <c r="E109" s="270">
        <f t="shared" si="56"/>
        <v>0</v>
      </c>
      <c r="F109" s="270">
        <f t="shared" si="56"/>
        <v>0</v>
      </c>
      <c r="G109" s="270">
        <f t="shared" si="56"/>
        <v>0</v>
      </c>
      <c r="H109" s="270">
        <f t="shared" si="56"/>
        <v>0</v>
      </c>
    </row>
    <row r="110" outlineLevel="1">
      <c r="A110" s="460" t="s">
        <v>375</v>
      </c>
      <c r="B110" s="318">
        <f t="shared" si="55"/>
        <v>-143.836968</v>
      </c>
      <c r="C110" s="270">
        <f t="shared" ref="C110:H110" si="57">-C77*C56/100000</f>
        <v>-143.836968</v>
      </c>
      <c r="D110" s="270">
        <f t="shared" si="57"/>
        <v>-51.57005873</v>
      </c>
      <c r="E110" s="270">
        <f t="shared" si="57"/>
        <v>-37.72801662</v>
      </c>
      <c r="F110" s="270">
        <f t="shared" si="57"/>
        <v>-29.34989425</v>
      </c>
      <c r="G110" s="270">
        <f t="shared" si="57"/>
        <v>-12.89335292</v>
      </c>
      <c r="H110" s="270">
        <f t="shared" si="57"/>
        <v>-12.29564549</v>
      </c>
    </row>
    <row r="111" outlineLevel="1">
      <c r="A111" s="625"/>
      <c r="B111" s="318" t="str">
        <f t="shared" si="55"/>
        <v/>
      </c>
      <c r="C111" s="270"/>
      <c r="D111" s="270"/>
      <c r="E111" s="270"/>
      <c r="F111" s="270"/>
      <c r="G111" s="270"/>
      <c r="H111" s="270"/>
    </row>
    <row r="112" outlineLevel="1">
      <c r="A112" s="625" t="s">
        <v>370</v>
      </c>
      <c r="B112" s="318"/>
      <c r="C112" s="270"/>
      <c r="D112" s="270"/>
      <c r="E112" s="270"/>
      <c r="F112" s="270"/>
      <c r="G112" s="270"/>
      <c r="H112" s="270"/>
    </row>
    <row r="113" outlineLevel="1">
      <c r="A113" s="460" t="s">
        <v>373</v>
      </c>
      <c r="B113" s="318">
        <f t="shared" ref="B113:B115" si="59">index(A113:ZZ113,,match($A$3,$A$1:$ZZ$1,0))</f>
        <v>-186.7747274</v>
      </c>
      <c r="C113" s="270">
        <f t="shared" ref="C113:H113" si="58">-C80*C54/100000</f>
        <v>-186.7747274</v>
      </c>
      <c r="D113" s="270">
        <f t="shared" si="58"/>
        <v>-66.9645905</v>
      </c>
      <c r="E113" s="270">
        <f t="shared" si="58"/>
        <v>-48.99046551</v>
      </c>
      <c r="F113" s="270">
        <f t="shared" si="58"/>
        <v>-38.11133239</v>
      </c>
      <c r="G113" s="270">
        <f t="shared" si="58"/>
        <v>-16.7422361</v>
      </c>
      <c r="H113" s="270">
        <f t="shared" si="58"/>
        <v>-15.96610291</v>
      </c>
    </row>
    <row r="114" outlineLevel="1">
      <c r="A114" s="460" t="s">
        <v>374</v>
      </c>
      <c r="B114" s="318">
        <f t="shared" si="59"/>
        <v>0</v>
      </c>
      <c r="C114" s="270">
        <f t="shared" ref="C114:H114" si="60">-C81*C55/100000</f>
        <v>0</v>
      </c>
      <c r="D114" s="270">
        <f t="shared" si="60"/>
        <v>0</v>
      </c>
      <c r="E114" s="270">
        <f t="shared" si="60"/>
        <v>0</v>
      </c>
      <c r="F114" s="270">
        <f t="shared" si="60"/>
        <v>0</v>
      </c>
      <c r="G114" s="270">
        <f t="shared" si="60"/>
        <v>0</v>
      </c>
      <c r="H114" s="270">
        <f t="shared" si="60"/>
        <v>0</v>
      </c>
    </row>
    <row r="115" outlineLevel="1">
      <c r="A115" s="460" t="s">
        <v>375</v>
      </c>
      <c r="B115" s="318">
        <f t="shared" si="59"/>
        <v>-143.836968</v>
      </c>
      <c r="C115" s="270">
        <f t="shared" ref="C115:H115" si="61">-C82*C56/100000</f>
        <v>-143.836968</v>
      </c>
      <c r="D115" s="270">
        <f t="shared" si="61"/>
        <v>-51.57005873</v>
      </c>
      <c r="E115" s="270">
        <f t="shared" si="61"/>
        <v>-37.72801662</v>
      </c>
      <c r="F115" s="270">
        <f t="shared" si="61"/>
        <v>-29.34989425</v>
      </c>
      <c r="G115" s="270">
        <f t="shared" si="61"/>
        <v>-12.89335292</v>
      </c>
      <c r="H115" s="270">
        <f t="shared" si="61"/>
        <v>-12.29564549</v>
      </c>
    </row>
    <row r="116" outlineLevel="1">
      <c r="A116" s="625"/>
      <c r="B116" s="318"/>
      <c r="C116" s="270"/>
      <c r="D116" s="270"/>
      <c r="E116" s="270"/>
      <c r="F116" s="270"/>
      <c r="G116" s="270"/>
      <c r="H116" s="270"/>
    </row>
    <row r="117" outlineLevel="1">
      <c r="A117" s="460"/>
      <c r="B117" s="629"/>
      <c r="C117" s="165"/>
      <c r="D117" s="165"/>
      <c r="E117" s="165"/>
      <c r="F117" s="165"/>
      <c r="G117" s="165"/>
      <c r="H117" s="165"/>
    </row>
    <row r="118" outlineLevel="1">
      <c r="A118" s="528" t="s">
        <v>378</v>
      </c>
      <c r="B118" s="618"/>
      <c r="C118" s="453"/>
      <c r="D118" s="453"/>
      <c r="E118" s="453"/>
      <c r="F118" s="453"/>
      <c r="G118" s="453"/>
      <c r="H118" s="453"/>
    </row>
    <row r="119" outlineLevel="1">
      <c r="A119" s="460" t="s">
        <v>368</v>
      </c>
      <c r="B119" s="318">
        <f t="shared" ref="B119:B121" si="63">index(A119:ZZ119,,match($A$3,$A$1:$ZZ$1,0))</f>
        <v>-1057.658441</v>
      </c>
      <c r="C119" s="270">
        <f t="shared" ref="C119:H119" si="62">sum(C103:C105)+sum(C86:C88)</f>
        <v>-1057.658441</v>
      </c>
      <c r="D119" s="270">
        <f t="shared" si="62"/>
        <v>-97.01603201</v>
      </c>
      <c r="E119" s="270">
        <f t="shared" si="62"/>
        <v>-445.5489797</v>
      </c>
      <c r="F119" s="270">
        <f t="shared" si="62"/>
        <v>-297.9279848</v>
      </c>
      <c r="G119" s="270">
        <f t="shared" si="62"/>
        <v>-137.7690926</v>
      </c>
      <c r="H119" s="270">
        <f t="shared" si="62"/>
        <v>-79.39635155</v>
      </c>
    </row>
    <row r="120" outlineLevel="1">
      <c r="A120" s="625" t="s">
        <v>369</v>
      </c>
      <c r="B120" s="318">
        <f t="shared" si="63"/>
        <v>717.0644721</v>
      </c>
      <c r="C120" s="270">
        <f t="shared" ref="C120:H120" si="64">sum(C108:C110)+sum(C91:C93)</f>
        <v>717.0644721</v>
      </c>
      <c r="D120" s="270">
        <f t="shared" si="64"/>
        <v>48.21928143</v>
      </c>
      <c r="E120" s="270">
        <f t="shared" si="64"/>
        <v>312.5297706</v>
      </c>
      <c r="F120" s="270">
        <f t="shared" si="64"/>
        <v>207.0955923</v>
      </c>
      <c r="G120" s="270">
        <f t="shared" si="64"/>
        <v>96.07649038</v>
      </c>
      <c r="H120" s="270">
        <f t="shared" si="64"/>
        <v>53.14333728</v>
      </c>
    </row>
    <row r="121" outlineLevel="1">
      <c r="A121" s="625" t="s">
        <v>370</v>
      </c>
      <c r="B121" s="318">
        <f t="shared" si="63"/>
        <v>717.0644721</v>
      </c>
      <c r="C121" s="270">
        <f t="shared" ref="C121:H121" si="65">sum(C113:C115)+sum(C96:C98)</f>
        <v>717.0644721</v>
      </c>
      <c r="D121" s="270">
        <f t="shared" si="65"/>
        <v>48.21928143</v>
      </c>
      <c r="E121" s="270">
        <f t="shared" si="65"/>
        <v>312.5297706</v>
      </c>
      <c r="F121" s="270">
        <f t="shared" si="65"/>
        <v>207.0955923</v>
      </c>
      <c r="G121" s="270">
        <f t="shared" si="65"/>
        <v>96.07649038</v>
      </c>
      <c r="H121" s="270">
        <f t="shared" si="65"/>
        <v>53.14333728</v>
      </c>
    </row>
    <row r="122" outlineLevel="1">
      <c r="A122" s="460"/>
      <c r="B122" s="627"/>
      <c r="C122" s="429"/>
      <c r="D122" s="429"/>
      <c r="E122" s="429"/>
      <c r="F122" s="429"/>
      <c r="G122" s="429"/>
      <c r="H122" s="429"/>
    </row>
    <row r="123" outlineLevel="1">
      <c r="A123" s="528" t="s">
        <v>379</v>
      </c>
      <c r="B123" s="618"/>
      <c r="C123" s="453"/>
      <c r="D123" s="453"/>
      <c r="E123" s="453"/>
      <c r="F123" s="453"/>
      <c r="G123" s="453"/>
      <c r="H123" s="453"/>
    </row>
    <row r="124" outlineLevel="1">
      <c r="A124" s="460" t="s">
        <v>368</v>
      </c>
      <c r="B124" s="318">
        <f t="shared" ref="B124:B126" si="67">index(A124:ZZ124,,match($A$3,$A$1:$ZZ$1,0))</f>
        <v>357.7681507</v>
      </c>
      <c r="C124" s="270">
        <f t="shared" ref="C124:H124" si="66">C23+C119</f>
        <v>357.7681507</v>
      </c>
      <c r="D124" s="270">
        <f t="shared" si="66"/>
        <v>128.2710891</v>
      </c>
      <c r="E124" s="270">
        <f t="shared" si="66"/>
        <v>93.84154104</v>
      </c>
      <c r="F124" s="270">
        <f t="shared" si="66"/>
        <v>73.00249395</v>
      </c>
      <c r="G124" s="270">
        <f t="shared" si="66"/>
        <v>32.06985725</v>
      </c>
      <c r="H124" s="270">
        <f t="shared" si="66"/>
        <v>30.58316932</v>
      </c>
    </row>
    <row r="125" outlineLevel="1">
      <c r="A125" s="625" t="s">
        <v>369</v>
      </c>
      <c r="B125" s="318">
        <f t="shared" si="67"/>
        <v>2132.491063</v>
      </c>
      <c r="C125" s="270">
        <f t="shared" ref="C125:H125" si="68">C23+C120</f>
        <v>2132.491063</v>
      </c>
      <c r="D125" s="270">
        <f t="shared" si="68"/>
        <v>273.5064026</v>
      </c>
      <c r="E125" s="270">
        <f t="shared" si="68"/>
        <v>851.9202914</v>
      </c>
      <c r="F125" s="270">
        <f t="shared" si="68"/>
        <v>578.0260711</v>
      </c>
      <c r="G125" s="270">
        <f t="shared" si="68"/>
        <v>265.9154402</v>
      </c>
      <c r="H125" s="270">
        <f t="shared" si="68"/>
        <v>163.1228581</v>
      </c>
    </row>
    <row r="126" outlineLevel="1">
      <c r="A126" s="630" t="s">
        <v>370</v>
      </c>
      <c r="B126" s="318">
        <f t="shared" si="67"/>
        <v>2132.491063</v>
      </c>
      <c r="C126" s="270">
        <f t="shared" ref="C126:H126" si="69">C23+C121</f>
        <v>2132.491063</v>
      </c>
      <c r="D126" s="270">
        <f t="shared" si="69"/>
        <v>273.5064026</v>
      </c>
      <c r="E126" s="270">
        <f t="shared" si="69"/>
        <v>851.9202914</v>
      </c>
      <c r="F126" s="270">
        <f t="shared" si="69"/>
        <v>578.0260711</v>
      </c>
      <c r="G126" s="270">
        <f t="shared" si="69"/>
        <v>265.9154402</v>
      </c>
      <c r="H126" s="270">
        <f t="shared" si="69"/>
        <v>163.1228581</v>
      </c>
    </row>
    <row r="127" outlineLevel="1">
      <c r="A127" s="631" t="s">
        <v>96</v>
      </c>
      <c r="B127" s="632">
        <f t="array" ref="B127">index(A127:O127,,match($A$3,$A$1:$O$1,0))</f>
        <v>1777.546481</v>
      </c>
      <c r="C127" s="530">
        <f>sum(D127:H127)</f>
        <v>1777.546481</v>
      </c>
      <c r="D127" s="530">
        <f t="shared" ref="D127:H127" si="70">SUMPRODUCT(D124:D126,D59:D61)</f>
        <v>244.4593399</v>
      </c>
      <c r="E127" s="530">
        <f t="shared" si="70"/>
        <v>700.3045413</v>
      </c>
      <c r="F127" s="530">
        <f t="shared" si="70"/>
        <v>477.0213556</v>
      </c>
      <c r="G127" s="530">
        <f t="shared" si="70"/>
        <v>219.1463236</v>
      </c>
      <c r="H127" s="530">
        <f t="shared" si="70"/>
        <v>136.6149204</v>
      </c>
    </row>
    <row r="128" outlineLevel="1">
      <c r="A128" s="460"/>
      <c r="B128" s="318"/>
      <c r="C128" s="270"/>
      <c r="D128" s="270"/>
      <c r="E128" s="270"/>
      <c r="F128" s="270"/>
      <c r="G128" s="270"/>
      <c r="H128" s="270"/>
    </row>
    <row r="129">
      <c r="A129" s="625" t="s">
        <v>399</v>
      </c>
      <c r="B129" s="289">
        <f t="array" ref="B129">index(A129:ZZ129,,match($A$3,$A$1:$ZZ$1,0))</f>
        <v>0.2558379868</v>
      </c>
      <c r="C129" s="33">
        <f t="shared" ref="C129:H129" si="71">C127/C23-1</f>
        <v>0.2558379868</v>
      </c>
      <c r="D129" s="33">
        <f t="shared" si="71"/>
        <v>0.08510126386</v>
      </c>
      <c r="E129" s="33">
        <f t="shared" si="71"/>
        <v>0.2983256368</v>
      </c>
      <c r="F129" s="33">
        <f t="shared" si="71"/>
        <v>0.2860128325</v>
      </c>
      <c r="G129" s="33">
        <f t="shared" si="71"/>
        <v>0.2903184096</v>
      </c>
      <c r="H129" s="33">
        <f t="shared" si="71"/>
        <v>0.2421850841</v>
      </c>
    </row>
    <row r="130">
      <c r="A130" s="415"/>
      <c r="B130" s="621"/>
      <c r="C130" s="39"/>
      <c r="D130" s="39"/>
      <c r="E130" s="39"/>
      <c r="F130" s="39"/>
      <c r="G130" s="39"/>
      <c r="H130" s="39"/>
    </row>
    <row r="131">
      <c r="A131" s="583" t="s">
        <v>400</v>
      </c>
      <c r="B131" s="633"/>
      <c r="C131" s="583"/>
      <c r="D131" s="583"/>
      <c r="E131" s="583"/>
      <c r="F131" s="583"/>
      <c r="G131" s="583"/>
      <c r="H131" s="583"/>
    </row>
    <row r="132">
      <c r="A132" s="555" t="s">
        <v>401</v>
      </c>
      <c r="B132" s="587">
        <f t="array" ref="B132">index(A132:ZZ132,,match($A$3,$A$1:$ZZ$1,0))</f>
        <v>1777.546481</v>
      </c>
      <c r="C132" s="588">
        <f t="shared" ref="C132:H132" si="72">C127</f>
        <v>1777.546481</v>
      </c>
      <c r="D132" s="588">
        <f t="shared" si="72"/>
        <v>244.4593399</v>
      </c>
      <c r="E132" s="588">
        <f t="shared" si="72"/>
        <v>700.3045413</v>
      </c>
      <c r="F132" s="588">
        <f t="shared" si="72"/>
        <v>477.0213556</v>
      </c>
      <c r="G132" s="588">
        <f t="shared" si="72"/>
        <v>219.1463236</v>
      </c>
      <c r="H132" s="588">
        <f t="shared" si="72"/>
        <v>136.6149204</v>
      </c>
    </row>
    <row r="133">
      <c r="A133" s="634" t="s">
        <v>277</v>
      </c>
      <c r="B133" s="587"/>
      <c r="C133" s="635">
        <f t="shared" ref="C133:H133" si="73">C23*(1+C129)-C132</f>
        <v>0</v>
      </c>
      <c r="D133" s="635">
        <f t="shared" si="73"/>
        <v>0</v>
      </c>
      <c r="E133" s="635">
        <f t="shared" si="73"/>
        <v>0</v>
      </c>
      <c r="F133" s="635">
        <f t="shared" si="73"/>
        <v>0</v>
      </c>
      <c r="G133" s="635">
        <f t="shared" si="73"/>
        <v>0</v>
      </c>
      <c r="H133" s="635">
        <f t="shared" si="73"/>
        <v>0</v>
      </c>
    </row>
    <row r="134">
      <c r="A134" s="506" t="s">
        <v>251</v>
      </c>
      <c r="B134" s="587">
        <f t="shared" ref="B134:B135" si="75">index(A134:ZZ134,,match($A$3,$A$1:$ZZ$1,0))</f>
        <v>1777.546481</v>
      </c>
      <c r="C134" s="587">
        <f>C132</f>
        <v>1777.546481</v>
      </c>
      <c r="D134" s="588">
        <f t="shared" ref="D134:H134" si="74">D132*$C11/D11</f>
        <v>681.8353734</v>
      </c>
      <c r="E134" s="588">
        <f t="shared" si="74"/>
        <v>2669.890731</v>
      </c>
      <c r="F134" s="588">
        <f t="shared" si="74"/>
        <v>2337.770109</v>
      </c>
      <c r="G134" s="588">
        <f t="shared" si="74"/>
        <v>2444.774678</v>
      </c>
      <c r="H134" s="588">
        <f t="shared" si="74"/>
        <v>1598.149195</v>
      </c>
    </row>
    <row r="135">
      <c r="A135" s="551" t="s">
        <v>117</v>
      </c>
      <c r="B135" s="520">
        <f t="shared" si="75"/>
        <v>5625.731933</v>
      </c>
      <c r="C135" s="475">
        <f t="array" ref="C135">if(C11&lt;&gt;0,C11/C132*index('Moral weights'!$A$1:$ZG$33,match("Value assigned to averting the death of an individual under 5 — AMF",'Moral weights'!$A$1:$A$33,0),match($B1,'Moral weights'!$A$1:$ZG1,0)),"Donation size is 0")</f>
        <v>5625.731933</v>
      </c>
      <c r="D135" s="475">
        <f t="array" ref="D135">if(D11&lt;&gt;0,D11/D132*index('Moral weights'!$A$1:$ZG$33,match("Value assigned to averting the death of an individual under 5 — AMF",'Moral weights'!$A$1:$A$33,0),match($B1,'Moral weights'!$A$1:$ZG1,0)),"Donation size is 0")</f>
        <v>14666.29687</v>
      </c>
      <c r="E135" s="475">
        <f t="array" ref="E135">if(E11&lt;&gt;0,E11/E132*index('Moral weights'!$A$1:$ZG$33,match("Value assigned to averting the death of an individual under 5 — AMF",'Moral weights'!$A$1:$A$33,0),match($B1,'Moral weights'!$A$1:$ZG1,0)),"Donation size is 0")</f>
        <v>3745.471634</v>
      </c>
      <c r="F135" s="475">
        <f t="array" ref="F135">if(F11&lt;&gt;0,F11/F132*index('Moral weights'!$A$1:$ZG$33,match("Value assigned to averting the death of an individual under 5 — AMF",'Moral weights'!$A$1:$A$33,0),match($B1,'Moral weights'!$A$1:$ZG1,0)),"Donation size is 0")</f>
        <v>4277.580572</v>
      </c>
      <c r="G135" s="475">
        <f t="array" ref="G135">if(G11&lt;&gt;0,G11/G132*index('Moral weights'!$A$1:$ZG$33,match("Value assigned to averting the death of an individual under 5 — AMF",'Moral weights'!$A$1:$A$33,0),match($B1,'Moral weights'!$A$1:$ZG1,0)),"Donation size is 0")</f>
        <v>4090.356503</v>
      </c>
      <c r="H135" s="475">
        <f t="array" ref="H135">if(H11&lt;&gt;0,H11/H132*index('Moral weights'!$A$1:$ZG$33,match("Value assigned to averting the death of an individual under 5 — AMF",'Moral weights'!$A$1:$A$33,0),match($B1,'Moral weights'!$A$1:$ZG1,0)),"Donation size is 0")</f>
        <v>6257.23808</v>
      </c>
    </row>
    <row r="136">
      <c r="A136" s="415"/>
      <c r="B136" s="597"/>
      <c r="C136" s="415"/>
      <c r="D136" s="415"/>
      <c r="E136" s="415"/>
      <c r="F136" s="415"/>
      <c r="G136" s="415"/>
      <c r="H136" s="415"/>
    </row>
    <row r="137">
      <c r="A137" s="636" t="s">
        <v>257</v>
      </c>
      <c r="B137" s="637">
        <f t="array" ref="B137">index(A137:ZZ137,,match($A$3,$A$1:$ZZ$1,0))</f>
        <v>5.166916505</v>
      </c>
      <c r="C137" s="349">
        <f t="array" ref="C137">C134/index(Cash!B:B,match("Total units of value generated with hypothetical donation ($100,000)",Cash!A:A,0))</f>
        <v>5.166916505</v>
      </c>
      <c r="D137" s="349">
        <f t="array" ref="D137">D134/index(Cash!B:B,match("Total units of value generated with hypothetical donation ($100,000)",Cash!A:A,0))</f>
        <v>1.981937734</v>
      </c>
      <c r="E137" s="349">
        <f t="array" ref="E137">E134/index(Cash!B:B,match("Total units of value generated with hypothetical donation ($100,000)",Cash!A:A,0))</f>
        <v>7.760754859</v>
      </c>
      <c r="F137" s="349">
        <f t="array" ref="F137">F134/index(Cash!B:B,match("Total units of value generated with hypothetical donation ($100,000)",Cash!A:A,0))</f>
        <v>6.795357023</v>
      </c>
      <c r="G137" s="349">
        <f t="array" ref="G137">G134/index(Cash!B:B,match("Total units of value generated with hypothetical donation ($100,000)",Cash!A:A,0))</f>
        <v>7.106394556</v>
      </c>
      <c r="H137" s="349">
        <f t="array" ref="H137">H134/index(Cash!B:B,match("Total units of value generated with hypothetical donation ($100,000)",Cash!A:A,0))</f>
        <v>4.645450086</v>
      </c>
    </row>
    <row r="138">
      <c r="A138" s="460"/>
      <c r="B138" s="638"/>
      <c r="C138" s="639"/>
      <c r="D138" s="639"/>
      <c r="E138" s="639"/>
      <c r="F138" s="639"/>
      <c r="G138" s="639"/>
      <c r="H138" s="639"/>
    </row>
    <row r="139">
      <c r="A139" s="350" t="s">
        <v>402</v>
      </c>
      <c r="B139" s="350"/>
      <c r="C139" s="350"/>
      <c r="D139" s="350"/>
      <c r="E139" s="350"/>
      <c r="F139" s="350"/>
      <c r="G139" s="350"/>
      <c r="H139" s="350"/>
    </row>
    <row r="140" outlineLevel="1">
      <c r="A140" s="352"/>
      <c r="D140" s="415"/>
      <c r="E140" s="415"/>
      <c r="F140" s="415"/>
      <c r="G140" s="415"/>
      <c r="H140" s="415"/>
    </row>
    <row r="141" outlineLevel="1">
      <c r="A141" s="62" t="s">
        <v>259</v>
      </c>
      <c r="B141" s="353"/>
      <c r="C141" s="110"/>
      <c r="D141" s="415"/>
      <c r="E141" s="415"/>
      <c r="F141" s="415"/>
      <c r="G141" s="415"/>
      <c r="H141" s="415"/>
    </row>
    <row r="142" outlineLevel="1">
      <c r="A142" s="40" t="s">
        <v>260</v>
      </c>
      <c r="B142" s="640">
        <f t="shared" ref="B142:B145" si="77">index(C142:Z142,,match($A$3,$C$1:$Z$1,0))</f>
        <v>0</v>
      </c>
      <c r="C142" s="47">
        <v>0.0</v>
      </c>
      <c r="D142" s="357">
        <f t="shared" ref="D142:H142" si="76">$C142</f>
        <v>0</v>
      </c>
      <c r="E142" s="357">
        <f t="shared" si="76"/>
        <v>0</v>
      </c>
      <c r="F142" s="357">
        <f t="shared" si="76"/>
        <v>0</v>
      </c>
      <c r="G142" s="357">
        <f t="shared" si="76"/>
        <v>0</v>
      </c>
      <c r="H142" s="357">
        <f t="shared" si="76"/>
        <v>0</v>
      </c>
    </row>
    <row r="143" outlineLevel="1">
      <c r="A143" s="40" t="s">
        <v>261</v>
      </c>
      <c r="B143" s="640">
        <f t="shared" si="77"/>
        <v>0</v>
      </c>
      <c r="C143" s="47">
        <v>0.0</v>
      </c>
      <c r="D143" s="357">
        <f t="shared" ref="D143:H143" si="78">$C143</f>
        <v>0</v>
      </c>
      <c r="E143" s="357">
        <f t="shared" si="78"/>
        <v>0</v>
      </c>
      <c r="F143" s="357">
        <f t="shared" si="78"/>
        <v>0</v>
      </c>
      <c r="G143" s="357">
        <f t="shared" si="78"/>
        <v>0</v>
      </c>
      <c r="H143" s="357">
        <f t="shared" si="78"/>
        <v>0</v>
      </c>
    </row>
    <row r="144" outlineLevel="1">
      <c r="A144" s="40" t="s">
        <v>262</v>
      </c>
      <c r="B144" s="640">
        <f t="shared" si="77"/>
        <v>0</v>
      </c>
      <c r="C144" s="543">
        <v>0.0</v>
      </c>
      <c r="D144" s="357">
        <f t="shared" ref="D144:H144" si="79">$C144</f>
        <v>0</v>
      </c>
      <c r="E144" s="357">
        <f t="shared" si="79"/>
        <v>0</v>
      </c>
      <c r="F144" s="357">
        <f t="shared" si="79"/>
        <v>0</v>
      </c>
      <c r="G144" s="357">
        <f t="shared" si="79"/>
        <v>0</v>
      </c>
      <c r="H144" s="357">
        <f t="shared" si="79"/>
        <v>0</v>
      </c>
    </row>
    <row r="145" outlineLevel="1">
      <c r="A145" s="358" t="s">
        <v>263</v>
      </c>
      <c r="B145" s="641">
        <f t="shared" si="77"/>
        <v>0</v>
      </c>
      <c r="C145" s="360">
        <f t="shared" ref="C145:H145" si="80">SUM(C142:C144)</f>
        <v>0</v>
      </c>
      <c r="D145" s="360">
        <f t="shared" si="80"/>
        <v>0</v>
      </c>
      <c r="E145" s="360">
        <f t="shared" si="80"/>
        <v>0</v>
      </c>
      <c r="F145" s="360">
        <f t="shared" si="80"/>
        <v>0</v>
      </c>
      <c r="G145" s="360">
        <f t="shared" si="80"/>
        <v>0</v>
      </c>
      <c r="H145" s="360">
        <f t="shared" si="80"/>
        <v>0</v>
      </c>
    </row>
    <row r="146" outlineLevel="1">
      <c r="A146" s="40"/>
      <c r="B146" s="353"/>
      <c r="C146" s="39"/>
      <c r="D146" s="353"/>
      <c r="E146" s="353"/>
      <c r="F146" s="353"/>
      <c r="G146" s="353"/>
      <c r="H146" s="353"/>
    </row>
    <row r="147" outlineLevel="1">
      <c r="A147" s="62" t="s">
        <v>310</v>
      </c>
      <c r="B147" s="640" t="str">
        <f t="shared" ref="B147:B150" si="81">index(C147:Z147,,match($A$3,$C$1:$Z$1,0))</f>
        <v/>
      </c>
      <c r="C147" s="39"/>
      <c r="D147" s="353"/>
      <c r="E147" s="353"/>
      <c r="F147" s="353"/>
      <c r="G147" s="353"/>
      <c r="H147" s="353"/>
    </row>
    <row r="148" outlineLevel="1">
      <c r="A148" s="40" t="s">
        <v>264</v>
      </c>
      <c r="B148" s="640">
        <f t="shared" si="81"/>
        <v>0.07</v>
      </c>
      <c r="C148" s="47">
        <v>0.07</v>
      </c>
      <c r="D148" s="357">
        <f t="shared" ref="D148:H148" si="82">$C148</f>
        <v>0.07</v>
      </c>
      <c r="E148" s="357">
        <f t="shared" si="82"/>
        <v>0.07</v>
      </c>
      <c r="F148" s="357">
        <f t="shared" si="82"/>
        <v>0.07</v>
      </c>
      <c r="G148" s="357">
        <f t="shared" si="82"/>
        <v>0.07</v>
      </c>
      <c r="H148" s="357">
        <f t="shared" si="82"/>
        <v>0.07</v>
      </c>
    </row>
    <row r="149" outlineLevel="1">
      <c r="A149" s="40" t="s">
        <v>265</v>
      </c>
      <c r="B149" s="640">
        <f t="shared" si="81"/>
        <v>0.1</v>
      </c>
      <c r="C149" s="543">
        <v>0.1</v>
      </c>
      <c r="D149" s="357">
        <f t="shared" ref="D149:H149" si="83">$C149</f>
        <v>0.1</v>
      </c>
      <c r="E149" s="357">
        <f t="shared" si="83"/>
        <v>0.1</v>
      </c>
      <c r="F149" s="357">
        <f t="shared" si="83"/>
        <v>0.1</v>
      </c>
      <c r="G149" s="357">
        <f t="shared" si="83"/>
        <v>0.1</v>
      </c>
      <c r="H149" s="357">
        <f t="shared" si="83"/>
        <v>0.1</v>
      </c>
    </row>
    <row r="150" outlineLevel="1">
      <c r="A150" s="358" t="s">
        <v>266</v>
      </c>
      <c r="B150" s="641">
        <f t="shared" si="81"/>
        <v>0.17</v>
      </c>
      <c r="C150" s="360">
        <f t="shared" ref="C150:H150" si="84">sum(C147:C149)</f>
        <v>0.17</v>
      </c>
      <c r="D150" s="360">
        <f t="shared" si="84"/>
        <v>0.17</v>
      </c>
      <c r="E150" s="360">
        <f t="shared" si="84"/>
        <v>0.17</v>
      </c>
      <c r="F150" s="360">
        <f t="shared" si="84"/>
        <v>0.17</v>
      </c>
      <c r="G150" s="360">
        <f t="shared" si="84"/>
        <v>0.17</v>
      </c>
      <c r="H150" s="360">
        <f t="shared" si="84"/>
        <v>0.17</v>
      </c>
    </row>
    <row r="151" outlineLevel="1">
      <c r="A151" s="40"/>
      <c r="B151" s="353"/>
      <c r="C151" s="39"/>
      <c r="D151" s="353"/>
      <c r="E151" s="353"/>
      <c r="F151" s="353"/>
      <c r="G151" s="353"/>
      <c r="H151" s="353"/>
    </row>
    <row r="152" outlineLevel="1">
      <c r="A152" s="62" t="s">
        <v>267</v>
      </c>
      <c r="B152" s="353"/>
      <c r="C152" s="39"/>
      <c r="D152" s="353"/>
      <c r="E152" s="353"/>
      <c r="F152" s="353"/>
      <c r="G152" s="353"/>
      <c r="H152" s="353"/>
    </row>
    <row r="153" outlineLevel="1">
      <c r="A153" s="40" t="s">
        <v>268</v>
      </c>
      <c r="B153" s="640">
        <f t="shared" ref="B153:B156" si="86">index(C153:Z153,,match($A$3,$C$1:$Z$1,0))</f>
        <v>0</v>
      </c>
      <c r="C153" s="47">
        <v>0.0</v>
      </c>
      <c r="D153" s="357">
        <f t="shared" ref="D153:H153" si="85">$C153</f>
        <v>0</v>
      </c>
      <c r="E153" s="357">
        <f t="shared" si="85"/>
        <v>0</v>
      </c>
      <c r="F153" s="357">
        <f t="shared" si="85"/>
        <v>0</v>
      </c>
      <c r="G153" s="357">
        <f t="shared" si="85"/>
        <v>0</v>
      </c>
      <c r="H153" s="357">
        <f t="shared" si="85"/>
        <v>0</v>
      </c>
    </row>
    <row r="154" outlineLevel="1">
      <c r="A154" s="40" t="s">
        <v>269</v>
      </c>
      <c r="B154" s="640">
        <f t="shared" si="86"/>
        <v>0</v>
      </c>
      <c r="C154" s="47">
        <v>0.0</v>
      </c>
      <c r="D154" s="357">
        <f t="shared" ref="D154:H154" si="87">$C154</f>
        <v>0</v>
      </c>
      <c r="E154" s="357">
        <f t="shared" si="87"/>
        <v>0</v>
      </c>
      <c r="F154" s="357">
        <f t="shared" si="87"/>
        <v>0</v>
      </c>
      <c r="G154" s="357">
        <f t="shared" si="87"/>
        <v>0</v>
      </c>
      <c r="H154" s="357">
        <f t="shared" si="87"/>
        <v>0</v>
      </c>
    </row>
    <row r="155" outlineLevel="1">
      <c r="A155" s="40" t="s">
        <v>270</v>
      </c>
      <c r="B155" s="640">
        <f t="shared" si="86"/>
        <v>0</v>
      </c>
      <c r="C155" s="543">
        <v>0.0</v>
      </c>
      <c r="D155" s="357">
        <f t="shared" ref="D155:H155" si="88">$C155</f>
        <v>0</v>
      </c>
      <c r="E155" s="357">
        <f t="shared" si="88"/>
        <v>0</v>
      </c>
      <c r="F155" s="357">
        <f t="shared" si="88"/>
        <v>0</v>
      </c>
      <c r="G155" s="357">
        <f t="shared" si="88"/>
        <v>0</v>
      </c>
      <c r="H155" s="357">
        <f t="shared" si="88"/>
        <v>0</v>
      </c>
    </row>
    <row r="156" outlineLevel="1">
      <c r="A156" s="362" t="s">
        <v>271</v>
      </c>
      <c r="B156" s="641">
        <f t="shared" si="86"/>
        <v>0</v>
      </c>
      <c r="C156" s="360">
        <f t="shared" ref="C156:H156" si="89">sum(C153:C155)</f>
        <v>0</v>
      </c>
      <c r="D156" s="360">
        <f t="shared" si="89"/>
        <v>0</v>
      </c>
      <c r="E156" s="360">
        <f t="shared" si="89"/>
        <v>0</v>
      </c>
      <c r="F156" s="360">
        <f t="shared" si="89"/>
        <v>0</v>
      </c>
      <c r="G156" s="360">
        <f t="shared" si="89"/>
        <v>0</v>
      </c>
      <c r="H156" s="360">
        <f t="shared" si="89"/>
        <v>0</v>
      </c>
    </row>
    <row r="157" outlineLevel="1">
      <c r="A157" s="40"/>
      <c r="B157" s="353"/>
      <c r="C157" s="39"/>
      <c r="D157" s="353"/>
      <c r="E157" s="353"/>
      <c r="F157" s="353"/>
      <c r="G157" s="353"/>
      <c r="H157" s="353"/>
    </row>
    <row r="158">
      <c r="A158" s="109" t="s">
        <v>272</v>
      </c>
      <c r="B158" s="640">
        <f t="array" ref="B158">index(C158:Z158,,match($A$3,$C$1:$Z$1,0))</f>
        <v>0.83</v>
      </c>
      <c r="C158" s="361">
        <f t="shared" ref="C158:H158" si="90">1-sum(C145,C150,C156)</f>
        <v>0.83</v>
      </c>
      <c r="D158" s="361">
        <f t="shared" si="90"/>
        <v>0.83</v>
      </c>
      <c r="E158" s="361">
        <f t="shared" si="90"/>
        <v>0.83</v>
      </c>
      <c r="F158" s="361">
        <f t="shared" si="90"/>
        <v>0.83</v>
      </c>
      <c r="G158" s="361">
        <f t="shared" si="90"/>
        <v>0.83</v>
      </c>
      <c r="H158" s="361">
        <f t="shared" si="90"/>
        <v>0.83</v>
      </c>
    </row>
    <row r="159">
      <c r="A159" s="40"/>
      <c r="B159" s="353"/>
      <c r="C159" s="110"/>
      <c r="D159" s="353"/>
      <c r="E159" s="353"/>
      <c r="F159" s="353"/>
      <c r="G159" s="353"/>
      <c r="H159" s="353"/>
    </row>
    <row r="160">
      <c r="A160" s="350" t="s">
        <v>383</v>
      </c>
      <c r="B160" s="351"/>
      <c r="C160" s="350"/>
      <c r="D160" s="350"/>
      <c r="E160" s="350"/>
      <c r="F160" s="350"/>
      <c r="G160" s="350"/>
      <c r="H160" s="350"/>
    </row>
    <row r="161" outlineLevel="1">
      <c r="A161" s="352" t="s">
        <v>274</v>
      </c>
      <c r="B161" s="363"/>
      <c r="C161" s="364"/>
      <c r="D161" s="364"/>
      <c r="E161" s="364"/>
      <c r="F161" s="364"/>
      <c r="G161" s="364"/>
      <c r="H161" s="364"/>
    </row>
    <row r="162" outlineLevel="1">
      <c r="A162" s="35" t="str">
        <f>IFERROR(__xludf.DUMMYFUNCTION("filter(InclusionExclusion!B:B,InclusionExclusion!A:A=""Deworming"",InclusionExclusion!C:C=""Included"")"),"Developmental effects")</f>
        <v>Developmental effects</v>
      </c>
      <c r="B162" s="363"/>
      <c r="C162" s="364"/>
      <c r="D162" s="364"/>
      <c r="E162" s="364"/>
      <c r="F162" s="364"/>
      <c r="G162" s="364"/>
      <c r="H162" s="364"/>
    </row>
    <row r="163" outlineLevel="1">
      <c r="A163" s="109"/>
      <c r="B163" s="363"/>
      <c r="C163" s="364"/>
      <c r="D163" s="364"/>
      <c r="E163" s="364"/>
      <c r="F163" s="364"/>
      <c r="G163" s="364"/>
      <c r="H163" s="364"/>
    </row>
    <row r="164" outlineLevel="1">
      <c r="A164" s="352" t="s">
        <v>275</v>
      </c>
      <c r="B164" s="363"/>
      <c r="C164" s="364"/>
      <c r="D164" s="364"/>
      <c r="E164" s="364"/>
      <c r="F164" s="364"/>
      <c r="G164" s="364"/>
      <c r="H164" s="364"/>
    </row>
    <row r="165" outlineLevel="1">
      <c r="A165" s="35" t="str">
        <f>IFERROR(__xludf.DUMMYFUNCTION("filter(InclusionExclusion!B:B,InclusionExclusion!A:A=""Deworming"",InclusionExclusion!C:C=""Excluded"")"),"Direct health effects")</f>
        <v>Direct health effects</v>
      </c>
      <c r="B165" s="354">
        <f t="shared" ref="B165:B179" si="92">index(C165:Y165,,match($A$3,$C$1:$Y$1,0))</f>
        <v>0.008</v>
      </c>
      <c r="C165" s="110">
        <f t="array" ref="C165">iferror(if(isblank(A165),"",index(InclusionExclusion!$L:L,match(1,(InclusionExclusion!B:B=A165)*(InclusionExclusion!A:A="Deworming"),0))),"Not specified")</f>
        <v>0.008</v>
      </c>
      <c r="D165" s="365">
        <f t="shared" ref="D165:H165" si="91">$C165</f>
        <v>0.008</v>
      </c>
      <c r="E165" s="365">
        <f t="shared" si="91"/>
        <v>0.008</v>
      </c>
      <c r="F165" s="365">
        <f t="shared" si="91"/>
        <v>0.008</v>
      </c>
      <c r="G165" s="365">
        <f t="shared" si="91"/>
        <v>0.008</v>
      </c>
      <c r="H165" s="365">
        <f t="shared" si="91"/>
        <v>0.008</v>
      </c>
    </row>
    <row r="166" outlineLevel="1">
      <c r="A166" s="200" t="str">
        <f>IFERROR(__xludf.DUMMYFUNCTION("""COMPUTED_VALUE"""),"HIV reduction")</f>
        <v>HIV reduction</v>
      </c>
      <c r="B166" s="354">
        <f t="shared" si="92"/>
        <v>0.06</v>
      </c>
      <c r="C166" s="110">
        <f t="array" ref="C166">iferror(if(isblank(A166),"",index(InclusionExclusion!$L:L,match(1,(InclusionExclusion!B:B=A166)*(InclusionExclusion!A:A="Deworming"),0))),"Not specified")</f>
        <v>0.06</v>
      </c>
      <c r="D166" s="365">
        <f t="shared" ref="D166:H166" si="93">$C166</f>
        <v>0.06</v>
      </c>
      <c r="E166" s="365">
        <f t="shared" si="93"/>
        <v>0.06</v>
      </c>
      <c r="F166" s="365">
        <f t="shared" si="93"/>
        <v>0.06</v>
      </c>
      <c r="G166" s="365">
        <f t="shared" si="93"/>
        <v>0.06</v>
      </c>
      <c r="H166" s="365">
        <f t="shared" si="93"/>
        <v>0.06</v>
      </c>
    </row>
    <row r="167" outlineLevel="1">
      <c r="A167" s="200" t="str">
        <f>IFERROR(__xludf.DUMMYFUNCTION("""COMPUTED_VALUE"""),"Possible increases in diseases of affluence (harms of deworming)")</f>
        <v>Possible increases in diseases of affluence (harms of deworming)</v>
      </c>
      <c r="B167" s="354">
        <f t="shared" si="92"/>
        <v>-0.025</v>
      </c>
      <c r="C167" s="110">
        <f t="array" ref="C167">iferror(if(isblank(A167),"",index(InclusionExclusion!$L:L,match(1,(InclusionExclusion!B:B=A167)*(InclusionExclusion!A:A="Deworming"),0))),"Not specified")</f>
        <v>-0.025</v>
      </c>
      <c r="D167" s="365">
        <f t="shared" ref="D167:H167" si="94">$C167</f>
        <v>-0.025</v>
      </c>
      <c r="E167" s="365">
        <f t="shared" si="94"/>
        <v>-0.025</v>
      </c>
      <c r="F167" s="365">
        <f t="shared" si="94"/>
        <v>-0.025</v>
      </c>
      <c r="G167" s="365">
        <f t="shared" si="94"/>
        <v>-0.025</v>
      </c>
      <c r="H167" s="365">
        <f t="shared" si="94"/>
        <v>-0.025</v>
      </c>
    </row>
    <row r="168" outlineLevel="1">
      <c r="A168" s="200" t="str">
        <f>IFERROR(__xludf.DUMMYFUNCTION("""COMPUTED_VALUE"""),"Averted mortality")</f>
        <v>Averted mortality</v>
      </c>
      <c r="B168" s="354">
        <f t="shared" si="92"/>
        <v>0.035</v>
      </c>
      <c r="C168" s="110">
        <f t="array" ref="C168">iferror(if(isblank(A168),"",index(InclusionExclusion!$L:L,match(1,(InclusionExclusion!B:B=A168)*(InclusionExclusion!A:A="Deworming"),0))),"Not specified")</f>
        <v>0.035</v>
      </c>
      <c r="D168" s="365">
        <f t="shared" ref="D168:H168" si="95">$C168</f>
        <v>0.035</v>
      </c>
      <c r="E168" s="365">
        <f t="shared" si="95"/>
        <v>0.035</v>
      </c>
      <c r="F168" s="365">
        <f t="shared" si="95"/>
        <v>0.035</v>
      </c>
      <c r="G168" s="365">
        <f t="shared" si="95"/>
        <v>0.035</v>
      </c>
      <c r="H168" s="365">
        <f t="shared" si="95"/>
        <v>0.035</v>
      </c>
    </row>
    <row r="169" outlineLevel="1">
      <c r="A169" s="200" t="str">
        <f>IFERROR(__xludf.DUMMYFUNCTION("""COMPUTED_VALUE"""),"Short-term anemia effects")</f>
        <v>Short-term anemia effects</v>
      </c>
      <c r="B169" s="354">
        <f t="shared" si="92"/>
        <v>0.09</v>
      </c>
      <c r="C169" s="110">
        <f t="array" ref="C169">iferror(if(isblank(A169),"",index(InclusionExclusion!$L:L,match(1,(InclusionExclusion!B:B=A169)*(InclusionExclusion!A:A="Deworming"),0))),"Not specified")</f>
        <v>0.09</v>
      </c>
      <c r="D169" s="365">
        <f t="shared" ref="D169:H169" si="96">$C169</f>
        <v>0.09</v>
      </c>
      <c r="E169" s="365">
        <f t="shared" si="96"/>
        <v>0.09</v>
      </c>
      <c r="F169" s="365">
        <f t="shared" si="96"/>
        <v>0.09</v>
      </c>
      <c r="G169" s="365">
        <f t="shared" si="96"/>
        <v>0.09</v>
      </c>
      <c r="H169" s="365">
        <f t="shared" si="96"/>
        <v>0.09</v>
      </c>
    </row>
    <row r="170" outlineLevel="1">
      <c r="A170" s="94" t="str">
        <f>IFERROR(__xludf.DUMMYFUNCTION("""COMPUTED_VALUE"""),"Investment of income increases")</f>
        <v>Investment of income increases</v>
      </c>
      <c r="B170" s="354">
        <f t="shared" si="92"/>
        <v>0.1</v>
      </c>
      <c r="C170" s="110">
        <f t="array" ref="C170">iferror(if(isblank(A170),"",index(InclusionExclusion!$L:L,match(1,(InclusionExclusion!B:B=A170)*(InclusionExclusion!A:A="Deworming"),0))),"Not specified")</f>
        <v>0.1</v>
      </c>
      <c r="D170" s="365">
        <f t="shared" ref="D170:H170" si="97">$C170</f>
        <v>0.1</v>
      </c>
      <c r="E170" s="365">
        <f t="shared" si="97"/>
        <v>0.1</v>
      </c>
      <c r="F170" s="365">
        <f t="shared" si="97"/>
        <v>0.1</v>
      </c>
      <c r="G170" s="365">
        <f t="shared" si="97"/>
        <v>0.1</v>
      </c>
      <c r="H170" s="365">
        <f t="shared" si="97"/>
        <v>0.1</v>
      </c>
    </row>
    <row r="171" outlineLevel="1">
      <c r="A171" s="200" t="str">
        <f>IFERROR(__xludf.DUMMYFUNCTION("""COMPUTED_VALUE"""),"Non-income long-run benefits of deworming")</f>
        <v>Non-income long-run benefits of deworming</v>
      </c>
      <c r="B171" s="354">
        <f t="shared" si="92"/>
        <v>0.04</v>
      </c>
      <c r="C171" s="110">
        <f t="array" ref="C171">iferror(if(isblank(A171),"",index(InclusionExclusion!$L:L,match(1,(InclusionExclusion!B:B=A171)*(InclusionExclusion!A:A="Deworming"),0))),"Not specified")</f>
        <v>0.04</v>
      </c>
      <c r="D171" s="365">
        <f t="shared" ref="D171:H171" si="98">$C171</f>
        <v>0.04</v>
      </c>
      <c r="E171" s="365">
        <f t="shared" si="98"/>
        <v>0.04</v>
      </c>
      <c r="F171" s="365">
        <f t="shared" si="98"/>
        <v>0.04</v>
      </c>
      <c r="G171" s="365">
        <f t="shared" si="98"/>
        <v>0.04</v>
      </c>
      <c r="H171" s="365">
        <f t="shared" si="98"/>
        <v>0.04</v>
      </c>
    </row>
    <row r="172" outlineLevel="1">
      <c r="A172" s="200" t="str">
        <f>IFERROR(__xludf.DUMMYFUNCTION("""COMPUTED_VALUE"""),"Other NTD prevention (relevant to Sightsavers and END Fund)")</f>
        <v>Other NTD prevention (relevant to Sightsavers and END Fund)</v>
      </c>
      <c r="B172" s="354">
        <f t="shared" si="92"/>
        <v>0.14</v>
      </c>
      <c r="C172" s="110">
        <f t="array" ref="C172">iferror(if(isblank(A172),"",index(InclusionExclusion!$L:L,match(1,(InclusionExclusion!B:B=A172)*(InclusionExclusion!A:A="Deworming"),0))),"Not specified")</f>
        <v>0.14</v>
      </c>
      <c r="D172" s="365">
        <f t="shared" ref="D172:H172" si="99">$C172</f>
        <v>0.14</v>
      </c>
      <c r="E172" s="365">
        <f t="shared" si="99"/>
        <v>0.14</v>
      </c>
      <c r="F172" s="365">
        <f t="shared" si="99"/>
        <v>0.14</v>
      </c>
      <c r="G172" s="365">
        <f t="shared" si="99"/>
        <v>0.14</v>
      </c>
      <c r="H172" s="365">
        <f t="shared" si="99"/>
        <v>0.14</v>
      </c>
    </row>
    <row r="173" outlineLevel="1">
      <c r="A173" s="200" t="str">
        <f>IFERROR(__xludf.DUMMYFUNCTION("""COMPUTED_VALUE"""),"Drug resistance")</f>
        <v>Drug resistance</v>
      </c>
      <c r="B173" s="354">
        <f t="shared" si="92"/>
        <v>-0.04</v>
      </c>
      <c r="C173" s="110">
        <f t="array" ref="C173">iferror(if(isblank(A173),"",index(InclusionExclusion!$L:L,match(1,(InclusionExclusion!B:B=A173)*(InclusionExclusion!A:A="Deworming"),0))),"Not specified")</f>
        <v>-0.04</v>
      </c>
      <c r="D173" s="365">
        <f t="shared" ref="D173:H173" si="100">$C173</f>
        <v>-0.04</v>
      </c>
      <c r="E173" s="365">
        <f t="shared" si="100"/>
        <v>-0.04</v>
      </c>
      <c r="F173" s="365">
        <f t="shared" si="100"/>
        <v>-0.04</v>
      </c>
      <c r="G173" s="365">
        <f t="shared" si="100"/>
        <v>-0.04</v>
      </c>
      <c r="H173" s="365">
        <f t="shared" si="100"/>
        <v>-0.04</v>
      </c>
    </row>
    <row r="174" outlineLevel="1">
      <c r="A174" s="200" t="str">
        <f>IFERROR(__xludf.DUMMYFUNCTION("""COMPUTED_VALUE"""),"Unprogrammed deworming")</f>
        <v>Unprogrammed deworming</v>
      </c>
      <c r="B174" s="354">
        <f t="shared" si="92"/>
        <v>-0.14</v>
      </c>
      <c r="C174" s="110">
        <f t="array" ref="C174">iferror(if(isblank(A174),"",index(InclusionExclusion!$L:L,match(1,(InclusionExclusion!B:B=A174)*(InclusionExclusion!A:A="Deworming"),0))),"Not specified")</f>
        <v>-0.14</v>
      </c>
      <c r="D174" s="365">
        <f t="shared" ref="D174:H174" si="101">$C174</f>
        <v>-0.14</v>
      </c>
      <c r="E174" s="365">
        <f t="shared" si="101"/>
        <v>-0.14</v>
      </c>
      <c r="F174" s="365">
        <f t="shared" si="101"/>
        <v>-0.14</v>
      </c>
      <c r="G174" s="365">
        <f t="shared" si="101"/>
        <v>-0.14</v>
      </c>
      <c r="H174" s="365">
        <f t="shared" si="101"/>
        <v>-0.14</v>
      </c>
    </row>
    <row r="175" outlineLevel="1">
      <c r="A175" s="94" t="str">
        <f>IFERROR(__xludf.DUMMYFUNCTION("""COMPUTED_VALUE"""),"Marginal funding goes to lower priority areas")</f>
        <v>Marginal funding goes to lower priority areas</v>
      </c>
      <c r="B175" s="354">
        <f t="shared" si="92"/>
        <v>-0.025</v>
      </c>
      <c r="C175" s="110">
        <f t="array" ref="C175">iferror(if(isblank(A175),"",index(InclusionExclusion!$L:L,match(1,(InclusionExclusion!B:B=A175)*(InclusionExclusion!A:A="Deworming"),0))),"Not specified")</f>
        <v>-0.025</v>
      </c>
      <c r="D175" s="365">
        <f t="shared" ref="D175:H175" si="102">$C175</f>
        <v>-0.025</v>
      </c>
      <c r="E175" s="365">
        <f t="shared" si="102"/>
        <v>-0.025</v>
      </c>
      <c r="F175" s="365">
        <f t="shared" si="102"/>
        <v>-0.025</v>
      </c>
      <c r="G175" s="365">
        <f t="shared" si="102"/>
        <v>-0.025</v>
      </c>
      <c r="H175" s="365">
        <f t="shared" si="102"/>
        <v>-0.025</v>
      </c>
    </row>
    <row r="176" outlineLevel="1">
      <c r="A176" s="94" t="str">
        <f>IFERROR(__xludf.DUMMYFUNCTION("""COMPUTED_VALUE"""),"General equilibrium effects")</f>
        <v>General equilibrium effects</v>
      </c>
      <c r="B176" s="354">
        <f t="shared" si="92"/>
        <v>-0.03</v>
      </c>
      <c r="C176" s="110">
        <f t="array" ref="C176">iferror(if(isblank(A176),"",index(InclusionExclusion!$L:L,match(1,(InclusionExclusion!B:B=A176)*(InclusionExclusion!A:A="Deworming"),0))),"Not specified")</f>
        <v>-0.03</v>
      </c>
      <c r="D176" s="365">
        <f t="shared" ref="D176:H176" si="103">$C176</f>
        <v>-0.03</v>
      </c>
      <c r="E176" s="365">
        <f t="shared" si="103"/>
        <v>-0.03</v>
      </c>
      <c r="F176" s="365">
        <f t="shared" si="103"/>
        <v>-0.03</v>
      </c>
      <c r="G176" s="365">
        <f t="shared" si="103"/>
        <v>-0.03</v>
      </c>
      <c r="H176" s="365">
        <f t="shared" si="103"/>
        <v>-0.03</v>
      </c>
    </row>
    <row r="177" outlineLevel="1">
      <c r="A177" s="94"/>
      <c r="B177" s="354" t="str">
        <f t="shared" si="92"/>
        <v/>
      </c>
      <c r="C177" s="110" t="str">
        <f t="array" ref="C177">iferror(if(isblank(A177),"",index(InclusionExclusion!$L:L,match(1,(InclusionExclusion!B:B=A177)*(InclusionExclusion!A:A="Deworming"),0))),"Not specified")</f>
        <v/>
      </c>
      <c r="D177" s="365" t="str">
        <f t="shared" ref="D177:H177" si="104">$C177</f>
        <v/>
      </c>
      <c r="E177" s="365" t="str">
        <f t="shared" si="104"/>
        <v/>
      </c>
      <c r="F177" s="365" t="str">
        <f t="shared" si="104"/>
        <v/>
      </c>
      <c r="G177" s="365" t="str">
        <f t="shared" si="104"/>
        <v/>
      </c>
      <c r="H177" s="365" t="str">
        <f t="shared" si="104"/>
        <v/>
      </c>
    </row>
    <row r="178">
      <c r="A178" s="366" t="s">
        <v>276</v>
      </c>
      <c r="B178" s="355">
        <f t="shared" si="92"/>
        <v>1.213</v>
      </c>
      <c r="C178" s="361">
        <f t="shared" ref="C178:H178" si="105">1+sum(C164:C177)</f>
        <v>1.213</v>
      </c>
      <c r="D178" s="361">
        <f t="shared" si="105"/>
        <v>1.213</v>
      </c>
      <c r="E178" s="361">
        <f t="shared" si="105"/>
        <v>1.213</v>
      </c>
      <c r="F178" s="361">
        <f t="shared" si="105"/>
        <v>1.213</v>
      </c>
      <c r="G178" s="361">
        <f t="shared" si="105"/>
        <v>1.213</v>
      </c>
      <c r="H178" s="361">
        <f t="shared" si="105"/>
        <v>1.213</v>
      </c>
    </row>
    <row r="179">
      <c r="A179" s="367" t="s">
        <v>277</v>
      </c>
      <c r="B179" s="642" t="str">
        <f t="shared" si="92"/>
        <v>OK</v>
      </c>
      <c r="C179" s="368" t="str">
        <f t="array" ref="C179">if(C178=index(InclusionExclusion!$L:$L,match("Deworming adjustment factor",InclusionExclusion!$J:$J,0)),"OK","Error")</f>
        <v>OK</v>
      </c>
      <c r="D179" s="368" t="str">
        <f t="array" ref="D179">if(D178=index(InclusionExclusion!$L:$L,match("Deworming adjustment factor",InclusionExclusion!$J:$J,0)),"OK","Error")</f>
        <v>OK</v>
      </c>
      <c r="E179" s="368" t="str">
        <f t="array" ref="E179">if(E178=index(InclusionExclusion!$L:$L,match("Deworming adjustment factor",InclusionExclusion!$J:$J,0)),"OK","Error")</f>
        <v>OK</v>
      </c>
      <c r="F179" s="368" t="str">
        <f t="array" ref="F179">if(F178=index(InclusionExclusion!$L:$L,match("Deworming adjustment factor",InclusionExclusion!$J:$J,0)),"OK","Error")</f>
        <v>OK</v>
      </c>
      <c r="G179" s="368" t="str">
        <f t="array" ref="G179">if(G178=index(InclusionExclusion!$L:$L,match("Deworming adjustment factor",InclusionExclusion!$J:$J,0)),"OK","Error")</f>
        <v>OK</v>
      </c>
      <c r="H179" s="368" t="str">
        <f t="array" ref="H179">if(H178=index(InclusionExclusion!$L:$L,match("Deworming adjustment factor",InclusionExclusion!$J:$J,0)),"OK","Error")</f>
        <v>OK</v>
      </c>
    </row>
    <row r="180">
      <c r="A180" s="167"/>
      <c r="B180" s="363"/>
      <c r="C180" s="364"/>
      <c r="D180" s="364"/>
      <c r="E180" s="364"/>
      <c r="F180" s="364"/>
      <c r="G180" s="364"/>
      <c r="H180" s="364"/>
    </row>
    <row r="181">
      <c r="A181" s="350" t="s">
        <v>278</v>
      </c>
      <c r="B181" s="350"/>
      <c r="C181" s="350"/>
      <c r="D181" s="350"/>
      <c r="E181" s="350"/>
      <c r="F181" s="350"/>
      <c r="G181" s="350"/>
      <c r="H181" s="350"/>
    </row>
    <row r="182">
      <c r="A182" s="167" t="s">
        <v>279</v>
      </c>
      <c r="B182" s="363">
        <f t="array" ref="B182">index(C182:Y182,,match($A$3,$C$1:$Y$1,0))</f>
        <v>1789.616021</v>
      </c>
      <c r="C182" s="364">
        <f t="shared" ref="C182:H182" si="106">C134*C158*C178</f>
        <v>1789.616021</v>
      </c>
      <c r="D182" s="364">
        <f t="shared" si="106"/>
        <v>686.4650356</v>
      </c>
      <c r="E182" s="364">
        <f t="shared" si="106"/>
        <v>2688.01929</v>
      </c>
      <c r="F182" s="364">
        <f t="shared" si="106"/>
        <v>2353.643568</v>
      </c>
      <c r="G182" s="364">
        <f t="shared" si="106"/>
        <v>2461.374698</v>
      </c>
      <c r="H182" s="364">
        <f t="shared" si="106"/>
        <v>1609.000628</v>
      </c>
    </row>
    <row r="183">
      <c r="A183" s="369"/>
      <c r="B183" s="643"/>
      <c r="C183" s="364"/>
      <c r="D183" s="364"/>
      <c r="E183" s="364"/>
      <c r="F183" s="364"/>
      <c r="G183" s="364"/>
      <c r="H183" s="364"/>
    </row>
    <row r="184">
      <c r="A184" s="545" t="s">
        <v>280</v>
      </c>
      <c r="B184" s="370">
        <f t="array" ref="B184">index(C184:Y184,,match($A$3,$C$1:$Y$1,0))</f>
        <v>5.201999868</v>
      </c>
      <c r="C184" s="371">
        <f t="array" ref="C184">C182/index(Cash!$B:$B,match("Total units of value generated with hypothetical donation ($100,000)",Cash!$A:$A,0))</f>
        <v>5.201999868</v>
      </c>
      <c r="D184" s="371">
        <f t="array" ref="D184">D182/index(Cash!$B:$B,match("Total units of value generated with hypothetical donation ($100,000)",Cash!$A:$A,0))</f>
        <v>1.995395091</v>
      </c>
      <c r="E184" s="371">
        <f t="array" ref="E184">E182/index(Cash!$B:$B,match("Total units of value generated with hypothetical donation ($100,000)",Cash!$A:$A,0))</f>
        <v>7.813450385</v>
      </c>
      <c r="F184" s="371">
        <f t="array" ref="F184">F182/index(Cash!$B:$B,match("Total units of value generated with hypothetical donation ($100,000)",Cash!$A:$A,0))</f>
        <v>6.841497497</v>
      </c>
      <c r="G184" s="371">
        <f t="array" ref="G184">G182/index(Cash!$B:$B,match("Total units of value generated with hypothetical donation ($100,000)",Cash!$A:$A,0))</f>
        <v>7.154646975</v>
      </c>
      <c r="H184" s="371">
        <f t="array" ref="H184">H182/index(Cash!$B:$B,match("Total units of value generated with hypothetical donation ($100,000)",Cash!$A:$A,0))</f>
        <v>4.676992693</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5.14"/>
    <col customWidth="1" min="2" max="12" width="17.29"/>
  </cols>
  <sheetData>
    <row r="1">
      <c r="A1" s="546" t="s">
        <v>22</v>
      </c>
      <c r="B1" s="644" t="s">
        <v>39</v>
      </c>
      <c r="C1" s="644" t="s">
        <v>96</v>
      </c>
      <c r="D1" s="645" t="s">
        <v>385</v>
      </c>
      <c r="E1" s="646" t="s">
        <v>142</v>
      </c>
      <c r="F1" s="645" t="s">
        <v>403</v>
      </c>
      <c r="G1" s="646" t="s">
        <v>139</v>
      </c>
      <c r="H1" s="646" t="s">
        <v>404</v>
      </c>
      <c r="I1" s="646" t="s">
        <v>405</v>
      </c>
      <c r="J1" s="646" t="s">
        <v>406</v>
      </c>
      <c r="K1" s="646" t="s">
        <v>146</v>
      </c>
      <c r="L1" s="646" t="s">
        <v>407</v>
      </c>
    </row>
    <row r="2">
      <c r="A2" s="170" t="s">
        <v>148</v>
      </c>
      <c r="B2" s="68"/>
      <c r="C2" s="68"/>
      <c r="D2" s="68"/>
      <c r="E2" s="68"/>
      <c r="F2" s="68"/>
      <c r="G2" s="68"/>
      <c r="H2" s="68"/>
      <c r="I2" s="68"/>
      <c r="J2" s="68"/>
      <c r="K2" s="68"/>
      <c r="L2" s="68"/>
    </row>
    <row r="3">
      <c r="A3" s="550" t="str">
        <f>Results!C11</f>
        <v>Overall</v>
      </c>
      <c r="B3" s="415"/>
      <c r="C3" s="415"/>
      <c r="D3" s="415"/>
      <c r="E3" s="415"/>
      <c r="F3" s="415"/>
      <c r="G3" s="415"/>
      <c r="H3" s="415"/>
      <c r="I3" s="415"/>
      <c r="J3" s="415"/>
      <c r="K3" s="415"/>
      <c r="L3" s="415"/>
    </row>
    <row r="4">
      <c r="A4" s="415"/>
      <c r="B4" s="597"/>
      <c r="C4" s="415"/>
      <c r="D4" s="415"/>
      <c r="E4" s="415"/>
      <c r="F4" s="415"/>
      <c r="G4" s="415"/>
      <c r="H4" s="415"/>
      <c r="I4" s="415"/>
      <c r="J4" s="415"/>
      <c r="K4" s="415"/>
      <c r="L4" s="415"/>
    </row>
    <row r="5">
      <c r="A5" s="439" t="s">
        <v>149</v>
      </c>
      <c r="B5" s="266"/>
      <c r="C5" s="266"/>
      <c r="D5" s="266"/>
      <c r="E5" s="266"/>
      <c r="F5" s="266"/>
      <c r="G5" s="266"/>
      <c r="H5" s="266"/>
      <c r="I5" s="266"/>
      <c r="J5" s="266"/>
      <c r="K5" s="266"/>
      <c r="L5" s="266"/>
    </row>
    <row r="6">
      <c r="A6" s="120"/>
      <c r="B6" s="120"/>
      <c r="C6" s="120"/>
      <c r="D6" s="120"/>
      <c r="E6" s="120"/>
      <c r="F6" s="120"/>
      <c r="G6" s="120"/>
      <c r="H6" s="120"/>
      <c r="I6" s="120"/>
      <c r="J6" s="120"/>
      <c r="K6" s="120"/>
      <c r="L6" s="120"/>
    </row>
    <row r="7">
      <c r="A7" s="94" t="s">
        <v>150</v>
      </c>
      <c r="B7" s="289">
        <f t="array" ref="B7">index(A7:L7,,match($A$3,$A$1:$L$1,0))</f>
        <v>1</v>
      </c>
      <c r="C7" s="180">
        <f>sum(D7:L7)</f>
        <v>1</v>
      </c>
      <c r="D7" s="33">
        <f t="shared" ref="D7:L7" si="1">D18*D20/sumproduct($D$18:$L$18,$D$20:$L$20)</f>
        <v>0.2193359407</v>
      </c>
      <c r="E7" s="33">
        <f t="shared" si="1"/>
        <v>0.1891314733</v>
      </c>
      <c r="F7" s="33">
        <f t="shared" si="1"/>
        <v>0.154376165</v>
      </c>
      <c r="G7" s="33">
        <f t="shared" si="1"/>
        <v>0.1879950678</v>
      </c>
      <c r="H7" s="33">
        <f t="shared" si="1"/>
        <v>0.06071489496</v>
      </c>
      <c r="I7" s="33">
        <f t="shared" si="1"/>
        <v>0.06937808361</v>
      </c>
      <c r="J7" s="33">
        <f t="shared" si="1"/>
        <v>0.07217029541</v>
      </c>
      <c r="K7" s="33">
        <f t="shared" si="1"/>
        <v>0.03932822386</v>
      </c>
      <c r="L7" s="33">
        <f t="shared" si="1"/>
        <v>0.007569855434</v>
      </c>
    </row>
    <row r="8">
      <c r="A8" s="120"/>
      <c r="B8" s="120"/>
      <c r="C8" s="120"/>
      <c r="D8" s="120"/>
      <c r="E8" s="120"/>
      <c r="F8" s="120"/>
      <c r="G8" s="120"/>
      <c r="H8" s="120"/>
      <c r="I8" s="120"/>
      <c r="J8" s="120"/>
      <c r="K8" s="120"/>
      <c r="L8" s="120"/>
    </row>
    <row r="9">
      <c r="A9" s="439" t="s">
        <v>408</v>
      </c>
      <c r="B9" s="287"/>
      <c r="C9" s="287"/>
      <c r="D9" s="266"/>
      <c r="E9" s="266"/>
      <c r="F9" s="266"/>
      <c r="G9" s="266"/>
      <c r="H9" s="266"/>
      <c r="I9" s="266"/>
      <c r="J9" s="266"/>
      <c r="K9" s="266"/>
      <c r="L9" s="266"/>
    </row>
    <row r="10">
      <c r="A10" s="120"/>
      <c r="B10" s="120"/>
      <c r="C10" s="120"/>
      <c r="D10" s="120"/>
      <c r="E10" s="120"/>
      <c r="F10" s="120"/>
      <c r="G10" s="120"/>
      <c r="H10" s="120"/>
      <c r="I10" s="120"/>
      <c r="J10" s="120"/>
      <c r="K10" s="120"/>
      <c r="L10" s="120"/>
    </row>
    <row r="11">
      <c r="A11" s="94" t="s">
        <v>153</v>
      </c>
      <c r="B11" s="520">
        <f t="shared" ref="B11:B20" si="3">index(A11:L11,,match($A$3,$A$1:$L$1,0))</f>
        <v>100000</v>
      </c>
      <c r="C11" s="474">
        <v>100000.0</v>
      </c>
      <c r="D11" s="475">
        <f t="shared" ref="D11:L11" si="2">$C$11*D7</f>
        <v>21933.59407</v>
      </c>
      <c r="E11" s="475">
        <f t="shared" si="2"/>
        <v>18913.14733</v>
      </c>
      <c r="F11" s="475">
        <f t="shared" si="2"/>
        <v>15437.6165</v>
      </c>
      <c r="G11" s="475">
        <f t="shared" si="2"/>
        <v>18799.50678</v>
      </c>
      <c r="H11" s="475">
        <f t="shared" si="2"/>
        <v>6071.489496</v>
      </c>
      <c r="I11" s="475">
        <f t="shared" si="2"/>
        <v>6937.808361</v>
      </c>
      <c r="J11" s="475">
        <f t="shared" si="2"/>
        <v>7217.029541</v>
      </c>
      <c r="K11" s="475">
        <f t="shared" si="2"/>
        <v>3932.822386</v>
      </c>
      <c r="L11" s="475">
        <f t="shared" si="2"/>
        <v>756.9855434</v>
      </c>
    </row>
    <row r="12">
      <c r="A12" s="647" t="s">
        <v>409</v>
      </c>
      <c r="B12" s="564">
        <f t="shared" si="3"/>
        <v>0.8511219285</v>
      </c>
      <c r="C12" s="648">
        <f>sumproduct(D12:L12,D20:L20)</f>
        <v>0.8511219285</v>
      </c>
      <c r="D12" s="47">
        <v>0.7284988187</v>
      </c>
      <c r="E12" s="47">
        <v>0.6535351615</v>
      </c>
      <c r="F12" s="47">
        <v>1.0</v>
      </c>
      <c r="G12" s="47">
        <v>0.9373111284</v>
      </c>
      <c r="H12" s="47">
        <v>1.0</v>
      </c>
      <c r="I12" s="47">
        <v>0.9081686885</v>
      </c>
      <c r="J12" s="47">
        <v>1.0</v>
      </c>
      <c r="K12" s="47">
        <v>0.9130891972</v>
      </c>
      <c r="L12" s="47">
        <v>0.7058896864</v>
      </c>
    </row>
    <row r="13">
      <c r="A13" s="200" t="s">
        <v>410</v>
      </c>
      <c r="B13" s="312">
        <f t="shared" si="3"/>
        <v>0.08803557653</v>
      </c>
      <c r="C13" s="480">
        <f>sumproduct(D13:L13,D20:L20)</f>
        <v>0.08803557653</v>
      </c>
      <c r="D13" s="31">
        <v>0.052</v>
      </c>
      <c r="E13" s="31">
        <v>0.026</v>
      </c>
      <c r="F13" s="31">
        <v>0.049</v>
      </c>
      <c r="G13" s="31">
        <v>0.188</v>
      </c>
      <c r="H13" s="31">
        <v>0.095</v>
      </c>
      <c r="I13" s="31">
        <v>0.138</v>
      </c>
      <c r="J13" s="31">
        <v>0.142</v>
      </c>
      <c r="K13" s="31">
        <v>0.065</v>
      </c>
      <c r="L13" s="31">
        <v>0.087</v>
      </c>
    </row>
    <row r="14">
      <c r="A14" s="200" t="s">
        <v>392</v>
      </c>
      <c r="B14" s="320">
        <f t="shared" si="3"/>
        <v>0.1491343933</v>
      </c>
      <c r="C14" s="320">
        <f>'Deworming - DtW'!C26</f>
        <v>0.1491343933</v>
      </c>
      <c r="D14" s="320">
        <f t="shared" ref="D14:L14" si="4">$C$14</f>
        <v>0.1491343933</v>
      </c>
      <c r="E14" s="320">
        <f t="shared" si="4"/>
        <v>0.1491343933</v>
      </c>
      <c r="F14" s="320">
        <f t="shared" si="4"/>
        <v>0.1491343933</v>
      </c>
      <c r="G14" s="320">
        <f t="shared" si="4"/>
        <v>0.1491343933</v>
      </c>
      <c r="H14" s="320">
        <f t="shared" si="4"/>
        <v>0.1491343933</v>
      </c>
      <c r="I14" s="320">
        <f t="shared" si="4"/>
        <v>0.1491343933</v>
      </c>
      <c r="J14" s="320">
        <f t="shared" si="4"/>
        <v>0.1491343933</v>
      </c>
      <c r="K14" s="320">
        <f t="shared" si="4"/>
        <v>0.1491343933</v>
      </c>
      <c r="L14" s="320">
        <f t="shared" si="4"/>
        <v>0.1491343933</v>
      </c>
    </row>
    <row r="15">
      <c r="A15" s="568" t="s">
        <v>411</v>
      </c>
      <c r="B15" s="569">
        <f t="shared" si="3"/>
        <v>0.0111744924</v>
      </c>
      <c r="C15" s="570">
        <f>C14*B12*C13</f>
        <v>0.0111744924</v>
      </c>
      <c r="D15" s="570">
        <f t="shared" ref="D15:L15" si="5">D14*D12*D13</f>
        <v>0.005649499927</v>
      </c>
      <c r="E15" s="570">
        <f t="shared" si="5"/>
        <v>0.002534078815</v>
      </c>
      <c r="F15" s="570">
        <f t="shared" si="5"/>
        <v>0.007307585273</v>
      </c>
      <c r="G15" s="570">
        <f t="shared" si="5"/>
        <v>0.02627964138</v>
      </c>
      <c r="H15" s="570">
        <f t="shared" si="5"/>
        <v>0.01416776737</v>
      </c>
      <c r="I15" s="570">
        <f t="shared" si="5"/>
        <v>0.01869060772</v>
      </c>
      <c r="J15" s="570">
        <f t="shared" si="5"/>
        <v>0.02117708385</v>
      </c>
      <c r="K15" s="570">
        <f t="shared" si="5"/>
        <v>0.008851245225</v>
      </c>
      <c r="L15" s="570">
        <f t="shared" si="5"/>
        <v>0.009158701421</v>
      </c>
    </row>
    <row r="16">
      <c r="A16" s="571" t="s">
        <v>84</v>
      </c>
      <c r="B16" s="572">
        <f t="shared" si="3"/>
        <v>1.442695041</v>
      </c>
      <c r="C16" s="572">
        <f t="array" ref="C16">index('Moral weights'!$A$1:$ZG$33,match($A16,'Moral weights'!$A$1:$A$33,0),match('Deworming - DtW'!B$1,'Moral weights'!$A$1:$ZG$1,0))</f>
        <v>1.442695041</v>
      </c>
      <c r="D16" s="320">
        <f t="shared" ref="D16:L16" si="6">$C$16</f>
        <v>1.442695041</v>
      </c>
      <c r="E16" s="320">
        <f t="shared" si="6"/>
        <v>1.442695041</v>
      </c>
      <c r="F16" s="320">
        <f t="shared" si="6"/>
        <v>1.442695041</v>
      </c>
      <c r="G16" s="320">
        <f t="shared" si="6"/>
        <v>1.442695041</v>
      </c>
      <c r="H16" s="320">
        <f t="shared" si="6"/>
        <v>1.442695041</v>
      </c>
      <c r="I16" s="320">
        <f t="shared" si="6"/>
        <v>1.442695041</v>
      </c>
      <c r="J16" s="320">
        <f t="shared" si="6"/>
        <v>1.442695041</v>
      </c>
      <c r="K16" s="320">
        <f t="shared" si="6"/>
        <v>1.442695041</v>
      </c>
      <c r="L16" s="320">
        <f t="shared" si="6"/>
        <v>1.442695041</v>
      </c>
    </row>
    <row r="17">
      <c r="A17" s="573" t="s">
        <v>412</v>
      </c>
      <c r="B17" s="574">
        <f t="shared" si="3"/>
        <v>0.01612138477</v>
      </c>
      <c r="C17" s="575">
        <f>(C15*$C$16)</f>
        <v>0.01612138477</v>
      </c>
      <c r="D17" s="575">
        <f t="shared" ref="D17:L17" si="7">(D15*D16)</f>
        <v>0.008150505528</v>
      </c>
      <c r="E17" s="575">
        <f t="shared" si="7"/>
        <v>0.00365590294</v>
      </c>
      <c r="F17" s="575">
        <f t="shared" si="7"/>
        <v>0.01054261703</v>
      </c>
      <c r="G17" s="575">
        <f t="shared" si="7"/>
        <v>0.03791350829</v>
      </c>
      <c r="H17" s="575">
        <f t="shared" si="7"/>
        <v>0.02043976772</v>
      </c>
      <c r="I17" s="575">
        <f t="shared" si="7"/>
        <v>0.02696484707</v>
      </c>
      <c r="J17" s="575">
        <f t="shared" si="7"/>
        <v>0.03055207385</v>
      </c>
      <c r="K17" s="575">
        <f t="shared" si="7"/>
        <v>0.01276964759</v>
      </c>
      <c r="L17" s="575">
        <f t="shared" si="7"/>
        <v>0.01321321312</v>
      </c>
    </row>
    <row r="18">
      <c r="A18" s="649" t="s">
        <v>413</v>
      </c>
      <c r="B18" s="650">
        <f t="shared" si="3"/>
        <v>0.98861</v>
      </c>
      <c r="C18" s="651">
        <v>0.98861</v>
      </c>
      <c r="D18" s="652">
        <f t="shared" ref="D18:L18" si="8">$C$18</f>
        <v>0.98861</v>
      </c>
      <c r="E18" s="652">
        <f t="shared" si="8"/>
        <v>0.98861</v>
      </c>
      <c r="F18" s="652">
        <f t="shared" si="8"/>
        <v>0.98861</v>
      </c>
      <c r="G18" s="652">
        <f t="shared" si="8"/>
        <v>0.98861</v>
      </c>
      <c r="H18" s="652">
        <f t="shared" si="8"/>
        <v>0.98861</v>
      </c>
      <c r="I18" s="652">
        <f t="shared" si="8"/>
        <v>0.98861</v>
      </c>
      <c r="J18" s="652">
        <f t="shared" si="8"/>
        <v>0.98861</v>
      </c>
      <c r="K18" s="652">
        <f t="shared" si="8"/>
        <v>0.98861</v>
      </c>
      <c r="L18" s="652">
        <f t="shared" si="8"/>
        <v>0.98861</v>
      </c>
    </row>
    <row r="19">
      <c r="A19" s="94" t="s">
        <v>414</v>
      </c>
      <c r="B19" s="318">
        <f t="shared" si="3"/>
        <v>101152.1227</v>
      </c>
      <c r="C19" s="296">
        <f t="shared" ref="C19:C20" si="10">sum(D19:L19)</f>
        <v>101152.1227</v>
      </c>
      <c r="D19" s="296">
        <f t="shared" ref="D19:L19" si="9">D11/D18</f>
        <v>22186.29598</v>
      </c>
      <c r="E19" s="296">
        <f t="shared" si="9"/>
        <v>19131.04999</v>
      </c>
      <c r="F19" s="296">
        <f t="shared" si="9"/>
        <v>15615.47678</v>
      </c>
      <c r="G19" s="296">
        <f t="shared" si="9"/>
        <v>19016.10016</v>
      </c>
      <c r="H19" s="296">
        <f t="shared" si="9"/>
        <v>6141.440503</v>
      </c>
      <c r="I19" s="296">
        <f t="shared" si="9"/>
        <v>7017.740424</v>
      </c>
      <c r="J19" s="296">
        <f t="shared" si="9"/>
        <v>7300.178574</v>
      </c>
      <c r="K19" s="296">
        <f t="shared" si="9"/>
        <v>3978.133324</v>
      </c>
      <c r="L19" s="296">
        <f t="shared" si="9"/>
        <v>765.7069455</v>
      </c>
    </row>
    <row r="20">
      <c r="A20" s="649" t="s">
        <v>351</v>
      </c>
      <c r="B20" s="289">
        <f t="shared" si="3"/>
        <v>1</v>
      </c>
      <c r="C20" s="180">
        <f t="shared" si="10"/>
        <v>1</v>
      </c>
      <c r="D20" s="47">
        <f>15.7635385452849%*100/71.8693821833439</f>
        <v>0.2193359407</v>
      </c>
      <c r="E20" s="47">
        <f>13.5927621383359%*100/71.8693821833439</f>
        <v>0.1891314733</v>
      </c>
      <c r="F20" s="47">
        <f>11.0949196019869%*100/71.8693821833439</f>
        <v>0.154376165</v>
      </c>
      <c r="G20" s="47">
        <f>13.5110893748189%*100/71.8693821833439</f>
        <v>0.1879950678</v>
      </c>
      <c r="H20" s="47">
        <f>4.36354198999784%*100/71.8693821833439</f>
        <v>0.06071489496</v>
      </c>
      <c r="I20" s="47">
        <f>4.98616000605503%*100/71.8693821833439</f>
        <v>0.06937808361</v>
      </c>
      <c r="J20" s="47">
        <f>5.18683454276367%*100/71.8693821833439</f>
        <v>0.07217029541</v>
      </c>
      <c r="K20" s="47">
        <f>2.82649515085857%*100/71.8693821833439</f>
        <v>0.03932822386</v>
      </c>
      <c r="L20" s="47">
        <f>0.54404083324221%*100/71.8693821833439</f>
        <v>0.007569855434</v>
      </c>
    </row>
    <row r="21">
      <c r="A21" s="653"/>
      <c r="B21" s="597"/>
      <c r="C21" s="415"/>
      <c r="D21" s="415"/>
      <c r="E21" s="415"/>
      <c r="F21" s="415"/>
      <c r="G21" s="415"/>
      <c r="H21" s="415"/>
      <c r="I21" s="415"/>
      <c r="J21" s="415"/>
      <c r="K21" s="415"/>
      <c r="L21" s="415"/>
    </row>
    <row r="22">
      <c r="A22" s="537"/>
      <c r="B22" s="597"/>
      <c r="C22" s="415"/>
      <c r="D22" s="415"/>
      <c r="E22" s="415"/>
      <c r="F22" s="415"/>
      <c r="G22" s="415"/>
      <c r="H22" s="415"/>
      <c r="I22" s="415"/>
      <c r="J22" s="415"/>
      <c r="K22" s="415"/>
      <c r="L22" s="415"/>
    </row>
    <row r="23">
      <c r="A23" s="654" t="s">
        <v>352</v>
      </c>
      <c r="B23" s="595"/>
      <c r="C23" s="596"/>
      <c r="D23" s="596"/>
      <c r="E23" s="596"/>
      <c r="F23" s="596"/>
      <c r="G23" s="596"/>
      <c r="H23" s="596"/>
      <c r="I23" s="596"/>
      <c r="J23" s="596"/>
      <c r="K23" s="596"/>
      <c r="L23" s="596"/>
    </row>
    <row r="24">
      <c r="A24" s="655"/>
      <c r="B24" s="597"/>
      <c r="C24" s="415"/>
      <c r="D24" s="415"/>
      <c r="E24" s="415"/>
      <c r="F24" s="656"/>
      <c r="G24" s="657"/>
      <c r="H24" s="415"/>
      <c r="I24" s="415"/>
      <c r="J24" s="415"/>
      <c r="K24" s="415"/>
      <c r="L24" s="415"/>
    </row>
    <row r="25">
      <c r="A25" s="537" t="s">
        <v>415</v>
      </c>
      <c r="B25" s="593">
        <f t="array" ref="B25">index(A25:L25,,match($A$3,$A$1:$L$1,0))</f>
        <v>0.006695105595</v>
      </c>
      <c r="C25" s="467">
        <f>product('Deworming - DtW'!C11:C13,C13)</f>
        <v>0.006695105595</v>
      </c>
      <c r="D25" s="467">
        <f>product('Deworming - DtW'!D11:D13,D13)</f>
        <v>0.0039546</v>
      </c>
      <c r="E25" s="467">
        <f>product('Deworming - DtW'!E11:E13,E13)</f>
        <v>0.0019773</v>
      </c>
      <c r="F25" s="467">
        <f>product('Deworming - DtW'!F11:F13,F13)</f>
        <v>0.00372645</v>
      </c>
      <c r="G25" s="467">
        <f>product('Deworming - DtW'!G11:G13,G13)</f>
        <v>0.0142974</v>
      </c>
      <c r="H25" s="467">
        <f>product('Deworming - DtW'!H11:H13,H13)</f>
        <v>0.00722475</v>
      </c>
      <c r="I25" s="467">
        <f>product('Deworming - DtW'!I11:I13,I13)</f>
        <v>0.0104949</v>
      </c>
      <c r="J25" s="467">
        <f>product('Deworming - DtW'!J11:J13,J13)</f>
        <v>0.0107991</v>
      </c>
      <c r="K25" s="467">
        <f>product('Deworming - DtW'!K11:K13,K13)</f>
        <v>0.00494325</v>
      </c>
      <c r="L25" s="467">
        <f>product('Deworming - DtW'!L11:L13,L13)</f>
        <v>0.00661635</v>
      </c>
    </row>
    <row r="26">
      <c r="A26" s="537"/>
      <c r="B26" s="597"/>
      <c r="C26" s="415"/>
      <c r="D26" s="415"/>
      <c r="E26" s="415"/>
      <c r="F26" s="656"/>
      <c r="G26" s="555"/>
      <c r="H26" s="415"/>
      <c r="I26" s="415"/>
      <c r="J26" s="415"/>
      <c r="K26" s="415"/>
      <c r="L26" s="415"/>
    </row>
    <row r="27">
      <c r="A27" s="658" t="s">
        <v>397</v>
      </c>
      <c r="B27" s="595"/>
      <c r="C27" s="596"/>
      <c r="D27" s="596"/>
      <c r="E27" s="596"/>
      <c r="F27" s="596"/>
      <c r="G27" s="596"/>
      <c r="H27" s="596"/>
      <c r="I27" s="596"/>
      <c r="J27" s="596"/>
      <c r="K27" s="596"/>
      <c r="L27" s="596"/>
    </row>
    <row r="28">
      <c r="A28" s="41"/>
      <c r="B28" s="597"/>
      <c r="C28" s="415"/>
      <c r="D28" s="415"/>
      <c r="E28" s="415"/>
      <c r="F28" s="415"/>
      <c r="G28" s="415"/>
      <c r="H28" s="415"/>
      <c r="I28" s="415"/>
      <c r="J28" s="415"/>
      <c r="K28" s="415"/>
      <c r="L28" s="415"/>
    </row>
    <row r="29">
      <c r="A29" s="659" t="str">
        <f t="shared" ref="A29:A30" si="12">A15</f>
        <v>Present value of lifetime benefits from a year of deworming — in terms of increases in ln(consumption) — SCI</v>
      </c>
      <c r="B29" s="660">
        <f t="shared" ref="B29:B33" si="13">index(A29:L29,,match($A$3,$A$1:$L$1,0))</f>
        <v>0.0111744924</v>
      </c>
      <c r="C29" s="660">
        <f t="shared" ref="C29:L29" si="11">C15</f>
        <v>0.0111744924</v>
      </c>
      <c r="D29" s="660">
        <f t="shared" si="11"/>
        <v>0.005649499927</v>
      </c>
      <c r="E29" s="660">
        <f t="shared" si="11"/>
        <v>0.002534078815</v>
      </c>
      <c r="F29" s="660">
        <f t="shared" si="11"/>
        <v>0.007307585273</v>
      </c>
      <c r="G29" s="660">
        <f t="shared" si="11"/>
        <v>0.02627964138</v>
      </c>
      <c r="H29" s="660">
        <f t="shared" si="11"/>
        <v>0.01416776737</v>
      </c>
      <c r="I29" s="660">
        <f t="shared" si="11"/>
        <v>0.01869060772</v>
      </c>
      <c r="J29" s="660">
        <f t="shared" si="11"/>
        <v>0.02117708385</v>
      </c>
      <c r="K29" s="660">
        <f t="shared" si="11"/>
        <v>0.008851245225</v>
      </c>
      <c r="L29" s="660">
        <f t="shared" si="11"/>
        <v>0.009158701421</v>
      </c>
    </row>
    <row r="30">
      <c r="A30" s="497" t="str">
        <f t="shared" si="12"/>
        <v>Value assigned to increasing ln(consumption) by one unit for one person for one year</v>
      </c>
      <c r="B30" s="499">
        <f t="shared" si="13"/>
        <v>1.442695041</v>
      </c>
      <c r="C30" s="499">
        <f t="shared" ref="C30:L30" si="14">C16</f>
        <v>1.442695041</v>
      </c>
      <c r="D30" s="499">
        <f t="shared" si="14"/>
        <v>1.442695041</v>
      </c>
      <c r="E30" s="499">
        <f t="shared" si="14"/>
        <v>1.442695041</v>
      </c>
      <c r="F30" s="499">
        <f t="shared" si="14"/>
        <v>1.442695041</v>
      </c>
      <c r="G30" s="499">
        <f t="shared" si="14"/>
        <v>1.442695041</v>
      </c>
      <c r="H30" s="499">
        <f t="shared" si="14"/>
        <v>1.442695041</v>
      </c>
      <c r="I30" s="499">
        <f t="shared" si="14"/>
        <v>1.442695041</v>
      </c>
      <c r="J30" s="499">
        <f t="shared" si="14"/>
        <v>1.442695041</v>
      </c>
      <c r="K30" s="499">
        <f t="shared" si="14"/>
        <v>1.442695041</v>
      </c>
      <c r="L30" s="499">
        <f t="shared" si="14"/>
        <v>1.442695041</v>
      </c>
    </row>
    <row r="31">
      <c r="A31" s="555" t="str">
        <f>A19</f>
        <v>Total number of children dewormed (per year) with hypothetical donation ($100,000) — SCI</v>
      </c>
      <c r="B31" s="502">
        <f t="shared" si="13"/>
        <v>101152.1227</v>
      </c>
      <c r="C31" s="502">
        <f t="shared" ref="C31:L31" si="15">C19</f>
        <v>101152.1227</v>
      </c>
      <c r="D31" s="502">
        <f t="shared" si="15"/>
        <v>22186.29598</v>
      </c>
      <c r="E31" s="502">
        <f t="shared" si="15"/>
        <v>19131.04999</v>
      </c>
      <c r="F31" s="502">
        <f t="shared" si="15"/>
        <v>15615.47678</v>
      </c>
      <c r="G31" s="502">
        <f t="shared" si="15"/>
        <v>19016.10016</v>
      </c>
      <c r="H31" s="502">
        <f t="shared" si="15"/>
        <v>6141.440503</v>
      </c>
      <c r="I31" s="502">
        <f t="shared" si="15"/>
        <v>7017.740424</v>
      </c>
      <c r="J31" s="502">
        <f t="shared" si="15"/>
        <v>7300.178574</v>
      </c>
      <c r="K31" s="502">
        <f t="shared" si="15"/>
        <v>3978.133324</v>
      </c>
      <c r="L31" s="502">
        <f t="shared" si="15"/>
        <v>765.7069455</v>
      </c>
    </row>
    <row r="32">
      <c r="A32" s="661" t="s">
        <v>416</v>
      </c>
      <c r="B32" s="662">
        <f t="shared" si="13"/>
        <v>1735.080172</v>
      </c>
      <c r="C32" s="663">
        <f>sum(D32:L32)</f>
        <v>1735.080172</v>
      </c>
      <c r="D32" s="663">
        <f t="shared" ref="D32:L32" si="16">product(D29:D31)</f>
        <v>180.829528</v>
      </c>
      <c r="E32" s="663">
        <f t="shared" si="16"/>
        <v>69.94126191</v>
      </c>
      <c r="F32" s="663">
        <f t="shared" si="16"/>
        <v>164.6279915</v>
      </c>
      <c r="G32" s="663">
        <f t="shared" si="16"/>
        <v>720.9670711</v>
      </c>
      <c r="H32" s="663">
        <f t="shared" si="16"/>
        <v>125.5296173</v>
      </c>
      <c r="I32" s="663">
        <f t="shared" si="16"/>
        <v>189.2322973</v>
      </c>
      <c r="J32" s="663">
        <f t="shared" si="16"/>
        <v>223.0355949</v>
      </c>
      <c r="K32" s="663">
        <f t="shared" si="16"/>
        <v>50.79936062</v>
      </c>
      <c r="L32" s="663">
        <f t="shared" si="16"/>
        <v>10.11744906</v>
      </c>
    </row>
    <row r="33">
      <c r="A33" s="506" t="s">
        <v>238</v>
      </c>
      <c r="B33" s="587">
        <f t="shared" si="13"/>
        <v>1735.080172</v>
      </c>
      <c r="C33" s="588">
        <f t="shared" ref="C33:L33" si="17">$C11/C11*C32</f>
        <v>1735.080172</v>
      </c>
      <c r="D33" s="588">
        <f t="shared" si="17"/>
        <v>824.440935</v>
      </c>
      <c r="E33" s="588">
        <f t="shared" si="17"/>
        <v>369.8023427</v>
      </c>
      <c r="F33" s="588">
        <f t="shared" si="17"/>
        <v>1066.408092</v>
      </c>
      <c r="G33" s="588">
        <f t="shared" si="17"/>
        <v>3835.031842</v>
      </c>
      <c r="H33" s="588">
        <f t="shared" si="17"/>
        <v>2067.525892</v>
      </c>
      <c r="I33" s="588">
        <f t="shared" si="17"/>
        <v>2727.551519</v>
      </c>
      <c r="J33" s="588">
        <f t="shared" si="17"/>
        <v>3090.407122</v>
      </c>
      <c r="K33" s="588">
        <f t="shared" si="17"/>
        <v>1291.67696</v>
      </c>
      <c r="L33" s="588">
        <f t="shared" si="17"/>
        <v>1336.544555</v>
      </c>
    </row>
    <row r="34">
      <c r="A34" s="655"/>
      <c r="B34" s="664"/>
      <c r="C34" s="665"/>
      <c r="D34" s="665"/>
      <c r="E34" s="665"/>
      <c r="F34" s="665"/>
      <c r="G34" s="665"/>
      <c r="H34" s="665"/>
      <c r="I34" s="665"/>
      <c r="J34" s="665"/>
      <c r="K34" s="665"/>
      <c r="L34" s="665"/>
    </row>
    <row r="35">
      <c r="A35" s="325" t="s">
        <v>239</v>
      </c>
      <c r="B35" s="508">
        <f t="array" ref="B35">index(C35:AA35,,match($A$3,$C$1:$AA$1,0))</f>
        <v>5.043476767</v>
      </c>
      <c r="C35" s="421">
        <f t="array" ref="C35">C33/index(Cash!$B:$B,match("Total units of value generated with hypothetical donation ($100,000)",Cash!$A:$A,0))</f>
        <v>5.043476767</v>
      </c>
      <c r="D35" s="421">
        <f t="array" ref="D35">D33/index(Cash!$B:$B,match("Total units of value generated with hypothetical donation ($100,000)",Cash!$A:$A,0))</f>
        <v>2.39645912</v>
      </c>
      <c r="E35" s="421">
        <f t="array" ref="E35">E33/index(Cash!$B:$B,match("Total units of value generated with hypothetical donation ($100,000)",Cash!$A:$A,0))</f>
        <v>1.074929882</v>
      </c>
      <c r="F35" s="421">
        <f t="array" ref="F35">F33/index(Cash!$B:$B,match("Total units of value generated with hypothetical donation ($100,000)",Cash!$A:$A,0))</f>
        <v>3.099801681</v>
      </c>
      <c r="G35" s="421">
        <f t="array" ref="G35">G33/index(Cash!$B:$B,match("Total units of value generated with hypothetical donation ($100,000)",Cash!$A:$A,0))</f>
        <v>11.14755059</v>
      </c>
      <c r="H35" s="421">
        <f t="array" ref="H35">H33/index(Cash!$B:$B,match("Total units of value generated with hypothetical donation ($100,000)",Cash!$A:$A,0))</f>
        <v>6.009819586</v>
      </c>
      <c r="I35" s="421">
        <f t="array" ref="I35">I33/index(Cash!$B:$B,match("Total units of value generated with hypothetical donation ($100,000)",Cash!$A:$A,0))</f>
        <v>7.928361432</v>
      </c>
      <c r="J35" s="421">
        <f t="array" ref="J35">J33/index(Cash!$B:$B,match("Total units of value generated with hypothetical donation ($100,000)",Cash!$A:$A,0))</f>
        <v>8.98309875</v>
      </c>
      <c r="K35" s="421">
        <f t="array" ref="K35">K33/index(Cash!$B:$B,match("Total units of value generated with hypothetical donation ($100,000)",Cash!$A:$A,0))</f>
        <v>3.754606181</v>
      </c>
      <c r="L35" s="421">
        <f t="array" ref="L35">L33/index(Cash!$B:$B,match("Total units of value generated with hypothetical donation ($100,000)",Cash!$A:$A,0))</f>
        <v>3.885025902</v>
      </c>
    </row>
    <row r="36">
      <c r="A36" s="415"/>
      <c r="B36" s="597"/>
      <c r="C36" s="415"/>
      <c r="D36" s="415"/>
      <c r="E36" s="415"/>
      <c r="F36" s="415"/>
      <c r="G36" s="415"/>
      <c r="H36" s="415"/>
      <c r="I36" s="415"/>
      <c r="J36" s="415"/>
      <c r="K36" s="415"/>
      <c r="L36" s="415"/>
    </row>
    <row r="37">
      <c r="A37" s="264" t="s">
        <v>240</v>
      </c>
      <c r="B37" s="595"/>
      <c r="C37" s="596"/>
      <c r="D37" s="596"/>
      <c r="E37" s="596"/>
      <c r="F37" s="596"/>
      <c r="G37" s="596"/>
      <c r="H37" s="596"/>
      <c r="I37" s="596"/>
      <c r="J37" s="596"/>
      <c r="K37" s="596"/>
      <c r="L37" s="596"/>
    </row>
    <row r="38" outlineLevel="1">
      <c r="A38" s="310"/>
      <c r="B38" s="597"/>
      <c r="C38" s="415"/>
      <c r="D38" s="415"/>
      <c r="E38" s="415"/>
      <c r="F38" s="415"/>
      <c r="G38" s="415"/>
      <c r="H38" s="415"/>
      <c r="I38" s="415"/>
      <c r="J38" s="415"/>
      <c r="K38" s="415"/>
      <c r="L38" s="415"/>
    </row>
    <row r="39" outlineLevel="1">
      <c r="A39" s="598" t="s">
        <v>355</v>
      </c>
      <c r="B39" s="597"/>
      <c r="C39" s="415"/>
      <c r="D39" s="415"/>
      <c r="E39" s="415"/>
      <c r="F39" s="415"/>
      <c r="G39" s="415"/>
      <c r="H39" s="415"/>
      <c r="I39" s="415"/>
      <c r="J39" s="415"/>
      <c r="K39" s="415"/>
      <c r="L39" s="415"/>
    </row>
    <row r="40" outlineLevel="1">
      <c r="A40" s="599" t="s">
        <v>356</v>
      </c>
      <c r="B40" s="652">
        <f t="shared" ref="B40:B45" si="18">index(A40:L40,,match($A$3,$A$1:$L$1,0))</f>
        <v>0.32258</v>
      </c>
      <c r="C40" s="510">
        <f>sumproduct(D40:T40,D7:T7)</f>
        <v>0.32258</v>
      </c>
      <c r="D40" s="666">
        <v>0.32258</v>
      </c>
      <c r="E40" s="666">
        <v>0.32258</v>
      </c>
      <c r="F40" s="666">
        <v>0.32258</v>
      </c>
      <c r="G40" s="666">
        <v>0.32258</v>
      </c>
      <c r="H40" s="666">
        <v>0.32258</v>
      </c>
      <c r="I40" s="666">
        <v>0.32258</v>
      </c>
      <c r="J40" s="666">
        <v>0.32258</v>
      </c>
      <c r="K40" s="666">
        <v>0.32258</v>
      </c>
      <c r="L40" s="666">
        <v>0.32258</v>
      </c>
    </row>
    <row r="41" outlineLevel="1">
      <c r="A41" s="599" t="s">
        <v>357</v>
      </c>
      <c r="B41" s="652">
        <f t="shared" si="18"/>
        <v>0.29658</v>
      </c>
      <c r="C41" s="510">
        <f>sumproduct(D41:T41,D7:T7)</f>
        <v>0.29658</v>
      </c>
      <c r="D41" s="666">
        <v>0.29658</v>
      </c>
      <c r="E41" s="666">
        <v>0.29658</v>
      </c>
      <c r="F41" s="666">
        <v>0.29658</v>
      </c>
      <c r="G41" s="666">
        <v>0.29658</v>
      </c>
      <c r="H41" s="666">
        <v>0.29658</v>
      </c>
      <c r="I41" s="666">
        <v>0.29658</v>
      </c>
      <c r="J41" s="666">
        <v>0.29658</v>
      </c>
      <c r="K41" s="666">
        <v>0.29658</v>
      </c>
      <c r="L41" s="666">
        <v>0.29658</v>
      </c>
    </row>
    <row r="42" outlineLevel="1">
      <c r="A42" s="599" t="s">
        <v>358</v>
      </c>
      <c r="B42" s="652">
        <f t="shared" si="18"/>
        <v>0</v>
      </c>
      <c r="C42" s="510">
        <f>sumproduct(D42:T42,D7:T7)</f>
        <v>0</v>
      </c>
      <c r="D42" s="490">
        <v>0.0</v>
      </c>
      <c r="E42" s="490">
        <v>0.0</v>
      </c>
      <c r="F42" s="490">
        <v>0.0</v>
      </c>
      <c r="G42" s="490">
        <v>0.0</v>
      </c>
      <c r="H42" s="490">
        <v>0.0</v>
      </c>
      <c r="I42" s="490">
        <v>0.0</v>
      </c>
      <c r="J42" s="490">
        <v>0.0</v>
      </c>
      <c r="K42" s="490">
        <v>0.0</v>
      </c>
      <c r="L42" s="490">
        <v>0.0</v>
      </c>
    </row>
    <row r="43" outlineLevel="1">
      <c r="A43" s="599" t="s">
        <v>359</v>
      </c>
      <c r="B43" s="652">
        <f t="shared" si="18"/>
        <v>0.36945</v>
      </c>
      <c r="C43" s="510">
        <f>sumproduct(D43:T43,D7:T7)</f>
        <v>0.36945</v>
      </c>
      <c r="D43" s="667">
        <v>0.36945</v>
      </c>
      <c r="E43" s="667">
        <v>0.36945</v>
      </c>
      <c r="F43" s="667">
        <v>0.36945</v>
      </c>
      <c r="G43" s="667">
        <v>0.36945</v>
      </c>
      <c r="H43" s="667">
        <v>0.36945</v>
      </c>
      <c r="I43" s="667">
        <v>0.36945</v>
      </c>
      <c r="J43" s="667">
        <v>0.36945</v>
      </c>
      <c r="K43" s="667">
        <v>0.36945</v>
      </c>
      <c r="L43" s="667">
        <v>0.36945</v>
      </c>
    </row>
    <row r="44" outlineLevel="1">
      <c r="A44" s="602" t="s">
        <v>360</v>
      </c>
      <c r="B44" s="603">
        <f t="shared" si="18"/>
        <v>0.98861</v>
      </c>
      <c r="C44" s="604">
        <f t="shared" ref="C44:L44" si="19">sum(C40:C43)</f>
        <v>0.98861</v>
      </c>
      <c r="D44" s="668">
        <f t="shared" si="19"/>
        <v>0.98861</v>
      </c>
      <c r="E44" s="668">
        <f t="shared" si="19"/>
        <v>0.98861</v>
      </c>
      <c r="F44" s="668">
        <f t="shared" si="19"/>
        <v>0.98861</v>
      </c>
      <c r="G44" s="668">
        <f t="shared" si="19"/>
        <v>0.98861</v>
      </c>
      <c r="H44" s="668">
        <f t="shared" si="19"/>
        <v>0.98861</v>
      </c>
      <c r="I44" s="668">
        <f t="shared" si="19"/>
        <v>0.98861</v>
      </c>
      <c r="J44" s="668">
        <f t="shared" si="19"/>
        <v>0.98861</v>
      </c>
      <c r="K44" s="668">
        <f t="shared" si="19"/>
        <v>0.98861</v>
      </c>
      <c r="L44" s="668">
        <f t="shared" si="19"/>
        <v>0.98861</v>
      </c>
    </row>
    <row r="45" outlineLevel="1">
      <c r="A45" s="339" t="s">
        <v>252</v>
      </c>
      <c r="B45" s="605">
        <f t="shared" si="18"/>
        <v>0</v>
      </c>
      <c r="C45" s="606">
        <f t="shared" ref="C45:L45" si="20">(C44-C18)/C44</f>
        <v>0</v>
      </c>
      <c r="D45" s="606">
        <f t="shared" si="20"/>
        <v>0</v>
      </c>
      <c r="E45" s="606">
        <f t="shared" si="20"/>
        <v>0</v>
      </c>
      <c r="F45" s="606">
        <f t="shared" si="20"/>
        <v>0</v>
      </c>
      <c r="G45" s="606">
        <f t="shared" si="20"/>
        <v>0</v>
      </c>
      <c r="H45" s="606">
        <f t="shared" si="20"/>
        <v>0</v>
      </c>
      <c r="I45" s="606">
        <f t="shared" si="20"/>
        <v>0</v>
      </c>
      <c r="J45" s="606">
        <f t="shared" si="20"/>
        <v>0</v>
      </c>
      <c r="K45" s="606">
        <f t="shared" si="20"/>
        <v>0</v>
      </c>
      <c r="L45" s="606">
        <f t="shared" si="20"/>
        <v>0</v>
      </c>
    </row>
    <row r="46" outlineLevel="1">
      <c r="A46" s="310"/>
      <c r="B46" s="597"/>
      <c r="C46" s="415"/>
      <c r="D46" s="415"/>
      <c r="E46" s="415"/>
      <c r="F46" s="415"/>
      <c r="G46" s="415"/>
      <c r="H46" s="415"/>
      <c r="I46" s="415"/>
      <c r="J46" s="415"/>
      <c r="K46" s="415"/>
      <c r="L46" s="415"/>
    </row>
    <row r="47" outlineLevel="1">
      <c r="A47" s="301" t="s">
        <v>361</v>
      </c>
      <c r="B47" s="597"/>
      <c r="C47" s="415"/>
      <c r="D47" s="415"/>
      <c r="E47" s="415"/>
      <c r="F47" s="415"/>
      <c r="G47" s="415"/>
      <c r="H47" s="415"/>
      <c r="I47" s="415"/>
      <c r="J47" s="415"/>
      <c r="K47" s="415"/>
      <c r="L47" s="415"/>
    </row>
    <row r="48" outlineLevel="1">
      <c r="A48" s="294" t="s">
        <v>356</v>
      </c>
      <c r="B48" s="607">
        <f t="shared" ref="B48:B52" si="22">index(A48:L48,,match($A$3,$A$1:$L$1,0))</f>
        <v>100000</v>
      </c>
      <c r="C48" s="607">
        <f t="shared" ref="C48:L48" si="21">C11</f>
        <v>100000</v>
      </c>
      <c r="D48" s="607">
        <f t="shared" si="21"/>
        <v>21933.59407</v>
      </c>
      <c r="E48" s="607">
        <f t="shared" si="21"/>
        <v>18913.14733</v>
      </c>
      <c r="F48" s="607">
        <f t="shared" si="21"/>
        <v>15437.6165</v>
      </c>
      <c r="G48" s="607">
        <f t="shared" si="21"/>
        <v>18799.50678</v>
      </c>
      <c r="H48" s="607">
        <f t="shared" si="21"/>
        <v>6071.489496</v>
      </c>
      <c r="I48" s="607">
        <f t="shared" si="21"/>
        <v>6937.808361</v>
      </c>
      <c r="J48" s="607">
        <f t="shared" si="21"/>
        <v>7217.029541</v>
      </c>
      <c r="K48" s="607">
        <f t="shared" si="21"/>
        <v>3932.822386</v>
      </c>
      <c r="L48" s="607">
        <f t="shared" si="21"/>
        <v>756.9855434</v>
      </c>
    </row>
    <row r="49" outlineLevel="1">
      <c r="A49" s="599" t="s">
        <v>357</v>
      </c>
      <c r="B49" s="607">
        <f t="shared" si="22"/>
        <v>91939.98388</v>
      </c>
      <c r="C49" s="608">
        <f t="shared" ref="C49:L49" si="23">(C41/C40)*C48</f>
        <v>91939.98388</v>
      </c>
      <c r="D49" s="608">
        <f t="shared" si="23"/>
        <v>20165.74285</v>
      </c>
      <c r="E49" s="608">
        <f t="shared" si="23"/>
        <v>17388.74461</v>
      </c>
      <c r="F49" s="608">
        <f t="shared" si="23"/>
        <v>14193.34212</v>
      </c>
      <c r="G49" s="608">
        <f t="shared" si="23"/>
        <v>17284.2635</v>
      </c>
      <c r="H49" s="608">
        <f t="shared" si="23"/>
        <v>5582.126464</v>
      </c>
      <c r="I49" s="608">
        <f t="shared" si="23"/>
        <v>6378.619889</v>
      </c>
      <c r="J49" s="608">
        <f t="shared" si="23"/>
        <v>6635.335796</v>
      </c>
      <c r="K49" s="608">
        <f t="shared" si="23"/>
        <v>3615.836267</v>
      </c>
      <c r="L49" s="608">
        <f t="shared" si="23"/>
        <v>695.9723866</v>
      </c>
    </row>
    <row r="50" outlineLevel="1">
      <c r="A50" s="599" t="s">
        <v>358</v>
      </c>
      <c r="B50" s="607">
        <f t="shared" si="22"/>
        <v>0</v>
      </c>
      <c r="C50" s="608">
        <f t="shared" ref="C50:L50" si="24">(C42/C40)*C48</f>
        <v>0</v>
      </c>
      <c r="D50" s="608">
        <f t="shared" si="24"/>
        <v>0</v>
      </c>
      <c r="E50" s="608">
        <f t="shared" si="24"/>
        <v>0</v>
      </c>
      <c r="F50" s="608">
        <f t="shared" si="24"/>
        <v>0</v>
      </c>
      <c r="G50" s="608">
        <f t="shared" si="24"/>
        <v>0</v>
      </c>
      <c r="H50" s="608">
        <f t="shared" si="24"/>
        <v>0</v>
      </c>
      <c r="I50" s="608">
        <f t="shared" si="24"/>
        <v>0</v>
      </c>
      <c r="J50" s="608">
        <f t="shared" si="24"/>
        <v>0</v>
      </c>
      <c r="K50" s="608">
        <f t="shared" si="24"/>
        <v>0</v>
      </c>
      <c r="L50" s="608">
        <f t="shared" si="24"/>
        <v>0</v>
      </c>
    </row>
    <row r="51" outlineLevel="1">
      <c r="A51" s="609" t="s">
        <v>359</v>
      </c>
      <c r="B51" s="610">
        <f t="shared" si="22"/>
        <v>114529.7291</v>
      </c>
      <c r="C51" s="611">
        <f t="shared" ref="C51:L51" si="25">(C43/C40)*C48</f>
        <v>114529.7291</v>
      </c>
      <c r="D51" s="611">
        <f t="shared" si="25"/>
        <v>25120.48586</v>
      </c>
      <c r="E51" s="611">
        <f t="shared" si="25"/>
        <v>21661.1764</v>
      </c>
      <c r="F51" s="611">
        <f t="shared" si="25"/>
        <v>17680.66035</v>
      </c>
      <c r="G51" s="611">
        <f t="shared" si="25"/>
        <v>21531.02418</v>
      </c>
      <c r="H51" s="611">
        <f t="shared" si="25"/>
        <v>6953.660469</v>
      </c>
      <c r="I51" s="611">
        <f t="shared" si="25"/>
        <v>7945.853118</v>
      </c>
      <c r="J51" s="611">
        <f t="shared" si="25"/>
        <v>8265.644379</v>
      </c>
      <c r="K51" s="611">
        <f t="shared" si="25"/>
        <v>4504.250823</v>
      </c>
      <c r="L51" s="611">
        <f t="shared" si="25"/>
        <v>866.9734918</v>
      </c>
    </row>
    <row r="52" outlineLevel="1">
      <c r="A52" s="612" t="s">
        <v>362</v>
      </c>
      <c r="B52" s="613">
        <f t="shared" si="22"/>
        <v>306469.7129</v>
      </c>
      <c r="C52" s="614">
        <f t="shared" ref="C52:L52" si="26">sum(C48:C51)</f>
        <v>306469.7129</v>
      </c>
      <c r="D52" s="614">
        <f t="shared" si="26"/>
        <v>67219.82277</v>
      </c>
      <c r="E52" s="614">
        <f t="shared" si="26"/>
        <v>57963.06833</v>
      </c>
      <c r="F52" s="614">
        <f t="shared" si="26"/>
        <v>47311.61897</v>
      </c>
      <c r="G52" s="614">
        <f t="shared" si="26"/>
        <v>57614.79446</v>
      </c>
      <c r="H52" s="614">
        <f t="shared" si="26"/>
        <v>18607.27643</v>
      </c>
      <c r="I52" s="614">
        <f t="shared" si="26"/>
        <v>21262.28137</v>
      </c>
      <c r="J52" s="614">
        <f t="shared" si="26"/>
        <v>22118.00972</v>
      </c>
      <c r="K52" s="614">
        <f t="shared" si="26"/>
        <v>12052.90948</v>
      </c>
      <c r="L52" s="614">
        <f t="shared" si="26"/>
        <v>2319.931422</v>
      </c>
    </row>
    <row r="53" outlineLevel="1">
      <c r="A53" s="310"/>
      <c r="B53" s="597"/>
      <c r="C53" s="415"/>
      <c r="D53" s="415"/>
      <c r="E53" s="415"/>
      <c r="F53" s="415"/>
      <c r="G53" s="415"/>
      <c r="H53" s="415"/>
      <c r="I53" s="415"/>
      <c r="J53" s="415"/>
      <c r="K53" s="415"/>
      <c r="L53" s="415"/>
    </row>
    <row r="54" outlineLevel="1">
      <c r="A54" s="301" t="s">
        <v>363</v>
      </c>
      <c r="B54" s="597"/>
      <c r="C54" s="415"/>
      <c r="D54" s="415"/>
      <c r="E54" s="415"/>
      <c r="F54" s="415"/>
      <c r="G54" s="415"/>
      <c r="H54" s="415"/>
      <c r="I54" s="415"/>
      <c r="J54" s="415"/>
      <c r="K54" s="415"/>
      <c r="L54" s="415"/>
    </row>
    <row r="55" outlineLevel="1">
      <c r="A55" s="294" t="s">
        <v>364</v>
      </c>
      <c r="B55" s="607">
        <f t="shared" ref="B55:B56" si="28">index(A55:L55,,match($A$3,$A$1:$L$1,0))</f>
        <v>100000</v>
      </c>
      <c r="C55" s="608">
        <f t="shared" ref="C55:L55" si="27">C48+C50</f>
        <v>100000</v>
      </c>
      <c r="D55" s="608">
        <f t="shared" si="27"/>
        <v>21933.59407</v>
      </c>
      <c r="E55" s="608">
        <f t="shared" si="27"/>
        <v>18913.14733</v>
      </c>
      <c r="F55" s="608">
        <f t="shared" si="27"/>
        <v>15437.6165</v>
      </c>
      <c r="G55" s="608">
        <f t="shared" si="27"/>
        <v>18799.50678</v>
      </c>
      <c r="H55" s="608">
        <f t="shared" si="27"/>
        <v>6071.489496</v>
      </c>
      <c r="I55" s="608">
        <f t="shared" si="27"/>
        <v>6937.808361</v>
      </c>
      <c r="J55" s="608">
        <f t="shared" si="27"/>
        <v>7217.029541</v>
      </c>
      <c r="K55" s="608">
        <f t="shared" si="27"/>
        <v>3932.822386</v>
      </c>
      <c r="L55" s="608">
        <f t="shared" si="27"/>
        <v>756.9855434</v>
      </c>
    </row>
    <row r="56" outlineLevel="1">
      <c r="A56" s="294" t="s">
        <v>365</v>
      </c>
      <c r="B56" s="607">
        <f t="shared" si="28"/>
        <v>206469.7129</v>
      </c>
      <c r="C56" s="608">
        <f t="shared" ref="C56:L56" si="29">C49+C51</f>
        <v>206469.7129</v>
      </c>
      <c r="D56" s="608">
        <f t="shared" si="29"/>
        <v>45286.2287</v>
      </c>
      <c r="E56" s="608">
        <f t="shared" si="29"/>
        <v>39049.921</v>
      </c>
      <c r="F56" s="608">
        <f t="shared" si="29"/>
        <v>31874.00247</v>
      </c>
      <c r="G56" s="608">
        <f t="shared" si="29"/>
        <v>38815.28768</v>
      </c>
      <c r="H56" s="608">
        <f t="shared" si="29"/>
        <v>12535.78693</v>
      </c>
      <c r="I56" s="608">
        <f t="shared" si="29"/>
        <v>14324.47301</v>
      </c>
      <c r="J56" s="608">
        <f t="shared" si="29"/>
        <v>14900.98018</v>
      </c>
      <c r="K56" s="608">
        <f t="shared" si="29"/>
        <v>8120.08709</v>
      </c>
      <c r="L56" s="608">
        <f t="shared" si="29"/>
        <v>1562.945878</v>
      </c>
    </row>
    <row r="57" outlineLevel="1">
      <c r="A57" s="310"/>
      <c r="B57" s="597"/>
      <c r="C57" s="415"/>
      <c r="D57" s="415"/>
      <c r="E57" s="415"/>
      <c r="F57" s="415"/>
      <c r="G57" s="415"/>
      <c r="H57" s="415"/>
      <c r="I57" s="415"/>
      <c r="J57" s="415"/>
      <c r="K57" s="415"/>
      <c r="L57" s="415"/>
    </row>
    <row r="58" outlineLevel="1">
      <c r="A58" s="509" t="s">
        <v>366</v>
      </c>
      <c r="B58" s="615"/>
      <c r="C58" s="460"/>
      <c r="D58" s="460"/>
      <c r="E58" s="460"/>
      <c r="F58" s="460"/>
      <c r="G58" s="460"/>
      <c r="H58" s="460"/>
      <c r="I58" s="460"/>
      <c r="J58" s="460"/>
      <c r="K58" s="460"/>
      <c r="L58" s="460"/>
    </row>
    <row r="59" outlineLevel="1">
      <c r="A59" s="599" t="s">
        <v>357</v>
      </c>
      <c r="B59" s="616">
        <f t="shared" ref="B59:B61" si="30">index(A59:L59,,match($A$3,$A$1:$L$1,0))</f>
        <v>357.7681507</v>
      </c>
      <c r="C59" s="617">
        <f>100000/'Counterfactual non-philanthropi'!$D$32*'Moral weights'!$B$6</f>
        <v>357.7681507</v>
      </c>
      <c r="D59" s="617">
        <f>100000/'Counterfactual non-philanthropi'!$D$32*'Moral weights'!$B$6</f>
        <v>357.7681507</v>
      </c>
      <c r="E59" s="617">
        <f>100000/'Counterfactual non-philanthropi'!$D$32*'Moral weights'!$B$6</f>
        <v>357.7681507</v>
      </c>
      <c r="F59" s="617">
        <f>100000/'Counterfactual non-philanthropi'!$D$32*'Moral weights'!$B$6</f>
        <v>357.7681507</v>
      </c>
      <c r="G59" s="617">
        <f>100000/'Counterfactual non-philanthropi'!$D$32*'Moral weights'!$B$6</f>
        <v>357.7681507</v>
      </c>
      <c r="H59" s="617">
        <f>100000/'Counterfactual non-philanthropi'!$D$32*'Moral weights'!$B$6</f>
        <v>357.7681507</v>
      </c>
      <c r="I59" s="617">
        <f>100000/'Counterfactual non-philanthropi'!$D$32*'Moral weights'!$B$6</f>
        <v>357.7681507</v>
      </c>
      <c r="J59" s="617">
        <f>100000/'Counterfactual non-philanthropi'!$D$32*'Moral weights'!$B$6</f>
        <v>357.7681507</v>
      </c>
      <c r="K59" s="617">
        <f>100000/'Counterfactual non-philanthropi'!$D$32*'Moral weights'!$B$6</f>
        <v>357.7681507</v>
      </c>
      <c r="L59" s="617">
        <f>100000/'Counterfactual non-philanthropi'!$D$32*'Moral weights'!$B$6</f>
        <v>357.7681507</v>
      </c>
    </row>
    <row r="60" outlineLevel="1">
      <c r="A60" s="599" t="s">
        <v>358</v>
      </c>
      <c r="B60" s="616">
        <f t="shared" si="30"/>
        <v>357.7681507</v>
      </c>
      <c r="C60" s="617">
        <f>100000/'Counterfactual non-philanthropi'!$D$32*'Moral weights'!$B$6</f>
        <v>357.7681507</v>
      </c>
      <c r="D60" s="617">
        <f>100000/'Counterfactual non-philanthropi'!$D$32*'Moral weights'!$B$6</f>
        <v>357.7681507</v>
      </c>
      <c r="E60" s="617">
        <f>100000/'Counterfactual non-philanthropi'!$D$32*'Moral weights'!$B$6</f>
        <v>357.7681507</v>
      </c>
      <c r="F60" s="617">
        <f>100000/'Counterfactual non-philanthropi'!$D$32*'Moral weights'!$B$6</f>
        <v>357.7681507</v>
      </c>
      <c r="G60" s="617">
        <f>100000/'Counterfactual non-philanthropi'!$D$32*'Moral weights'!$B$6</f>
        <v>357.7681507</v>
      </c>
      <c r="H60" s="617">
        <f>100000/'Counterfactual non-philanthropi'!$D$32*'Moral weights'!$B$6</f>
        <v>357.7681507</v>
      </c>
      <c r="I60" s="617">
        <f>100000/'Counterfactual non-philanthropi'!$D$32*'Moral weights'!$B$6</f>
        <v>357.7681507</v>
      </c>
      <c r="J60" s="617">
        <f>100000/'Counterfactual non-philanthropi'!$D$32*'Moral weights'!$B$6</f>
        <v>357.7681507</v>
      </c>
      <c r="K60" s="617">
        <f>100000/'Counterfactual non-philanthropi'!$D$32*'Moral weights'!$B$6</f>
        <v>357.7681507</v>
      </c>
      <c r="L60" s="617">
        <f>100000/'Counterfactual non-philanthropi'!$D$32*'Moral weights'!$B$6</f>
        <v>357.7681507</v>
      </c>
    </row>
    <row r="61" outlineLevel="1">
      <c r="A61" s="599" t="s">
        <v>359</v>
      </c>
      <c r="B61" s="616">
        <f t="shared" si="30"/>
        <v>659.4129308</v>
      </c>
      <c r="C61" s="617">
        <f>100000/'Counterfactual non-philanthropi'!$D$34*'Moral weights'!$B$6</f>
        <v>659.4129308</v>
      </c>
      <c r="D61" s="617">
        <f>100000/'Counterfactual non-philanthropi'!$D$34*'Moral weights'!$B$6</f>
        <v>659.4129308</v>
      </c>
      <c r="E61" s="617">
        <f>100000/'Counterfactual non-philanthropi'!$D$34*'Moral weights'!$B$6</f>
        <v>659.4129308</v>
      </c>
      <c r="F61" s="617">
        <f>100000/'Counterfactual non-philanthropi'!$D$34*'Moral weights'!$B$6</f>
        <v>659.4129308</v>
      </c>
      <c r="G61" s="617">
        <f>100000/'Counterfactual non-philanthropi'!$D$34*'Moral weights'!$B$6</f>
        <v>659.4129308</v>
      </c>
      <c r="H61" s="617">
        <f>100000/'Counterfactual non-philanthropi'!$D$34*'Moral weights'!$B$6</f>
        <v>659.4129308</v>
      </c>
      <c r="I61" s="617">
        <f>100000/'Counterfactual non-philanthropi'!$D$34*'Moral weights'!$B$6</f>
        <v>659.4129308</v>
      </c>
      <c r="J61" s="617">
        <f>100000/'Counterfactual non-philanthropi'!$D$34*'Moral weights'!$B$6</f>
        <v>659.4129308</v>
      </c>
      <c r="K61" s="617">
        <f>100000/'Counterfactual non-philanthropi'!$D$34*'Moral weights'!$B$6</f>
        <v>659.4129308</v>
      </c>
      <c r="L61" s="617">
        <f>100000/'Counterfactual non-philanthropi'!$D$34*'Moral weights'!$B$6</f>
        <v>659.4129308</v>
      </c>
    </row>
    <row r="62" outlineLevel="1">
      <c r="A62" s="599"/>
      <c r="B62" s="618"/>
      <c r="C62" s="453"/>
      <c r="D62" s="453"/>
      <c r="E62" s="453"/>
      <c r="F62" s="453"/>
      <c r="G62" s="453"/>
      <c r="H62" s="453"/>
      <c r="I62" s="453"/>
      <c r="J62" s="453"/>
      <c r="K62" s="453"/>
      <c r="L62" s="453"/>
    </row>
    <row r="63" outlineLevel="1">
      <c r="A63" s="509" t="s">
        <v>367</v>
      </c>
      <c r="B63" s="618"/>
      <c r="C63" s="453"/>
      <c r="D63" s="453"/>
      <c r="E63" s="453"/>
      <c r="F63" s="453"/>
      <c r="G63" s="453"/>
      <c r="H63" s="453"/>
      <c r="I63" s="453"/>
      <c r="J63" s="453"/>
      <c r="K63" s="453"/>
      <c r="L63" s="453"/>
    </row>
    <row r="64" outlineLevel="1">
      <c r="A64" s="460" t="s">
        <v>368</v>
      </c>
      <c r="B64" s="289">
        <f t="shared" ref="B64:B66" si="31">index(A64:L64,,match($A$3,$A$1:$L$1,0))</f>
        <v>0.2</v>
      </c>
      <c r="C64" s="47">
        <v>0.2</v>
      </c>
      <c r="D64" s="47">
        <v>0.2</v>
      </c>
      <c r="E64" s="47">
        <v>0.2</v>
      </c>
      <c r="F64" s="47">
        <v>0.2</v>
      </c>
      <c r="G64" s="47">
        <v>0.2</v>
      </c>
      <c r="H64" s="47">
        <v>0.2</v>
      </c>
      <c r="I64" s="47">
        <v>0.2</v>
      </c>
      <c r="J64" s="47">
        <v>0.2</v>
      </c>
      <c r="K64" s="47">
        <v>0.2</v>
      </c>
      <c r="L64" s="47">
        <v>0.2</v>
      </c>
    </row>
    <row r="65" outlineLevel="1">
      <c r="A65" s="599" t="s">
        <v>369</v>
      </c>
      <c r="B65" s="289">
        <f t="shared" si="31"/>
        <v>0</v>
      </c>
      <c r="C65" s="47">
        <v>0.0</v>
      </c>
      <c r="D65" s="47">
        <v>0.0</v>
      </c>
      <c r="E65" s="47">
        <v>0.0</v>
      </c>
      <c r="F65" s="47">
        <v>0.0</v>
      </c>
      <c r="G65" s="47">
        <v>0.0</v>
      </c>
      <c r="H65" s="47">
        <v>0.0</v>
      </c>
      <c r="I65" s="47">
        <v>0.0</v>
      </c>
      <c r="J65" s="47">
        <v>0.0</v>
      </c>
      <c r="K65" s="47">
        <v>0.0</v>
      </c>
      <c r="L65" s="47">
        <v>0.0</v>
      </c>
    </row>
    <row r="66" outlineLevel="1">
      <c r="A66" s="599" t="s">
        <v>370</v>
      </c>
      <c r="B66" s="289">
        <f t="shared" si="31"/>
        <v>0.8</v>
      </c>
      <c r="C66" s="47">
        <v>0.8</v>
      </c>
      <c r="D66" s="47">
        <v>0.8</v>
      </c>
      <c r="E66" s="47">
        <v>0.8</v>
      </c>
      <c r="F66" s="47">
        <v>0.8</v>
      </c>
      <c r="G66" s="47">
        <v>0.8</v>
      </c>
      <c r="H66" s="47">
        <v>0.8</v>
      </c>
      <c r="I66" s="47">
        <v>0.8</v>
      </c>
      <c r="J66" s="47">
        <v>0.8</v>
      </c>
      <c r="K66" s="47">
        <v>0.8</v>
      </c>
      <c r="L66" s="47">
        <v>0.8</v>
      </c>
    </row>
    <row r="67" outlineLevel="1">
      <c r="A67" s="460"/>
      <c r="B67" s="618"/>
      <c r="C67" s="453"/>
      <c r="D67" s="453"/>
      <c r="E67" s="453"/>
      <c r="F67" s="453"/>
      <c r="G67" s="453"/>
      <c r="H67" s="453"/>
      <c r="I67" s="453"/>
      <c r="J67" s="453"/>
      <c r="K67" s="453"/>
      <c r="L67" s="453"/>
    </row>
    <row r="68" outlineLevel="1">
      <c r="A68" s="620" t="s">
        <v>371</v>
      </c>
      <c r="B68" s="618"/>
      <c r="C68" s="453"/>
      <c r="D68" s="453"/>
      <c r="E68" s="453"/>
      <c r="F68" s="453"/>
      <c r="G68" s="453"/>
      <c r="H68" s="453"/>
      <c r="I68" s="453"/>
      <c r="J68" s="453"/>
      <c r="K68" s="453"/>
      <c r="L68" s="453"/>
    </row>
    <row r="69" outlineLevel="1">
      <c r="A69" s="460" t="s">
        <v>368</v>
      </c>
      <c r="B69" s="621">
        <f t="shared" ref="B69:B71" si="33">index(A69:L69,,match($A$3,$A$1:$L$1,0))</f>
        <v>1</v>
      </c>
      <c r="C69" s="39">
        <f t="shared" ref="C69:L69" si="32">1</f>
        <v>1</v>
      </c>
      <c r="D69" s="39">
        <f t="shared" si="32"/>
        <v>1</v>
      </c>
      <c r="E69" s="39">
        <f t="shared" si="32"/>
        <v>1</v>
      </c>
      <c r="F69" s="39">
        <f t="shared" si="32"/>
        <v>1</v>
      </c>
      <c r="G69" s="39">
        <f t="shared" si="32"/>
        <v>1</v>
      </c>
      <c r="H69" s="39">
        <f t="shared" si="32"/>
        <v>1</v>
      </c>
      <c r="I69" s="39">
        <f t="shared" si="32"/>
        <v>1</v>
      </c>
      <c r="J69" s="39">
        <f t="shared" si="32"/>
        <v>1</v>
      </c>
      <c r="K69" s="39">
        <f t="shared" si="32"/>
        <v>1</v>
      </c>
      <c r="L69" s="39">
        <f t="shared" si="32"/>
        <v>1</v>
      </c>
    </row>
    <row r="70" outlineLevel="1">
      <c r="A70" s="599" t="s">
        <v>369</v>
      </c>
      <c r="B70" s="621">
        <f t="shared" si="33"/>
        <v>0</v>
      </c>
      <c r="C70" s="39">
        <f t="shared" ref="C70:L70" si="34">C50/C55</f>
        <v>0</v>
      </c>
      <c r="D70" s="39">
        <f t="shared" si="34"/>
        <v>0</v>
      </c>
      <c r="E70" s="39">
        <f t="shared" si="34"/>
        <v>0</v>
      </c>
      <c r="F70" s="39">
        <f t="shared" si="34"/>
        <v>0</v>
      </c>
      <c r="G70" s="39">
        <f t="shared" si="34"/>
        <v>0</v>
      </c>
      <c r="H70" s="39">
        <f t="shared" si="34"/>
        <v>0</v>
      </c>
      <c r="I70" s="39">
        <f t="shared" si="34"/>
        <v>0</v>
      </c>
      <c r="J70" s="39">
        <f t="shared" si="34"/>
        <v>0</v>
      </c>
      <c r="K70" s="39">
        <f t="shared" si="34"/>
        <v>0</v>
      </c>
      <c r="L70" s="39">
        <f t="shared" si="34"/>
        <v>0</v>
      </c>
    </row>
    <row r="71" outlineLevel="1">
      <c r="A71" s="599" t="s">
        <v>370</v>
      </c>
      <c r="B71" s="622">
        <f t="shared" si="33"/>
        <v>0</v>
      </c>
      <c r="C71" s="669">
        <v>0.0</v>
      </c>
      <c r="D71" s="669">
        <v>0.0</v>
      </c>
      <c r="E71" s="669">
        <v>0.0</v>
      </c>
      <c r="F71" s="669">
        <v>0.0</v>
      </c>
      <c r="G71" s="669">
        <v>0.0</v>
      </c>
      <c r="H71" s="669">
        <v>0.0</v>
      </c>
      <c r="I71" s="669">
        <v>0.0</v>
      </c>
      <c r="J71" s="669">
        <v>0.0</v>
      </c>
      <c r="K71" s="669">
        <v>0.0</v>
      </c>
      <c r="L71" s="669">
        <v>0.0</v>
      </c>
    </row>
    <row r="72" outlineLevel="1">
      <c r="B72" s="618"/>
      <c r="C72" s="453"/>
      <c r="D72" s="453"/>
      <c r="E72" s="453"/>
      <c r="F72" s="453"/>
      <c r="G72" s="453"/>
      <c r="H72" s="453"/>
      <c r="I72" s="453"/>
      <c r="J72" s="453"/>
      <c r="K72" s="453"/>
      <c r="L72" s="453"/>
    </row>
    <row r="73" outlineLevel="1">
      <c r="A73" s="509" t="s">
        <v>372</v>
      </c>
      <c r="B73" s="618"/>
      <c r="C73" s="453"/>
      <c r="D73" s="453"/>
      <c r="E73" s="453"/>
      <c r="F73" s="453"/>
      <c r="G73" s="453"/>
      <c r="H73" s="453"/>
      <c r="I73" s="453"/>
      <c r="J73" s="453"/>
      <c r="K73" s="453"/>
      <c r="L73" s="453"/>
    </row>
    <row r="74" outlineLevel="1">
      <c r="A74" s="460" t="s">
        <v>368</v>
      </c>
      <c r="B74" s="318"/>
      <c r="C74" s="270"/>
    </row>
    <row r="75" outlineLevel="1">
      <c r="A75" s="625" t="s">
        <v>373</v>
      </c>
      <c r="B75" s="318">
        <f t="shared" ref="B75:B77" si="35">index(A75:L75,,match($A$3,$A$1:$L$1,0))</f>
        <v>0</v>
      </c>
      <c r="C75" s="270">
        <f t="shared" ref="C75:C77" si="36">sumif(D75:T75,"&lt;&gt;#DIV/0!")</f>
        <v>0</v>
      </c>
      <c r="D75" s="272">
        <v>0.0</v>
      </c>
      <c r="E75" s="272">
        <v>0.0</v>
      </c>
      <c r="F75" s="272">
        <v>0.0</v>
      </c>
      <c r="G75" s="272">
        <v>0.0</v>
      </c>
      <c r="H75" s="272">
        <v>0.0</v>
      </c>
      <c r="I75" s="272">
        <v>0.0</v>
      </c>
      <c r="J75" s="272">
        <v>0.0</v>
      </c>
      <c r="K75" s="272">
        <v>0.0</v>
      </c>
      <c r="L75" s="272">
        <v>0.0</v>
      </c>
    </row>
    <row r="76" outlineLevel="1">
      <c r="A76" s="625" t="s">
        <v>374</v>
      </c>
      <c r="B76" s="318">
        <f t="shared" si="35"/>
        <v>-100000</v>
      </c>
      <c r="C76" s="270">
        <f t="shared" si="36"/>
        <v>-100000</v>
      </c>
      <c r="D76" s="270">
        <f t="shared" ref="D76:L76" si="37">-D48</f>
        <v>-21933.59407</v>
      </c>
      <c r="E76" s="270">
        <f t="shared" si="37"/>
        <v>-18913.14733</v>
      </c>
      <c r="F76" s="270">
        <f t="shared" si="37"/>
        <v>-15437.6165</v>
      </c>
      <c r="G76" s="270">
        <f t="shared" si="37"/>
        <v>-18799.50678</v>
      </c>
      <c r="H76" s="270">
        <f t="shared" si="37"/>
        <v>-6071.489496</v>
      </c>
      <c r="I76" s="270">
        <f t="shared" si="37"/>
        <v>-6937.808361</v>
      </c>
      <c r="J76" s="270">
        <f t="shared" si="37"/>
        <v>-7217.029541</v>
      </c>
      <c r="K76" s="270">
        <f t="shared" si="37"/>
        <v>-3932.822386</v>
      </c>
      <c r="L76" s="270">
        <f t="shared" si="37"/>
        <v>-756.9855434</v>
      </c>
    </row>
    <row r="77" outlineLevel="1">
      <c r="A77" s="625" t="s">
        <v>375</v>
      </c>
      <c r="B77" s="318">
        <f t="shared" si="35"/>
        <v>0</v>
      </c>
      <c r="C77" s="270">
        <f t="shared" si="36"/>
        <v>0</v>
      </c>
      <c r="D77" s="272">
        <v>0.0</v>
      </c>
      <c r="E77" s="272">
        <v>0.0</v>
      </c>
      <c r="F77" s="272">
        <v>0.0</v>
      </c>
      <c r="G77" s="272">
        <v>0.0</v>
      </c>
      <c r="H77" s="272">
        <v>0.0</v>
      </c>
      <c r="I77" s="272">
        <v>0.0</v>
      </c>
      <c r="J77" s="272">
        <v>0.0</v>
      </c>
      <c r="K77" s="272">
        <v>0.0</v>
      </c>
      <c r="L77" s="272">
        <v>0.0</v>
      </c>
    </row>
    <row r="78" outlineLevel="1">
      <c r="A78" s="625"/>
      <c r="B78" s="318"/>
      <c r="C78" s="270"/>
      <c r="D78" s="57"/>
      <c r="E78" s="57"/>
      <c r="F78" s="57"/>
      <c r="G78" s="57"/>
      <c r="H78" s="57"/>
      <c r="I78" s="57"/>
      <c r="J78" s="57"/>
      <c r="K78" s="57"/>
      <c r="L78" s="57"/>
    </row>
    <row r="79" outlineLevel="1">
      <c r="A79" s="625" t="s">
        <v>369</v>
      </c>
      <c r="B79" s="626"/>
      <c r="C79" s="269"/>
      <c r="D79" s="31"/>
      <c r="E79" s="31"/>
      <c r="F79" s="31"/>
      <c r="G79" s="31"/>
      <c r="H79" s="31"/>
      <c r="I79" s="31"/>
      <c r="J79" s="31"/>
      <c r="K79" s="31"/>
      <c r="L79" s="31"/>
    </row>
    <row r="80" outlineLevel="1">
      <c r="A80" s="460" t="s">
        <v>373</v>
      </c>
      <c r="B80" s="318">
        <f t="shared" ref="B80:B82" si="39">index(A80:L80,,match($A$3,$A$1:$L$1,0))</f>
        <v>91939.98388</v>
      </c>
      <c r="C80" s="270">
        <f t="shared" ref="C80:C82" si="40">sumif(D80:T80,"&lt;&gt;#DIV/0!")</f>
        <v>91939.98388</v>
      </c>
      <c r="D80" s="319">
        <f t="shared" ref="D80:L80" si="38">D49-D70*D49</f>
        <v>20165.74285</v>
      </c>
      <c r="E80" s="319">
        <f t="shared" si="38"/>
        <v>17388.74461</v>
      </c>
      <c r="F80" s="319">
        <f t="shared" si="38"/>
        <v>14193.34212</v>
      </c>
      <c r="G80" s="319">
        <f t="shared" si="38"/>
        <v>17284.2635</v>
      </c>
      <c r="H80" s="319">
        <f t="shared" si="38"/>
        <v>5582.126464</v>
      </c>
      <c r="I80" s="319">
        <f t="shared" si="38"/>
        <v>6378.619889</v>
      </c>
      <c r="J80" s="319">
        <f t="shared" si="38"/>
        <v>6635.335796</v>
      </c>
      <c r="K80" s="319">
        <f t="shared" si="38"/>
        <v>3615.836267</v>
      </c>
      <c r="L80" s="319">
        <f t="shared" si="38"/>
        <v>695.9723866</v>
      </c>
    </row>
    <row r="81" outlineLevel="1">
      <c r="A81" s="460" t="s">
        <v>374</v>
      </c>
      <c r="B81" s="318">
        <f t="shared" si="39"/>
        <v>0</v>
      </c>
      <c r="C81" s="270">
        <f t="shared" si="40"/>
        <v>0</v>
      </c>
      <c r="D81" s="272">
        <v>0.0</v>
      </c>
      <c r="E81" s="272">
        <v>0.0</v>
      </c>
      <c r="F81" s="272">
        <v>0.0</v>
      </c>
      <c r="G81" s="272">
        <v>0.0</v>
      </c>
      <c r="H81" s="272">
        <v>0.0</v>
      </c>
      <c r="I81" s="272">
        <v>0.0</v>
      </c>
      <c r="J81" s="272">
        <v>0.0</v>
      </c>
      <c r="K81" s="272">
        <v>0.0</v>
      </c>
      <c r="L81" s="272">
        <v>0.0</v>
      </c>
    </row>
    <row r="82" outlineLevel="1">
      <c r="A82" s="460" t="s">
        <v>375</v>
      </c>
      <c r="B82" s="318">
        <f t="shared" si="39"/>
        <v>114529.7291</v>
      </c>
      <c r="C82" s="270">
        <f t="shared" si="40"/>
        <v>114529.7291</v>
      </c>
      <c r="D82" s="270">
        <f t="shared" ref="D82:L82" si="41">D51-D51*D70</f>
        <v>25120.48586</v>
      </c>
      <c r="E82" s="270">
        <f t="shared" si="41"/>
        <v>21661.1764</v>
      </c>
      <c r="F82" s="270">
        <f t="shared" si="41"/>
        <v>17680.66035</v>
      </c>
      <c r="G82" s="270">
        <f t="shared" si="41"/>
        <v>21531.02418</v>
      </c>
      <c r="H82" s="270">
        <f t="shared" si="41"/>
        <v>6953.660469</v>
      </c>
      <c r="I82" s="270">
        <f t="shared" si="41"/>
        <v>7945.853118</v>
      </c>
      <c r="J82" s="270">
        <f t="shared" si="41"/>
        <v>8265.644379</v>
      </c>
      <c r="K82" s="270">
        <f t="shared" si="41"/>
        <v>4504.250823</v>
      </c>
      <c r="L82" s="270">
        <f t="shared" si="41"/>
        <v>866.9734918</v>
      </c>
    </row>
    <row r="83" outlineLevel="1">
      <c r="A83" s="625"/>
      <c r="B83" s="318"/>
      <c r="C83" s="270"/>
      <c r="D83" s="57"/>
      <c r="E83" s="57"/>
      <c r="F83" s="57"/>
      <c r="G83" s="57"/>
      <c r="H83" s="57"/>
      <c r="I83" s="57"/>
      <c r="J83" s="57"/>
      <c r="K83" s="57"/>
      <c r="L83" s="57"/>
    </row>
    <row r="84" outlineLevel="1">
      <c r="A84" s="625" t="s">
        <v>370</v>
      </c>
      <c r="B84" s="318"/>
      <c r="C84" s="270"/>
      <c r="D84" s="318"/>
      <c r="E84" s="318"/>
      <c r="F84" s="318"/>
      <c r="G84" s="318"/>
      <c r="H84" s="318"/>
      <c r="I84" s="318"/>
      <c r="J84" s="318"/>
      <c r="K84" s="318"/>
      <c r="L84" s="318"/>
    </row>
    <row r="85" outlineLevel="1">
      <c r="A85" s="460" t="s">
        <v>373</v>
      </c>
      <c r="B85" s="318">
        <f t="shared" ref="B85:B87" si="43">index(A85:L85,,match($A$3,$A$1:$L$1,0))</f>
        <v>91939.98388</v>
      </c>
      <c r="C85" s="270">
        <f t="shared" ref="C85:C87" si="44">sumif(D85:T85,"&lt;&gt;#DIV/0!")</f>
        <v>91939.98388</v>
      </c>
      <c r="D85" s="460">
        <f t="shared" ref="D85:L85" si="42">D49</f>
        <v>20165.74285</v>
      </c>
      <c r="E85" s="460">
        <f t="shared" si="42"/>
        <v>17388.74461</v>
      </c>
      <c r="F85" s="460">
        <f t="shared" si="42"/>
        <v>14193.34212</v>
      </c>
      <c r="G85" s="460">
        <f t="shared" si="42"/>
        <v>17284.2635</v>
      </c>
      <c r="H85" s="460">
        <f t="shared" si="42"/>
        <v>5582.126464</v>
      </c>
      <c r="I85" s="460">
        <f t="shared" si="42"/>
        <v>6378.619889</v>
      </c>
      <c r="J85" s="460">
        <f t="shared" si="42"/>
        <v>6635.335796</v>
      </c>
      <c r="K85" s="460">
        <f t="shared" si="42"/>
        <v>3615.836267</v>
      </c>
      <c r="L85" s="460">
        <f t="shared" si="42"/>
        <v>695.9723866</v>
      </c>
    </row>
    <row r="86" outlineLevel="1">
      <c r="A86" s="460" t="s">
        <v>374</v>
      </c>
      <c r="B86" s="318">
        <f t="shared" si="43"/>
        <v>0</v>
      </c>
      <c r="C86" s="270">
        <f t="shared" si="44"/>
        <v>0</v>
      </c>
      <c r="D86" s="460">
        <f t="shared" ref="D86:L86" si="45">D50</f>
        <v>0</v>
      </c>
      <c r="E86" s="460">
        <f t="shared" si="45"/>
        <v>0</v>
      </c>
      <c r="F86" s="460">
        <f t="shared" si="45"/>
        <v>0</v>
      </c>
      <c r="G86" s="460">
        <f t="shared" si="45"/>
        <v>0</v>
      </c>
      <c r="H86" s="460">
        <f t="shared" si="45"/>
        <v>0</v>
      </c>
      <c r="I86" s="460">
        <f t="shared" si="45"/>
        <v>0</v>
      </c>
      <c r="J86" s="460">
        <f t="shared" si="45"/>
        <v>0</v>
      </c>
      <c r="K86" s="460">
        <f t="shared" si="45"/>
        <v>0</v>
      </c>
      <c r="L86" s="460">
        <f t="shared" si="45"/>
        <v>0</v>
      </c>
    </row>
    <row r="87" outlineLevel="1">
      <c r="A87" s="460" t="s">
        <v>375</v>
      </c>
      <c r="B87" s="318">
        <f t="shared" si="43"/>
        <v>114529.7291</v>
      </c>
      <c r="C87" s="270">
        <f t="shared" si="44"/>
        <v>114529.7291</v>
      </c>
      <c r="D87" s="460">
        <f t="shared" ref="D87:L87" si="46">D51</f>
        <v>25120.48586</v>
      </c>
      <c r="E87" s="460">
        <f t="shared" si="46"/>
        <v>21661.1764</v>
      </c>
      <c r="F87" s="460">
        <f t="shared" si="46"/>
        <v>17680.66035</v>
      </c>
      <c r="G87" s="460">
        <f t="shared" si="46"/>
        <v>21531.02418</v>
      </c>
      <c r="H87" s="460">
        <f t="shared" si="46"/>
        <v>6953.660469</v>
      </c>
      <c r="I87" s="460">
        <f t="shared" si="46"/>
        <v>7945.853118</v>
      </c>
      <c r="J87" s="460">
        <f t="shared" si="46"/>
        <v>8265.644379</v>
      </c>
      <c r="K87" s="460">
        <f t="shared" si="46"/>
        <v>4504.250823</v>
      </c>
      <c r="L87" s="460">
        <f t="shared" si="46"/>
        <v>866.9734918</v>
      </c>
    </row>
    <row r="88" outlineLevel="1">
      <c r="A88" s="460"/>
      <c r="B88" s="618"/>
      <c r="C88" s="453"/>
      <c r="D88" s="453"/>
      <c r="E88" s="453"/>
      <c r="F88" s="453"/>
      <c r="G88" s="453"/>
      <c r="H88" s="453"/>
      <c r="I88" s="453"/>
      <c r="J88" s="453"/>
      <c r="K88" s="453"/>
      <c r="L88" s="453"/>
    </row>
    <row r="89" outlineLevel="1">
      <c r="A89" s="525" t="s">
        <v>376</v>
      </c>
      <c r="B89" s="618"/>
      <c r="C89" s="453"/>
      <c r="D89" s="453"/>
      <c r="E89" s="453"/>
      <c r="F89" s="453"/>
      <c r="G89" s="453"/>
      <c r="H89" s="453"/>
      <c r="I89" s="453"/>
      <c r="J89" s="453"/>
      <c r="K89" s="453"/>
      <c r="L89" s="453"/>
    </row>
    <row r="90" outlineLevel="1">
      <c r="A90" s="460" t="s">
        <v>368</v>
      </c>
      <c r="B90" s="318"/>
      <c r="C90" s="270"/>
      <c r="D90" s="270"/>
      <c r="E90" s="270"/>
      <c r="F90" s="270"/>
      <c r="G90" s="270"/>
      <c r="H90" s="270"/>
      <c r="I90" s="270"/>
      <c r="J90" s="270"/>
      <c r="K90" s="270"/>
      <c r="L90" s="270"/>
    </row>
    <row r="91" outlineLevel="1">
      <c r="A91" s="460" t="s">
        <v>373</v>
      </c>
      <c r="B91" s="318">
        <f t="shared" ref="B91:B93" si="48">index(A91:L91,,match($A$3,$A$1:$L$1,0))</f>
        <v>0</v>
      </c>
      <c r="C91" s="270">
        <f t="shared" ref="C91:C93" si="49">sumif(D91:T91,"&lt;&gt;#DIV/0!")</f>
        <v>0</v>
      </c>
      <c r="D91" s="270">
        <f t="shared" ref="D91:L91" si="47">D32/D11*D75</f>
        <v>0</v>
      </c>
      <c r="E91" s="270">
        <f t="shared" si="47"/>
        <v>0</v>
      </c>
      <c r="F91" s="270">
        <f t="shared" si="47"/>
        <v>0</v>
      </c>
      <c r="G91" s="270">
        <f t="shared" si="47"/>
        <v>0</v>
      </c>
      <c r="H91" s="270">
        <f t="shared" si="47"/>
        <v>0</v>
      </c>
      <c r="I91" s="270">
        <f t="shared" si="47"/>
        <v>0</v>
      </c>
      <c r="J91" s="270">
        <f t="shared" si="47"/>
        <v>0</v>
      </c>
      <c r="K91" s="270">
        <f t="shared" si="47"/>
        <v>0</v>
      </c>
      <c r="L91" s="270">
        <f t="shared" si="47"/>
        <v>0</v>
      </c>
    </row>
    <row r="92" outlineLevel="1">
      <c r="A92" s="460" t="s">
        <v>374</v>
      </c>
      <c r="B92" s="318">
        <f t="shared" si="48"/>
        <v>-1735.080172</v>
      </c>
      <c r="C92" s="270">
        <f t="shared" si="49"/>
        <v>-1735.080172</v>
      </c>
      <c r="D92" s="270">
        <f t="shared" ref="D92:L92" si="50">D32/D11*D76</f>
        <v>-180.829528</v>
      </c>
      <c r="E92" s="270">
        <f t="shared" si="50"/>
        <v>-69.94126191</v>
      </c>
      <c r="F92" s="270">
        <f t="shared" si="50"/>
        <v>-164.6279915</v>
      </c>
      <c r="G92" s="270">
        <f t="shared" si="50"/>
        <v>-720.9670711</v>
      </c>
      <c r="H92" s="270">
        <f t="shared" si="50"/>
        <v>-125.5296173</v>
      </c>
      <c r="I92" s="270">
        <f t="shared" si="50"/>
        <v>-189.2322973</v>
      </c>
      <c r="J92" s="270">
        <f t="shared" si="50"/>
        <v>-223.0355949</v>
      </c>
      <c r="K92" s="270">
        <f t="shared" si="50"/>
        <v>-50.79936062</v>
      </c>
      <c r="L92" s="270">
        <f t="shared" si="50"/>
        <v>-10.11744906</v>
      </c>
    </row>
    <row r="93" outlineLevel="1">
      <c r="A93" s="460" t="s">
        <v>375</v>
      </c>
      <c r="B93" s="318">
        <f t="shared" si="48"/>
        <v>0</v>
      </c>
      <c r="C93" s="270">
        <f t="shared" si="49"/>
        <v>0</v>
      </c>
      <c r="D93" s="270">
        <f t="shared" ref="D93:L93" si="51">D32/D11*D77</f>
        <v>0</v>
      </c>
      <c r="E93" s="270">
        <f t="shared" si="51"/>
        <v>0</v>
      </c>
      <c r="F93" s="270">
        <f t="shared" si="51"/>
        <v>0</v>
      </c>
      <c r="G93" s="270">
        <f t="shared" si="51"/>
        <v>0</v>
      </c>
      <c r="H93" s="270">
        <f t="shared" si="51"/>
        <v>0</v>
      </c>
      <c r="I93" s="270">
        <f t="shared" si="51"/>
        <v>0</v>
      </c>
      <c r="J93" s="270">
        <f t="shared" si="51"/>
        <v>0</v>
      </c>
      <c r="K93" s="270">
        <f t="shared" si="51"/>
        <v>0</v>
      </c>
      <c r="L93" s="270">
        <f t="shared" si="51"/>
        <v>0</v>
      </c>
    </row>
    <row r="94" outlineLevel="1">
      <c r="A94" s="625"/>
      <c r="B94" s="318"/>
      <c r="C94" s="270"/>
      <c r="D94" s="270"/>
      <c r="E94" s="270"/>
      <c r="F94" s="270"/>
      <c r="G94" s="270"/>
      <c r="H94" s="270"/>
      <c r="I94" s="270"/>
      <c r="J94" s="270"/>
      <c r="K94" s="270"/>
      <c r="L94" s="270"/>
    </row>
    <row r="95" outlineLevel="1">
      <c r="A95" s="625" t="s">
        <v>369</v>
      </c>
      <c r="B95" s="318"/>
      <c r="C95" s="270"/>
      <c r="D95" s="270"/>
      <c r="E95" s="270"/>
      <c r="F95" s="270"/>
      <c r="G95" s="270"/>
      <c r="H95" s="270"/>
      <c r="I95" s="270"/>
      <c r="J95" s="270"/>
      <c r="K95" s="270"/>
      <c r="L95" s="270"/>
    </row>
    <row r="96" outlineLevel="1">
      <c r="A96" s="460" t="s">
        <v>373</v>
      </c>
      <c r="B96" s="318">
        <f t="shared" ref="B96:B98" si="53">index(A96:L96,,match($A$3,$A$1:$L$1,0))</f>
        <v>1595.23243</v>
      </c>
      <c r="C96" s="270">
        <f t="shared" ref="C96:C98" si="54">sumif(D96:T96,"&lt;&gt;#DIV/0!")</f>
        <v>1595.23243</v>
      </c>
      <c r="D96" s="270">
        <f t="shared" ref="D96:L96" si="52">D32/D11*D80</f>
        <v>166.2546389</v>
      </c>
      <c r="E96" s="270">
        <f t="shared" si="52"/>
        <v>64.30398492</v>
      </c>
      <c r="F96" s="270">
        <f t="shared" si="52"/>
        <v>151.3589488</v>
      </c>
      <c r="G96" s="270">
        <f t="shared" si="52"/>
        <v>662.8570089</v>
      </c>
      <c r="H96" s="270">
        <f t="shared" si="52"/>
        <v>115.4119099</v>
      </c>
      <c r="I96" s="270">
        <f t="shared" si="52"/>
        <v>173.9801437</v>
      </c>
      <c r="J96" s="270">
        <f t="shared" si="52"/>
        <v>205.05889</v>
      </c>
      <c r="K96" s="270">
        <f t="shared" si="52"/>
        <v>46.70492397</v>
      </c>
      <c r="L96" s="270">
        <f t="shared" si="52"/>
        <v>9.301981034</v>
      </c>
    </row>
    <row r="97" outlineLevel="1">
      <c r="A97" s="460" t="s">
        <v>374</v>
      </c>
      <c r="B97" s="318">
        <f t="shared" si="53"/>
        <v>0</v>
      </c>
      <c r="C97" s="270">
        <f t="shared" si="54"/>
        <v>0</v>
      </c>
      <c r="D97" s="270">
        <f t="shared" ref="D97:L97" si="55">D32/D11*D81</f>
        <v>0</v>
      </c>
      <c r="E97" s="270">
        <f t="shared" si="55"/>
        <v>0</v>
      </c>
      <c r="F97" s="270">
        <f t="shared" si="55"/>
        <v>0</v>
      </c>
      <c r="G97" s="270">
        <f t="shared" si="55"/>
        <v>0</v>
      </c>
      <c r="H97" s="270">
        <f t="shared" si="55"/>
        <v>0</v>
      </c>
      <c r="I97" s="270">
        <f t="shared" si="55"/>
        <v>0</v>
      </c>
      <c r="J97" s="270">
        <f t="shared" si="55"/>
        <v>0</v>
      </c>
      <c r="K97" s="270">
        <f t="shared" si="55"/>
        <v>0</v>
      </c>
      <c r="L97" s="270">
        <f t="shared" si="55"/>
        <v>0</v>
      </c>
    </row>
    <row r="98" outlineLevel="1">
      <c r="A98" s="460" t="s">
        <v>375</v>
      </c>
      <c r="B98" s="318">
        <f t="shared" si="53"/>
        <v>1987.18262</v>
      </c>
      <c r="C98" s="270">
        <f t="shared" si="54"/>
        <v>1987.18262</v>
      </c>
      <c r="D98" s="270">
        <f t="shared" ref="D98:L98" si="56">D32/D11*D82</f>
        <v>207.1035685</v>
      </c>
      <c r="E98" s="270">
        <f t="shared" si="56"/>
        <v>80.10353776</v>
      </c>
      <c r="F98" s="270">
        <f t="shared" si="56"/>
        <v>188.5479926</v>
      </c>
      <c r="G98" s="270">
        <f t="shared" si="56"/>
        <v>825.7216331</v>
      </c>
      <c r="H98" s="270">
        <f t="shared" si="56"/>
        <v>143.7687306</v>
      </c>
      <c r="I98" s="270">
        <f t="shared" si="56"/>
        <v>216.7272374</v>
      </c>
      <c r="J98" s="270">
        <f t="shared" si="56"/>
        <v>255.4420626</v>
      </c>
      <c r="K98" s="270">
        <f t="shared" si="56"/>
        <v>58.18037009</v>
      </c>
      <c r="L98" s="270">
        <f t="shared" si="56"/>
        <v>11.587487</v>
      </c>
    </row>
    <row r="99" outlineLevel="1">
      <c r="A99" s="625"/>
      <c r="B99" s="318"/>
      <c r="C99" s="270"/>
      <c r="D99" s="270"/>
      <c r="E99" s="270"/>
      <c r="F99" s="270"/>
      <c r="G99" s="270"/>
      <c r="H99" s="270"/>
      <c r="I99" s="270"/>
      <c r="J99" s="270"/>
      <c r="K99" s="270"/>
      <c r="L99" s="270"/>
    </row>
    <row r="100" outlineLevel="1">
      <c r="A100" s="625" t="s">
        <v>370</v>
      </c>
      <c r="B100" s="318"/>
      <c r="C100" s="270"/>
      <c r="D100" s="270"/>
      <c r="E100" s="270"/>
      <c r="F100" s="270"/>
      <c r="G100" s="270"/>
      <c r="H100" s="270"/>
      <c r="I100" s="270"/>
      <c r="J100" s="270"/>
      <c r="K100" s="270"/>
      <c r="L100" s="270"/>
    </row>
    <row r="101" outlineLevel="1">
      <c r="A101" s="460" t="s">
        <v>373</v>
      </c>
      <c r="B101" s="318">
        <f t="shared" ref="B101:B103" si="58">index(A101:L101,,match($A$3,$A$1:$L$1,0))</f>
        <v>1595.23243</v>
      </c>
      <c r="C101" s="270">
        <f t="shared" ref="C101:C103" si="59">sumif(D101:T101,"&lt;&gt;#DIV/0!")</f>
        <v>1595.23243</v>
      </c>
      <c r="D101" s="270">
        <f t="shared" ref="D101:L101" si="57">(D32/D11)*D85</f>
        <v>166.2546389</v>
      </c>
      <c r="E101" s="270">
        <f t="shared" si="57"/>
        <v>64.30398492</v>
      </c>
      <c r="F101" s="270">
        <f t="shared" si="57"/>
        <v>151.3589488</v>
      </c>
      <c r="G101" s="270">
        <f t="shared" si="57"/>
        <v>662.8570089</v>
      </c>
      <c r="H101" s="270">
        <f t="shared" si="57"/>
        <v>115.4119099</v>
      </c>
      <c r="I101" s="270">
        <f t="shared" si="57"/>
        <v>173.9801437</v>
      </c>
      <c r="J101" s="270">
        <f t="shared" si="57"/>
        <v>205.05889</v>
      </c>
      <c r="K101" s="270">
        <f t="shared" si="57"/>
        <v>46.70492397</v>
      </c>
      <c r="L101" s="270">
        <f t="shared" si="57"/>
        <v>9.301981034</v>
      </c>
    </row>
    <row r="102" outlineLevel="1">
      <c r="A102" s="460" t="s">
        <v>374</v>
      </c>
      <c r="B102" s="318">
        <f t="shared" si="58"/>
        <v>0</v>
      </c>
      <c r="C102" s="270">
        <f t="shared" si="59"/>
        <v>0</v>
      </c>
      <c r="D102" s="270">
        <f t="shared" ref="D102:L102" si="60">D32/D11*D86</f>
        <v>0</v>
      </c>
      <c r="E102" s="270">
        <f t="shared" si="60"/>
        <v>0</v>
      </c>
      <c r="F102" s="270">
        <f t="shared" si="60"/>
        <v>0</v>
      </c>
      <c r="G102" s="270">
        <f t="shared" si="60"/>
        <v>0</v>
      </c>
      <c r="H102" s="270">
        <f t="shared" si="60"/>
        <v>0</v>
      </c>
      <c r="I102" s="270">
        <f t="shared" si="60"/>
        <v>0</v>
      </c>
      <c r="J102" s="270">
        <f t="shared" si="60"/>
        <v>0</v>
      </c>
      <c r="K102" s="270">
        <f t="shared" si="60"/>
        <v>0</v>
      </c>
      <c r="L102" s="270">
        <f t="shared" si="60"/>
        <v>0</v>
      </c>
    </row>
    <row r="103" outlineLevel="1">
      <c r="A103" s="460" t="s">
        <v>375</v>
      </c>
      <c r="B103" s="318">
        <f t="shared" si="58"/>
        <v>1987.18262</v>
      </c>
      <c r="C103" s="270">
        <f t="shared" si="59"/>
        <v>1987.18262</v>
      </c>
      <c r="D103" s="270">
        <f t="shared" ref="D103:L103" si="61">D32/D11*D87</f>
        <v>207.1035685</v>
      </c>
      <c r="E103" s="270">
        <f t="shared" si="61"/>
        <v>80.10353776</v>
      </c>
      <c r="F103" s="270">
        <f t="shared" si="61"/>
        <v>188.5479926</v>
      </c>
      <c r="G103" s="270">
        <f t="shared" si="61"/>
        <v>825.7216331</v>
      </c>
      <c r="H103" s="270">
        <f t="shared" si="61"/>
        <v>143.7687306</v>
      </c>
      <c r="I103" s="270">
        <f t="shared" si="61"/>
        <v>216.7272374</v>
      </c>
      <c r="J103" s="270">
        <f t="shared" si="61"/>
        <v>255.4420626</v>
      </c>
      <c r="K103" s="270">
        <f t="shared" si="61"/>
        <v>58.18037009</v>
      </c>
      <c r="L103" s="270">
        <f t="shared" si="61"/>
        <v>11.587487</v>
      </c>
    </row>
    <row r="104" outlineLevel="1">
      <c r="A104" s="628"/>
      <c r="B104" s="618"/>
      <c r="C104" s="453"/>
      <c r="D104" s="453"/>
      <c r="E104" s="453"/>
      <c r="F104" s="453"/>
      <c r="G104" s="453"/>
      <c r="H104" s="453"/>
      <c r="I104" s="453"/>
      <c r="J104" s="453"/>
      <c r="K104" s="453"/>
      <c r="L104" s="453"/>
    </row>
    <row r="105" outlineLevel="1">
      <c r="A105" s="628"/>
      <c r="B105" s="618"/>
      <c r="C105" s="453"/>
      <c r="D105" s="453"/>
      <c r="E105" s="453"/>
      <c r="F105" s="453"/>
      <c r="G105" s="453"/>
      <c r="H105" s="453"/>
      <c r="I105" s="453"/>
      <c r="J105" s="453"/>
      <c r="K105" s="453"/>
      <c r="L105" s="453"/>
    </row>
    <row r="106" outlineLevel="1">
      <c r="A106" s="525" t="s">
        <v>377</v>
      </c>
      <c r="B106" s="618"/>
      <c r="C106" s="453"/>
      <c r="D106" s="453"/>
      <c r="E106" s="453"/>
      <c r="F106" s="453"/>
      <c r="G106" s="453"/>
      <c r="H106" s="453"/>
      <c r="I106" s="453"/>
      <c r="J106" s="453"/>
      <c r="K106" s="453"/>
      <c r="L106" s="453"/>
    </row>
    <row r="107" outlineLevel="1">
      <c r="A107" s="460" t="s">
        <v>368</v>
      </c>
      <c r="B107" s="318"/>
      <c r="C107" s="270"/>
      <c r="D107" s="270"/>
      <c r="E107" s="270"/>
      <c r="F107" s="270"/>
      <c r="G107" s="270"/>
      <c r="H107" s="270"/>
      <c r="I107" s="270"/>
      <c r="J107" s="270"/>
      <c r="K107" s="270"/>
      <c r="L107" s="270"/>
    </row>
    <row r="108" outlineLevel="1">
      <c r="A108" s="460" t="s">
        <v>373</v>
      </c>
      <c r="B108" s="318">
        <f t="shared" ref="B108:B110" si="63">index(A108:L108,,match($A$3,$A$1:$L$1,0))</f>
        <v>0</v>
      </c>
      <c r="C108" s="270">
        <f t="shared" ref="C108:C110" si="64">sumif(D108:T108,"&lt;&gt;#DIV/0!")</f>
        <v>0</v>
      </c>
      <c r="D108" s="270">
        <f t="shared" ref="D108:L108" si="62">-D75*D59/100000</f>
        <v>0</v>
      </c>
      <c r="E108" s="270">
        <f t="shared" si="62"/>
        <v>0</v>
      </c>
      <c r="F108" s="270">
        <f t="shared" si="62"/>
        <v>0</v>
      </c>
      <c r="G108" s="270">
        <f t="shared" si="62"/>
        <v>0</v>
      </c>
      <c r="H108" s="270">
        <f t="shared" si="62"/>
        <v>0</v>
      </c>
      <c r="I108" s="270">
        <f t="shared" si="62"/>
        <v>0</v>
      </c>
      <c r="J108" s="270">
        <f t="shared" si="62"/>
        <v>0</v>
      </c>
      <c r="K108" s="270">
        <f t="shared" si="62"/>
        <v>0</v>
      </c>
      <c r="L108" s="270">
        <f t="shared" si="62"/>
        <v>0</v>
      </c>
    </row>
    <row r="109" outlineLevel="1">
      <c r="A109" s="460" t="s">
        <v>374</v>
      </c>
      <c r="B109" s="318">
        <f t="shared" si="63"/>
        <v>357.7681507</v>
      </c>
      <c r="C109" s="270">
        <f t="shared" si="64"/>
        <v>357.7681507</v>
      </c>
      <c r="D109" s="270">
        <f t="shared" ref="D109:L109" si="65">-D76*D60/100000</f>
        <v>78.47141387</v>
      </c>
      <c r="E109" s="270">
        <f t="shared" si="65"/>
        <v>67.66521744</v>
      </c>
      <c r="F109" s="270">
        <f t="shared" si="65"/>
        <v>55.23087506</v>
      </c>
      <c r="G109" s="270">
        <f t="shared" si="65"/>
        <v>67.25864774</v>
      </c>
      <c r="H109" s="270">
        <f t="shared" si="65"/>
        <v>21.72185569</v>
      </c>
      <c r="I109" s="270">
        <f t="shared" si="65"/>
        <v>24.82126867</v>
      </c>
      <c r="J109" s="270">
        <f t="shared" si="65"/>
        <v>25.82023312</v>
      </c>
      <c r="K109" s="270">
        <f t="shared" si="65"/>
        <v>14.07038592</v>
      </c>
      <c r="L109" s="270">
        <f t="shared" si="65"/>
        <v>2.70825318</v>
      </c>
    </row>
    <row r="110" outlineLevel="1">
      <c r="A110" s="460" t="s">
        <v>375</v>
      </c>
      <c r="B110" s="318">
        <f t="shared" si="63"/>
        <v>0</v>
      </c>
      <c r="C110" s="270">
        <f t="shared" si="64"/>
        <v>0</v>
      </c>
      <c r="D110" s="270">
        <f t="shared" ref="D110:L110" si="66">-D77*D61/100000</f>
        <v>0</v>
      </c>
      <c r="E110" s="270">
        <f t="shared" si="66"/>
        <v>0</v>
      </c>
      <c r="F110" s="270">
        <f t="shared" si="66"/>
        <v>0</v>
      </c>
      <c r="G110" s="270">
        <f t="shared" si="66"/>
        <v>0</v>
      </c>
      <c r="H110" s="270">
        <f t="shared" si="66"/>
        <v>0</v>
      </c>
      <c r="I110" s="270">
        <f t="shared" si="66"/>
        <v>0</v>
      </c>
      <c r="J110" s="270">
        <f t="shared" si="66"/>
        <v>0</v>
      </c>
      <c r="K110" s="270">
        <f t="shared" si="66"/>
        <v>0</v>
      </c>
      <c r="L110" s="270">
        <f t="shared" si="66"/>
        <v>0</v>
      </c>
    </row>
    <row r="111" outlineLevel="1">
      <c r="A111" s="460"/>
      <c r="B111" s="318"/>
      <c r="C111" s="270"/>
      <c r="D111" s="270"/>
      <c r="E111" s="270"/>
      <c r="F111" s="270"/>
      <c r="G111" s="270"/>
      <c r="H111" s="270"/>
      <c r="I111" s="270"/>
      <c r="J111" s="270"/>
      <c r="K111" s="270"/>
      <c r="L111" s="270"/>
    </row>
    <row r="112" outlineLevel="1">
      <c r="A112" s="625" t="s">
        <v>369</v>
      </c>
      <c r="B112" s="318"/>
      <c r="C112" s="270"/>
      <c r="D112" s="270"/>
      <c r="E112" s="270"/>
      <c r="F112" s="270"/>
      <c r="G112" s="270"/>
      <c r="H112" s="270"/>
      <c r="I112" s="270"/>
      <c r="J112" s="270"/>
      <c r="K112" s="270"/>
      <c r="L112" s="270"/>
    </row>
    <row r="113" outlineLevel="1">
      <c r="A113" s="460" t="s">
        <v>373</v>
      </c>
      <c r="B113" s="318">
        <f t="shared" ref="B113:B115" si="68">index(A113:L113,,match($A$3,$A$1:$L$1,0))</f>
        <v>-328.9319801</v>
      </c>
      <c r="C113" s="270">
        <f t="shared" ref="C113:C115" si="69">sumif(D113:T113,"&lt;&gt;#DIV/0!")</f>
        <v>-328.9319801</v>
      </c>
      <c r="D113" s="270">
        <f t="shared" ref="D113:L113" si="67">-D80*D59/100000</f>
        <v>-72.14660526</v>
      </c>
      <c r="E113" s="270">
        <f t="shared" si="67"/>
        <v>-62.21139001</v>
      </c>
      <c r="F113" s="270">
        <f t="shared" si="67"/>
        <v>-50.77925763</v>
      </c>
      <c r="G113" s="270">
        <f t="shared" si="67"/>
        <v>-61.83758989</v>
      </c>
      <c r="H113" s="270">
        <f t="shared" si="67"/>
        <v>-19.97107062</v>
      </c>
      <c r="I113" s="270">
        <f t="shared" si="67"/>
        <v>-22.82067042</v>
      </c>
      <c r="J113" s="270">
        <f t="shared" si="67"/>
        <v>-23.73911817</v>
      </c>
      <c r="K113" s="270">
        <f t="shared" si="67"/>
        <v>-12.93631055</v>
      </c>
      <c r="L113" s="270">
        <f t="shared" si="67"/>
        <v>-2.489967537</v>
      </c>
    </row>
    <row r="114" outlineLevel="1">
      <c r="A114" s="460" t="s">
        <v>374</v>
      </c>
      <c r="B114" s="318">
        <f t="shared" si="68"/>
        <v>0</v>
      </c>
      <c r="C114" s="270">
        <f t="shared" si="69"/>
        <v>0</v>
      </c>
      <c r="D114" s="270">
        <f t="shared" ref="D114:L114" si="70">-D81*D60/100000</f>
        <v>0</v>
      </c>
      <c r="E114" s="270">
        <f t="shared" si="70"/>
        <v>0</v>
      </c>
      <c r="F114" s="270">
        <f t="shared" si="70"/>
        <v>0</v>
      </c>
      <c r="G114" s="270">
        <f t="shared" si="70"/>
        <v>0</v>
      </c>
      <c r="H114" s="270">
        <f t="shared" si="70"/>
        <v>0</v>
      </c>
      <c r="I114" s="270">
        <f t="shared" si="70"/>
        <v>0</v>
      </c>
      <c r="J114" s="270">
        <f t="shared" si="70"/>
        <v>0</v>
      </c>
      <c r="K114" s="270">
        <f t="shared" si="70"/>
        <v>0</v>
      </c>
      <c r="L114" s="270">
        <f t="shared" si="70"/>
        <v>0</v>
      </c>
    </row>
    <row r="115" outlineLevel="1">
      <c r="A115" s="460" t="s">
        <v>375</v>
      </c>
      <c r="B115" s="318">
        <f t="shared" si="68"/>
        <v>-755.2238431</v>
      </c>
      <c r="C115" s="270">
        <f t="shared" si="69"/>
        <v>-755.2238431</v>
      </c>
      <c r="D115" s="270">
        <f t="shared" ref="D115:L115" si="71">-D82*D61/100000</f>
        <v>-165.647732</v>
      </c>
      <c r="E115" s="270">
        <f t="shared" si="71"/>
        <v>-142.8365981</v>
      </c>
      <c r="F115" s="270">
        <f t="shared" si="71"/>
        <v>-116.5885606</v>
      </c>
      <c r="G115" s="270">
        <f t="shared" si="71"/>
        <v>-141.9783576</v>
      </c>
      <c r="H115" s="270">
        <f t="shared" si="71"/>
        <v>-45.8533363</v>
      </c>
      <c r="I115" s="270">
        <f t="shared" si="71"/>
        <v>-52.39598293</v>
      </c>
      <c r="J115" s="270">
        <f t="shared" si="71"/>
        <v>-54.50472785</v>
      </c>
      <c r="K115" s="270">
        <f t="shared" si="71"/>
        <v>-29.70161236</v>
      </c>
      <c r="L115" s="270">
        <f t="shared" si="71"/>
        <v>-5.716935312</v>
      </c>
    </row>
    <row r="116" outlineLevel="1">
      <c r="A116" s="625"/>
      <c r="B116" s="318"/>
      <c r="C116" s="270"/>
      <c r="D116" s="270"/>
      <c r="E116" s="270"/>
      <c r="F116" s="270"/>
      <c r="G116" s="270"/>
      <c r="H116" s="270"/>
      <c r="I116" s="270"/>
      <c r="J116" s="270"/>
      <c r="K116" s="270"/>
      <c r="L116" s="270"/>
    </row>
    <row r="117" outlineLevel="1">
      <c r="A117" s="625" t="s">
        <v>370</v>
      </c>
      <c r="B117" s="318"/>
      <c r="C117" s="270"/>
      <c r="D117" s="270"/>
      <c r="E117" s="270"/>
      <c r="F117" s="270"/>
      <c r="G117" s="270"/>
      <c r="H117" s="270"/>
      <c r="I117" s="270"/>
      <c r="J117" s="270"/>
      <c r="K117" s="270"/>
      <c r="L117" s="270"/>
    </row>
    <row r="118" outlineLevel="1">
      <c r="A118" s="460" t="s">
        <v>373</v>
      </c>
      <c r="B118" s="318">
        <f t="shared" ref="B118:B120" si="73">index(A118:L118,,match($A$3,$A$1:$L$1,0))</f>
        <v>-328.9319801</v>
      </c>
      <c r="C118" s="270">
        <f t="shared" ref="C118:C120" si="74">sumif(D118:T118,"&lt;&gt;#DIV/0!")</f>
        <v>-328.9319801</v>
      </c>
      <c r="D118" s="270">
        <f t="shared" ref="D118:L118" si="72">-D85*D59/100000</f>
        <v>-72.14660526</v>
      </c>
      <c r="E118" s="270">
        <f t="shared" si="72"/>
        <v>-62.21139001</v>
      </c>
      <c r="F118" s="270">
        <f t="shared" si="72"/>
        <v>-50.77925763</v>
      </c>
      <c r="G118" s="270">
        <f t="shared" si="72"/>
        <v>-61.83758989</v>
      </c>
      <c r="H118" s="270">
        <f t="shared" si="72"/>
        <v>-19.97107062</v>
      </c>
      <c r="I118" s="270">
        <f t="shared" si="72"/>
        <v>-22.82067042</v>
      </c>
      <c r="J118" s="270">
        <f t="shared" si="72"/>
        <v>-23.73911817</v>
      </c>
      <c r="K118" s="270">
        <f t="shared" si="72"/>
        <v>-12.93631055</v>
      </c>
      <c r="L118" s="270">
        <f t="shared" si="72"/>
        <v>-2.489967537</v>
      </c>
    </row>
    <row r="119" outlineLevel="1">
      <c r="A119" s="460" t="s">
        <v>374</v>
      </c>
      <c r="B119" s="318">
        <f t="shared" si="73"/>
        <v>0</v>
      </c>
      <c r="C119" s="270">
        <f t="shared" si="74"/>
        <v>0</v>
      </c>
      <c r="D119" s="270">
        <f t="shared" ref="D119:L119" si="75">-D86*D60/100000</f>
        <v>0</v>
      </c>
      <c r="E119" s="270">
        <f t="shared" si="75"/>
        <v>0</v>
      </c>
      <c r="F119" s="270">
        <f t="shared" si="75"/>
        <v>0</v>
      </c>
      <c r="G119" s="270">
        <f t="shared" si="75"/>
        <v>0</v>
      </c>
      <c r="H119" s="270">
        <f t="shared" si="75"/>
        <v>0</v>
      </c>
      <c r="I119" s="270">
        <f t="shared" si="75"/>
        <v>0</v>
      </c>
      <c r="J119" s="270">
        <f t="shared" si="75"/>
        <v>0</v>
      </c>
      <c r="K119" s="270">
        <f t="shared" si="75"/>
        <v>0</v>
      </c>
      <c r="L119" s="270">
        <f t="shared" si="75"/>
        <v>0</v>
      </c>
    </row>
    <row r="120" outlineLevel="1">
      <c r="A120" s="460" t="s">
        <v>375</v>
      </c>
      <c r="B120" s="318">
        <f t="shared" si="73"/>
        <v>-755.2238431</v>
      </c>
      <c r="C120" s="270">
        <f t="shared" si="74"/>
        <v>-755.2238431</v>
      </c>
      <c r="D120" s="270">
        <f t="shared" ref="D120:L120" si="76">-D87*D61/100000</f>
        <v>-165.647732</v>
      </c>
      <c r="E120" s="270">
        <f t="shared" si="76"/>
        <v>-142.8365981</v>
      </c>
      <c r="F120" s="270">
        <f t="shared" si="76"/>
        <v>-116.5885606</v>
      </c>
      <c r="G120" s="270">
        <f t="shared" si="76"/>
        <v>-141.9783576</v>
      </c>
      <c r="H120" s="270">
        <f t="shared" si="76"/>
        <v>-45.8533363</v>
      </c>
      <c r="I120" s="270">
        <f t="shared" si="76"/>
        <v>-52.39598293</v>
      </c>
      <c r="J120" s="270">
        <f t="shared" si="76"/>
        <v>-54.50472785</v>
      </c>
      <c r="K120" s="270">
        <f t="shared" si="76"/>
        <v>-29.70161236</v>
      </c>
      <c r="L120" s="270">
        <f t="shared" si="76"/>
        <v>-5.716935312</v>
      </c>
    </row>
    <row r="121" outlineLevel="1">
      <c r="A121" s="625"/>
      <c r="B121" s="318"/>
      <c r="C121" s="270"/>
      <c r="D121" s="270"/>
      <c r="E121" s="270"/>
      <c r="F121" s="270"/>
      <c r="G121" s="270"/>
      <c r="H121" s="270"/>
      <c r="I121" s="270"/>
      <c r="J121" s="270"/>
      <c r="K121" s="270"/>
      <c r="L121" s="270"/>
    </row>
    <row r="122" outlineLevel="1">
      <c r="A122" s="460"/>
      <c r="B122" s="618"/>
      <c r="C122" s="453"/>
      <c r="D122" s="165"/>
      <c r="E122" s="165"/>
      <c r="F122" s="165"/>
      <c r="G122" s="165"/>
      <c r="H122" s="165"/>
      <c r="I122" s="165"/>
      <c r="J122" s="165"/>
      <c r="K122" s="165"/>
      <c r="L122" s="165"/>
    </row>
    <row r="123" outlineLevel="1">
      <c r="A123" s="528" t="s">
        <v>378</v>
      </c>
      <c r="B123" s="618"/>
      <c r="C123" s="453"/>
      <c r="D123" s="453"/>
      <c r="E123" s="453"/>
      <c r="F123" s="453"/>
      <c r="G123" s="453"/>
      <c r="H123" s="453"/>
      <c r="I123" s="453"/>
      <c r="J123" s="453"/>
      <c r="K123" s="453"/>
      <c r="L123" s="453"/>
    </row>
    <row r="124" outlineLevel="1">
      <c r="A124" s="460" t="s">
        <v>368</v>
      </c>
      <c r="B124" s="318">
        <f t="shared" ref="B124:B126" si="78">index(A124:L124,,match($A$3,$A$1:$L$1,0))</f>
        <v>-1377.312021</v>
      </c>
      <c r="C124" s="270">
        <f t="shared" ref="C124:C126" si="79">sumif(D124:T124,"&lt;&gt;#DIV/0!")</f>
        <v>-1377.312021</v>
      </c>
      <c r="D124" s="270">
        <f t="shared" ref="D124:L124" si="77">sum(D108:D110)+sum(D91:D93)</f>
        <v>-102.3581141</v>
      </c>
      <c r="E124" s="270">
        <f t="shared" si="77"/>
        <v>-2.276044464</v>
      </c>
      <c r="F124" s="270">
        <f t="shared" si="77"/>
        <v>-109.3971164</v>
      </c>
      <c r="G124" s="270">
        <f t="shared" si="77"/>
        <v>-653.7084233</v>
      </c>
      <c r="H124" s="270">
        <f t="shared" si="77"/>
        <v>-103.8077617</v>
      </c>
      <c r="I124" s="270">
        <f t="shared" si="77"/>
        <v>-164.4110287</v>
      </c>
      <c r="J124" s="270">
        <f t="shared" si="77"/>
        <v>-197.2153618</v>
      </c>
      <c r="K124" s="270">
        <f t="shared" si="77"/>
        <v>-36.72897471</v>
      </c>
      <c r="L124" s="270">
        <f t="shared" si="77"/>
        <v>-7.40919588</v>
      </c>
    </row>
    <row r="125" outlineLevel="1">
      <c r="A125" s="625" t="s">
        <v>369</v>
      </c>
      <c r="B125" s="318">
        <f t="shared" si="78"/>
        <v>2498.259227</v>
      </c>
      <c r="C125" s="270">
        <f t="shared" si="79"/>
        <v>2498.259227</v>
      </c>
      <c r="D125" s="270">
        <f t="shared" ref="D125:L125" si="80">sum(D113:D115)+sum(D96:D98)</f>
        <v>135.5638701</v>
      </c>
      <c r="E125" s="270">
        <f t="shared" si="80"/>
        <v>-60.64046544</v>
      </c>
      <c r="F125" s="270">
        <f t="shared" si="80"/>
        <v>172.5391232</v>
      </c>
      <c r="G125" s="270">
        <f t="shared" si="80"/>
        <v>1284.762695</v>
      </c>
      <c r="H125" s="270">
        <f t="shared" si="80"/>
        <v>193.3562337</v>
      </c>
      <c r="I125" s="270">
        <f t="shared" si="80"/>
        <v>315.4907277</v>
      </c>
      <c r="J125" s="270">
        <f t="shared" si="80"/>
        <v>382.2571066</v>
      </c>
      <c r="K125" s="270">
        <f t="shared" si="80"/>
        <v>62.24737115</v>
      </c>
      <c r="L125" s="270">
        <f t="shared" si="80"/>
        <v>12.68256518</v>
      </c>
    </row>
    <row r="126" outlineLevel="1">
      <c r="A126" s="625" t="s">
        <v>370</v>
      </c>
      <c r="B126" s="318">
        <f t="shared" si="78"/>
        <v>2498.259227</v>
      </c>
      <c r="C126" s="270">
        <f t="shared" si="79"/>
        <v>2498.259227</v>
      </c>
      <c r="D126" s="270">
        <f t="shared" ref="D126:L126" si="81">sum(D118:D120)+sum(D101:D103)</f>
        <v>135.5638701</v>
      </c>
      <c r="E126" s="270">
        <f t="shared" si="81"/>
        <v>-60.64046544</v>
      </c>
      <c r="F126" s="270">
        <f t="shared" si="81"/>
        <v>172.5391232</v>
      </c>
      <c r="G126" s="270">
        <f t="shared" si="81"/>
        <v>1284.762695</v>
      </c>
      <c r="H126" s="270">
        <f t="shared" si="81"/>
        <v>193.3562337</v>
      </c>
      <c r="I126" s="270">
        <f t="shared" si="81"/>
        <v>315.4907277</v>
      </c>
      <c r="J126" s="270">
        <f t="shared" si="81"/>
        <v>382.2571066</v>
      </c>
      <c r="K126" s="270">
        <f t="shared" si="81"/>
        <v>62.24737115</v>
      </c>
      <c r="L126" s="270">
        <f t="shared" si="81"/>
        <v>12.68256518</v>
      </c>
    </row>
    <row r="127" outlineLevel="1">
      <c r="A127" s="460"/>
      <c r="B127" s="618"/>
      <c r="C127" s="453"/>
      <c r="D127" s="429"/>
      <c r="E127" s="429"/>
      <c r="F127" s="429"/>
      <c r="G127" s="429"/>
      <c r="H127" s="429"/>
      <c r="I127" s="429"/>
      <c r="J127" s="429"/>
      <c r="K127" s="429"/>
      <c r="L127" s="429"/>
    </row>
    <row r="128" outlineLevel="1">
      <c r="A128" s="528" t="s">
        <v>379</v>
      </c>
      <c r="B128" s="618"/>
      <c r="C128" s="453"/>
      <c r="D128" s="453"/>
      <c r="E128" s="453"/>
      <c r="F128" s="453"/>
      <c r="G128" s="453"/>
      <c r="H128" s="453"/>
      <c r="I128" s="453"/>
      <c r="J128" s="453"/>
      <c r="K128" s="453"/>
      <c r="L128" s="453"/>
    </row>
    <row r="129" outlineLevel="1">
      <c r="A129" s="460" t="s">
        <v>368</v>
      </c>
      <c r="B129" s="318">
        <f t="shared" ref="B129:B132" si="83">index(A129:L129,,match($A$3,$A$1:$L$1,0))</f>
        <v>357.7681507</v>
      </c>
      <c r="C129" s="270">
        <f t="shared" ref="C129:C131" si="84">sumif(D129:T129,"&lt;&gt;#DIV/0!")</f>
        <v>357.7681507</v>
      </c>
      <c r="D129" s="270">
        <f t="shared" ref="D129:L129" si="82">D32+D124</f>
        <v>78.47141387</v>
      </c>
      <c r="E129" s="270">
        <f t="shared" si="82"/>
        <v>67.66521744</v>
      </c>
      <c r="F129" s="270">
        <f t="shared" si="82"/>
        <v>55.23087506</v>
      </c>
      <c r="G129" s="270">
        <f t="shared" si="82"/>
        <v>67.25864774</v>
      </c>
      <c r="H129" s="270">
        <f t="shared" si="82"/>
        <v>21.72185569</v>
      </c>
      <c r="I129" s="270">
        <f t="shared" si="82"/>
        <v>24.82126867</v>
      </c>
      <c r="J129" s="270">
        <f t="shared" si="82"/>
        <v>25.82023312</v>
      </c>
      <c r="K129" s="270">
        <f t="shared" si="82"/>
        <v>14.07038592</v>
      </c>
      <c r="L129" s="270">
        <f t="shared" si="82"/>
        <v>2.70825318</v>
      </c>
    </row>
    <row r="130" outlineLevel="1">
      <c r="A130" s="625" t="s">
        <v>369</v>
      </c>
      <c r="B130" s="318">
        <f t="shared" si="83"/>
        <v>4233.339399</v>
      </c>
      <c r="C130" s="270">
        <f t="shared" si="84"/>
        <v>4233.339399</v>
      </c>
      <c r="D130" s="270">
        <f t="shared" ref="D130:L130" si="85">D32+D125</f>
        <v>316.3933981</v>
      </c>
      <c r="E130" s="270">
        <f t="shared" si="85"/>
        <v>9.300796468</v>
      </c>
      <c r="F130" s="270">
        <f t="shared" si="85"/>
        <v>337.1671147</v>
      </c>
      <c r="G130" s="270">
        <f t="shared" si="85"/>
        <v>2005.729766</v>
      </c>
      <c r="H130" s="270">
        <f t="shared" si="85"/>
        <v>318.885851</v>
      </c>
      <c r="I130" s="270">
        <f t="shared" si="85"/>
        <v>504.7230251</v>
      </c>
      <c r="J130" s="270">
        <f t="shared" si="85"/>
        <v>605.2927016</v>
      </c>
      <c r="K130" s="270">
        <f t="shared" si="85"/>
        <v>113.0467318</v>
      </c>
      <c r="L130" s="270">
        <f t="shared" si="85"/>
        <v>22.80001424</v>
      </c>
    </row>
    <row r="131" outlineLevel="1">
      <c r="A131" s="630" t="s">
        <v>370</v>
      </c>
      <c r="B131" s="318">
        <f t="shared" si="83"/>
        <v>4233.339399</v>
      </c>
      <c r="C131" s="270">
        <f t="shared" si="84"/>
        <v>4233.339399</v>
      </c>
      <c r="D131" s="270">
        <f t="shared" ref="D131:L131" si="86">D32+D126</f>
        <v>316.3933981</v>
      </c>
      <c r="E131" s="270">
        <f t="shared" si="86"/>
        <v>9.300796468</v>
      </c>
      <c r="F131" s="270">
        <f t="shared" si="86"/>
        <v>337.1671147</v>
      </c>
      <c r="G131" s="270">
        <f t="shared" si="86"/>
        <v>2005.729766</v>
      </c>
      <c r="H131" s="270">
        <f t="shared" si="86"/>
        <v>318.885851</v>
      </c>
      <c r="I131" s="270">
        <f t="shared" si="86"/>
        <v>504.7230251</v>
      </c>
      <c r="J131" s="270">
        <f t="shared" si="86"/>
        <v>605.2927016</v>
      </c>
      <c r="K131" s="270">
        <f t="shared" si="86"/>
        <v>113.0467318</v>
      </c>
      <c r="L131" s="270">
        <f t="shared" si="86"/>
        <v>22.80001424</v>
      </c>
    </row>
    <row r="132" outlineLevel="1">
      <c r="A132" s="631" t="s">
        <v>96</v>
      </c>
      <c r="B132" s="632">
        <f t="shared" si="83"/>
        <v>8825.446948</v>
      </c>
      <c r="C132" s="530">
        <f>SUM(C129:C131,C64:C66)</f>
        <v>8825.446948</v>
      </c>
      <c r="D132" s="530">
        <f t="shared" ref="D132:L132" si="87">SUMPRODUCT(D129:D131,D64:D66)</f>
        <v>268.8090012</v>
      </c>
      <c r="E132" s="530">
        <f t="shared" si="87"/>
        <v>20.97368066</v>
      </c>
      <c r="F132" s="530">
        <f t="shared" si="87"/>
        <v>280.7798668</v>
      </c>
      <c r="G132" s="530">
        <f t="shared" si="87"/>
        <v>1618.035542</v>
      </c>
      <c r="H132" s="530">
        <f t="shared" si="87"/>
        <v>259.4530519</v>
      </c>
      <c r="I132" s="530">
        <f t="shared" si="87"/>
        <v>408.7426738</v>
      </c>
      <c r="J132" s="530">
        <f t="shared" si="87"/>
        <v>489.3982079</v>
      </c>
      <c r="K132" s="530">
        <f t="shared" si="87"/>
        <v>93.2514626</v>
      </c>
      <c r="L132" s="530">
        <f t="shared" si="87"/>
        <v>18.78166203</v>
      </c>
    </row>
    <row r="133" outlineLevel="1">
      <c r="A133" s="460"/>
      <c r="B133" s="621"/>
      <c r="C133" s="39"/>
      <c r="D133" s="39"/>
      <c r="E133" s="39"/>
      <c r="F133" s="39"/>
      <c r="G133" s="39"/>
      <c r="H133" s="39"/>
      <c r="I133" s="39"/>
      <c r="J133" s="39"/>
      <c r="K133" s="39"/>
      <c r="L133" s="39"/>
    </row>
    <row r="134">
      <c r="A134" s="625" t="s">
        <v>417</v>
      </c>
      <c r="B134" s="289">
        <f t="array" ref="B134">index(A134:L134,,match($A$3,$A$1:$L$1,0))</f>
        <v>4.0864779</v>
      </c>
      <c r="C134" s="531">
        <f t="shared" ref="C134:D134" si="88">C132/C32-1</f>
        <v>4.0864779</v>
      </c>
      <c r="D134" s="531">
        <f t="shared" si="88"/>
        <v>0.4865326709</v>
      </c>
      <c r="E134" s="531">
        <f>if(E13&lt;&gt;0,E132/E32-1,"Relative worm burden is 0")</f>
        <v>-0.7001243602</v>
      </c>
      <c r="F134" s="531">
        <f t="shared" ref="F134:L134" si="89">F132/F32-1</f>
        <v>0.705541471</v>
      </c>
      <c r="G134" s="531">
        <f t="shared" si="89"/>
        <v>1.244257203</v>
      </c>
      <c r="H134" s="531">
        <f t="shared" si="89"/>
        <v>1.066867226</v>
      </c>
      <c r="I134" s="531">
        <f t="shared" si="89"/>
        <v>1.160004817</v>
      </c>
      <c r="J134" s="531">
        <f t="shared" si="89"/>
        <v>1.194260553</v>
      </c>
      <c r="K134" s="531">
        <f t="shared" si="89"/>
        <v>0.8356818168</v>
      </c>
      <c r="L134" s="531">
        <f t="shared" si="89"/>
        <v>0.8563633894</v>
      </c>
    </row>
    <row r="135">
      <c r="A135" s="625"/>
      <c r="B135" s="289"/>
      <c r="C135" s="531"/>
      <c r="D135" s="531"/>
      <c r="E135" s="531"/>
      <c r="F135" s="531"/>
      <c r="G135" s="531"/>
      <c r="H135" s="531"/>
      <c r="I135" s="531"/>
      <c r="J135" s="531"/>
      <c r="K135" s="531"/>
      <c r="L135" s="531"/>
    </row>
    <row r="136">
      <c r="A136" s="658" t="s">
        <v>400</v>
      </c>
      <c r="B136" s="670"/>
      <c r="C136" s="658"/>
      <c r="D136" s="658"/>
      <c r="E136" s="88"/>
      <c r="F136" s="658"/>
      <c r="G136" s="658"/>
      <c r="H136" s="658"/>
      <c r="I136" s="658"/>
      <c r="J136" s="658"/>
      <c r="K136" s="658"/>
      <c r="L136" s="658"/>
    </row>
    <row r="137">
      <c r="A137" s="41"/>
      <c r="B137" s="289"/>
      <c r="C137" s="531"/>
      <c r="D137" s="531"/>
      <c r="E137" s="531"/>
      <c r="F137" s="531"/>
      <c r="G137" s="531"/>
      <c r="H137" s="531"/>
      <c r="I137" s="531"/>
      <c r="J137" s="531"/>
      <c r="K137" s="531"/>
      <c r="L137" s="531"/>
    </row>
    <row r="138">
      <c r="A138" s="555" t="s">
        <v>401</v>
      </c>
      <c r="B138" s="671">
        <f t="shared" ref="B138:B140" si="91">index(A138:L138,,match($A$3,$A$1:$L$1,0))</f>
        <v>3458.225149</v>
      </c>
      <c r="C138" s="672">
        <f>sum(D138:L138)</f>
        <v>3458.225149</v>
      </c>
      <c r="D138" s="672">
        <f>D32*(1+D$134)</f>
        <v>268.8090012</v>
      </c>
      <c r="E138" s="673">
        <f>if(E13&lt;&gt;0,E32*(1+E$134),0)</f>
        <v>20.97368066</v>
      </c>
      <c r="F138" s="672">
        <f t="shared" ref="F138:L138" si="90">F32*(1+F$134)</f>
        <v>280.7798668</v>
      </c>
      <c r="G138" s="672">
        <f t="shared" si="90"/>
        <v>1618.035542</v>
      </c>
      <c r="H138" s="672">
        <f t="shared" si="90"/>
        <v>259.4530519</v>
      </c>
      <c r="I138" s="672">
        <f t="shared" si="90"/>
        <v>408.7426738</v>
      </c>
      <c r="J138" s="672">
        <f t="shared" si="90"/>
        <v>489.3982079</v>
      </c>
      <c r="K138" s="672">
        <f t="shared" si="90"/>
        <v>93.2514626</v>
      </c>
      <c r="L138" s="672">
        <f t="shared" si="90"/>
        <v>18.78166203</v>
      </c>
    </row>
    <row r="139">
      <c r="A139" s="506" t="s">
        <v>251</v>
      </c>
      <c r="B139" s="671">
        <f t="shared" si="91"/>
        <v>3458.225149</v>
      </c>
      <c r="C139" s="672">
        <f>C138</f>
        <v>3458.225149</v>
      </c>
      <c r="D139" s="672">
        <f>D138*$C11/D11</f>
        <v>1225.558385</v>
      </c>
      <c r="E139" s="673">
        <f>if(E13&lt;&gt;0,E138*$C11/E11,0)</f>
        <v>110.8947141</v>
      </c>
      <c r="F139" s="672">
        <f t="shared" ref="F139:L139" si="92">F138*$C11/F11</f>
        <v>1818.803225</v>
      </c>
      <c r="G139" s="672">
        <f t="shared" si="92"/>
        <v>8606.797834</v>
      </c>
      <c r="H139" s="672">
        <f t="shared" si="92"/>
        <v>4273.301504</v>
      </c>
      <c r="I139" s="672">
        <f t="shared" si="92"/>
        <v>5891.52442</v>
      </c>
      <c r="J139" s="672">
        <f t="shared" si="92"/>
        <v>6781.158441</v>
      </c>
      <c r="K139" s="672">
        <f t="shared" si="92"/>
        <v>2371.107908</v>
      </c>
      <c r="L139" s="672">
        <f t="shared" si="92"/>
        <v>2481.11238</v>
      </c>
    </row>
    <row r="140">
      <c r="A140" s="460" t="s">
        <v>117</v>
      </c>
      <c r="B140" s="520">
        <f t="shared" si="91"/>
        <v>2891.656723</v>
      </c>
      <c r="C140" s="674">
        <f t="array" ref="C140">if(C11&lt;&gt;0,C11/C138*index('Moral weights'!$A$1:$ZG$33,match("Value assigned to averting the death of an individual under 5 — AMF",'Moral weights'!$A$1:$A$33,0),match($B1,'Moral weights'!$A$1:$ZG1,0)),"Donation size is 0")</f>
        <v>2891.656723</v>
      </c>
      <c r="D140" s="674">
        <f t="array" ref="D140">if(D11&lt;&gt;0,D11/D138*index('Moral weights'!$A$1:$ZG$33,match("Value assigned to averting the death of an individual under 5 — AMF",'Moral weights'!$A$1:$A$33,0),match($B1,'Moral weights'!$A$1:$ZG1,0)),"Donation size is 0")</f>
        <v>8159.545984</v>
      </c>
      <c r="E140" s="674">
        <f t="array" ref="E140">if(E13&lt;&gt;0,if(E11&lt;&gt;0,E11/E138*index('Moral weights'!$A$1:$ZG$33,match("Value assigned to averting the death of an individual under 5 — AMF",'Moral weights'!$A$1:$A$33,0),match($B1,'Moral weights'!$A$1:$ZG1,0)),"Donation size is 0"),"Relative worm burden is 0")</f>
        <v>90175.62361</v>
      </c>
      <c r="F140" s="674">
        <f t="array" ref="F140">if(F11&lt;&gt;0,F11/F138*index('Moral weights'!$A$1:$ZG$33,match("Value assigned to averting the death of an individual under 5 — AMF",'Moral weights'!$A$1:$A$33,0),match($B1,'Moral weights'!$A$1:$ZG1,0)),"Donation size is 0")</f>
        <v>5498.120886</v>
      </c>
      <c r="G140" s="674">
        <f t="array" ref="G140">if(G11&lt;&gt;0,G11/G138*index('Moral weights'!$A$1:$ZG$33,match("Value assigned to averting the death of an individual under 5 — AMF",'Moral weights'!$A$1:$A$33,0),match($B1,'Moral weights'!$A$1:$ZG1,0)),"Donation size is 0")</f>
        <v>1161.872301</v>
      </c>
      <c r="H140" s="674">
        <f t="array" ref="H140">if(H11&lt;&gt;0,H11/H138*index('Moral weights'!$A$1:$ZG$33,match("Value assigned to averting the death of an individual under 5 — AMF",'Moral weights'!$A$1:$A$33,0),match($B1,'Moral weights'!$A$1:$ZG1,0)),"Donation size is 0")</f>
        <v>2340.111034</v>
      </c>
      <c r="I140" s="674">
        <f t="array" ref="I140">if(I11&lt;&gt;0,I11/I138*index('Moral weights'!$A$1:$ZG$33,match("Value assigned to averting the death of an individual under 5 — AMF",'Moral weights'!$A$1:$A$33,0),match($B1,'Moral weights'!$A$1:$ZG1,0)),"Donation size is 0")</f>
        <v>1697.353569</v>
      </c>
      <c r="J140" s="674">
        <f t="array" ref="J140">if(J11&lt;&gt;0,J11/J138*index('Moral weights'!$A$1:$ZG$33,match("Value assigned to averting the death of an individual under 5 — AMF",'Moral weights'!$A$1:$A$33,0),match($B1,'Moral weights'!$A$1:$ZG1,0)),"Donation size is 0")</f>
        <v>1474.674289</v>
      </c>
      <c r="K140" s="674">
        <f t="array" ref="K140">if(K11&lt;&gt;0,K11/K138*index('Moral weights'!$A$1:$ZG$33,match("Value assigned to averting the death of an individual under 5 — AMF",'Moral weights'!$A$1:$A$33,0),match($B1,'Moral weights'!$A$1:$ZG1,0)),"Donation size is 0")</f>
        <v>4217.437749</v>
      </c>
      <c r="L140" s="674">
        <f t="array" ref="L140">if(L11&lt;&gt;0,L11/L138*index('Moral weights'!$A$1:$ZG$33,match("Value assigned to averting the death of an individual under 5 — AMF",'Moral weights'!$A$1:$A$33,0),match($B1,'Moral weights'!$A$1:$ZG1,0)),"Donation size is 0")</f>
        <v>4030.450246</v>
      </c>
    </row>
    <row r="141">
      <c r="A141" s="460"/>
      <c r="B141" s="652"/>
      <c r="C141" s="675"/>
      <c r="D141" s="675"/>
      <c r="E141" s="675"/>
      <c r="F141" s="675"/>
      <c r="G141" s="675"/>
      <c r="H141" s="675"/>
      <c r="I141" s="675"/>
      <c r="J141" s="675"/>
      <c r="K141" s="675"/>
      <c r="L141" s="675"/>
    </row>
    <row r="142">
      <c r="A142" s="412" t="s">
        <v>257</v>
      </c>
      <c r="B142" s="676">
        <f t="array" ref="B142">index(C142:L142,,match($A$3,$C$1:$L$1,0))</f>
        <v>10.05226068</v>
      </c>
      <c r="C142" s="349">
        <f t="array" ref="C142">C139/index(Cash!B:B,match("Total units of value generated with hypothetical donation ($100,000)",Cash!A:A,0))</f>
        <v>10.05226068</v>
      </c>
      <c r="D142" s="677">
        <f t="array" ref="D142">D139/index(Cash!B:B,match("Total units of value generated with hypothetical donation ($100,000)",Cash!A:A,0))</f>
        <v>3.562414776</v>
      </c>
      <c r="E142" s="349">
        <f t="array" ref="E142">E139/index(Cash!B:B,match("Total units of value generated with hypothetical donation ($100,000)",Cash!A:A,0))</f>
        <v>0.322345286</v>
      </c>
      <c r="F142" s="349">
        <f t="array" ref="F142">F139/index(Cash!B:B,match("Total units of value generated with hypothetical donation ($100,000)",Cash!A:A,0))</f>
        <v>5.286840319</v>
      </c>
      <c r="G142" s="349">
        <f t="array" ref="G142">G139/index(Cash!B:B,match("Total units of value generated with hypothetical donation ($100,000)",Cash!A:A,0))</f>
        <v>25.01797071</v>
      </c>
      <c r="H142" s="349">
        <f t="array" ref="H142">H139/index(Cash!B:B,match("Total units of value generated with hypothetical donation ($100,000)",Cash!A:A,0))</f>
        <v>12.42149913</v>
      </c>
      <c r="I142" s="349">
        <f t="array" ref="I142">I139/index(Cash!B:B,match("Total units of value generated with hypothetical donation ($100,000)",Cash!A:A,0))</f>
        <v>17.12529889</v>
      </c>
      <c r="J142" s="349">
        <f t="array" ref="J142">J139/index(Cash!B:B,match("Total units of value generated with hypothetical donation ($100,000)",Cash!A:A,0))</f>
        <v>19.71125923</v>
      </c>
      <c r="K142" s="349">
        <f t="array" ref="K142">K139/index(Cash!B:B,match("Total units of value generated with hypothetical donation ($100,000)",Cash!A:A,0))</f>
        <v>6.892262295</v>
      </c>
      <c r="L142" s="349">
        <f t="array" ref="L142">L139/index(Cash!B:B,match("Total units of value generated with hypothetical donation ($100,000)",Cash!A:A,0))</f>
        <v>7.212019851</v>
      </c>
    </row>
    <row r="143">
      <c r="A143" s="460"/>
      <c r="B143" s="652"/>
      <c r="C143" s="675"/>
      <c r="D143" s="675"/>
      <c r="E143" s="675"/>
      <c r="F143" s="675"/>
      <c r="G143" s="675"/>
      <c r="H143" s="675"/>
      <c r="I143" s="675"/>
      <c r="J143" s="675"/>
      <c r="K143" s="675"/>
      <c r="L143" s="675"/>
    </row>
    <row r="144">
      <c r="A144" s="350" t="s">
        <v>418</v>
      </c>
      <c r="B144" s="350"/>
      <c r="C144" s="350"/>
      <c r="D144" s="350"/>
      <c r="E144" s="350"/>
      <c r="F144" s="350"/>
      <c r="G144" s="350"/>
      <c r="H144" s="350"/>
      <c r="I144" s="350"/>
      <c r="J144" s="350"/>
      <c r="K144" s="350"/>
      <c r="L144" s="350"/>
    </row>
    <row r="145" outlineLevel="1">
      <c r="A145" s="352"/>
      <c r="D145" s="415"/>
      <c r="E145" s="415"/>
      <c r="F145" s="415"/>
      <c r="G145" s="415"/>
      <c r="H145" s="415"/>
      <c r="I145" s="415"/>
      <c r="J145" s="415"/>
      <c r="K145" s="415"/>
      <c r="L145" s="415"/>
    </row>
    <row r="146" outlineLevel="1">
      <c r="A146" s="62" t="s">
        <v>259</v>
      </c>
      <c r="B146" s="353"/>
      <c r="C146" s="110"/>
      <c r="D146" s="415"/>
      <c r="E146" s="415"/>
      <c r="F146" s="415"/>
      <c r="G146" s="415"/>
      <c r="H146" s="415"/>
      <c r="I146" s="415"/>
      <c r="J146" s="415"/>
      <c r="K146" s="415"/>
      <c r="L146" s="415"/>
    </row>
    <row r="147" outlineLevel="1">
      <c r="A147" s="40" t="s">
        <v>260</v>
      </c>
      <c r="B147" s="640">
        <f t="shared" ref="B147:B150" si="94">index(C147:Z147,,match($A$3,$C$1:$Z$1,0))</f>
        <v>0</v>
      </c>
      <c r="C147" s="47">
        <v>0.0</v>
      </c>
      <c r="D147" s="357">
        <f t="shared" ref="D147:L147" si="93">$C147</f>
        <v>0</v>
      </c>
      <c r="E147" s="357">
        <f t="shared" si="93"/>
        <v>0</v>
      </c>
      <c r="F147" s="357">
        <f t="shared" si="93"/>
        <v>0</v>
      </c>
      <c r="G147" s="357">
        <f t="shared" si="93"/>
        <v>0</v>
      </c>
      <c r="H147" s="357">
        <f t="shared" si="93"/>
        <v>0</v>
      </c>
      <c r="I147" s="357">
        <f t="shared" si="93"/>
        <v>0</v>
      </c>
      <c r="J147" s="357">
        <f t="shared" si="93"/>
        <v>0</v>
      </c>
      <c r="K147" s="357">
        <f t="shared" si="93"/>
        <v>0</v>
      </c>
      <c r="L147" s="357">
        <f t="shared" si="93"/>
        <v>0</v>
      </c>
    </row>
    <row r="148" outlineLevel="1">
      <c r="A148" s="40" t="s">
        <v>261</v>
      </c>
      <c r="B148" s="640">
        <f t="shared" si="94"/>
        <v>0</v>
      </c>
      <c r="C148" s="47">
        <v>0.0</v>
      </c>
      <c r="D148" s="357">
        <f t="shared" ref="D148:L148" si="95">$C148</f>
        <v>0</v>
      </c>
      <c r="E148" s="357">
        <f t="shared" si="95"/>
        <v>0</v>
      </c>
      <c r="F148" s="357">
        <f t="shared" si="95"/>
        <v>0</v>
      </c>
      <c r="G148" s="357">
        <f t="shared" si="95"/>
        <v>0</v>
      </c>
      <c r="H148" s="357">
        <f t="shared" si="95"/>
        <v>0</v>
      </c>
      <c r="I148" s="357">
        <f t="shared" si="95"/>
        <v>0</v>
      </c>
      <c r="J148" s="357">
        <f t="shared" si="95"/>
        <v>0</v>
      </c>
      <c r="K148" s="357">
        <f t="shared" si="95"/>
        <v>0</v>
      </c>
      <c r="L148" s="357">
        <f t="shared" si="95"/>
        <v>0</v>
      </c>
    </row>
    <row r="149" outlineLevel="1">
      <c r="A149" s="40" t="s">
        <v>262</v>
      </c>
      <c r="B149" s="640">
        <f t="shared" si="94"/>
        <v>0</v>
      </c>
      <c r="C149" s="543">
        <v>0.0</v>
      </c>
      <c r="D149" s="357">
        <f t="shared" ref="D149:L149" si="96">$C149</f>
        <v>0</v>
      </c>
      <c r="E149" s="357">
        <f t="shared" si="96"/>
        <v>0</v>
      </c>
      <c r="F149" s="357">
        <f t="shared" si="96"/>
        <v>0</v>
      </c>
      <c r="G149" s="357">
        <f t="shared" si="96"/>
        <v>0</v>
      </c>
      <c r="H149" s="357">
        <f t="shared" si="96"/>
        <v>0</v>
      </c>
      <c r="I149" s="357">
        <f t="shared" si="96"/>
        <v>0</v>
      </c>
      <c r="J149" s="357">
        <f t="shared" si="96"/>
        <v>0</v>
      </c>
      <c r="K149" s="357">
        <f t="shared" si="96"/>
        <v>0</v>
      </c>
      <c r="L149" s="357">
        <f t="shared" si="96"/>
        <v>0</v>
      </c>
    </row>
    <row r="150" outlineLevel="1">
      <c r="A150" s="358" t="s">
        <v>263</v>
      </c>
      <c r="B150" s="641">
        <f t="shared" si="94"/>
        <v>0</v>
      </c>
      <c r="C150" s="360">
        <f t="shared" ref="C150:L150" si="97">SUM(C147:C149)</f>
        <v>0</v>
      </c>
      <c r="D150" s="360">
        <f t="shared" si="97"/>
        <v>0</v>
      </c>
      <c r="E150" s="360">
        <f t="shared" si="97"/>
        <v>0</v>
      </c>
      <c r="F150" s="360">
        <f t="shared" si="97"/>
        <v>0</v>
      </c>
      <c r="G150" s="360">
        <f t="shared" si="97"/>
        <v>0</v>
      </c>
      <c r="H150" s="360">
        <f t="shared" si="97"/>
        <v>0</v>
      </c>
      <c r="I150" s="360">
        <f t="shared" si="97"/>
        <v>0</v>
      </c>
      <c r="J150" s="360">
        <f t="shared" si="97"/>
        <v>0</v>
      </c>
      <c r="K150" s="360">
        <f t="shared" si="97"/>
        <v>0</v>
      </c>
      <c r="L150" s="360">
        <f t="shared" si="97"/>
        <v>0</v>
      </c>
    </row>
    <row r="151" outlineLevel="1">
      <c r="A151" s="40"/>
      <c r="B151" s="353"/>
      <c r="C151" s="39"/>
      <c r="D151" s="353"/>
      <c r="E151" s="353"/>
      <c r="F151" s="353"/>
      <c r="G151" s="353"/>
      <c r="H151" s="353"/>
      <c r="I151" s="353"/>
      <c r="J151" s="353"/>
      <c r="K151" s="353"/>
      <c r="L151" s="353"/>
    </row>
    <row r="152" outlineLevel="1">
      <c r="A152" s="62" t="s">
        <v>310</v>
      </c>
      <c r="B152" s="640" t="str">
        <f t="shared" ref="B152:B155" si="98">index(C152:Z152,,match($A$3,$C$1:$Z$1,0))</f>
        <v/>
      </c>
      <c r="C152" s="39"/>
      <c r="D152" s="353"/>
      <c r="E152" s="353"/>
      <c r="F152" s="353"/>
      <c r="G152" s="353"/>
      <c r="H152" s="353"/>
      <c r="I152" s="353"/>
      <c r="J152" s="353"/>
      <c r="K152" s="353"/>
      <c r="L152" s="353"/>
    </row>
    <row r="153" outlineLevel="1">
      <c r="A153" s="40" t="s">
        <v>264</v>
      </c>
      <c r="B153" s="640">
        <f t="shared" si="98"/>
        <v>0.1</v>
      </c>
      <c r="C153" s="47">
        <v>0.1</v>
      </c>
      <c r="D153" s="357">
        <f t="shared" ref="D153:L153" si="99">$C153</f>
        <v>0.1</v>
      </c>
      <c r="E153" s="357">
        <f t="shared" si="99"/>
        <v>0.1</v>
      </c>
      <c r="F153" s="357">
        <f t="shared" si="99"/>
        <v>0.1</v>
      </c>
      <c r="G153" s="357">
        <f t="shared" si="99"/>
        <v>0.1</v>
      </c>
      <c r="H153" s="357">
        <f t="shared" si="99"/>
        <v>0.1</v>
      </c>
      <c r="I153" s="357">
        <f t="shared" si="99"/>
        <v>0.1</v>
      </c>
      <c r="J153" s="357">
        <f t="shared" si="99"/>
        <v>0.1</v>
      </c>
      <c r="K153" s="357">
        <f t="shared" si="99"/>
        <v>0.1</v>
      </c>
      <c r="L153" s="357">
        <f t="shared" si="99"/>
        <v>0.1</v>
      </c>
    </row>
    <row r="154" outlineLevel="1">
      <c r="A154" s="40" t="s">
        <v>265</v>
      </c>
      <c r="B154" s="640">
        <f t="shared" si="98"/>
        <v>0.05</v>
      </c>
      <c r="C154" s="543">
        <v>0.05</v>
      </c>
      <c r="D154" s="357">
        <f t="shared" ref="D154:L154" si="100">$C154</f>
        <v>0.05</v>
      </c>
      <c r="E154" s="357">
        <f t="shared" si="100"/>
        <v>0.05</v>
      </c>
      <c r="F154" s="357">
        <f t="shared" si="100"/>
        <v>0.05</v>
      </c>
      <c r="G154" s="357">
        <f t="shared" si="100"/>
        <v>0.05</v>
      </c>
      <c r="H154" s="357">
        <f t="shared" si="100"/>
        <v>0.05</v>
      </c>
      <c r="I154" s="357">
        <f t="shared" si="100"/>
        <v>0.05</v>
      </c>
      <c r="J154" s="357">
        <f t="shared" si="100"/>
        <v>0.05</v>
      </c>
      <c r="K154" s="357">
        <f t="shared" si="100"/>
        <v>0.05</v>
      </c>
      <c r="L154" s="357">
        <f t="shared" si="100"/>
        <v>0.05</v>
      </c>
    </row>
    <row r="155" outlineLevel="1">
      <c r="A155" s="358" t="s">
        <v>266</v>
      </c>
      <c r="B155" s="641">
        <f t="shared" si="98"/>
        <v>0.15</v>
      </c>
      <c r="C155" s="360">
        <f t="shared" ref="C155:L155" si="101">sum(C152:C154)</f>
        <v>0.15</v>
      </c>
      <c r="D155" s="360">
        <f t="shared" si="101"/>
        <v>0.15</v>
      </c>
      <c r="E155" s="360">
        <f t="shared" si="101"/>
        <v>0.15</v>
      </c>
      <c r="F155" s="360">
        <f t="shared" si="101"/>
        <v>0.15</v>
      </c>
      <c r="G155" s="360">
        <f t="shared" si="101"/>
        <v>0.15</v>
      </c>
      <c r="H155" s="360">
        <f t="shared" si="101"/>
        <v>0.15</v>
      </c>
      <c r="I155" s="360">
        <f t="shared" si="101"/>
        <v>0.15</v>
      </c>
      <c r="J155" s="360">
        <f t="shared" si="101"/>
        <v>0.15</v>
      </c>
      <c r="K155" s="360">
        <f t="shared" si="101"/>
        <v>0.15</v>
      </c>
      <c r="L155" s="360">
        <f t="shared" si="101"/>
        <v>0.15</v>
      </c>
    </row>
    <row r="156" outlineLevel="1">
      <c r="A156" s="40"/>
      <c r="B156" s="353"/>
      <c r="C156" s="39"/>
      <c r="D156" s="353"/>
      <c r="E156" s="353"/>
      <c r="F156" s="353"/>
      <c r="G156" s="353"/>
      <c r="H156" s="353"/>
      <c r="I156" s="353"/>
      <c r="J156" s="353"/>
      <c r="K156" s="353"/>
      <c r="L156" s="353"/>
    </row>
    <row r="157" outlineLevel="1">
      <c r="A157" s="62" t="s">
        <v>267</v>
      </c>
      <c r="B157" s="353"/>
      <c r="C157" s="39"/>
      <c r="D157" s="353"/>
      <c r="E157" s="353"/>
      <c r="F157" s="353"/>
      <c r="G157" s="353"/>
      <c r="H157" s="353"/>
      <c r="I157" s="353"/>
      <c r="J157" s="353"/>
      <c r="K157" s="353"/>
      <c r="L157" s="353"/>
    </row>
    <row r="158" outlineLevel="1">
      <c r="A158" s="40" t="s">
        <v>268</v>
      </c>
      <c r="B158" s="640">
        <f t="shared" ref="B158:B161" si="103">index(C158:Z158,,match($A$3,$C$1:$Z$1,0))</f>
        <v>0</v>
      </c>
      <c r="C158" s="47">
        <v>0.0</v>
      </c>
      <c r="D158" s="357">
        <f t="shared" ref="D158:L158" si="102">$C158</f>
        <v>0</v>
      </c>
      <c r="E158" s="357">
        <f t="shared" si="102"/>
        <v>0</v>
      </c>
      <c r="F158" s="357">
        <f t="shared" si="102"/>
        <v>0</v>
      </c>
      <c r="G158" s="357">
        <f t="shared" si="102"/>
        <v>0</v>
      </c>
      <c r="H158" s="357">
        <f t="shared" si="102"/>
        <v>0</v>
      </c>
      <c r="I158" s="357">
        <f t="shared" si="102"/>
        <v>0</v>
      </c>
      <c r="J158" s="357">
        <f t="shared" si="102"/>
        <v>0</v>
      </c>
      <c r="K158" s="357">
        <f t="shared" si="102"/>
        <v>0</v>
      </c>
      <c r="L158" s="357">
        <f t="shared" si="102"/>
        <v>0</v>
      </c>
    </row>
    <row r="159" outlineLevel="1">
      <c r="A159" s="40" t="s">
        <v>269</v>
      </c>
      <c r="B159" s="640">
        <f t="shared" si="103"/>
        <v>0</v>
      </c>
      <c r="C159" s="47">
        <v>0.0</v>
      </c>
      <c r="D159" s="357">
        <f t="shared" ref="D159:L159" si="104">$C159</f>
        <v>0</v>
      </c>
      <c r="E159" s="357">
        <f t="shared" si="104"/>
        <v>0</v>
      </c>
      <c r="F159" s="357">
        <f t="shared" si="104"/>
        <v>0</v>
      </c>
      <c r="G159" s="357">
        <f t="shared" si="104"/>
        <v>0</v>
      </c>
      <c r="H159" s="357">
        <f t="shared" si="104"/>
        <v>0</v>
      </c>
      <c r="I159" s="357">
        <f t="shared" si="104"/>
        <v>0</v>
      </c>
      <c r="J159" s="357">
        <f t="shared" si="104"/>
        <v>0</v>
      </c>
      <c r="K159" s="357">
        <f t="shared" si="104"/>
        <v>0</v>
      </c>
      <c r="L159" s="357">
        <f t="shared" si="104"/>
        <v>0</v>
      </c>
    </row>
    <row r="160" outlineLevel="1">
      <c r="A160" s="40" t="s">
        <v>270</v>
      </c>
      <c r="B160" s="640">
        <f t="shared" si="103"/>
        <v>0</v>
      </c>
      <c r="C160" s="543">
        <v>0.0</v>
      </c>
      <c r="D160" s="357">
        <f t="shared" ref="D160:L160" si="105">$C160</f>
        <v>0</v>
      </c>
      <c r="E160" s="357">
        <f t="shared" si="105"/>
        <v>0</v>
      </c>
      <c r="F160" s="357">
        <f t="shared" si="105"/>
        <v>0</v>
      </c>
      <c r="G160" s="357">
        <f t="shared" si="105"/>
        <v>0</v>
      </c>
      <c r="H160" s="357">
        <f t="shared" si="105"/>
        <v>0</v>
      </c>
      <c r="I160" s="357">
        <f t="shared" si="105"/>
        <v>0</v>
      </c>
      <c r="J160" s="357">
        <f t="shared" si="105"/>
        <v>0</v>
      </c>
      <c r="K160" s="357">
        <f t="shared" si="105"/>
        <v>0</v>
      </c>
      <c r="L160" s="357">
        <f t="shared" si="105"/>
        <v>0</v>
      </c>
    </row>
    <row r="161" outlineLevel="1">
      <c r="A161" s="362" t="s">
        <v>271</v>
      </c>
      <c r="B161" s="641">
        <f t="shared" si="103"/>
        <v>0</v>
      </c>
      <c r="C161" s="360">
        <f t="shared" ref="C161:L161" si="106">sum(C158:C160)</f>
        <v>0</v>
      </c>
      <c r="D161" s="360">
        <f t="shared" si="106"/>
        <v>0</v>
      </c>
      <c r="E161" s="360">
        <f t="shared" si="106"/>
        <v>0</v>
      </c>
      <c r="F161" s="360">
        <f t="shared" si="106"/>
        <v>0</v>
      </c>
      <c r="G161" s="360">
        <f t="shared" si="106"/>
        <v>0</v>
      </c>
      <c r="H161" s="360">
        <f t="shared" si="106"/>
        <v>0</v>
      </c>
      <c r="I161" s="360">
        <f t="shared" si="106"/>
        <v>0</v>
      </c>
      <c r="J161" s="360">
        <f t="shared" si="106"/>
        <v>0</v>
      </c>
      <c r="K161" s="360">
        <f t="shared" si="106"/>
        <v>0</v>
      </c>
      <c r="L161" s="360">
        <f t="shared" si="106"/>
        <v>0</v>
      </c>
    </row>
    <row r="162" outlineLevel="1">
      <c r="A162" s="40"/>
      <c r="B162" s="353"/>
      <c r="C162" s="39"/>
      <c r="D162" s="353"/>
      <c r="E162" s="353"/>
      <c r="F162" s="353"/>
      <c r="G162" s="353"/>
      <c r="H162" s="353"/>
      <c r="I162" s="353"/>
      <c r="J162" s="353"/>
      <c r="K162" s="353"/>
      <c r="L162" s="353"/>
    </row>
    <row r="163">
      <c r="A163" s="109" t="s">
        <v>272</v>
      </c>
      <c r="B163" s="640">
        <f t="array" ref="B163">index(C163:Z163,,match($A$3,$C$1:$Z$1,0))</f>
        <v>0.85</v>
      </c>
      <c r="C163" s="361">
        <f t="shared" ref="C163:L163" si="107">1-sum(C150,C155,C161)</f>
        <v>0.85</v>
      </c>
      <c r="D163" s="361">
        <f t="shared" si="107"/>
        <v>0.85</v>
      </c>
      <c r="E163" s="361">
        <f t="shared" si="107"/>
        <v>0.85</v>
      </c>
      <c r="F163" s="361">
        <f t="shared" si="107"/>
        <v>0.85</v>
      </c>
      <c r="G163" s="361">
        <f t="shared" si="107"/>
        <v>0.85</v>
      </c>
      <c r="H163" s="361">
        <f t="shared" si="107"/>
        <v>0.85</v>
      </c>
      <c r="I163" s="361">
        <f t="shared" si="107"/>
        <v>0.85</v>
      </c>
      <c r="J163" s="361">
        <f t="shared" si="107"/>
        <v>0.85</v>
      </c>
      <c r="K163" s="361">
        <f t="shared" si="107"/>
        <v>0.85</v>
      </c>
      <c r="L163" s="361">
        <f t="shared" si="107"/>
        <v>0.85</v>
      </c>
    </row>
    <row r="164">
      <c r="A164" s="551"/>
      <c r="B164" s="643"/>
      <c r="C164" s="364"/>
      <c r="D164" s="364"/>
      <c r="E164" s="364"/>
      <c r="F164" s="364"/>
      <c r="G164" s="364"/>
      <c r="H164" s="364"/>
      <c r="I164" s="364"/>
      <c r="J164" s="364"/>
      <c r="K164" s="364"/>
      <c r="L164" s="364"/>
    </row>
    <row r="165">
      <c r="A165" s="350" t="s">
        <v>383</v>
      </c>
      <c r="B165" s="351"/>
      <c r="C165" s="350"/>
      <c r="D165" s="350"/>
      <c r="E165" s="350"/>
      <c r="F165" s="350"/>
      <c r="G165" s="350"/>
      <c r="H165" s="350"/>
      <c r="I165" s="350"/>
      <c r="J165" s="350"/>
      <c r="K165" s="350"/>
      <c r="L165" s="350"/>
    </row>
    <row r="166" outlineLevel="1">
      <c r="A166" s="352" t="s">
        <v>274</v>
      </c>
      <c r="B166" s="363"/>
      <c r="C166" s="364"/>
      <c r="D166" s="364"/>
      <c r="E166" s="364"/>
      <c r="F166" s="364"/>
      <c r="G166" s="364"/>
      <c r="H166" s="364"/>
      <c r="I166" s="364"/>
      <c r="J166" s="364"/>
      <c r="K166" s="364"/>
      <c r="L166" s="364"/>
    </row>
    <row r="167" outlineLevel="1">
      <c r="A167" s="35" t="str">
        <f>IFERROR(__xludf.DUMMYFUNCTION("filter(InclusionExclusion!B:B,InclusionExclusion!A:A=""Deworming"",InclusionExclusion!C:C=""Included"")"),"Developmental effects")</f>
        <v>Developmental effects</v>
      </c>
      <c r="B167" s="363"/>
      <c r="C167" s="364"/>
      <c r="D167" s="364"/>
      <c r="E167" s="364"/>
      <c r="F167" s="364"/>
      <c r="G167" s="364"/>
      <c r="H167" s="364"/>
      <c r="I167" s="364"/>
      <c r="J167" s="364"/>
      <c r="K167" s="364"/>
      <c r="L167" s="364"/>
    </row>
    <row r="168" outlineLevel="1">
      <c r="A168" s="109"/>
      <c r="B168" s="363"/>
      <c r="C168" s="364"/>
      <c r="D168" s="364"/>
      <c r="E168" s="364"/>
      <c r="F168" s="364"/>
      <c r="G168" s="364"/>
      <c r="H168" s="364"/>
      <c r="I168" s="364"/>
      <c r="J168" s="364"/>
      <c r="K168" s="364"/>
      <c r="L168" s="364"/>
    </row>
    <row r="169" outlineLevel="1">
      <c r="A169" s="352" t="s">
        <v>275</v>
      </c>
      <c r="B169" s="363"/>
      <c r="C169" s="364"/>
      <c r="D169" s="364"/>
      <c r="E169" s="364"/>
      <c r="F169" s="364"/>
      <c r="G169" s="364"/>
      <c r="H169" s="364"/>
      <c r="I169" s="364"/>
      <c r="J169" s="364"/>
      <c r="K169" s="364"/>
      <c r="L169" s="364"/>
    </row>
    <row r="170" outlineLevel="1">
      <c r="A170" s="35" t="str">
        <f>IFERROR(__xludf.DUMMYFUNCTION("filter(InclusionExclusion!B:B,InclusionExclusion!A:A=""Deworming"",InclusionExclusion!C:C=""Excluded"")"),"Direct health effects")</f>
        <v>Direct health effects</v>
      </c>
      <c r="B170" s="354">
        <f t="shared" ref="B170:B184" si="109">index(C170:Y170,,match($A$3,$C$1:$Y$1,0))</f>
        <v>0.008</v>
      </c>
      <c r="C170" s="110">
        <f t="array" ref="C170">iferror(if(isblank(A170),"",index(InclusionExclusion!$L:L,match(1,(InclusionExclusion!B:B=A170)*(InclusionExclusion!A:A="Deworming"),0))),"Not specified")</f>
        <v>0.008</v>
      </c>
      <c r="D170" s="365">
        <f t="shared" ref="D170:L170" si="108">$C170</f>
        <v>0.008</v>
      </c>
      <c r="E170" s="365">
        <f t="shared" si="108"/>
        <v>0.008</v>
      </c>
      <c r="F170" s="365">
        <f t="shared" si="108"/>
        <v>0.008</v>
      </c>
      <c r="G170" s="365">
        <f t="shared" si="108"/>
        <v>0.008</v>
      </c>
      <c r="H170" s="365">
        <f t="shared" si="108"/>
        <v>0.008</v>
      </c>
      <c r="I170" s="365">
        <f t="shared" si="108"/>
        <v>0.008</v>
      </c>
      <c r="J170" s="365">
        <f t="shared" si="108"/>
        <v>0.008</v>
      </c>
      <c r="K170" s="365">
        <f t="shared" si="108"/>
        <v>0.008</v>
      </c>
      <c r="L170" s="365">
        <f t="shared" si="108"/>
        <v>0.008</v>
      </c>
    </row>
    <row r="171" outlineLevel="1">
      <c r="A171" s="200" t="str">
        <f>IFERROR(__xludf.DUMMYFUNCTION("""COMPUTED_VALUE"""),"HIV reduction")</f>
        <v>HIV reduction</v>
      </c>
      <c r="B171" s="354">
        <f t="shared" si="109"/>
        <v>0.06</v>
      </c>
      <c r="C171" s="110">
        <f t="array" ref="C171">iferror(if(isblank(A171),"",index(InclusionExclusion!$L:L,match(1,(InclusionExclusion!B:B=A171)*(InclusionExclusion!A:A="Deworming"),0))),"Not specified")</f>
        <v>0.06</v>
      </c>
      <c r="D171" s="365">
        <f t="shared" ref="D171:L171" si="110">$C171</f>
        <v>0.06</v>
      </c>
      <c r="E171" s="365">
        <f t="shared" si="110"/>
        <v>0.06</v>
      </c>
      <c r="F171" s="365">
        <f t="shared" si="110"/>
        <v>0.06</v>
      </c>
      <c r="G171" s="365">
        <f t="shared" si="110"/>
        <v>0.06</v>
      </c>
      <c r="H171" s="365">
        <f t="shared" si="110"/>
        <v>0.06</v>
      </c>
      <c r="I171" s="365">
        <f t="shared" si="110"/>
        <v>0.06</v>
      </c>
      <c r="J171" s="365">
        <f t="shared" si="110"/>
        <v>0.06</v>
      </c>
      <c r="K171" s="365">
        <f t="shared" si="110"/>
        <v>0.06</v>
      </c>
      <c r="L171" s="365">
        <f t="shared" si="110"/>
        <v>0.06</v>
      </c>
    </row>
    <row r="172" outlineLevel="1">
      <c r="A172" s="200" t="str">
        <f>IFERROR(__xludf.DUMMYFUNCTION("""COMPUTED_VALUE"""),"Possible increases in diseases of affluence (harms of deworming)")</f>
        <v>Possible increases in diseases of affluence (harms of deworming)</v>
      </c>
      <c r="B172" s="354">
        <f t="shared" si="109"/>
        <v>-0.025</v>
      </c>
      <c r="C172" s="110">
        <f t="array" ref="C172">iferror(if(isblank(A172),"",index(InclusionExclusion!$L:L,match(1,(InclusionExclusion!B:B=A172)*(InclusionExclusion!A:A="Deworming"),0))),"Not specified")</f>
        <v>-0.025</v>
      </c>
      <c r="D172" s="365">
        <f t="shared" ref="D172:L172" si="111">$C172</f>
        <v>-0.025</v>
      </c>
      <c r="E172" s="365">
        <f t="shared" si="111"/>
        <v>-0.025</v>
      </c>
      <c r="F172" s="365">
        <f t="shared" si="111"/>
        <v>-0.025</v>
      </c>
      <c r="G172" s="365">
        <f t="shared" si="111"/>
        <v>-0.025</v>
      </c>
      <c r="H172" s="365">
        <f t="shared" si="111"/>
        <v>-0.025</v>
      </c>
      <c r="I172" s="365">
        <f t="shared" si="111"/>
        <v>-0.025</v>
      </c>
      <c r="J172" s="365">
        <f t="shared" si="111"/>
        <v>-0.025</v>
      </c>
      <c r="K172" s="365">
        <f t="shared" si="111"/>
        <v>-0.025</v>
      </c>
      <c r="L172" s="365">
        <f t="shared" si="111"/>
        <v>-0.025</v>
      </c>
    </row>
    <row r="173" outlineLevel="1">
      <c r="A173" s="200" t="str">
        <f>IFERROR(__xludf.DUMMYFUNCTION("""COMPUTED_VALUE"""),"Averted mortality")</f>
        <v>Averted mortality</v>
      </c>
      <c r="B173" s="354">
        <f t="shared" si="109"/>
        <v>0.035</v>
      </c>
      <c r="C173" s="110">
        <f t="array" ref="C173">iferror(if(isblank(A173),"",index(InclusionExclusion!$L:L,match(1,(InclusionExclusion!B:B=A173)*(InclusionExclusion!A:A="Deworming"),0))),"Not specified")</f>
        <v>0.035</v>
      </c>
      <c r="D173" s="365">
        <f t="shared" ref="D173:L173" si="112">$C173</f>
        <v>0.035</v>
      </c>
      <c r="E173" s="365">
        <f t="shared" si="112"/>
        <v>0.035</v>
      </c>
      <c r="F173" s="365">
        <f t="shared" si="112"/>
        <v>0.035</v>
      </c>
      <c r="G173" s="365">
        <f t="shared" si="112"/>
        <v>0.035</v>
      </c>
      <c r="H173" s="365">
        <f t="shared" si="112"/>
        <v>0.035</v>
      </c>
      <c r="I173" s="365">
        <f t="shared" si="112"/>
        <v>0.035</v>
      </c>
      <c r="J173" s="365">
        <f t="shared" si="112"/>
        <v>0.035</v>
      </c>
      <c r="K173" s="365">
        <f t="shared" si="112"/>
        <v>0.035</v>
      </c>
      <c r="L173" s="365">
        <f t="shared" si="112"/>
        <v>0.035</v>
      </c>
    </row>
    <row r="174" outlineLevel="1">
      <c r="A174" s="200" t="str">
        <f>IFERROR(__xludf.DUMMYFUNCTION("""COMPUTED_VALUE"""),"Short-term anemia effects")</f>
        <v>Short-term anemia effects</v>
      </c>
      <c r="B174" s="354">
        <f t="shared" si="109"/>
        <v>0.09</v>
      </c>
      <c r="C174" s="110">
        <f t="array" ref="C174">iferror(if(isblank(A174),"",index(InclusionExclusion!$L:L,match(1,(InclusionExclusion!B:B=A174)*(InclusionExclusion!A:A="Deworming"),0))),"Not specified")</f>
        <v>0.09</v>
      </c>
      <c r="D174" s="365">
        <f t="shared" ref="D174:L174" si="113">$C174</f>
        <v>0.09</v>
      </c>
      <c r="E174" s="365">
        <f t="shared" si="113"/>
        <v>0.09</v>
      </c>
      <c r="F174" s="365">
        <f t="shared" si="113"/>
        <v>0.09</v>
      </c>
      <c r="G174" s="365">
        <f t="shared" si="113"/>
        <v>0.09</v>
      </c>
      <c r="H174" s="365">
        <f t="shared" si="113"/>
        <v>0.09</v>
      </c>
      <c r="I174" s="365">
        <f t="shared" si="113"/>
        <v>0.09</v>
      </c>
      <c r="J174" s="365">
        <f t="shared" si="113"/>
        <v>0.09</v>
      </c>
      <c r="K174" s="365">
        <f t="shared" si="113"/>
        <v>0.09</v>
      </c>
      <c r="L174" s="365">
        <f t="shared" si="113"/>
        <v>0.09</v>
      </c>
    </row>
    <row r="175" outlineLevel="1">
      <c r="A175" s="94" t="str">
        <f>IFERROR(__xludf.DUMMYFUNCTION("""COMPUTED_VALUE"""),"Investment of income increases")</f>
        <v>Investment of income increases</v>
      </c>
      <c r="B175" s="354">
        <f t="shared" si="109"/>
        <v>0.1</v>
      </c>
      <c r="C175" s="110">
        <f t="array" ref="C175">iferror(if(isblank(A175),"",index(InclusionExclusion!$L:L,match(1,(InclusionExclusion!B:B=A175)*(InclusionExclusion!A:A="Deworming"),0))),"Not specified")</f>
        <v>0.1</v>
      </c>
      <c r="D175" s="365">
        <f t="shared" ref="D175:L175" si="114">$C175</f>
        <v>0.1</v>
      </c>
      <c r="E175" s="365">
        <f t="shared" si="114"/>
        <v>0.1</v>
      </c>
      <c r="F175" s="365">
        <f t="shared" si="114"/>
        <v>0.1</v>
      </c>
      <c r="G175" s="365">
        <f t="shared" si="114"/>
        <v>0.1</v>
      </c>
      <c r="H175" s="365">
        <f t="shared" si="114"/>
        <v>0.1</v>
      </c>
      <c r="I175" s="365">
        <f t="shared" si="114"/>
        <v>0.1</v>
      </c>
      <c r="J175" s="365">
        <f t="shared" si="114"/>
        <v>0.1</v>
      </c>
      <c r="K175" s="365">
        <f t="shared" si="114"/>
        <v>0.1</v>
      </c>
      <c r="L175" s="365">
        <f t="shared" si="114"/>
        <v>0.1</v>
      </c>
    </row>
    <row r="176" outlineLevel="1">
      <c r="A176" s="200" t="str">
        <f>IFERROR(__xludf.DUMMYFUNCTION("""COMPUTED_VALUE"""),"Non-income long-run benefits of deworming")</f>
        <v>Non-income long-run benefits of deworming</v>
      </c>
      <c r="B176" s="354">
        <f t="shared" si="109"/>
        <v>0.04</v>
      </c>
      <c r="C176" s="110">
        <f t="array" ref="C176">iferror(if(isblank(A176),"",index(InclusionExclusion!$L:L,match(1,(InclusionExclusion!B:B=A176)*(InclusionExclusion!A:A="Deworming"),0))),"Not specified")</f>
        <v>0.04</v>
      </c>
      <c r="D176" s="365">
        <f t="shared" ref="D176:L176" si="115">$C176</f>
        <v>0.04</v>
      </c>
      <c r="E176" s="365">
        <f t="shared" si="115"/>
        <v>0.04</v>
      </c>
      <c r="F176" s="365">
        <f t="shared" si="115"/>
        <v>0.04</v>
      </c>
      <c r="G176" s="365">
        <f t="shared" si="115"/>
        <v>0.04</v>
      </c>
      <c r="H176" s="365">
        <f t="shared" si="115"/>
        <v>0.04</v>
      </c>
      <c r="I176" s="365">
        <f t="shared" si="115"/>
        <v>0.04</v>
      </c>
      <c r="J176" s="365">
        <f t="shared" si="115"/>
        <v>0.04</v>
      </c>
      <c r="K176" s="365">
        <f t="shared" si="115"/>
        <v>0.04</v>
      </c>
      <c r="L176" s="365">
        <f t="shared" si="115"/>
        <v>0.04</v>
      </c>
    </row>
    <row r="177" outlineLevel="1">
      <c r="A177" s="200" t="str">
        <f>IFERROR(__xludf.DUMMYFUNCTION("""COMPUTED_VALUE"""),"Other NTD prevention (relevant to Sightsavers and END Fund)")</f>
        <v>Other NTD prevention (relevant to Sightsavers and END Fund)</v>
      </c>
      <c r="B177" s="354">
        <f t="shared" si="109"/>
        <v>0.14</v>
      </c>
      <c r="C177" s="110">
        <f t="array" ref="C177">iferror(if(isblank(A177),"",index(InclusionExclusion!$L:L,match(1,(InclusionExclusion!B:B=A177)*(InclusionExclusion!A:A="Deworming"),0))),"Not specified")</f>
        <v>0.14</v>
      </c>
      <c r="D177" s="365">
        <f t="shared" ref="D177:L177" si="116">$C177</f>
        <v>0.14</v>
      </c>
      <c r="E177" s="365">
        <f t="shared" si="116"/>
        <v>0.14</v>
      </c>
      <c r="F177" s="365">
        <f t="shared" si="116"/>
        <v>0.14</v>
      </c>
      <c r="G177" s="365">
        <f t="shared" si="116"/>
        <v>0.14</v>
      </c>
      <c r="H177" s="365">
        <f t="shared" si="116"/>
        <v>0.14</v>
      </c>
      <c r="I177" s="365">
        <f t="shared" si="116"/>
        <v>0.14</v>
      </c>
      <c r="J177" s="365">
        <f t="shared" si="116"/>
        <v>0.14</v>
      </c>
      <c r="K177" s="365">
        <f t="shared" si="116"/>
        <v>0.14</v>
      </c>
      <c r="L177" s="365">
        <f t="shared" si="116"/>
        <v>0.14</v>
      </c>
    </row>
    <row r="178" outlineLevel="1">
      <c r="A178" s="200" t="str">
        <f>IFERROR(__xludf.DUMMYFUNCTION("""COMPUTED_VALUE"""),"Drug resistance")</f>
        <v>Drug resistance</v>
      </c>
      <c r="B178" s="354">
        <f t="shared" si="109"/>
        <v>-0.04</v>
      </c>
      <c r="C178" s="110">
        <f t="array" ref="C178">iferror(if(isblank(A178),"",index(InclusionExclusion!$L:L,match(1,(InclusionExclusion!B:B=A178)*(InclusionExclusion!A:A="Deworming"),0))),"Not specified")</f>
        <v>-0.04</v>
      </c>
      <c r="D178" s="365">
        <f t="shared" ref="D178:L178" si="117">$C178</f>
        <v>-0.04</v>
      </c>
      <c r="E178" s="365">
        <f t="shared" si="117"/>
        <v>-0.04</v>
      </c>
      <c r="F178" s="365">
        <f t="shared" si="117"/>
        <v>-0.04</v>
      </c>
      <c r="G178" s="365">
        <f t="shared" si="117"/>
        <v>-0.04</v>
      </c>
      <c r="H178" s="365">
        <f t="shared" si="117"/>
        <v>-0.04</v>
      </c>
      <c r="I178" s="365">
        <f t="shared" si="117"/>
        <v>-0.04</v>
      </c>
      <c r="J178" s="365">
        <f t="shared" si="117"/>
        <v>-0.04</v>
      </c>
      <c r="K178" s="365">
        <f t="shared" si="117"/>
        <v>-0.04</v>
      </c>
      <c r="L178" s="365">
        <f t="shared" si="117"/>
        <v>-0.04</v>
      </c>
    </row>
    <row r="179" outlineLevel="1">
      <c r="A179" s="200" t="str">
        <f>IFERROR(__xludf.DUMMYFUNCTION("""COMPUTED_VALUE"""),"Unprogrammed deworming")</f>
        <v>Unprogrammed deworming</v>
      </c>
      <c r="B179" s="354">
        <f t="shared" si="109"/>
        <v>-0.14</v>
      </c>
      <c r="C179" s="110">
        <f t="array" ref="C179">iferror(if(isblank(A179),"",index(InclusionExclusion!$L:L,match(1,(InclusionExclusion!B:B=A179)*(InclusionExclusion!A:A="Deworming"),0))),"Not specified")</f>
        <v>-0.14</v>
      </c>
      <c r="D179" s="365">
        <f t="shared" ref="D179:L179" si="118">$C179</f>
        <v>-0.14</v>
      </c>
      <c r="E179" s="365">
        <f t="shared" si="118"/>
        <v>-0.14</v>
      </c>
      <c r="F179" s="365">
        <f t="shared" si="118"/>
        <v>-0.14</v>
      </c>
      <c r="G179" s="365">
        <f t="shared" si="118"/>
        <v>-0.14</v>
      </c>
      <c r="H179" s="365">
        <f t="shared" si="118"/>
        <v>-0.14</v>
      </c>
      <c r="I179" s="365">
        <f t="shared" si="118"/>
        <v>-0.14</v>
      </c>
      <c r="J179" s="365">
        <f t="shared" si="118"/>
        <v>-0.14</v>
      </c>
      <c r="K179" s="365">
        <f t="shared" si="118"/>
        <v>-0.14</v>
      </c>
      <c r="L179" s="365">
        <f t="shared" si="118"/>
        <v>-0.14</v>
      </c>
    </row>
    <row r="180" outlineLevel="1">
      <c r="A180" s="94" t="str">
        <f>IFERROR(__xludf.DUMMYFUNCTION("""COMPUTED_VALUE"""),"Marginal funding goes to lower priority areas")</f>
        <v>Marginal funding goes to lower priority areas</v>
      </c>
      <c r="B180" s="354">
        <f t="shared" si="109"/>
        <v>-0.025</v>
      </c>
      <c r="C180" s="110">
        <f t="array" ref="C180">iferror(if(isblank(A180),"",index(InclusionExclusion!$L:L,match(1,(InclusionExclusion!B:B=A180)*(InclusionExclusion!A:A="Deworming"),0))),"Not specified")</f>
        <v>-0.025</v>
      </c>
      <c r="D180" s="365">
        <f t="shared" ref="D180:L180" si="119">$C180</f>
        <v>-0.025</v>
      </c>
      <c r="E180" s="365">
        <f t="shared" si="119"/>
        <v>-0.025</v>
      </c>
      <c r="F180" s="365">
        <f t="shared" si="119"/>
        <v>-0.025</v>
      </c>
      <c r="G180" s="365">
        <f t="shared" si="119"/>
        <v>-0.025</v>
      </c>
      <c r="H180" s="365">
        <f t="shared" si="119"/>
        <v>-0.025</v>
      </c>
      <c r="I180" s="365">
        <f t="shared" si="119"/>
        <v>-0.025</v>
      </c>
      <c r="J180" s="365">
        <f t="shared" si="119"/>
        <v>-0.025</v>
      </c>
      <c r="K180" s="365">
        <f t="shared" si="119"/>
        <v>-0.025</v>
      </c>
      <c r="L180" s="365">
        <f t="shared" si="119"/>
        <v>-0.025</v>
      </c>
    </row>
    <row r="181" outlineLevel="1">
      <c r="A181" s="94" t="str">
        <f>IFERROR(__xludf.DUMMYFUNCTION("""COMPUTED_VALUE"""),"General equilibrium effects")</f>
        <v>General equilibrium effects</v>
      </c>
      <c r="B181" s="354">
        <f t="shared" si="109"/>
        <v>-0.03</v>
      </c>
      <c r="C181" s="110">
        <f t="array" ref="C181">iferror(if(isblank(A181),"",index(InclusionExclusion!$L:L,match(1,(InclusionExclusion!B:B=A181)*(InclusionExclusion!A:A="Deworming"),0))),"Not specified")</f>
        <v>-0.03</v>
      </c>
      <c r="D181" s="365">
        <f t="shared" ref="D181:L181" si="120">$C181</f>
        <v>-0.03</v>
      </c>
      <c r="E181" s="365">
        <f t="shared" si="120"/>
        <v>-0.03</v>
      </c>
      <c r="F181" s="365">
        <f t="shared" si="120"/>
        <v>-0.03</v>
      </c>
      <c r="G181" s="365">
        <f t="shared" si="120"/>
        <v>-0.03</v>
      </c>
      <c r="H181" s="365">
        <f t="shared" si="120"/>
        <v>-0.03</v>
      </c>
      <c r="I181" s="365">
        <f t="shared" si="120"/>
        <v>-0.03</v>
      </c>
      <c r="J181" s="365">
        <f t="shared" si="120"/>
        <v>-0.03</v>
      </c>
      <c r="K181" s="365">
        <f t="shared" si="120"/>
        <v>-0.03</v>
      </c>
      <c r="L181" s="365">
        <f t="shared" si="120"/>
        <v>-0.03</v>
      </c>
    </row>
    <row r="182" outlineLevel="1">
      <c r="A182" s="94"/>
      <c r="B182" s="354" t="str">
        <f t="shared" si="109"/>
        <v/>
      </c>
      <c r="C182" s="110" t="str">
        <f t="array" ref="C182">iferror(if(isblank(A182),"",index(InclusionExclusion!$L:L,match(1,(InclusionExclusion!B:B=A182)*(InclusionExclusion!A:A="Deworming"),0))),"Not specified")</f>
        <v/>
      </c>
      <c r="D182" s="365" t="str">
        <f t="shared" ref="D182:L182" si="121">$C182</f>
        <v/>
      </c>
      <c r="E182" s="365" t="str">
        <f t="shared" si="121"/>
        <v/>
      </c>
      <c r="F182" s="365" t="str">
        <f t="shared" si="121"/>
        <v/>
      </c>
      <c r="G182" s="365" t="str">
        <f t="shared" si="121"/>
        <v/>
      </c>
      <c r="H182" s="365" t="str">
        <f t="shared" si="121"/>
        <v/>
      </c>
      <c r="I182" s="365" t="str">
        <f t="shared" si="121"/>
        <v/>
      </c>
      <c r="J182" s="365" t="str">
        <f t="shared" si="121"/>
        <v/>
      </c>
      <c r="K182" s="365" t="str">
        <f t="shared" si="121"/>
        <v/>
      </c>
      <c r="L182" s="365" t="str">
        <f t="shared" si="121"/>
        <v/>
      </c>
    </row>
    <row r="183">
      <c r="A183" s="366" t="s">
        <v>276</v>
      </c>
      <c r="B183" s="355">
        <f t="shared" si="109"/>
        <v>1.213</v>
      </c>
      <c r="C183" s="361">
        <f t="shared" ref="C183:L183" si="122">1+sum(C169:C182)</f>
        <v>1.213</v>
      </c>
      <c r="D183" s="361">
        <f t="shared" si="122"/>
        <v>1.213</v>
      </c>
      <c r="E183" s="361">
        <f t="shared" si="122"/>
        <v>1.213</v>
      </c>
      <c r="F183" s="361">
        <f t="shared" si="122"/>
        <v>1.213</v>
      </c>
      <c r="G183" s="361">
        <f t="shared" si="122"/>
        <v>1.213</v>
      </c>
      <c r="H183" s="361">
        <f t="shared" si="122"/>
        <v>1.213</v>
      </c>
      <c r="I183" s="361">
        <f t="shared" si="122"/>
        <v>1.213</v>
      </c>
      <c r="J183" s="361">
        <f t="shared" si="122"/>
        <v>1.213</v>
      </c>
      <c r="K183" s="361">
        <f t="shared" si="122"/>
        <v>1.213</v>
      </c>
      <c r="L183" s="361">
        <f t="shared" si="122"/>
        <v>1.213</v>
      </c>
    </row>
    <row r="184">
      <c r="A184" s="367" t="s">
        <v>277</v>
      </c>
      <c r="B184" s="642" t="str">
        <f t="shared" si="109"/>
        <v>OK</v>
      </c>
      <c r="C184" s="368" t="str">
        <f t="array" ref="C184">if(C183=index(InclusionExclusion!$L:$L,match("Deworming adjustment factor",InclusionExclusion!$J:$J,0)),"OK","Error")</f>
        <v>OK</v>
      </c>
      <c r="D184" s="368" t="str">
        <f t="array" ref="D184">if(D183=index(InclusionExclusion!$L:$L,match("Deworming adjustment factor",InclusionExclusion!$J:$J,0)),"OK","Error")</f>
        <v>OK</v>
      </c>
      <c r="E184" s="368" t="str">
        <f t="array" ref="E184">if(E183=index(InclusionExclusion!$L:$L,match("Deworming adjustment factor",InclusionExclusion!$J:$J,0)),"OK","Error")</f>
        <v>OK</v>
      </c>
      <c r="F184" s="368" t="str">
        <f t="array" ref="F184">if(F183=index(InclusionExclusion!$L:$L,match("Deworming adjustment factor",InclusionExclusion!$J:$J,0)),"OK","Error")</f>
        <v>OK</v>
      </c>
      <c r="G184" s="368" t="str">
        <f t="array" ref="G184">if(G183=index(InclusionExclusion!$L:$L,match("Deworming adjustment factor",InclusionExclusion!$J:$J,0)),"OK","Error")</f>
        <v>OK</v>
      </c>
      <c r="H184" s="368" t="str">
        <f t="array" ref="H184">if(H183=index(InclusionExclusion!$L:$L,match("Deworming adjustment factor",InclusionExclusion!$J:$J,0)),"OK","Error")</f>
        <v>OK</v>
      </c>
      <c r="I184" s="368" t="str">
        <f t="array" ref="I184">if(I183=index(InclusionExclusion!$L:$L,match("Deworming adjustment factor",InclusionExclusion!$J:$J,0)),"OK","Error")</f>
        <v>OK</v>
      </c>
      <c r="J184" s="368" t="str">
        <f t="array" ref="J184">if(J183=index(InclusionExclusion!$L:$L,match("Deworming adjustment factor",InclusionExclusion!$J:$J,0)),"OK","Error")</f>
        <v>OK</v>
      </c>
      <c r="K184" s="368" t="str">
        <f t="array" ref="K184">if(K183=index(InclusionExclusion!$L:$L,match("Deworming adjustment factor",InclusionExclusion!$J:$J,0)),"OK","Error")</f>
        <v>OK</v>
      </c>
      <c r="L184" s="368" t="str">
        <f t="array" ref="L184">if(L183=index(InclusionExclusion!$L:$L,match("Deworming adjustment factor",InclusionExclusion!$J:$J,0)),"OK","Error")</f>
        <v>OK</v>
      </c>
    </row>
    <row r="185">
      <c r="A185" s="167"/>
      <c r="B185" s="363"/>
      <c r="C185" s="364"/>
      <c r="D185" s="364"/>
      <c r="E185" s="364"/>
      <c r="F185" s="364"/>
      <c r="G185" s="364"/>
      <c r="H185" s="364"/>
      <c r="I185" s="364"/>
      <c r="J185" s="364"/>
      <c r="K185" s="364"/>
      <c r="L185" s="364"/>
    </row>
    <row r="186">
      <c r="A186" s="350" t="s">
        <v>278</v>
      </c>
      <c r="B186" s="350"/>
      <c r="C186" s="350"/>
      <c r="D186" s="350"/>
      <c r="E186" s="350"/>
      <c r="F186" s="350"/>
      <c r="G186" s="350"/>
      <c r="H186" s="350"/>
      <c r="I186" s="350"/>
      <c r="J186" s="350"/>
      <c r="K186" s="350"/>
      <c r="L186" s="350"/>
    </row>
    <row r="187">
      <c r="A187" s="167" t="s">
        <v>279</v>
      </c>
      <c r="B187" s="363">
        <f t="array" ref="B187">index(C187:Y187,,match($A$3,$C$1:$Y$1,0))</f>
        <v>3565.60304</v>
      </c>
      <c r="C187" s="364">
        <f t="shared" ref="C187:L187" si="123">C139*C163*C183</f>
        <v>3565.60304</v>
      </c>
      <c r="D187" s="364">
        <f t="shared" si="123"/>
        <v>1263.611973</v>
      </c>
      <c r="E187" s="364">
        <f t="shared" si="123"/>
        <v>114.337995</v>
      </c>
      <c r="F187" s="364">
        <f t="shared" si="123"/>
        <v>1875.277065</v>
      </c>
      <c r="G187" s="364">
        <f t="shared" si="123"/>
        <v>8874.038906</v>
      </c>
      <c r="H187" s="364">
        <f t="shared" si="123"/>
        <v>4405.987516</v>
      </c>
      <c r="I187" s="364">
        <f t="shared" si="123"/>
        <v>6074.456253</v>
      </c>
      <c r="J187" s="364">
        <f t="shared" si="123"/>
        <v>6991.71341</v>
      </c>
      <c r="K187" s="364">
        <f t="shared" si="123"/>
        <v>2444.730809</v>
      </c>
      <c r="L187" s="364">
        <f t="shared" si="123"/>
        <v>2558.150919</v>
      </c>
    </row>
    <row r="188">
      <c r="A188" s="369"/>
      <c r="B188" s="643"/>
      <c r="C188" s="364"/>
      <c r="D188" s="364"/>
      <c r="E188" s="364"/>
      <c r="F188" s="364"/>
      <c r="G188" s="364"/>
      <c r="H188" s="364"/>
      <c r="I188" s="364"/>
      <c r="J188" s="364"/>
      <c r="K188" s="364"/>
      <c r="L188" s="364"/>
    </row>
    <row r="189">
      <c r="A189" s="545" t="s">
        <v>280</v>
      </c>
      <c r="B189" s="370">
        <f t="array" ref="B189">index(C189:Y189,,match($A$3,$C$1:$Y$1,0))</f>
        <v>10.36438338</v>
      </c>
      <c r="C189" s="371">
        <f t="array" ref="C189">C187/index(Cash!$B:$B,match("Total units of value generated with hypothetical donation ($100,000)",Cash!$A:$A,0))</f>
        <v>10.36438338</v>
      </c>
      <c r="D189" s="371">
        <f t="array" ref="D189">D187/index(Cash!$B:$B,match("Total units of value generated with hypothetical donation ($100,000)",Cash!$A:$A,0))</f>
        <v>3.673027755</v>
      </c>
      <c r="E189" s="371">
        <f t="array" ref="E189">E187/index(Cash!$B:$B,match("Total units of value generated with hypothetical donation ($100,000)",Cash!$A:$A,0))</f>
        <v>0.3323541071</v>
      </c>
      <c r="F189" s="371">
        <f t="array" ref="F189">F187/index(Cash!$B:$B,match("Total units of value generated with hypothetical donation ($100,000)",Cash!$A:$A,0))</f>
        <v>5.450996711</v>
      </c>
      <c r="G189" s="371">
        <f t="array" ref="G189">G187/index(Cash!$B:$B,match("Total units of value generated with hypothetical donation ($100,000)",Cash!$A:$A,0))</f>
        <v>25.7947787</v>
      </c>
      <c r="H189" s="371">
        <f t="array" ref="H189">H187/index(Cash!$B:$B,match("Total units of value generated with hypothetical donation ($100,000)",Cash!$A:$A,0))</f>
        <v>12.80718668</v>
      </c>
      <c r="I189" s="371">
        <f t="array" ref="I189">I187/index(Cash!$B:$B,match("Total units of value generated with hypothetical donation ($100,000)",Cash!$A:$A,0))</f>
        <v>17.65703942</v>
      </c>
      <c r="J189" s="371">
        <f t="array" ref="J189">J187/index(Cash!$B:$B,match("Total units of value generated with hypothetical donation ($100,000)",Cash!$A:$A,0))</f>
        <v>20.32329383</v>
      </c>
      <c r="K189" s="371">
        <f t="array" ref="K189">K187/index(Cash!$B:$B,match("Total units of value generated with hypothetical donation ($100,000)",Cash!$A:$A,0))</f>
        <v>7.10626704</v>
      </c>
      <c r="L189" s="371">
        <f t="array" ref="L189">L187/index(Cash!$B:$B,match("Total units of value generated with hypothetical donation ($100,000)",Cash!$A:$A,0))</f>
        <v>7.435953067</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2" width="21.43"/>
    <col customWidth="1" min="3" max="3" width="21.14"/>
    <col customWidth="1" min="4" max="14" width="17.29"/>
  </cols>
  <sheetData>
    <row r="1">
      <c r="A1" s="546" t="s">
        <v>419</v>
      </c>
      <c r="B1" s="644" t="s">
        <v>39</v>
      </c>
      <c r="C1" s="644" t="s">
        <v>96</v>
      </c>
      <c r="D1" s="645" t="s">
        <v>141</v>
      </c>
      <c r="E1" s="646" t="s">
        <v>139</v>
      </c>
      <c r="F1" s="645" t="s">
        <v>420</v>
      </c>
      <c r="G1" s="678" t="s">
        <v>421</v>
      </c>
      <c r="H1" s="646" t="s">
        <v>422</v>
      </c>
      <c r="I1" s="646" t="s">
        <v>423</v>
      </c>
      <c r="J1" s="646" t="s">
        <v>424</v>
      </c>
      <c r="K1" s="679" t="s">
        <v>425</v>
      </c>
      <c r="L1" s="680" t="s">
        <v>426</v>
      </c>
      <c r="M1" s="681" t="s">
        <v>427</v>
      </c>
      <c r="N1" s="681" t="s">
        <v>428</v>
      </c>
    </row>
    <row r="2">
      <c r="A2" s="547" t="s">
        <v>148</v>
      </c>
      <c r="B2" s="597"/>
      <c r="C2" s="415"/>
      <c r="D2" s="415"/>
      <c r="E2" s="415"/>
      <c r="F2" s="415"/>
      <c r="G2" s="415"/>
      <c r="H2" s="415"/>
      <c r="I2" s="415"/>
      <c r="J2" s="415"/>
      <c r="K2" s="415"/>
      <c r="L2" s="415"/>
      <c r="M2" s="415"/>
      <c r="N2" s="415"/>
    </row>
    <row r="3">
      <c r="A3" s="550" t="str">
        <f>Results!C12</f>
        <v>Overall</v>
      </c>
      <c r="B3" s="597"/>
      <c r="C3" s="415"/>
      <c r="D3" s="415"/>
      <c r="E3" s="415"/>
      <c r="F3" s="415"/>
      <c r="G3" s="415"/>
      <c r="H3" s="415"/>
      <c r="I3" s="415"/>
      <c r="J3" s="415"/>
      <c r="K3" s="415"/>
      <c r="L3" s="415"/>
      <c r="M3" s="415"/>
      <c r="N3" s="415"/>
    </row>
    <row r="4">
      <c r="A4" s="415"/>
      <c r="B4" s="597"/>
      <c r="C4" s="415"/>
      <c r="D4" s="415"/>
      <c r="E4" s="415"/>
      <c r="F4" s="415"/>
      <c r="G4" s="415"/>
      <c r="H4" s="415"/>
      <c r="I4" s="415"/>
      <c r="J4" s="415"/>
      <c r="K4" s="415"/>
      <c r="L4" s="415"/>
      <c r="M4" s="415"/>
      <c r="N4" s="415"/>
    </row>
    <row r="5">
      <c r="A5" s="174" t="s">
        <v>149</v>
      </c>
      <c r="B5" s="595"/>
      <c r="C5" s="596"/>
      <c r="D5" s="596"/>
      <c r="E5" s="596"/>
      <c r="F5" s="596"/>
      <c r="G5" s="596"/>
      <c r="H5" s="596"/>
      <c r="I5" s="596"/>
      <c r="J5" s="596"/>
      <c r="K5" s="596"/>
      <c r="L5" s="596"/>
      <c r="M5" s="596"/>
      <c r="N5" s="596"/>
    </row>
    <row r="6">
      <c r="A6" s="415"/>
      <c r="B6" s="597"/>
      <c r="C6" s="415"/>
      <c r="D6" s="415"/>
      <c r="E6" s="415"/>
      <c r="F6" s="415"/>
      <c r="G6" s="415"/>
      <c r="H6" s="415"/>
      <c r="I6" s="415"/>
      <c r="J6" s="415"/>
      <c r="K6" s="415"/>
      <c r="L6" s="415"/>
      <c r="M6" s="415"/>
      <c r="N6" s="415"/>
    </row>
    <row r="7">
      <c r="A7" s="94" t="s">
        <v>150</v>
      </c>
      <c r="B7" s="289">
        <f t="array" ref="B7">index(A7:ZX7,,match($A$3,$A$1:$ZX$1,0))</f>
        <v>1</v>
      </c>
      <c r="C7" s="180">
        <f>sum(D7:N7)</f>
        <v>1</v>
      </c>
      <c r="D7" s="180">
        <f t="shared" ref="D7:N7" si="1">D18*D20/sumproduct($D$18:$N$18,$D$20:$N$20)</f>
        <v>0.2418107434</v>
      </c>
      <c r="E7" s="180">
        <f t="shared" si="1"/>
        <v>0.02595726387</v>
      </c>
      <c r="F7" s="180">
        <f t="shared" si="1"/>
        <v>0.1131800093</v>
      </c>
      <c r="G7" s="180">
        <f t="shared" si="1"/>
        <v>0.04833643564</v>
      </c>
      <c r="H7" s="180">
        <f t="shared" si="1"/>
        <v>0.07029953805</v>
      </c>
      <c r="I7" s="180">
        <f t="shared" si="1"/>
        <v>0.2170339955</v>
      </c>
      <c r="J7" s="180">
        <f t="shared" si="1"/>
        <v>0.0738823342</v>
      </c>
      <c r="K7" s="180">
        <f t="shared" si="1"/>
        <v>0.0475581167</v>
      </c>
      <c r="L7" s="180">
        <f t="shared" si="1"/>
        <v>0.04770355437</v>
      </c>
      <c r="M7" s="180">
        <f t="shared" si="1"/>
        <v>0.08013615383</v>
      </c>
      <c r="N7" s="180">
        <f t="shared" si="1"/>
        <v>0.03410185512</v>
      </c>
    </row>
    <row r="8">
      <c r="A8" s="415"/>
      <c r="B8" s="597"/>
      <c r="C8" s="415"/>
      <c r="D8" s="415"/>
      <c r="E8" s="415"/>
      <c r="F8" s="415"/>
      <c r="G8" s="415"/>
      <c r="H8" s="415"/>
      <c r="I8" s="415"/>
      <c r="J8" s="415"/>
      <c r="K8" s="415"/>
      <c r="L8" s="415"/>
      <c r="M8" s="415"/>
      <c r="N8" s="415"/>
    </row>
    <row r="9">
      <c r="A9" s="174" t="s">
        <v>429</v>
      </c>
      <c r="B9" s="682"/>
      <c r="C9" s="176"/>
      <c r="D9" s="596"/>
      <c r="E9" s="596"/>
      <c r="F9" s="596"/>
      <c r="G9" s="596"/>
      <c r="H9" s="596"/>
      <c r="I9" s="596"/>
      <c r="J9" s="596"/>
      <c r="K9" s="596"/>
      <c r="L9" s="596"/>
      <c r="M9" s="596"/>
      <c r="N9" s="596"/>
    </row>
    <row r="10">
      <c r="A10" s="9"/>
      <c r="B10" s="683"/>
      <c r="C10" s="9"/>
      <c r="D10" s="9"/>
      <c r="E10" s="9"/>
      <c r="F10" s="9"/>
      <c r="G10" s="9"/>
      <c r="H10" s="9"/>
      <c r="I10" s="9"/>
      <c r="J10" s="9"/>
      <c r="K10" s="9"/>
      <c r="L10" s="9"/>
      <c r="M10" s="9"/>
      <c r="N10" s="9"/>
    </row>
    <row r="11">
      <c r="A11" s="94" t="s">
        <v>153</v>
      </c>
      <c r="B11" s="559">
        <f t="shared" ref="B11:B20" si="3">index(A11:ZX11,,match($A$3,$A$1:$ZX$1,0))</f>
        <v>100000</v>
      </c>
      <c r="C11" s="560">
        <v>100000.0</v>
      </c>
      <c r="D11" s="608">
        <f t="shared" ref="D11:N11" si="2">if(D7*$C$11&lt;&gt;0,D7*$C$11,1)</f>
        <v>24181.07434</v>
      </c>
      <c r="E11" s="608">
        <f t="shared" si="2"/>
        <v>2595.726387</v>
      </c>
      <c r="F11" s="608">
        <f t="shared" si="2"/>
        <v>11318.00093</v>
      </c>
      <c r="G11" s="608">
        <f t="shared" si="2"/>
        <v>4833.643564</v>
      </c>
      <c r="H11" s="608">
        <f t="shared" si="2"/>
        <v>7029.953805</v>
      </c>
      <c r="I11" s="608">
        <f t="shared" si="2"/>
        <v>21703.39955</v>
      </c>
      <c r="J11" s="608">
        <f t="shared" si="2"/>
        <v>7388.23342</v>
      </c>
      <c r="K11" s="608">
        <f t="shared" si="2"/>
        <v>4755.81167</v>
      </c>
      <c r="L11" s="608">
        <f t="shared" si="2"/>
        <v>4770.355437</v>
      </c>
      <c r="M11" s="608">
        <f t="shared" si="2"/>
        <v>8013.615383</v>
      </c>
      <c r="N11" s="608">
        <f t="shared" si="2"/>
        <v>3410.185512</v>
      </c>
    </row>
    <row r="12">
      <c r="A12" s="377" t="s">
        <v>430</v>
      </c>
      <c r="B12" s="684">
        <f t="shared" si="3"/>
        <v>1</v>
      </c>
      <c r="C12" s="378">
        <v>1.0</v>
      </c>
      <c r="D12" s="685">
        <f t="shared" ref="D12:N12" si="4">$C$12</f>
        <v>1</v>
      </c>
      <c r="E12" s="685">
        <f t="shared" si="4"/>
        <v>1</v>
      </c>
      <c r="F12" s="685">
        <f t="shared" si="4"/>
        <v>1</v>
      </c>
      <c r="G12" s="685">
        <f t="shared" si="4"/>
        <v>1</v>
      </c>
      <c r="H12" s="685">
        <f t="shared" si="4"/>
        <v>1</v>
      </c>
      <c r="I12" s="685">
        <f t="shared" si="4"/>
        <v>1</v>
      </c>
      <c r="J12" s="685">
        <f t="shared" si="4"/>
        <v>1</v>
      </c>
      <c r="K12" s="685">
        <f t="shared" si="4"/>
        <v>1</v>
      </c>
      <c r="L12" s="685">
        <f t="shared" si="4"/>
        <v>1</v>
      </c>
      <c r="M12" s="685">
        <f t="shared" si="4"/>
        <v>1</v>
      </c>
      <c r="N12" s="685">
        <f t="shared" si="4"/>
        <v>1</v>
      </c>
    </row>
    <row r="13">
      <c r="A13" s="401" t="s">
        <v>431</v>
      </c>
      <c r="B13" s="686">
        <f t="shared" si="3"/>
        <v>0.0804760296</v>
      </c>
      <c r="C13" s="687">
        <f>sumproduct(D13:N13,D20:N20)</f>
        <v>0.0804760296</v>
      </c>
      <c r="D13" s="32">
        <v>0.106</v>
      </c>
      <c r="E13" s="32">
        <v>0.188</v>
      </c>
      <c r="F13" s="32">
        <v>0.026</v>
      </c>
      <c r="G13" s="32">
        <v>0.1233</v>
      </c>
      <c r="H13" s="32">
        <v>0.055</v>
      </c>
      <c r="I13" s="32">
        <v>0.07</v>
      </c>
      <c r="J13" s="32">
        <v>0.072</v>
      </c>
      <c r="K13" s="688">
        <v>0.06</v>
      </c>
      <c r="L13" s="689">
        <v>0.098</v>
      </c>
      <c r="M13" s="689">
        <v>0.066</v>
      </c>
      <c r="N13" s="689">
        <v>0.056</v>
      </c>
    </row>
    <row r="14">
      <c r="A14" s="563" t="s">
        <v>392</v>
      </c>
      <c r="B14" s="690">
        <f t="shared" si="3"/>
        <v>0.1491343933</v>
      </c>
      <c r="C14" s="691">
        <f>'Deworming - DtW'!C26</f>
        <v>0.1491343933</v>
      </c>
      <c r="D14" s="320">
        <f t="shared" ref="D14:N14" si="5">$C$14</f>
        <v>0.1491343933</v>
      </c>
      <c r="E14" s="320">
        <f t="shared" si="5"/>
        <v>0.1491343933</v>
      </c>
      <c r="F14" s="320">
        <f t="shared" si="5"/>
        <v>0.1491343933</v>
      </c>
      <c r="G14" s="320">
        <f t="shared" si="5"/>
        <v>0.1491343933</v>
      </c>
      <c r="H14" s="320">
        <f t="shared" si="5"/>
        <v>0.1491343933</v>
      </c>
      <c r="I14" s="320">
        <f t="shared" si="5"/>
        <v>0.1491343933</v>
      </c>
      <c r="J14" s="320">
        <f t="shared" si="5"/>
        <v>0.1491343933</v>
      </c>
      <c r="K14" s="320">
        <f t="shared" si="5"/>
        <v>0.1491343933</v>
      </c>
      <c r="L14" s="320">
        <f t="shared" si="5"/>
        <v>0.1491343933</v>
      </c>
      <c r="M14" s="320">
        <f t="shared" si="5"/>
        <v>0.1491343933</v>
      </c>
      <c r="N14" s="320">
        <f t="shared" si="5"/>
        <v>0.1491343933</v>
      </c>
    </row>
    <row r="15">
      <c r="A15" s="692" t="s">
        <v>432</v>
      </c>
      <c r="B15" s="693">
        <f t="shared" si="3"/>
        <v>0.01200174385</v>
      </c>
      <c r="C15" s="694">
        <f>C13*B12*C14</f>
        <v>0.01200174385</v>
      </c>
      <c r="D15" s="694">
        <f t="shared" ref="D15:N15" si="6">D13*D12*D14</f>
        <v>0.01580824569</v>
      </c>
      <c r="E15" s="694">
        <f t="shared" si="6"/>
        <v>0.02803726594</v>
      </c>
      <c r="F15" s="694">
        <f t="shared" si="6"/>
        <v>0.003877494226</v>
      </c>
      <c r="G15" s="694">
        <f t="shared" si="6"/>
        <v>0.0183882707</v>
      </c>
      <c r="H15" s="694">
        <f t="shared" si="6"/>
        <v>0.008202391632</v>
      </c>
      <c r="I15" s="694">
        <f t="shared" si="6"/>
        <v>0.01043940753</v>
      </c>
      <c r="J15" s="694">
        <f t="shared" si="6"/>
        <v>0.01073767632</v>
      </c>
      <c r="K15" s="694">
        <f t="shared" si="6"/>
        <v>0.008948063599</v>
      </c>
      <c r="L15" s="694">
        <f t="shared" si="6"/>
        <v>0.01461517055</v>
      </c>
      <c r="M15" s="694">
        <f t="shared" si="6"/>
        <v>0.009842869959</v>
      </c>
      <c r="N15" s="694">
        <f t="shared" si="6"/>
        <v>0.008351526026</v>
      </c>
    </row>
    <row r="16">
      <c r="A16" s="407" t="s">
        <v>84</v>
      </c>
      <c r="B16" s="695">
        <f t="shared" si="3"/>
        <v>1.442695041</v>
      </c>
      <c r="C16" s="695">
        <f t="array" ref="C16">index('Moral weights'!$A$1:$ZG$33,match($A16,'Moral weights'!$A$1:$A$33,0),match('Deworming - DtW'!B$1,'Moral weights'!$A$1:$ZG$1,0))</f>
        <v>1.442695041</v>
      </c>
      <c r="D16" s="696">
        <f t="shared" ref="D16:N16" si="7">$C$16</f>
        <v>1.442695041</v>
      </c>
      <c r="E16" s="696">
        <f t="shared" si="7"/>
        <v>1.442695041</v>
      </c>
      <c r="F16" s="696">
        <f t="shared" si="7"/>
        <v>1.442695041</v>
      </c>
      <c r="G16" s="696">
        <f t="shared" si="7"/>
        <v>1.442695041</v>
      </c>
      <c r="H16" s="696">
        <f t="shared" si="7"/>
        <v>1.442695041</v>
      </c>
      <c r="I16" s="696">
        <f t="shared" si="7"/>
        <v>1.442695041</v>
      </c>
      <c r="J16" s="696">
        <f t="shared" si="7"/>
        <v>1.442695041</v>
      </c>
      <c r="K16" s="696">
        <f t="shared" si="7"/>
        <v>1.442695041</v>
      </c>
      <c r="L16" s="696">
        <f t="shared" si="7"/>
        <v>1.442695041</v>
      </c>
      <c r="M16" s="696">
        <f t="shared" si="7"/>
        <v>1.442695041</v>
      </c>
      <c r="N16" s="696">
        <f t="shared" si="7"/>
        <v>1.442695041</v>
      </c>
    </row>
    <row r="17">
      <c r="A17" s="404" t="s">
        <v>433</v>
      </c>
      <c r="B17" s="697">
        <f t="shared" si="3"/>
        <v>0.01731485634</v>
      </c>
      <c r="C17" s="411">
        <f>(C15*$C$16)</f>
        <v>0.01731485634</v>
      </c>
      <c r="D17" s="411">
        <f t="shared" ref="D17:N17" si="8">(D15*D16)</f>
        <v>0.02280647766</v>
      </c>
      <c r="E17" s="411">
        <f t="shared" si="8"/>
        <v>0.04044922454</v>
      </c>
      <c r="F17" s="411">
        <f t="shared" si="8"/>
        <v>0.005594041691</v>
      </c>
      <c r="G17" s="411">
        <f t="shared" si="8"/>
        <v>0.02652866694</v>
      </c>
      <c r="H17" s="411">
        <f t="shared" si="8"/>
        <v>0.01183354973</v>
      </c>
      <c r="I17" s="411">
        <f t="shared" si="8"/>
        <v>0.01506088148</v>
      </c>
      <c r="J17" s="411">
        <f t="shared" si="8"/>
        <v>0.01549119238</v>
      </c>
      <c r="K17" s="411">
        <f t="shared" si="8"/>
        <v>0.01290932698</v>
      </c>
      <c r="L17" s="411">
        <f t="shared" si="8"/>
        <v>0.02108523407</v>
      </c>
      <c r="M17" s="411">
        <f t="shared" si="8"/>
        <v>0.01420025968</v>
      </c>
      <c r="N17" s="411">
        <f t="shared" si="8"/>
        <v>0.01204870518</v>
      </c>
    </row>
    <row r="18">
      <c r="A18" s="698" t="s">
        <v>434</v>
      </c>
      <c r="B18" s="699">
        <f t="shared" si="3"/>
        <v>1.056479557</v>
      </c>
      <c r="C18" s="700">
        <f>IFERROR(__xludf.DUMMYFUNCTION("average.weighted(D18:N18,D19:N19)"),1.0564795565014957)</f>
        <v>1.056479557</v>
      </c>
      <c r="D18" s="701">
        <v>2.815863594328429</v>
      </c>
      <c r="E18" s="701">
        <v>0.592075103224732</v>
      </c>
      <c r="F18" s="701">
        <v>3.189992708275371</v>
      </c>
      <c r="G18" s="701">
        <v>0.6208762012006391</v>
      </c>
      <c r="H18" s="701">
        <v>0.7336792424762053</v>
      </c>
      <c r="I18" s="701">
        <v>1.2072777566710315</v>
      </c>
      <c r="J18" s="701">
        <v>0.6435710695038889</v>
      </c>
      <c r="K18" s="701">
        <v>0.6435710695038889</v>
      </c>
      <c r="L18" s="701">
        <v>0.6435710695038889</v>
      </c>
      <c r="M18" s="701">
        <v>0.6435710695038889</v>
      </c>
      <c r="N18" s="701">
        <v>0.8406847501497415</v>
      </c>
    </row>
    <row r="19">
      <c r="A19" s="537" t="s">
        <v>435</v>
      </c>
      <c r="B19" s="579">
        <f t="shared" si="3"/>
        <v>94653.98491</v>
      </c>
      <c r="C19" s="580">
        <f t="shared" ref="C19:C20" si="10">sum(D19:N19)</f>
        <v>94653.98491</v>
      </c>
      <c r="D19" s="580">
        <f t="shared" ref="D19:N19" si="9">D11/D18</f>
        <v>8587.445211</v>
      </c>
      <c r="E19" s="580">
        <f t="shared" si="9"/>
        <v>4384.116766</v>
      </c>
      <c r="F19" s="580">
        <f t="shared" si="9"/>
        <v>3547.970785</v>
      </c>
      <c r="G19" s="580">
        <f t="shared" si="9"/>
        <v>7785.19704</v>
      </c>
      <c r="H19" s="580">
        <f t="shared" si="9"/>
        <v>9581.780972</v>
      </c>
      <c r="I19" s="580">
        <f t="shared" si="9"/>
        <v>17977.13859</v>
      </c>
      <c r="J19" s="580">
        <f t="shared" si="9"/>
        <v>11480.05833</v>
      </c>
      <c r="K19" s="580">
        <f t="shared" si="9"/>
        <v>7389.722589</v>
      </c>
      <c r="L19" s="580">
        <f t="shared" si="9"/>
        <v>7412.321129</v>
      </c>
      <c r="M19" s="580">
        <f t="shared" si="9"/>
        <v>12451.79556</v>
      </c>
      <c r="N19" s="580">
        <f t="shared" si="9"/>
        <v>4056.437935</v>
      </c>
    </row>
    <row r="20">
      <c r="A20" s="649" t="s">
        <v>351</v>
      </c>
      <c r="B20" s="289">
        <f t="shared" si="3"/>
        <v>1</v>
      </c>
      <c r="C20" s="180">
        <f t="shared" si="10"/>
        <v>1</v>
      </c>
      <c r="D20" s="702">
        <f>0.076/0.8377</f>
        <v>0.09072460308</v>
      </c>
      <c r="E20" s="702">
        <f>0.0388/0.8377</f>
        <v>0.04631729736</v>
      </c>
      <c r="F20" s="702">
        <f>0.0314/0.8377</f>
        <v>0.03748358601</v>
      </c>
      <c r="G20" s="702">
        <f>0.0689/0.8377</f>
        <v>0.08224901516</v>
      </c>
      <c r="H20" s="702">
        <f>0.0848/0.8377</f>
        <v>0.1012295571</v>
      </c>
      <c r="I20" s="702">
        <f>0.1591/0.8377</f>
        <v>0.1899247941</v>
      </c>
      <c r="J20" s="702">
        <f>0.1016/0.8377</f>
        <v>0.1212844694</v>
      </c>
      <c r="K20" s="702">
        <f>0.0654/0.8377</f>
        <v>0.07807090844</v>
      </c>
      <c r="L20" s="702">
        <f>0.0656/0.8377</f>
        <v>0.0783096574</v>
      </c>
      <c r="M20" s="702">
        <f>0.1102/0.8377</f>
        <v>0.1315506745</v>
      </c>
      <c r="N20" s="702">
        <f>0.0359/0.8377</f>
        <v>0.04285543751</v>
      </c>
    </row>
    <row r="21">
      <c r="A21" s="586"/>
      <c r="B21" s="703"/>
      <c r="C21" s="704"/>
      <c r="D21" s="415"/>
      <c r="E21" s="415"/>
      <c r="F21" s="415"/>
      <c r="G21" s="415"/>
      <c r="H21" s="415"/>
      <c r="I21" s="415"/>
      <c r="J21" s="415"/>
      <c r="K21" s="415"/>
      <c r="L21" s="415"/>
      <c r="M21" s="415"/>
      <c r="N21" s="415"/>
    </row>
    <row r="22">
      <c r="A22" s="654" t="s">
        <v>352</v>
      </c>
      <c r="B22" s="705"/>
      <c r="C22" s="706"/>
      <c r="D22" s="596"/>
      <c r="E22" s="596"/>
      <c r="F22" s="596"/>
      <c r="G22" s="596"/>
      <c r="H22" s="596"/>
      <c r="I22" s="596"/>
      <c r="J22" s="596"/>
      <c r="K22" s="596"/>
      <c r="L22" s="596"/>
      <c r="M22" s="596"/>
      <c r="N22" s="596"/>
    </row>
    <row r="23">
      <c r="A23" s="655"/>
      <c r="B23" s="703"/>
      <c r="C23" s="704"/>
      <c r="D23" s="415"/>
      <c r="E23" s="415"/>
      <c r="F23" s="415"/>
      <c r="G23" s="415"/>
      <c r="H23" s="415"/>
      <c r="I23" s="415"/>
      <c r="J23" s="415"/>
      <c r="K23" s="415"/>
      <c r="L23" s="415"/>
      <c r="M23" s="415"/>
      <c r="N23" s="415"/>
    </row>
    <row r="24">
      <c r="A24" s="537" t="s">
        <v>436</v>
      </c>
      <c r="B24" s="593">
        <f t="array" ref="B24">index(A24:ZX24,,match($A$3,$A$1:$ZX$1,0))</f>
        <v>0.006120202051</v>
      </c>
      <c r="C24" s="467">
        <f>product('Deworming - DtW'!C11:C13,C13)</f>
        <v>0.006120202051</v>
      </c>
      <c r="D24" s="467">
        <f>product('Deworming - DtW'!D11:D13,D13)</f>
        <v>0.0080613</v>
      </c>
      <c r="E24" s="467">
        <f>product('Deworming - DtW'!E11:E13,E13)</f>
        <v>0.0142974</v>
      </c>
      <c r="F24" s="467">
        <f>product('Deworming - DtW'!F11:F13,F13)</f>
        <v>0.0019773</v>
      </c>
      <c r="G24" s="467">
        <f>product('Deworming - DtW'!G11:G13,G13)</f>
        <v>0.009376965</v>
      </c>
      <c r="H24" s="467">
        <f>product('Deworming - DtW'!H11:H13,H13)</f>
        <v>0.00418275</v>
      </c>
      <c r="I24" s="467">
        <f>product('Deworming - DtW'!I11:I13,I13)</f>
        <v>0.0053235</v>
      </c>
      <c r="J24" s="467">
        <f>product('Deworming - DtW'!J11:J13,J13)</f>
        <v>0.0054756</v>
      </c>
      <c r="K24" s="467">
        <f>product('Deworming - DtW'!K11:K13,K13)</f>
        <v>0.004563</v>
      </c>
      <c r="L24" s="467">
        <f>product('Deworming - DtW'!L11:L13,L13)</f>
        <v>0.0074529</v>
      </c>
      <c r="M24" s="467">
        <f>product('Deworming - DtW'!M11:M13,M13)</f>
        <v>0.0050193</v>
      </c>
      <c r="N24" s="467">
        <f>product('Deworming - DtW'!N11:N13,N13)</f>
        <v>0.0002108273017</v>
      </c>
    </row>
    <row r="25">
      <c r="A25" s="586"/>
      <c r="B25" s="703"/>
      <c r="C25" s="704"/>
      <c r="D25" s="415"/>
      <c r="E25" s="415"/>
      <c r="F25" s="415"/>
      <c r="G25" s="415"/>
      <c r="H25" s="415"/>
      <c r="I25" s="415"/>
      <c r="J25" s="415"/>
      <c r="K25" s="415"/>
      <c r="L25" s="415"/>
      <c r="M25" s="415"/>
      <c r="N25" s="415"/>
    </row>
    <row r="26">
      <c r="A26" s="583" t="s">
        <v>397</v>
      </c>
      <c r="B26" s="705"/>
      <c r="C26" s="706"/>
      <c r="D26" s="596"/>
      <c r="E26" s="596"/>
      <c r="F26" s="596"/>
      <c r="G26" s="596"/>
      <c r="H26" s="596"/>
      <c r="I26" s="596"/>
      <c r="J26" s="596"/>
      <c r="K26" s="596"/>
      <c r="L26" s="596"/>
      <c r="M26" s="596"/>
      <c r="N26" s="596"/>
    </row>
    <row r="27">
      <c r="A27" s="586"/>
      <c r="B27" s="703"/>
      <c r="C27" s="704"/>
      <c r="D27" s="415"/>
      <c r="E27" s="415"/>
      <c r="F27" s="415"/>
      <c r="G27" s="415"/>
      <c r="H27" s="415"/>
      <c r="I27" s="415"/>
      <c r="J27" s="415"/>
      <c r="K27" s="415"/>
      <c r="L27" s="415"/>
      <c r="M27" s="415"/>
      <c r="N27" s="415"/>
    </row>
    <row r="28">
      <c r="A28" s="659" t="str">
        <f t="shared" ref="A28:A29" si="12">A15</f>
        <v>Present value of lifetime benefits from a year of deworming — in terms of increases in ln(consumption)</v>
      </c>
      <c r="B28" s="660">
        <f t="shared" ref="B28:B32" si="13">index(A28:ZX28,,match($A$3,$A$1:$ZX$1,0))</f>
        <v>0.01200174385</v>
      </c>
      <c r="C28" s="660">
        <f t="shared" ref="C28:N28" si="11">C15</f>
        <v>0.01200174385</v>
      </c>
      <c r="D28" s="660">
        <f t="shared" si="11"/>
        <v>0.01580824569</v>
      </c>
      <c r="E28" s="660">
        <f t="shared" si="11"/>
        <v>0.02803726594</v>
      </c>
      <c r="F28" s="660">
        <f t="shared" si="11"/>
        <v>0.003877494226</v>
      </c>
      <c r="G28" s="660">
        <f t="shared" si="11"/>
        <v>0.0183882707</v>
      </c>
      <c r="H28" s="660">
        <f t="shared" si="11"/>
        <v>0.008202391632</v>
      </c>
      <c r="I28" s="660">
        <f t="shared" si="11"/>
        <v>0.01043940753</v>
      </c>
      <c r="J28" s="660">
        <f t="shared" si="11"/>
        <v>0.01073767632</v>
      </c>
      <c r="K28" s="660">
        <f t="shared" si="11"/>
        <v>0.008948063599</v>
      </c>
      <c r="L28" s="660">
        <f t="shared" si="11"/>
        <v>0.01461517055</v>
      </c>
      <c r="M28" s="660">
        <f t="shared" si="11"/>
        <v>0.009842869959</v>
      </c>
      <c r="N28" s="660">
        <f t="shared" si="11"/>
        <v>0.008351526026</v>
      </c>
    </row>
    <row r="29">
      <c r="A29" s="497" t="str">
        <f t="shared" si="12"/>
        <v>Value assigned to increasing ln(consumption) by one unit for one person for one year</v>
      </c>
      <c r="B29" s="499">
        <f t="shared" si="13"/>
        <v>1.442695041</v>
      </c>
      <c r="C29" s="499">
        <f t="shared" ref="C29:N29" si="14">C16</f>
        <v>1.442695041</v>
      </c>
      <c r="D29" s="499">
        <f t="shared" si="14"/>
        <v>1.442695041</v>
      </c>
      <c r="E29" s="499">
        <f t="shared" si="14"/>
        <v>1.442695041</v>
      </c>
      <c r="F29" s="499">
        <f t="shared" si="14"/>
        <v>1.442695041</v>
      </c>
      <c r="G29" s="499">
        <f t="shared" si="14"/>
        <v>1.442695041</v>
      </c>
      <c r="H29" s="499">
        <f t="shared" si="14"/>
        <v>1.442695041</v>
      </c>
      <c r="I29" s="499">
        <f t="shared" si="14"/>
        <v>1.442695041</v>
      </c>
      <c r="J29" s="499">
        <f t="shared" si="14"/>
        <v>1.442695041</v>
      </c>
      <c r="K29" s="499">
        <f t="shared" si="14"/>
        <v>1.442695041</v>
      </c>
      <c r="L29" s="499">
        <f t="shared" si="14"/>
        <v>1.442695041</v>
      </c>
      <c r="M29" s="499">
        <f t="shared" si="14"/>
        <v>1.442695041</v>
      </c>
      <c r="N29" s="499">
        <f t="shared" si="14"/>
        <v>1.442695041</v>
      </c>
    </row>
    <row r="30">
      <c r="A30" s="555" t="str">
        <f>A19</f>
        <v>Total number of children dewormed (per year) with hypothetical donation ($100,000)</v>
      </c>
      <c r="B30" s="502">
        <f t="shared" si="13"/>
        <v>94653.98491</v>
      </c>
      <c r="C30" s="502">
        <f t="shared" ref="C30:N30" si="15">C19</f>
        <v>94653.98491</v>
      </c>
      <c r="D30" s="502">
        <f t="shared" si="15"/>
        <v>8587.445211</v>
      </c>
      <c r="E30" s="502">
        <f t="shared" si="15"/>
        <v>4384.116766</v>
      </c>
      <c r="F30" s="502">
        <f t="shared" si="15"/>
        <v>3547.970785</v>
      </c>
      <c r="G30" s="502">
        <f t="shared" si="15"/>
        <v>7785.19704</v>
      </c>
      <c r="H30" s="502">
        <f t="shared" si="15"/>
        <v>9581.780972</v>
      </c>
      <c r="I30" s="502">
        <f t="shared" si="15"/>
        <v>17977.13859</v>
      </c>
      <c r="J30" s="502">
        <f t="shared" si="15"/>
        <v>11480.05833</v>
      </c>
      <c r="K30" s="502">
        <f t="shared" si="15"/>
        <v>7389.722589</v>
      </c>
      <c r="L30" s="502">
        <f t="shared" si="15"/>
        <v>7412.321129</v>
      </c>
      <c r="M30" s="502">
        <f t="shared" si="15"/>
        <v>12451.79556</v>
      </c>
      <c r="N30" s="502">
        <f t="shared" si="15"/>
        <v>4056.437935</v>
      </c>
    </row>
    <row r="31">
      <c r="A31" s="555" t="s">
        <v>416</v>
      </c>
      <c r="B31" s="587">
        <f t="shared" si="13"/>
        <v>1638.92015</v>
      </c>
      <c r="C31" s="588">
        <f>sum(D31:N31)</f>
        <v>1638.92015</v>
      </c>
      <c r="D31" s="588">
        <f t="shared" ref="D31:N31" si="16">product(D28:D30)</f>
        <v>195.8493774</v>
      </c>
      <c r="E31" s="588">
        <f t="shared" si="16"/>
        <v>177.3341234</v>
      </c>
      <c r="F31" s="588">
        <f t="shared" si="16"/>
        <v>19.84749649</v>
      </c>
      <c r="G31" s="588">
        <f t="shared" si="16"/>
        <v>206.5308994</v>
      </c>
      <c r="H31" s="588">
        <f t="shared" si="16"/>
        <v>113.3864817</v>
      </c>
      <c r="I31" s="588">
        <f t="shared" si="16"/>
        <v>270.7515536</v>
      </c>
      <c r="J31" s="588">
        <f t="shared" si="16"/>
        <v>177.8397921</v>
      </c>
      <c r="K31" s="588">
        <f t="shared" si="16"/>
        <v>95.3963452</v>
      </c>
      <c r="L31" s="588">
        <f t="shared" si="16"/>
        <v>156.290526</v>
      </c>
      <c r="M31" s="588">
        <f t="shared" si="16"/>
        <v>176.8187304</v>
      </c>
      <c r="N31" s="588">
        <f t="shared" si="16"/>
        <v>48.87482477</v>
      </c>
    </row>
    <row r="32">
      <c r="A32" s="506" t="s">
        <v>238</v>
      </c>
      <c r="B32" s="587">
        <f t="shared" si="13"/>
        <v>1638.92015</v>
      </c>
      <c r="C32" s="588">
        <f t="shared" ref="C32:N32" si="17">$C11/C11*C31</f>
        <v>1638.92015</v>
      </c>
      <c r="D32" s="588">
        <f t="shared" si="17"/>
        <v>809.9283541</v>
      </c>
      <c r="E32" s="588">
        <f t="shared" si="17"/>
        <v>6831.772577</v>
      </c>
      <c r="F32" s="588">
        <f t="shared" si="17"/>
        <v>175.3622093</v>
      </c>
      <c r="G32" s="588">
        <f t="shared" si="17"/>
        <v>4272.778839</v>
      </c>
      <c r="H32" s="588">
        <f t="shared" si="17"/>
        <v>1612.905074</v>
      </c>
      <c r="I32" s="588">
        <f t="shared" si="17"/>
        <v>1247.507576</v>
      </c>
      <c r="J32" s="588">
        <f t="shared" si="17"/>
        <v>2407.067861</v>
      </c>
      <c r="K32" s="588">
        <f t="shared" si="17"/>
        <v>2005.889884</v>
      </c>
      <c r="L32" s="588">
        <f t="shared" si="17"/>
        <v>3276.286811</v>
      </c>
      <c r="M32" s="588">
        <f t="shared" si="17"/>
        <v>2206.478872</v>
      </c>
      <c r="N32" s="588">
        <f t="shared" si="17"/>
        <v>1433.201349</v>
      </c>
    </row>
    <row r="33">
      <c r="A33" s="655"/>
      <c r="B33" s="664"/>
      <c r="C33" s="665"/>
      <c r="D33" s="665"/>
      <c r="E33" s="665"/>
      <c r="F33" s="665"/>
      <c r="G33" s="665"/>
      <c r="H33" s="665"/>
      <c r="I33" s="665"/>
      <c r="J33" s="665"/>
      <c r="K33" s="665"/>
      <c r="L33" s="665"/>
      <c r="M33" s="665"/>
      <c r="N33" s="665"/>
    </row>
    <row r="34">
      <c r="A34" s="325" t="s">
        <v>239</v>
      </c>
      <c r="B34" s="508">
        <f t="array" ref="B34">index(C34:Y34,,match($A$3,$C$1:$Y$1,0))</f>
        <v>4.763961825</v>
      </c>
      <c r="C34" s="421">
        <f t="array" ref="C34">C32/index(Cash!$B:$B,match("Total units of value generated with hypothetical donation ($100,000)",Cash!$A:$A,0))</f>
        <v>4.763961825</v>
      </c>
      <c r="D34" s="421">
        <f t="array" ref="D34">D32/index(Cash!$B:$B,match("Total units of value generated with hypothetical donation ($100,000)",Cash!$A:$A,0))</f>
        <v>2.354274404</v>
      </c>
      <c r="E34" s="421">
        <f t="array" ref="E34">E32/index(Cash!$B:$B,match("Total units of value generated with hypothetical donation ($100,000)",Cash!$A:$A,0))</f>
        <v>19.85838282</v>
      </c>
      <c r="F34" s="421">
        <f t="array" ref="F34">F32/index(Cash!$B:$B,match("Total units of value generated with hypothetical donation ($100,000)",Cash!$A:$A,0))</f>
        <v>0.5097373845</v>
      </c>
      <c r="G34" s="421">
        <f t="array" ref="G34">G32/index(Cash!$B:$B,match("Total units of value generated with hypothetical donation ($100,000)",Cash!$A:$A,0))</f>
        <v>12.41997987</v>
      </c>
      <c r="H34" s="421">
        <f t="array" ref="H34">H32/index(Cash!$B:$B,match("Total units of value generated with hypothetical donation ($100,000)",Cash!$A:$A,0))</f>
        <v>4.688342016</v>
      </c>
      <c r="I34" s="421">
        <f t="array" ref="I34">I32/index(Cash!$B:$B,match("Total units of value generated with hypothetical donation ($100,000)",Cash!$A:$A,0))</f>
        <v>3.626215997</v>
      </c>
      <c r="J34" s="421">
        <f t="array" ref="J34">J32/index(Cash!$B:$B,match("Total units of value generated with hypothetical donation ($100,000)",Cash!$A:$A,0))</f>
        <v>6.99678956</v>
      </c>
      <c r="K34" s="421">
        <f t="array" ref="K34">K32/index(Cash!$B:$B,match("Total units of value generated with hypothetical donation ($100,000)",Cash!$A:$A,0))</f>
        <v>5.830657967</v>
      </c>
      <c r="L34" s="421">
        <f t="array" ref="L34">L32/index(Cash!$B:$B,match("Total units of value generated with hypothetical donation ($100,000)",Cash!$A:$A,0))</f>
        <v>9.523408013</v>
      </c>
      <c r="M34" s="421">
        <f t="array" ref="M34">M32/index(Cash!$B:$B,match("Total units of value generated with hypothetical donation ($100,000)",Cash!$A:$A,0))</f>
        <v>6.413723764</v>
      </c>
      <c r="N34" s="421">
        <f t="array" ref="N34">N32/index(Cash!$B:$B,match("Total units of value generated with hypothetical donation ($100,000)",Cash!$A:$A,0))</f>
        <v>4.165984848</v>
      </c>
    </row>
    <row r="35">
      <c r="A35" s="537"/>
      <c r="B35" s="607"/>
      <c r="C35" s="608"/>
      <c r="D35" s="707"/>
      <c r="E35" s="707"/>
      <c r="F35" s="707"/>
      <c r="G35" s="707"/>
      <c r="H35" s="707"/>
      <c r="I35" s="707"/>
      <c r="J35" s="707"/>
      <c r="K35" s="707"/>
      <c r="L35" s="707"/>
      <c r="M35" s="707"/>
      <c r="N35" s="707"/>
    </row>
    <row r="36">
      <c r="A36" s="264" t="s">
        <v>240</v>
      </c>
      <c r="B36" s="595"/>
      <c r="C36" s="596"/>
      <c r="D36" s="596"/>
      <c r="E36" s="596"/>
      <c r="F36" s="596"/>
      <c r="G36" s="596"/>
      <c r="H36" s="596"/>
      <c r="I36" s="596"/>
      <c r="J36" s="596"/>
      <c r="K36" s="596"/>
      <c r="L36" s="596"/>
      <c r="M36" s="596"/>
      <c r="N36" s="596"/>
    </row>
    <row r="37" outlineLevel="1">
      <c r="A37" s="310"/>
      <c r="B37" s="597"/>
      <c r="C37" s="415"/>
      <c r="D37" s="415"/>
      <c r="E37" s="415"/>
      <c r="F37" s="415"/>
      <c r="G37" s="415"/>
      <c r="H37" s="415"/>
      <c r="I37" s="415"/>
      <c r="J37" s="415"/>
      <c r="K37" s="415"/>
      <c r="L37" s="415"/>
      <c r="M37" s="415"/>
      <c r="N37" s="415"/>
    </row>
    <row r="38" outlineLevel="1">
      <c r="A38" s="598" t="s">
        <v>355</v>
      </c>
      <c r="B38" s="597"/>
      <c r="C38" s="415"/>
      <c r="D38" s="415"/>
      <c r="E38" s="415"/>
      <c r="F38" s="415"/>
      <c r="G38" s="415"/>
      <c r="H38" s="415"/>
      <c r="I38" s="415"/>
      <c r="J38" s="415"/>
      <c r="K38" s="415"/>
      <c r="L38" s="415"/>
      <c r="M38" s="415"/>
      <c r="N38" s="415"/>
    </row>
    <row r="39" outlineLevel="1">
      <c r="A39" s="599" t="s">
        <v>356</v>
      </c>
      <c r="B39" s="652">
        <f t="shared" ref="B39:B44" si="18">index(A39:ZX39,,match($A$3,$A$1:$ZX$1,0))</f>
        <v>0.8331664969</v>
      </c>
      <c r="C39" s="510">
        <f t="shared" ref="C39:C42" si="19">sumproduct(D39:R39,D$7:R$7)</f>
        <v>0.8331664969</v>
      </c>
      <c r="D39" s="601">
        <v>1.6699370484597948</v>
      </c>
      <c r="E39" s="601">
        <v>0.20726360872629818</v>
      </c>
      <c r="F39" s="601">
        <v>1.967218529434917</v>
      </c>
      <c r="G39" s="601">
        <v>0.1795724191813936</v>
      </c>
      <c r="H39" s="601">
        <v>0.25785717106653</v>
      </c>
      <c r="I39" s="601">
        <v>0.5533497016483342</v>
      </c>
      <c r="J39" s="601">
        <v>0.17613644115720967</v>
      </c>
      <c r="K39" s="601">
        <v>0.17613644115720967</v>
      </c>
      <c r="L39" s="601">
        <v>0.17613644115720967</v>
      </c>
      <c r="M39" s="601">
        <v>0.17613644115720967</v>
      </c>
      <c r="N39" s="601">
        <v>0.3084237695492635</v>
      </c>
    </row>
    <row r="40" outlineLevel="1">
      <c r="A40" s="599" t="s">
        <v>357</v>
      </c>
      <c r="B40" s="652">
        <f t="shared" si="18"/>
        <v>0.4770075303</v>
      </c>
      <c r="C40" s="510">
        <f t="shared" si="19"/>
        <v>0.4770075303</v>
      </c>
      <c r="D40" s="601">
        <v>0.8447590782985287</v>
      </c>
      <c r="E40" s="601">
        <v>0.1776225309674196</v>
      </c>
      <c r="F40" s="601">
        <v>0.9569978124826113</v>
      </c>
      <c r="G40" s="601">
        <v>0.18626286036019174</v>
      </c>
      <c r="H40" s="601">
        <v>0.22010377274286158</v>
      </c>
      <c r="I40" s="601">
        <v>0.36218332700130945</v>
      </c>
      <c r="J40" s="601">
        <v>0.19307132085116666</v>
      </c>
      <c r="K40" s="601">
        <v>0.19307132085116666</v>
      </c>
      <c r="L40" s="601">
        <v>0.19307132085116666</v>
      </c>
      <c r="M40" s="601">
        <v>0.19307132085116666</v>
      </c>
      <c r="N40" s="601">
        <v>0.25220542504492244</v>
      </c>
    </row>
    <row r="41" outlineLevel="1">
      <c r="A41" s="599" t="s">
        <v>358</v>
      </c>
      <c r="B41" s="652">
        <f t="shared" si="18"/>
        <v>0</v>
      </c>
      <c r="C41" s="510">
        <f t="shared" si="19"/>
        <v>0</v>
      </c>
      <c r="D41" s="601">
        <v>0.0</v>
      </c>
      <c r="E41" s="601">
        <v>0.0</v>
      </c>
      <c r="F41" s="601">
        <v>0.0</v>
      </c>
      <c r="G41" s="601">
        <v>0.0</v>
      </c>
      <c r="H41" s="601">
        <v>0.0</v>
      </c>
      <c r="I41" s="601">
        <v>0.0</v>
      </c>
      <c r="J41" s="601">
        <v>0.0</v>
      </c>
      <c r="K41" s="601">
        <v>0.0</v>
      </c>
      <c r="L41" s="601">
        <v>0.0</v>
      </c>
      <c r="M41" s="601">
        <v>0.0</v>
      </c>
      <c r="N41" s="601">
        <v>0.0</v>
      </c>
    </row>
    <row r="42" outlineLevel="1">
      <c r="A42" s="599" t="s">
        <v>359</v>
      </c>
      <c r="B42" s="652">
        <f t="shared" si="18"/>
        <v>0.2798510737</v>
      </c>
      <c r="C42" s="510">
        <f t="shared" si="19"/>
        <v>0.2798510737</v>
      </c>
      <c r="D42" s="601">
        <v>0.30116746757010526</v>
      </c>
      <c r="E42" s="601">
        <v>0.20718896353101418</v>
      </c>
      <c r="F42" s="601">
        <v>0.26577636635784274</v>
      </c>
      <c r="G42" s="601">
        <v>0.2550409216590538</v>
      </c>
      <c r="H42" s="601">
        <v>0.25571829866681367</v>
      </c>
      <c r="I42" s="601">
        <v>0.2917447280213879</v>
      </c>
      <c r="J42" s="601">
        <v>0.2743633074955125</v>
      </c>
      <c r="K42" s="601">
        <v>0.2743633074955125</v>
      </c>
      <c r="L42" s="601">
        <v>0.2743633074955125</v>
      </c>
      <c r="M42" s="601">
        <v>0.2743633074955125</v>
      </c>
      <c r="N42" s="601">
        <v>0.28005555555555556</v>
      </c>
    </row>
    <row r="43" outlineLevel="1">
      <c r="A43" s="602" t="s">
        <v>360</v>
      </c>
      <c r="B43" s="603">
        <f t="shared" si="18"/>
        <v>1.590025101</v>
      </c>
      <c r="C43" s="604">
        <f t="shared" ref="C43:N43" si="20">sum(C39:C42)</f>
        <v>1.590025101</v>
      </c>
      <c r="D43" s="604">
        <f t="shared" si="20"/>
        <v>2.815863594</v>
      </c>
      <c r="E43" s="604">
        <f t="shared" si="20"/>
        <v>0.5920751032</v>
      </c>
      <c r="F43" s="604">
        <f t="shared" si="20"/>
        <v>3.189992708</v>
      </c>
      <c r="G43" s="604">
        <f t="shared" si="20"/>
        <v>0.6208762012</v>
      </c>
      <c r="H43" s="604">
        <f t="shared" si="20"/>
        <v>0.7336792425</v>
      </c>
      <c r="I43" s="604">
        <f t="shared" si="20"/>
        <v>1.207277757</v>
      </c>
      <c r="J43" s="604">
        <f t="shared" si="20"/>
        <v>0.6435710695</v>
      </c>
      <c r="K43" s="604">
        <f t="shared" si="20"/>
        <v>0.6435710695</v>
      </c>
      <c r="L43" s="604">
        <f t="shared" si="20"/>
        <v>0.6435710695</v>
      </c>
      <c r="M43" s="604">
        <f t="shared" si="20"/>
        <v>0.6435710695</v>
      </c>
      <c r="N43" s="604">
        <f t="shared" si="20"/>
        <v>0.8406847501</v>
      </c>
    </row>
    <row r="44" outlineLevel="1">
      <c r="A44" s="339" t="s">
        <v>252</v>
      </c>
      <c r="B44" s="605">
        <f t="shared" si="18"/>
        <v>0.3355579381</v>
      </c>
      <c r="C44" s="606">
        <f t="shared" ref="C44:N44" si="21">(C43-C18)/C43</f>
        <v>0.3355579381</v>
      </c>
      <c r="D44" s="606">
        <f t="shared" si="21"/>
        <v>0</v>
      </c>
      <c r="E44" s="606">
        <f t="shared" si="21"/>
        <v>0</v>
      </c>
      <c r="F44" s="606">
        <f t="shared" si="21"/>
        <v>0</v>
      </c>
      <c r="G44" s="606">
        <f t="shared" si="21"/>
        <v>0</v>
      </c>
      <c r="H44" s="606">
        <f t="shared" si="21"/>
        <v>0</v>
      </c>
      <c r="I44" s="606">
        <f t="shared" si="21"/>
        <v>0</v>
      </c>
      <c r="J44" s="606">
        <f t="shared" si="21"/>
        <v>0</v>
      </c>
      <c r="K44" s="606">
        <f t="shared" si="21"/>
        <v>0</v>
      </c>
      <c r="L44" s="606">
        <f t="shared" si="21"/>
        <v>0</v>
      </c>
      <c r="M44" s="606">
        <f t="shared" si="21"/>
        <v>0</v>
      </c>
      <c r="N44" s="606">
        <f t="shared" si="21"/>
        <v>0</v>
      </c>
    </row>
    <row r="45" outlineLevel="1">
      <c r="A45" s="310"/>
      <c r="B45" s="597"/>
      <c r="C45" s="415"/>
      <c r="D45" s="415"/>
      <c r="E45" s="415"/>
      <c r="F45" s="415"/>
      <c r="G45" s="415"/>
      <c r="H45" s="415"/>
      <c r="I45" s="415"/>
      <c r="J45" s="415"/>
      <c r="K45" s="415"/>
      <c r="L45" s="415"/>
      <c r="M45" s="415"/>
      <c r="N45" s="415"/>
    </row>
    <row r="46" outlineLevel="1">
      <c r="A46" s="301" t="s">
        <v>361</v>
      </c>
      <c r="B46" s="597"/>
      <c r="C46" s="415"/>
      <c r="D46" s="415"/>
      <c r="E46" s="415"/>
      <c r="F46" s="415"/>
      <c r="G46" s="415"/>
      <c r="H46" s="415"/>
      <c r="I46" s="415"/>
      <c r="J46" s="415"/>
      <c r="K46" s="415"/>
      <c r="L46" s="415"/>
      <c r="M46" s="415"/>
      <c r="N46" s="415"/>
    </row>
    <row r="47" outlineLevel="1">
      <c r="A47" s="294" t="s">
        <v>356</v>
      </c>
      <c r="B47" s="607">
        <f t="shared" ref="B47:B50" si="23">index(A47:ZX47,,match($A$3,$A$1:$ZX$1,0))</f>
        <v>100000</v>
      </c>
      <c r="C47" s="607">
        <f t="shared" ref="C47:N47" si="22">C11</f>
        <v>100000</v>
      </c>
      <c r="D47" s="607">
        <f t="shared" si="22"/>
        <v>24181.07434</v>
      </c>
      <c r="E47" s="607">
        <f t="shared" si="22"/>
        <v>2595.726387</v>
      </c>
      <c r="F47" s="607">
        <f t="shared" si="22"/>
        <v>11318.00093</v>
      </c>
      <c r="G47" s="607">
        <f t="shared" si="22"/>
        <v>4833.643564</v>
      </c>
      <c r="H47" s="607">
        <f t="shared" si="22"/>
        <v>7029.953805</v>
      </c>
      <c r="I47" s="607">
        <f t="shared" si="22"/>
        <v>21703.39955</v>
      </c>
      <c r="J47" s="607">
        <f t="shared" si="22"/>
        <v>7388.23342</v>
      </c>
      <c r="K47" s="607">
        <f t="shared" si="22"/>
        <v>4755.81167</v>
      </c>
      <c r="L47" s="607">
        <f t="shared" si="22"/>
        <v>4770.355437</v>
      </c>
      <c r="M47" s="607">
        <f t="shared" si="22"/>
        <v>8013.615383</v>
      </c>
      <c r="N47" s="607">
        <f t="shared" si="22"/>
        <v>3410.185512</v>
      </c>
    </row>
    <row r="48" outlineLevel="1">
      <c r="A48" s="599" t="s">
        <v>357</v>
      </c>
      <c r="B48" s="607">
        <f t="shared" si="23"/>
        <v>57252.36577</v>
      </c>
      <c r="C48" s="608">
        <f t="shared" ref="C48:N48" si="24">(C40/C39)*C47</f>
        <v>57252.36577</v>
      </c>
      <c r="D48" s="608">
        <f t="shared" si="24"/>
        <v>12232.30665</v>
      </c>
      <c r="E48" s="608">
        <f t="shared" si="24"/>
        <v>2224.507685</v>
      </c>
      <c r="F48" s="608">
        <f t="shared" si="24"/>
        <v>5505.896763</v>
      </c>
      <c r="G48" s="608">
        <f t="shared" si="24"/>
        <v>5013.733625</v>
      </c>
      <c r="H48" s="608">
        <f t="shared" si="24"/>
        <v>6000.683822</v>
      </c>
      <c r="I48" s="608">
        <f t="shared" si="24"/>
        <v>14205.50049</v>
      </c>
      <c r="J48" s="608">
        <f t="shared" si="24"/>
        <v>8098.585255</v>
      </c>
      <c r="K48" s="608">
        <f t="shared" si="24"/>
        <v>5213.065706</v>
      </c>
      <c r="L48" s="608">
        <f t="shared" si="24"/>
        <v>5229.007802</v>
      </c>
      <c r="M48" s="608">
        <f t="shared" si="24"/>
        <v>8784.095424</v>
      </c>
      <c r="N48" s="608">
        <f t="shared" si="24"/>
        <v>2788.589504</v>
      </c>
    </row>
    <row r="49" outlineLevel="1">
      <c r="A49" s="599" t="s">
        <v>358</v>
      </c>
      <c r="B49" s="607">
        <f t="shared" si="23"/>
        <v>0</v>
      </c>
      <c r="C49" s="608">
        <f t="shared" ref="C49:N49" si="25">(C41/C39)*C47</f>
        <v>0</v>
      </c>
      <c r="D49" s="608">
        <f t="shared" si="25"/>
        <v>0</v>
      </c>
      <c r="E49" s="608">
        <f t="shared" si="25"/>
        <v>0</v>
      </c>
      <c r="F49" s="608">
        <f t="shared" si="25"/>
        <v>0</v>
      </c>
      <c r="G49" s="608">
        <f t="shared" si="25"/>
        <v>0</v>
      </c>
      <c r="H49" s="608">
        <f t="shared" si="25"/>
        <v>0</v>
      </c>
      <c r="I49" s="608">
        <f t="shared" si="25"/>
        <v>0</v>
      </c>
      <c r="J49" s="608">
        <f t="shared" si="25"/>
        <v>0</v>
      </c>
      <c r="K49" s="608">
        <f t="shared" si="25"/>
        <v>0</v>
      </c>
      <c r="L49" s="608">
        <f t="shared" si="25"/>
        <v>0</v>
      </c>
      <c r="M49" s="608">
        <f t="shared" si="25"/>
        <v>0</v>
      </c>
      <c r="N49" s="608">
        <f t="shared" si="25"/>
        <v>0</v>
      </c>
    </row>
    <row r="50" outlineLevel="1">
      <c r="A50" s="609" t="s">
        <v>359</v>
      </c>
      <c r="B50" s="610">
        <f t="shared" si="23"/>
        <v>33588.85346</v>
      </c>
      <c r="C50" s="611">
        <f t="shared" ref="C50:N50" si="26">(C42/C39)*C47</f>
        <v>33588.85346</v>
      </c>
      <c r="D50" s="611">
        <f t="shared" si="26"/>
        <v>4360.974522</v>
      </c>
      <c r="E50" s="611">
        <f t="shared" si="26"/>
        <v>2594.791546</v>
      </c>
      <c r="F50" s="611">
        <f t="shared" si="26"/>
        <v>1529.091515</v>
      </c>
      <c r="G50" s="611">
        <f t="shared" si="26"/>
        <v>6865.068228</v>
      </c>
      <c r="H50" s="611">
        <f t="shared" si="26"/>
        <v>6971.641779</v>
      </c>
      <c r="I50" s="611">
        <f t="shared" si="26"/>
        <v>11442.76825</v>
      </c>
      <c r="J50" s="611">
        <f t="shared" si="26"/>
        <v>11508.46551</v>
      </c>
      <c r="K50" s="611">
        <f t="shared" si="26"/>
        <v>7408.008309</v>
      </c>
      <c r="L50" s="611">
        <f t="shared" si="26"/>
        <v>7430.662769</v>
      </c>
      <c r="M50" s="611">
        <f t="shared" si="26"/>
        <v>12482.60727</v>
      </c>
      <c r="N50" s="611">
        <f t="shared" si="26"/>
        <v>3096.523331</v>
      </c>
    </row>
    <row r="51" outlineLevel="1">
      <c r="A51" s="612" t="s">
        <v>362</v>
      </c>
      <c r="B51" s="613"/>
      <c r="C51" s="614">
        <f t="shared" ref="C51:N51" si="27">sum(C47:C50)</f>
        <v>190841.2192</v>
      </c>
      <c r="D51" s="614">
        <f t="shared" si="27"/>
        <v>40774.35551</v>
      </c>
      <c r="E51" s="614">
        <f t="shared" si="27"/>
        <v>7415.025617</v>
      </c>
      <c r="F51" s="614">
        <f t="shared" si="27"/>
        <v>18352.98921</v>
      </c>
      <c r="G51" s="614">
        <f t="shared" si="27"/>
        <v>16712.44542</v>
      </c>
      <c r="H51" s="614">
        <f t="shared" si="27"/>
        <v>20002.27941</v>
      </c>
      <c r="I51" s="614">
        <f t="shared" si="27"/>
        <v>47351.66829</v>
      </c>
      <c r="J51" s="614">
        <f t="shared" si="27"/>
        <v>26995.28418</v>
      </c>
      <c r="K51" s="614">
        <f t="shared" si="27"/>
        <v>17376.88569</v>
      </c>
      <c r="L51" s="614">
        <f t="shared" si="27"/>
        <v>17430.02601</v>
      </c>
      <c r="M51" s="614">
        <f t="shared" si="27"/>
        <v>29280.31808</v>
      </c>
      <c r="N51" s="614">
        <f t="shared" si="27"/>
        <v>9295.298347</v>
      </c>
    </row>
    <row r="52" outlineLevel="1">
      <c r="A52" s="310"/>
      <c r="B52" s="597"/>
      <c r="C52" s="415"/>
      <c r="D52" s="415"/>
      <c r="E52" s="415"/>
      <c r="F52" s="415"/>
      <c r="G52" s="415"/>
      <c r="H52" s="415"/>
      <c r="I52" s="415"/>
      <c r="J52" s="415"/>
      <c r="K52" s="415"/>
      <c r="L52" s="415"/>
      <c r="M52" s="415"/>
      <c r="N52" s="415"/>
    </row>
    <row r="53" outlineLevel="1">
      <c r="A53" s="301" t="s">
        <v>363</v>
      </c>
      <c r="B53" s="597"/>
      <c r="C53" s="415"/>
      <c r="D53" s="415"/>
      <c r="E53" s="415"/>
      <c r="F53" s="415"/>
      <c r="G53" s="415"/>
      <c r="H53" s="415"/>
      <c r="I53" s="415"/>
      <c r="J53" s="415"/>
      <c r="K53" s="415"/>
      <c r="L53" s="415"/>
      <c r="M53" s="415"/>
      <c r="N53" s="415"/>
    </row>
    <row r="54" outlineLevel="1">
      <c r="A54" s="294" t="s">
        <v>364</v>
      </c>
      <c r="B54" s="607">
        <f t="shared" ref="B54:B55" si="29">index(A54:ZX54,,match($A$3,$A$1:$ZX$1,0))</f>
        <v>100000</v>
      </c>
      <c r="C54" s="608">
        <f t="shared" ref="C54:N54" si="28">C47+C49</f>
        <v>100000</v>
      </c>
      <c r="D54" s="608">
        <f t="shared" si="28"/>
        <v>24181.07434</v>
      </c>
      <c r="E54" s="608">
        <f t="shared" si="28"/>
        <v>2595.726387</v>
      </c>
      <c r="F54" s="608">
        <f t="shared" si="28"/>
        <v>11318.00093</v>
      </c>
      <c r="G54" s="608">
        <f t="shared" si="28"/>
        <v>4833.643564</v>
      </c>
      <c r="H54" s="608">
        <f t="shared" si="28"/>
        <v>7029.953805</v>
      </c>
      <c r="I54" s="608">
        <f t="shared" si="28"/>
        <v>21703.39955</v>
      </c>
      <c r="J54" s="608">
        <f t="shared" si="28"/>
        <v>7388.23342</v>
      </c>
      <c r="K54" s="608">
        <f t="shared" si="28"/>
        <v>4755.81167</v>
      </c>
      <c r="L54" s="608">
        <f t="shared" si="28"/>
        <v>4770.355437</v>
      </c>
      <c r="M54" s="608">
        <f t="shared" si="28"/>
        <v>8013.615383</v>
      </c>
      <c r="N54" s="608">
        <f t="shared" si="28"/>
        <v>3410.185512</v>
      </c>
    </row>
    <row r="55" outlineLevel="1">
      <c r="A55" s="294" t="s">
        <v>365</v>
      </c>
      <c r="B55" s="607">
        <f t="shared" si="29"/>
        <v>90841.21923</v>
      </c>
      <c r="C55" s="608">
        <f t="shared" ref="C55:N55" si="30">C48+C50</f>
        <v>90841.21923</v>
      </c>
      <c r="D55" s="608">
        <f t="shared" si="30"/>
        <v>16593.28118</v>
      </c>
      <c r="E55" s="608">
        <f t="shared" si="30"/>
        <v>4819.299231</v>
      </c>
      <c r="F55" s="608">
        <f t="shared" si="30"/>
        <v>7034.988278</v>
      </c>
      <c r="G55" s="608">
        <f t="shared" si="30"/>
        <v>11878.80185</v>
      </c>
      <c r="H55" s="608">
        <f t="shared" si="30"/>
        <v>12972.3256</v>
      </c>
      <c r="I55" s="608">
        <f t="shared" si="30"/>
        <v>25648.26874</v>
      </c>
      <c r="J55" s="608">
        <f t="shared" si="30"/>
        <v>19607.05076</v>
      </c>
      <c r="K55" s="608">
        <f t="shared" si="30"/>
        <v>12621.07401</v>
      </c>
      <c r="L55" s="608">
        <f t="shared" si="30"/>
        <v>12659.67057</v>
      </c>
      <c r="M55" s="608">
        <f t="shared" si="30"/>
        <v>21266.7027</v>
      </c>
      <c r="N55" s="608">
        <f t="shared" si="30"/>
        <v>5885.112835</v>
      </c>
    </row>
    <row r="56" outlineLevel="1">
      <c r="A56" s="310"/>
      <c r="B56" s="597"/>
      <c r="C56" s="415"/>
      <c r="D56" s="415"/>
      <c r="E56" s="415"/>
      <c r="F56" s="415"/>
      <c r="G56" s="415"/>
      <c r="H56" s="415"/>
      <c r="I56" s="415"/>
      <c r="J56" s="415"/>
      <c r="K56" s="415"/>
      <c r="L56" s="415"/>
      <c r="M56" s="415"/>
      <c r="N56" s="415"/>
    </row>
    <row r="57" outlineLevel="1">
      <c r="A57" s="509" t="s">
        <v>366</v>
      </c>
      <c r="B57" s="615"/>
      <c r="C57" s="460"/>
      <c r="D57" s="460"/>
      <c r="E57" s="460"/>
      <c r="F57" s="460"/>
      <c r="G57" s="460"/>
      <c r="H57" s="460"/>
      <c r="I57" s="460"/>
      <c r="J57" s="460"/>
      <c r="K57" s="460"/>
      <c r="L57" s="460"/>
      <c r="M57" s="460"/>
      <c r="N57" s="460"/>
    </row>
    <row r="58" outlineLevel="1">
      <c r="A58" s="599" t="s">
        <v>357</v>
      </c>
      <c r="B58" s="616">
        <f t="shared" ref="B58:B60" si="31">index(A58:ZX58,,match($A$3,$A$1:$ZX$1,0))</f>
        <v>357.7681507</v>
      </c>
      <c r="C58" s="617">
        <f>100000/'Counterfactual non-philanthropi'!$D$32*'Moral weights'!$B$6</f>
        <v>357.7681507</v>
      </c>
      <c r="D58" s="617">
        <f>100000/'Counterfactual non-philanthropi'!$D$32*'Moral weights'!$B$6</f>
        <v>357.7681507</v>
      </c>
      <c r="E58" s="617">
        <f>100000/'Counterfactual non-philanthropi'!$D$32*'Moral weights'!$B$6</f>
        <v>357.7681507</v>
      </c>
      <c r="F58" s="617">
        <f>100000/'Counterfactual non-philanthropi'!$D$32*'Moral weights'!$B$6</f>
        <v>357.7681507</v>
      </c>
      <c r="G58" s="617">
        <f>100000/'Counterfactual non-philanthropi'!$D$32*'Moral weights'!$B$6</f>
        <v>357.7681507</v>
      </c>
      <c r="H58" s="617">
        <f>100000/'Counterfactual non-philanthropi'!$D$32*'Moral weights'!$B$6</f>
        <v>357.7681507</v>
      </c>
      <c r="I58" s="617">
        <f>100000/'Counterfactual non-philanthropi'!$D$32*'Moral weights'!$B$6</f>
        <v>357.7681507</v>
      </c>
      <c r="J58" s="617">
        <f>100000/'Counterfactual non-philanthropi'!$D$32*'Moral weights'!$B$6</f>
        <v>357.7681507</v>
      </c>
      <c r="K58" s="617">
        <f>100000/'Counterfactual non-philanthropi'!$D$32*'Moral weights'!$B$6</f>
        <v>357.7681507</v>
      </c>
      <c r="L58" s="617">
        <f>100000/'Counterfactual non-philanthropi'!$D$32*'Moral weights'!$B$6</f>
        <v>357.7681507</v>
      </c>
      <c r="M58" s="617">
        <f>100000/'Counterfactual non-philanthropi'!$D$32*'Moral weights'!$B$6</f>
        <v>357.7681507</v>
      </c>
      <c r="N58" s="617">
        <f>100000/'Counterfactual non-philanthropi'!$D$32*'Moral weights'!$B$6</f>
        <v>357.7681507</v>
      </c>
    </row>
    <row r="59" outlineLevel="1">
      <c r="A59" s="599" t="s">
        <v>358</v>
      </c>
      <c r="B59" s="616">
        <f t="shared" si="31"/>
        <v>357.7681507</v>
      </c>
      <c r="C59" s="617">
        <f>100000/'Counterfactual non-philanthropi'!$D$32*'Moral weights'!$B$6</f>
        <v>357.7681507</v>
      </c>
      <c r="D59" s="617">
        <f>100000/'Counterfactual non-philanthropi'!$D$32*'Moral weights'!$B$6</f>
        <v>357.7681507</v>
      </c>
      <c r="E59" s="617">
        <f>100000/'Counterfactual non-philanthropi'!$D$32*'Moral weights'!$B$6</f>
        <v>357.7681507</v>
      </c>
      <c r="F59" s="617">
        <f>100000/'Counterfactual non-philanthropi'!$D$32*'Moral weights'!$B$6</f>
        <v>357.7681507</v>
      </c>
      <c r="G59" s="617">
        <f>100000/'Counterfactual non-philanthropi'!$D$32*'Moral weights'!$B$6</f>
        <v>357.7681507</v>
      </c>
      <c r="H59" s="617">
        <f>100000/'Counterfactual non-philanthropi'!$D$32*'Moral weights'!$B$6</f>
        <v>357.7681507</v>
      </c>
      <c r="I59" s="617">
        <f>100000/'Counterfactual non-philanthropi'!$D$32*'Moral weights'!$B$6</f>
        <v>357.7681507</v>
      </c>
      <c r="J59" s="617">
        <f>100000/'Counterfactual non-philanthropi'!$D$32*'Moral weights'!$B$6</f>
        <v>357.7681507</v>
      </c>
      <c r="K59" s="617">
        <f>100000/'Counterfactual non-philanthropi'!$D$32*'Moral weights'!$B$6</f>
        <v>357.7681507</v>
      </c>
      <c r="L59" s="617">
        <f>100000/'Counterfactual non-philanthropi'!$D$32*'Moral weights'!$B$6</f>
        <v>357.7681507</v>
      </c>
      <c r="M59" s="617">
        <f>100000/'Counterfactual non-philanthropi'!$D$32*'Moral weights'!$B$6</f>
        <v>357.7681507</v>
      </c>
      <c r="N59" s="617">
        <f>100000/'Counterfactual non-philanthropi'!$D$32*'Moral weights'!$B$6</f>
        <v>357.7681507</v>
      </c>
    </row>
    <row r="60" outlineLevel="1">
      <c r="A60" s="599" t="s">
        <v>359</v>
      </c>
      <c r="B60" s="616">
        <f t="shared" si="31"/>
        <v>659.4129308</v>
      </c>
      <c r="C60" s="617">
        <f>100000/'Counterfactual non-philanthropi'!$D$34*'Moral weights'!$B$6</f>
        <v>659.4129308</v>
      </c>
      <c r="D60" s="617">
        <f>100000/'Counterfactual non-philanthropi'!$D$34*'Moral weights'!$B$6</f>
        <v>659.4129308</v>
      </c>
      <c r="E60" s="617">
        <f>100000/'Counterfactual non-philanthropi'!$D$34*'Moral weights'!$B$6</f>
        <v>659.4129308</v>
      </c>
      <c r="F60" s="617">
        <f>100000/'Counterfactual non-philanthropi'!$D$34*'Moral weights'!$B$6</f>
        <v>659.4129308</v>
      </c>
      <c r="G60" s="617">
        <f>100000/'Counterfactual non-philanthropi'!$D$34*'Moral weights'!$B$6</f>
        <v>659.4129308</v>
      </c>
      <c r="H60" s="617">
        <f>100000/'Counterfactual non-philanthropi'!$D$34*'Moral weights'!$B$6</f>
        <v>659.4129308</v>
      </c>
      <c r="I60" s="617">
        <f>100000/'Counterfactual non-philanthropi'!$D$34*'Moral weights'!$B$6</f>
        <v>659.4129308</v>
      </c>
      <c r="J60" s="617">
        <f>100000/'Counterfactual non-philanthropi'!$D$34*'Moral weights'!$B$6</f>
        <v>659.4129308</v>
      </c>
      <c r="K60" s="617">
        <f>100000/'Counterfactual non-philanthropi'!$D$34*'Moral weights'!$B$6</f>
        <v>659.4129308</v>
      </c>
      <c r="L60" s="617">
        <f>100000/'Counterfactual non-philanthropi'!$D$34*'Moral weights'!$B$6</f>
        <v>659.4129308</v>
      </c>
      <c r="M60" s="617">
        <f>100000/'Counterfactual non-philanthropi'!$D$34*'Moral weights'!$B$6</f>
        <v>659.4129308</v>
      </c>
      <c r="N60" s="617">
        <f>100000/'Counterfactual non-philanthropi'!$D$34*'Moral weights'!$B$6</f>
        <v>659.4129308</v>
      </c>
    </row>
    <row r="61" outlineLevel="1">
      <c r="A61" s="599"/>
      <c r="B61" s="618"/>
      <c r="C61" s="453"/>
      <c r="D61" s="453"/>
      <c r="E61" s="453"/>
      <c r="F61" s="453"/>
      <c r="G61" s="453"/>
      <c r="H61" s="453"/>
      <c r="I61" s="453"/>
      <c r="J61" s="453"/>
      <c r="K61" s="453"/>
      <c r="L61" s="453"/>
      <c r="M61" s="453"/>
      <c r="N61" s="453"/>
    </row>
    <row r="62" outlineLevel="1">
      <c r="A62" s="509" t="s">
        <v>367</v>
      </c>
      <c r="B62" s="618"/>
      <c r="C62" s="453"/>
      <c r="D62" s="453"/>
      <c r="E62" s="453"/>
      <c r="F62" s="453"/>
      <c r="G62" s="453"/>
      <c r="H62" s="453"/>
      <c r="I62" s="453"/>
      <c r="J62" s="453"/>
      <c r="K62" s="453"/>
      <c r="L62" s="453"/>
      <c r="M62" s="453"/>
      <c r="N62" s="453"/>
    </row>
    <row r="63" outlineLevel="1">
      <c r="A63" s="460" t="s">
        <v>368</v>
      </c>
      <c r="B63" s="289">
        <f t="shared" ref="B63:B65" si="32">index(A63:ZX63,,match($A$3,$A$1:$ZX$1,0))</f>
        <v>0.2</v>
      </c>
      <c r="C63" s="47">
        <v>0.2</v>
      </c>
      <c r="D63" s="47">
        <v>0.2</v>
      </c>
      <c r="E63" s="47">
        <v>0.2</v>
      </c>
      <c r="F63" s="47">
        <v>0.2</v>
      </c>
      <c r="G63" s="47">
        <v>0.2</v>
      </c>
      <c r="H63" s="47">
        <v>0.2</v>
      </c>
      <c r="I63" s="47">
        <v>0.2</v>
      </c>
      <c r="J63" s="47">
        <v>0.2</v>
      </c>
      <c r="K63" s="47">
        <v>0.2</v>
      </c>
      <c r="L63" s="47">
        <v>0.2</v>
      </c>
      <c r="M63" s="47">
        <v>0.2</v>
      </c>
      <c r="N63" s="47">
        <v>0.2</v>
      </c>
    </row>
    <row r="64" outlineLevel="1">
      <c r="A64" s="599" t="s">
        <v>369</v>
      </c>
      <c r="B64" s="289">
        <f t="shared" si="32"/>
        <v>0</v>
      </c>
      <c r="C64" s="47">
        <v>0.0</v>
      </c>
      <c r="D64" s="47">
        <v>0.0</v>
      </c>
      <c r="E64" s="47">
        <v>0.0</v>
      </c>
      <c r="F64" s="47">
        <v>0.0</v>
      </c>
      <c r="G64" s="47">
        <v>0.0</v>
      </c>
      <c r="H64" s="47">
        <v>0.0</v>
      </c>
      <c r="I64" s="47">
        <v>0.0</v>
      </c>
      <c r="J64" s="47">
        <v>0.0</v>
      </c>
      <c r="K64" s="47">
        <v>0.0</v>
      </c>
      <c r="L64" s="47">
        <v>0.0</v>
      </c>
      <c r="M64" s="47">
        <v>0.0</v>
      </c>
      <c r="N64" s="47">
        <v>0.0</v>
      </c>
    </row>
    <row r="65" outlineLevel="1">
      <c r="A65" s="599" t="s">
        <v>370</v>
      </c>
      <c r="B65" s="289">
        <f t="shared" si="32"/>
        <v>0.8</v>
      </c>
      <c r="C65" s="47">
        <v>0.8</v>
      </c>
      <c r="D65" s="47">
        <v>0.8</v>
      </c>
      <c r="E65" s="47">
        <v>0.8</v>
      </c>
      <c r="F65" s="47">
        <v>0.8</v>
      </c>
      <c r="G65" s="47">
        <v>0.8</v>
      </c>
      <c r="H65" s="47">
        <v>0.8</v>
      </c>
      <c r="I65" s="47">
        <v>0.8</v>
      </c>
      <c r="J65" s="47">
        <v>0.8</v>
      </c>
      <c r="K65" s="47">
        <v>0.8</v>
      </c>
      <c r="L65" s="47">
        <v>0.8</v>
      </c>
      <c r="M65" s="47">
        <v>0.8</v>
      </c>
      <c r="N65" s="47">
        <v>0.8</v>
      </c>
    </row>
    <row r="66" outlineLevel="1">
      <c r="A66" s="460"/>
      <c r="B66" s="618"/>
      <c r="C66" s="453"/>
      <c r="D66" s="453"/>
      <c r="E66" s="453"/>
      <c r="F66" s="453"/>
      <c r="G66" s="453"/>
      <c r="H66" s="453"/>
      <c r="I66" s="453"/>
      <c r="J66" s="453"/>
      <c r="K66" s="453"/>
      <c r="L66" s="453"/>
      <c r="M66" s="453"/>
      <c r="N66" s="453"/>
    </row>
    <row r="67" outlineLevel="1">
      <c r="A67" s="620" t="s">
        <v>371</v>
      </c>
      <c r="B67" s="618"/>
      <c r="C67" s="453"/>
      <c r="D67" s="453"/>
      <c r="E67" s="453"/>
      <c r="F67" s="453"/>
      <c r="G67" s="453"/>
      <c r="H67" s="453"/>
      <c r="I67" s="453"/>
      <c r="J67" s="453"/>
      <c r="K67" s="453"/>
      <c r="L67" s="453"/>
      <c r="M67" s="453"/>
      <c r="N67" s="453"/>
    </row>
    <row r="68" outlineLevel="1">
      <c r="A68" s="460" t="s">
        <v>368</v>
      </c>
      <c r="B68" s="618">
        <f t="shared" ref="B68:B70" si="34">index(A68:ZX68,,match($A$3,$A$1:$ZX$1,0))</f>
        <v>1</v>
      </c>
      <c r="C68" s="453">
        <f t="shared" ref="C68:N68" si="33">1</f>
        <v>1</v>
      </c>
      <c r="D68" s="453">
        <f t="shared" si="33"/>
        <v>1</v>
      </c>
      <c r="E68" s="39">
        <f t="shared" si="33"/>
        <v>1</v>
      </c>
      <c r="F68" s="39">
        <f t="shared" si="33"/>
        <v>1</v>
      </c>
      <c r="G68" s="39">
        <f t="shared" si="33"/>
        <v>1</v>
      </c>
      <c r="H68" s="39">
        <f t="shared" si="33"/>
        <v>1</v>
      </c>
      <c r="I68" s="39">
        <f t="shared" si="33"/>
        <v>1</v>
      </c>
      <c r="J68" s="39">
        <f t="shared" si="33"/>
        <v>1</v>
      </c>
      <c r="K68" s="39">
        <f t="shared" si="33"/>
        <v>1</v>
      </c>
      <c r="L68" s="39">
        <f t="shared" si="33"/>
        <v>1</v>
      </c>
      <c r="M68" s="39">
        <f t="shared" si="33"/>
        <v>1</v>
      </c>
      <c r="N68" s="39">
        <f t="shared" si="33"/>
        <v>1</v>
      </c>
    </row>
    <row r="69" outlineLevel="1">
      <c r="A69" s="599" t="s">
        <v>369</v>
      </c>
      <c r="B69" s="618">
        <f t="shared" si="34"/>
        <v>0</v>
      </c>
      <c r="C69" s="453">
        <f t="shared" ref="C69:N69" si="35">C49/C54</f>
        <v>0</v>
      </c>
      <c r="D69" s="453">
        <f t="shared" si="35"/>
        <v>0</v>
      </c>
      <c r="E69" s="39">
        <f t="shared" si="35"/>
        <v>0</v>
      </c>
      <c r="F69" s="39">
        <f t="shared" si="35"/>
        <v>0</v>
      </c>
      <c r="G69" s="39">
        <f t="shared" si="35"/>
        <v>0</v>
      </c>
      <c r="H69" s="39">
        <f t="shared" si="35"/>
        <v>0</v>
      </c>
      <c r="I69" s="39">
        <f t="shared" si="35"/>
        <v>0</v>
      </c>
      <c r="J69" s="39">
        <f t="shared" si="35"/>
        <v>0</v>
      </c>
      <c r="K69" s="39">
        <f t="shared" si="35"/>
        <v>0</v>
      </c>
      <c r="L69" s="39">
        <f t="shared" si="35"/>
        <v>0</v>
      </c>
      <c r="M69" s="39">
        <f t="shared" si="35"/>
        <v>0</v>
      </c>
      <c r="N69" s="39">
        <f t="shared" si="35"/>
        <v>0</v>
      </c>
    </row>
    <row r="70" outlineLevel="1">
      <c r="A70" s="599" t="s">
        <v>370</v>
      </c>
      <c r="B70" s="629">
        <f t="shared" si="34"/>
        <v>0</v>
      </c>
      <c r="C70" s="165">
        <v>0.0</v>
      </c>
      <c r="D70" s="165">
        <v>0.0</v>
      </c>
      <c r="E70" s="669">
        <v>0.0</v>
      </c>
      <c r="F70" s="669">
        <v>0.0</v>
      </c>
      <c r="G70" s="669">
        <v>0.0</v>
      </c>
      <c r="H70" s="669">
        <v>0.0</v>
      </c>
      <c r="I70" s="669">
        <v>0.0</v>
      </c>
      <c r="J70" s="669">
        <v>0.0</v>
      </c>
      <c r="K70" s="669">
        <v>0.0</v>
      </c>
      <c r="L70" s="669">
        <v>0.0</v>
      </c>
      <c r="M70" s="669">
        <v>0.0</v>
      </c>
      <c r="N70" s="669">
        <v>0.0</v>
      </c>
    </row>
    <row r="71" outlineLevel="1">
      <c r="B71" s="618"/>
      <c r="C71" s="453"/>
      <c r="D71" s="453"/>
      <c r="E71" s="453"/>
      <c r="F71" s="453"/>
      <c r="G71" s="453"/>
      <c r="H71" s="453"/>
      <c r="I71" s="453"/>
      <c r="J71" s="453"/>
      <c r="K71" s="453"/>
      <c r="L71" s="453"/>
      <c r="M71" s="453"/>
      <c r="N71" s="453"/>
    </row>
    <row r="72" outlineLevel="1">
      <c r="A72" s="509" t="s">
        <v>372</v>
      </c>
      <c r="B72" s="618"/>
      <c r="C72" s="453"/>
      <c r="D72" s="453"/>
      <c r="E72" s="453"/>
      <c r="F72" s="453"/>
      <c r="G72" s="453"/>
      <c r="H72" s="453"/>
      <c r="I72" s="453"/>
      <c r="J72" s="453"/>
      <c r="K72" s="453"/>
      <c r="L72" s="453"/>
      <c r="M72" s="453"/>
      <c r="N72" s="453"/>
    </row>
    <row r="73" outlineLevel="1">
      <c r="A73" s="460" t="s">
        <v>368</v>
      </c>
      <c r="B73" s="318"/>
      <c r="C73" s="270"/>
    </row>
    <row r="74" outlineLevel="1">
      <c r="A74" s="625" t="s">
        <v>373</v>
      </c>
      <c r="B74" s="318">
        <f t="shared" ref="B74:B76" si="36">index(A74:ZX74,,match($A$3,$A$1:$ZX$1,0))</f>
        <v>0</v>
      </c>
      <c r="C74" s="270">
        <f t="shared" ref="C74:C76" si="37">sumif(D74:R74,"&lt;&gt;#DIV/0!")</f>
        <v>0</v>
      </c>
      <c r="D74" s="272">
        <v>0.0</v>
      </c>
      <c r="E74" s="272">
        <v>0.0</v>
      </c>
      <c r="F74" s="272">
        <v>0.0</v>
      </c>
      <c r="G74" s="272">
        <v>0.0</v>
      </c>
      <c r="H74" s="272">
        <v>0.0</v>
      </c>
      <c r="I74" s="272">
        <v>0.0</v>
      </c>
      <c r="J74" s="272">
        <v>0.0</v>
      </c>
      <c r="K74" s="272">
        <v>0.0</v>
      </c>
      <c r="L74" s="272">
        <v>0.0</v>
      </c>
      <c r="M74" s="272">
        <v>0.0</v>
      </c>
      <c r="N74" s="272">
        <v>0.0</v>
      </c>
    </row>
    <row r="75" outlineLevel="1">
      <c r="A75" s="625" t="s">
        <v>374</v>
      </c>
      <c r="B75" s="318">
        <f t="shared" si="36"/>
        <v>-100000</v>
      </c>
      <c r="C75" s="270">
        <f t="shared" si="37"/>
        <v>-100000</v>
      </c>
      <c r="D75" s="270">
        <f t="shared" ref="D75:N75" si="38">-D47</f>
        <v>-24181.07434</v>
      </c>
      <c r="E75" s="270">
        <f t="shared" si="38"/>
        <v>-2595.726387</v>
      </c>
      <c r="F75" s="270">
        <f t="shared" si="38"/>
        <v>-11318.00093</v>
      </c>
      <c r="G75" s="270">
        <f t="shared" si="38"/>
        <v>-4833.643564</v>
      </c>
      <c r="H75" s="270">
        <f t="shared" si="38"/>
        <v>-7029.953805</v>
      </c>
      <c r="I75" s="270">
        <f t="shared" si="38"/>
        <v>-21703.39955</v>
      </c>
      <c r="J75" s="270">
        <f t="shared" si="38"/>
        <v>-7388.23342</v>
      </c>
      <c r="K75" s="270">
        <f t="shared" si="38"/>
        <v>-4755.81167</v>
      </c>
      <c r="L75" s="270">
        <f t="shared" si="38"/>
        <v>-4770.355437</v>
      </c>
      <c r="M75" s="270">
        <f t="shared" si="38"/>
        <v>-8013.615383</v>
      </c>
      <c r="N75" s="270">
        <f t="shared" si="38"/>
        <v>-3410.185512</v>
      </c>
    </row>
    <row r="76" outlineLevel="1">
      <c r="A76" s="625" t="s">
        <v>375</v>
      </c>
      <c r="B76" s="318">
        <f t="shared" si="36"/>
        <v>0</v>
      </c>
      <c r="C76" s="270">
        <f t="shared" si="37"/>
        <v>0</v>
      </c>
      <c r="D76" s="272">
        <v>0.0</v>
      </c>
      <c r="E76" s="272">
        <v>0.0</v>
      </c>
      <c r="F76" s="272">
        <v>0.0</v>
      </c>
      <c r="G76" s="272">
        <v>0.0</v>
      </c>
      <c r="H76" s="272">
        <v>0.0</v>
      </c>
      <c r="I76" s="272">
        <v>0.0</v>
      </c>
      <c r="J76" s="272">
        <v>0.0</v>
      </c>
      <c r="K76" s="272">
        <v>0.0</v>
      </c>
      <c r="L76" s="272">
        <v>0.0</v>
      </c>
      <c r="M76" s="272">
        <v>0.0</v>
      </c>
      <c r="N76" s="272">
        <v>0.0</v>
      </c>
    </row>
    <row r="77" outlineLevel="1">
      <c r="A77" s="625"/>
      <c r="B77" s="318"/>
      <c r="C77" s="270"/>
      <c r="D77" s="57"/>
      <c r="E77" s="57"/>
      <c r="F77" s="57"/>
      <c r="G77" s="57"/>
      <c r="H77" s="57"/>
      <c r="I77" s="57"/>
      <c r="J77" s="57"/>
      <c r="K77" s="57"/>
      <c r="L77" s="57"/>
      <c r="M77" s="57"/>
      <c r="N77" s="57"/>
    </row>
    <row r="78" outlineLevel="1">
      <c r="A78" s="625" t="s">
        <v>369</v>
      </c>
      <c r="B78" s="626"/>
      <c r="C78" s="269"/>
      <c r="D78" s="31"/>
      <c r="E78" s="31"/>
      <c r="F78" s="31"/>
      <c r="G78" s="31"/>
      <c r="H78" s="31"/>
      <c r="I78" s="31"/>
      <c r="J78" s="31"/>
      <c r="K78" s="31"/>
      <c r="L78" s="31"/>
      <c r="M78" s="31"/>
      <c r="N78" s="31"/>
    </row>
    <row r="79" outlineLevel="1">
      <c r="A79" s="460" t="s">
        <v>373</v>
      </c>
      <c r="B79" s="318">
        <f t="shared" ref="B79:B81" si="40">index(A79:ZX79,,match($A$3,$A$1:$ZX$1,0))</f>
        <v>75295.97273</v>
      </c>
      <c r="C79" s="270">
        <f t="shared" ref="C79:C81" si="41">sumif(D79:R79,"&lt;&gt;#DIV/0!")</f>
        <v>75295.97273</v>
      </c>
      <c r="D79" s="319">
        <f t="shared" ref="D79:N79" si="39">D48-D69*D48</f>
        <v>12232.30665</v>
      </c>
      <c r="E79" s="319">
        <f t="shared" si="39"/>
        <v>2224.507685</v>
      </c>
      <c r="F79" s="319">
        <f t="shared" si="39"/>
        <v>5505.896763</v>
      </c>
      <c r="G79" s="319">
        <f t="shared" si="39"/>
        <v>5013.733625</v>
      </c>
      <c r="H79" s="319">
        <f t="shared" si="39"/>
        <v>6000.683822</v>
      </c>
      <c r="I79" s="319">
        <f t="shared" si="39"/>
        <v>14205.50049</v>
      </c>
      <c r="J79" s="319">
        <f t="shared" si="39"/>
        <v>8098.585255</v>
      </c>
      <c r="K79" s="319">
        <f t="shared" si="39"/>
        <v>5213.065706</v>
      </c>
      <c r="L79" s="319">
        <f t="shared" si="39"/>
        <v>5229.007802</v>
      </c>
      <c r="M79" s="319">
        <f t="shared" si="39"/>
        <v>8784.095424</v>
      </c>
      <c r="N79" s="319">
        <f t="shared" si="39"/>
        <v>2788.589504</v>
      </c>
    </row>
    <row r="80" outlineLevel="1">
      <c r="A80" s="460" t="s">
        <v>374</v>
      </c>
      <c r="B80" s="318">
        <f t="shared" si="40"/>
        <v>0</v>
      </c>
      <c r="C80" s="270">
        <f t="shared" si="41"/>
        <v>0</v>
      </c>
      <c r="D80" s="272">
        <v>0.0</v>
      </c>
      <c r="E80" s="272">
        <v>0.0</v>
      </c>
      <c r="F80" s="272">
        <v>0.0</v>
      </c>
      <c r="G80" s="272">
        <v>0.0</v>
      </c>
      <c r="H80" s="272">
        <v>0.0</v>
      </c>
      <c r="I80" s="272">
        <v>0.0</v>
      </c>
      <c r="J80" s="272">
        <v>0.0</v>
      </c>
      <c r="K80" s="272">
        <v>0.0</v>
      </c>
      <c r="L80" s="272">
        <v>0.0</v>
      </c>
      <c r="M80" s="272">
        <v>0.0</v>
      </c>
      <c r="N80" s="272">
        <v>0.0</v>
      </c>
    </row>
    <row r="81" outlineLevel="1">
      <c r="A81" s="460" t="s">
        <v>375</v>
      </c>
      <c r="B81" s="318">
        <f t="shared" si="40"/>
        <v>75690.60303</v>
      </c>
      <c r="C81" s="270">
        <f t="shared" si="41"/>
        <v>75690.60303</v>
      </c>
      <c r="D81" s="270">
        <f t="shared" ref="D81:N81" si="42">D50-D50*D69</f>
        <v>4360.974522</v>
      </c>
      <c r="E81" s="270">
        <f t="shared" si="42"/>
        <v>2594.791546</v>
      </c>
      <c r="F81" s="270">
        <f t="shared" si="42"/>
        <v>1529.091515</v>
      </c>
      <c r="G81" s="270">
        <f t="shared" si="42"/>
        <v>6865.068228</v>
      </c>
      <c r="H81" s="270">
        <f t="shared" si="42"/>
        <v>6971.641779</v>
      </c>
      <c r="I81" s="270">
        <f t="shared" si="42"/>
        <v>11442.76825</v>
      </c>
      <c r="J81" s="270">
        <f t="shared" si="42"/>
        <v>11508.46551</v>
      </c>
      <c r="K81" s="270">
        <f t="shared" si="42"/>
        <v>7408.008309</v>
      </c>
      <c r="L81" s="270">
        <f t="shared" si="42"/>
        <v>7430.662769</v>
      </c>
      <c r="M81" s="270">
        <f t="shared" si="42"/>
        <v>12482.60727</v>
      </c>
      <c r="N81" s="270">
        <f t="shared" si="42"/>
        <v>3096.523331</v>
      </c>
    </row>
    <row r="82" outlineLevel="1">
      <c r="A82" s="625"/>
      <c r="B82" s="318"/>
      <c r="C82" s="270"/>
      <c r="D82" s="57"/>
      <c r="E82" s="57"/>
      <c r="F82" s="57"/>
      <c r="G82" s="57"/>
      <c r="H82" s="57"/>
      <c r="I82" s="57"/>
      <c r="J82" s="57"/>
      <c r="K82" s="57"/>
      <c r="L82" s="57"/>
      <c r="M82" s="57"/>
      <c r="N82" s="57"/>
    </row>
    <row r="83" outlineLevel="1">
      <c r="A83" s="625" t="s">
        <v>370</v>
      </c>
      <c r="B83" s="318"/>
      <c r="C83" s="270"/>
      <c r="D83" s="318"/>
      <c r="E83" s="318"/>
      <c r="F83" s="318"/>
      <c r="G83" s="318"/>
      <c r="H83" s="318"/>
      <c r="I83" s="318"/>
      <c r="J83" s="318"/>
      <c r="K83" s="318"/>
      <c r="L83" s="318"/>
      <c r="M83" s="318"/>
      <c r="N83" s="318"/>
    </row>
    <row r="84" outlineLevel="1">
      <c r="A84" s="460" t="s">
        <v>373</v>
      </c>
      <c r="B84" s="318">
        <f t="shared" ref="B84:B86" si="44">index(A84:ZX84,,match($A$3,$A$1:$ZX$1,0))</f>
        <v>75295.97273</v>
      </c>
      <c r="C84" s="270">
        <f t="shared" ref="C84:C86" si="45">sumif(D84:R84,"&lt;&gt;#DIV/0!")</f>
        <v>75295.97273</v>
      </c>
      <c r="D84" s="460">
        <f t="shared" ref="D84:N84" si="43">D48</f>
        <v>12232.30665</v>
      </c>
      <c r="E84" s="460">
        <f t="shared" si="43"/>
        <v>2224.507685</v>
      </c>
      <c r="F84" s="460">
        <f t="shared" si="43"/>
        <v>5505.896763</v>
      </c>
      <c r="G84" s="460">
        <f t="shared" si="43"/>
        <v>5013.733625</v>
      </c>
      <c r="H84" s="460">
        <f t="shared" si="43"/>
        <v>6000.683822</v>
      </c>
      <c r="I84" s="460">
        <f t="shared" si="43"/>
        <v>14205.50049</v>
      </c>
      <c r="J84" s="460">
        <f t="shared" si="43"/>
        <v>8098.585255</v>
      </c>
      <c r="K84" s="460">
        <f t="shared" si="43"/>
        <v>5213.065706</v>
      </c>
      <c r="L84" s="460">
        <f t="shared" si="43"/>
        <v>5229.007802</v>
      </c>
      <c r="M84" s="460">
        <f t="shared" si="43"/>
        <v>8784.095424</v>
      </c>
      <c r="N84" s="460">
        <f t="shared" si="43"/>
        <v>2788.589504</v>
      </c>
    </row>
    <row r="85" outlineLevel="1">
      <c r="A85" s="460" t="s">
        <v>374</v>
      </c>
      <c r="B85" s="318">
        <f t="shared" si="44"/>
        <v>0</v>
      </c>
      <c r="C85" s="270">
        <f t="shared" si="45"/>
        <v>0</v>
      </c>
      <c r="D85" s="460">
        <f t="shared" ref="D85:N85" si="46">D49</f>
        <v>0</v>
      </c>
      <c r="E85" s="460">
        <f t="shared" si="46"/>
        <v>0</v>
      </c>
      <c r="F85" s="460">
        <f t="shared" si="46"/>
        <v>0</v>
      </c>
      <c r="G85" s="460">
        <f t="shared" si="46"/>
        <v>0</v>
      </c>
      <c r="H85" s="460">
        <f t="shared" si="46"/>
        <v>0</v>
      </c>
      <c r="I85" s="460">
        <f t="shared" si="46"/>
        <v>0</v>
      </c>
      <c r="J85" s="460">
        <f t="shared" si="46"/>
        <v>0</v>
      </c>
      <c r="K85" s="460">
        <f t="shared" si="46"/>
        <v>0</v>
      </c>
      <c r="L85" s="460">
        <f t="shared" si="46"/>
        <v>0</v>
      </c>
      <c r="M85" s="460">
        <f t="shared" si="46"/>
        <v>0</v>
      </c>
      <c r="N85" s="460">
        <f t="shared" si="46"/>
        <v>0</v>
      </c>
    </row>
    <row r="86" outlineLevel="1">
      <c r="A86" s="460" t="s">
        <v>375</v>
      </c>
      <c r="B86" s="318">
        <f t="shared" si="44"/>
        <v>75690.60303</v>
      </c>
      <c r="C86" s="270">
        <f t="shared" si="45"/>
        <v>75690.60303</v>
      </c>
      <c r="D86" s="460">
        <f t="shared" ref="D86:N86" si="47">D50</f>
        <v>4360.974522</v>
      </c>
      <c r="E86" s="460">
        <f t="shared" si="47"/>
        <v>2594.791546</v>
      </c>
      <c r="F86" s="460">
        <f t="shared" si="47"/>
        <v>1529.091515</v>
      </c>
      <c r="G86" s="460">
        <f t="shared" si="47"/>
        <v>6865.068228</v>
      </c>
      <c r="H86" s="460">
        <f t="shared" si="47"/>
        <v>6971.641779</v>
      </c>
      <c r="I86" s="460">
        <f t="shared" si="47"/>
        <v>11442.76825</v>
      </c>
      <c r="J86" s="460">
        <f t="shared" si="47"/>
        <v>11508.46551</v>
      </c>
      <c r="K86" s="460">
        <f t="shared" si="47"/>
        <v>7408.008309</v>
      </c>
      <c r="L86" s="460">
        <f t="shared" si="47"/>
        <v>7430.662769</v>
      </c>
      <c r="M86" s="460">
        <f t="shared" si="47"/>
        <v>12482.60727</v>
      </c>
      <c r="N86" s="460">
        <f t="shared" si="47"/>
        <v>3096.523331</v>
      </c>
    </row>
    <row r="87" outlineLevel="1">
      <c r="A87" s="460"/>
      <c r="B87" s="618"/>
      <c r="C87" s="453"/>
      <c r="D87" s="453"/>
      <c r="E87" s="453"/>
      <c r="F87" s="453"/>
      <c r="G87" s="453"/>
      <c r="H87" s="453"/>
      <c r="I87" s="453"/>
      <c r="J87" s="453"/>
      <c r="K87" s="453"/>
      <c r="L87" s="453"/>
      <c r="M87" s="453"/>
      <c r="N87" s="453"/>
    </row>
    <row r="88" outlineLevel="1">
      <c r="A88" s="525" t="s">
        <v>376</v>
      </c>
      <c r="B88" s="618"/>
      <c r="C88" s="453"/>
      <c r="D88" s="453"/>
      <c r="E88" s="453"/>
      <c r="F88" s="453"/>
      <c r="G88" s="453"/>
      <c r="H88" s="453"/>
      <c r="I88" s="453"/>
      <c r="J88" s="453"/>
      <c r="K88" s="453"/>
      <c r="L88" s="453"/>
      <c r="M88" s="453"/>
      <c r="N88" s="453"/>
    </row>
    <row r="89" outlineLevel="1">
      <c r="A89" s="460" t="s">
        <v>368</v>
      </c>
      <c r="B89" s="318"/>
      <c r="C89" s="270"/>
      <c r="D89" s="270"/>
      <c r="E89" s="270"/>
      <c r="F89" s="270"/>
      <c r="G89" s="270"/>
      <c r="H89" s="270"/>
      <c r="I89" s="270"/>
      <c r="J89" s="270"/>
      <c r="K89" s="270"/>
      <c r="L89" s="270"/>
      <c r="M89" s="270"/>
      <c r="N89" s="270"/>
    </row>
    <row r="90" outlineLevel="1">
      <c r="A90" s="460" t="s">
        <v>373</v>
      </c>
      <c r="B90" s="318">
        <f t="shared" ref="B90:B92" si="49">index(A90:ZX90,,match($A$3,$A$1:$ZX$1,0))</f>
        <v>0</v>
      </c>
      <c r="C90" s="270">
        <f t="shared" ref="C90:C92" si="50">sumif(D90:R90,"&lt;&gt;#DIV/0!")</f>
        <v>0</v>
      </c>
      <c r="D90" s="270">
        <f t="shared" ref="D90:N90" si="48">D31/D11*D74</f>
        <v>0</v>
      </c>
      <c r="E90" s="270">
        <f t="shared" si="48"/>
        <v>0</v>
      </c>
      <c r="F90" s="270">
        <f t="shared" si="48"/>
        <v>0</v>
      </c>
      <c r="G90" s="270">
        <f t="shared" si="48"/>
        <v>0</v>
      </c>
      <c r="H90" s="270">
        <f t="shared" si="48"/>
        <v>0</v>
      </c>
      <c r="I90" s="270">
        <f t="shared" si="48"/>
        <v>0</v>
      </c>
      <c r="J90" s="270">
        <f t="shared" si="48"/>
        <v>0</v>
      </c>
      <c r="K90" s="270">
        <f t="shared" si="48"/>
        <v>0</v>
      </c>
      <c r="L90" s="270">
        <f t="shared" si="48"/>
        <v>0</v>
      </c>
      <c r="M90" s="270">
        <f t="shared" si="48"/>
        <v>0</v>
      </c>
      <c r="N90" s="270">
        <f t="shared" si="48"/>
        <v>0</v>
      </c>
    </row>
    <row r="91" outlineLevel="1">
      <c r="A91" s="460" t="s">
        <v>374</v>
      </c>
      <c r="B91" s="318">
        <f t="shared" si="49"/>
        <v>-1638.92015</v>
      </c>
      <c r="C91" s="270">
        <f t="shared" si="50"/>
        <v>-1638.92015</v>
      </c>
      <c r="D91" s="270">
        <f t="shared" ref="D91:N91" si="51">D31/D11*D75</f>
        <v>-195.8493774</v>
      </c>
      <c r="E91" s="270">
        <f t="shared" si="51"/>
        <v>-177.3341234</v>
      </c>
      <c r="F91" s="270">
        <f t="shared" si="51"/>
        <v>-19.84749649</v>
      </c>
      <c r="G91" s="270">
        <f t="shared" si="51"/>
        <v>-206.5308994</v>
      </c>
      <c r="H91" s="270">
        <f t="shared" si="51"/>
        <v>-113.3864817</v>
      </c>
      <c r="I91" s="270">
        <f t="shared" si="51"/>
        <v>-270.7515536</v>
      </c>
      <c r="J91" s="270">
        <f t="shared" si="51"/>
        <v>-177.8397921</v>
      </c>
      <c r="K91" s="270">
        <f t="shared" si="51"/>
        <v>-95.3963452</v>
      </c>
      <c r="L91" s="270">
        <f t="shared" si="51"/>
        <v>-156.290526</v>
      </c>
      <c r="M91" s="270">
        <f t="shared" si="51"/>
        <v>-176.8187304</v>
      </c>
      <c r="N91" s="270">
        <f t="shared" si="51"/>
        <v>-48.87482477</v>
      </c>
    </row>
    <row r="92" outlineLevel="1">
      <c r="A92" s="460" t="s">
        <v>375</v>
      </c>
      <c r="B92" s="318">
        <f t="shared" si="49"/>
        <v>0</v>
      </c>
      <c r="C92" s="270">
        <f t="shared" si="50"/>
        <v>0</v>
      </c>
      <c r="D92" s="270">
        <f t="shared" ref="D92:N92" si="52">D31/D11*D76</f>
        <v>0</v>
      </c>
      <c r="E92" s="270">
        <f t="shared" si="52"/>
        <v>0</v>
      </c>
      <c r="F92" s="270">
        <f t="shared" si="52"/>
        <v>0</v>
      </c>
      <c r="G92" s="270">
        <f t="shared" si="52"/>
        <v>0</v>
      </c>
      <c r="H92" s="270">
        <f t="shared" si="52"/>
        <v>0</v>
      </c>
      <c r="I92" s="270">
        <f t="shared" si="52"/>
        <v>0</v>
      </c>
      <c r="J92" s="270">
        <f t="shared" si="52"/>
        <v>0</v>
      </c>
      <c r="K92" s="270">
        <f t="shared" si="52"/>
        <v>0</v>
      </c>
      <c r="L92" s="270">
        <f t="shared" si="52"/>
        <v>0</v>
      </c>
      <c r="M92" s="270">
        <f t="shared" si="52"/>
        <v>0</v>
      </c>
      <c r="N92" s="270">
        <f t="shared" si="52"/>
        <v>0</v>
      </c>
    </row>
    <row r="93" outlineLevel="1">
      <c r="A93" s="625"/>
      <c r="B93" s="318"/>
      <c r="C93" s="270"/>
      <c r="D93" s="270"/>
      <c r="E93" s="270"/>
      <c r="F93" s="270"/>
      <c r="G93" s="270"/>
      <c r="H93" s="270"/>
      <c r="I93" s="270"/>
      <c r="J93" s="270"/>
      <c r="K93" s="270"/>
      <c r="L93" s="270"/>
      <c r="M93" s="270"/>
      <c r="N93" s="270"/>
    </row>
    <row r="94" outlineLevel="1">
      <c r="A94" s="625" t="s">
        <v>369</v>
      </c>
      <c r="B94" s="318"/>
      <c r="C94" s="270"/>
      <c r="D94" s="270"/>
      <c r="E94" s="270"/>
      <c r="F94" s="270"/>
      <c r="G94" s="270"/>
      <c r="H94" s="270"/>
      <c r="I94" s="270"/>
      <c r="J94" s="270"/>
      <c r="K94" s="270"/>
      <c r="L94" s="270"/>
      <c r="M94" s="270"/>
      <c r="N94" s="270"/>
    </row>
    <row r="95" outlineLevel="1">
      <c r="A95" s="460" t="s">
        <v>373</v>
      </c>
      <c r="B95" s="318">
        <f t="shared" ref="B95:B97" si="54">index(A95:ZX95,,match($A$3,$A$1:$ZX$1,0))</f>
        <v>1453.536672</v>
      </c>
      <c r="C95" s="270">
        <f t="shared" ref="C95:C97" si="55">sumif(D95:R95,"&lt;&gt;#DIV/0!")</f>
        <v>1453.536672</v>
      </c>
      <c r="D95" s="270">
        <f t="shared" ref="D95:N95" si="53">D31/D11*D79</f>
        <v>99.07291996</v>
      </c>
      <c r="E95" s="270">
        <f t="shared" si="53"/>
        <v>151.973306</v>
      </c>
      <c r="F95" s="270">
        <f t="shared" si="53"/>
        <v>9.655262208</v>
      </c>
      <c r="G95" s="270">
        <f t="shared" si="53"/>
        <v>214.2257494</v>
      </c>
      <c r="H95" s="270">
        <f t="shared" si="53"/>
        <v>96.78533386</v>
      </c>
      <c r="I95" s="270">
        <f t="shared" si="53"/>
        <v>177.2146948</v>
      </c>
      <c r="J95" s="270">
        <f t="shared" si="53"/>
        <v>194.9384429</v>
      </c>
      <c r="K95" s="270">
        <f t="shared" si="53"/>
        <v>104.5683576</v>
      </c>
      <c r="L95" s="270">
        <f t="shared" si="53"/>
        <v>171.317293</v>
      </c>
      <c r="M95" s="270">
        <f t="shared" si="53"/>
        <v>193.8192097</v>
      </c>
      <c r="N95" s="270">
        <f t="shared" si="53"/>
        <v>39.96610239</v>
      </c>
    </row>
    <row r="96" outlineLevel="1">
      <c r="A96" s="460" t="s">
        <v>374</v>
      </c>
      <c r="B96" s="318">
        <f t="shared" si="54"/>
        <v>0</v>
      </c>
      <c r="C96" s="270">
        <f t="shared" si="55"/>
        <v>0</v>
      </c>
      <c r="D96" s="270">
        <f t="shared" ref="D96:N96" si="56">D31/D11*D80</f>
        <v>0</v>
      </c>
      <c r="E96" s="270">
        <f t="shared" si="56"/>
        <v>0</v>
      </c>
      <c r="F96" s="270">
        <f t="shared" si="56"/>
        <v>0</v>
      </c>
      <c r="G96" s="270">
        <f t="shared" si="56"/>
        <v>0</v>
      </c>
      <c r="H96" s="270">
        <f t="shared" si="56"/>
        <v>0</v>
      </c>
      <c r="I96" s="270">
        <f t="shared" si="56"/>
        <v>0</v>
      </c>
      <c r="J96" s="270">
        <f t="shared" si="56"/>
        <v>0</v>
      </c>
      <c r="K96" s="270">
        <f t="shared" si="56"/>
        <v>0</v>
      </c>
      <c r="L96" s="270">
        <f t="shared" si="56"/>
        <v>0</v>
      </c>
      <c r="M96" s="270">
        <f t="shared" si="56"/>
        <v>0</v>
      </c>
      <c r="N96" s="270">
        <f t="shared" si="56"/>
        <v>0</v>
      </c>
    </row>
    <row r="97" outlineLevel="1">
      <c r="A97" s="460" t="s">
        <v>375</v>
      </c>
      <c r="B97" s="318">
        <f t="shared" si="54"/>
        <v>1752.665417</v>
      </c>
      <c r="C97" s="270">
        <f t="shared" si="55"/>
        <v>1752.665417</v>
      </c>
      <c r="D97" s="270">
        <f t="shared" ref="D97:N97" si="57">D31/D11*D81</f>
        <v>35.32076917</v>
      </c>
      <c r="E97" s="270">
        <f t="shared" si="57"/>
        <v>177.2702572</v>
      </c>
      <c r="F97" s="270">
        <f t="shared" si="57"/>
        <v>2.681448664</v>
      </c>
      <c r="G97" s="270">
        <f t="shared" si="57"/>
        <v>293.3291825</v>
      </c>
      <c r="H97" s="270">
        <f t="shared" si="57"/>
        <v>112.445964</v>
      </c>
      <c r="I97" s="270">
        <f t="shared" si="57"/>
        <v>142.7494009</v>
      </c>
      <c r="J97" s="270">
        <f t="shared" si="57"/>
        <v>277.0165745</v>
      </c>
      <c r="K97" s="270">
        <f t="shared" si="57"/>
        <v>148.5964893</v>
      </c>
      <c r="L97" s="270">
        <f t="shared" si="57"/>
        <v>243.4498242</v>
      </c>
      <c r="M97" s="270">
        <f t="shared" si="57"/>
        <v>275.4260922</v>
      </c>
      <c r="N97" s="270">
        <f t="shared" si="57"/>
        <v>44.37941415</v>
      </c>
    </row>
    <row r="98" outlineLevel="1">
      <c r="A98" s="625"/>
      <c r="B98" s="318"/>
      <c r="C98" s="270"/>
      <c r="D98" s="270"/>
      <c r="E98" s="270"/>
      <c r="F98" s="270"/>
      <c r="G98" s="270"/>
      <c r="H98" s="270"/>
      <c r="I98" s="270"/>
      <c r="J98" s="270"/>
      <c r="K98" s="270"/>
      <c r="L98" s="270"/>
      <c r="M98" s="270"/>
      <c r="N98" s="270"/>
    </row>
    <row r="99" outlineLevel="1">
      <c r="A99" s="625" t="s">
        <v>370</v>
      </c>
      <c r="B99" s="318"/>
      <c r="C99" s="270"/>
      <c r="D99" s="270"/>
      <c r="E99" s="270"/>
      <c r="F99" s="270"/>
      <c r="G99" s="270"/>
      <c r="H99" s="270"/>
      <c r="I99" s="270"/>
      <c r="J99" s="270"/>
      <c r="K99" s="270"/>
      <c r="L99" s="270"/>
      <c r="M99" s="270"/>
      <c r="N99" s="270"/>
    </row>
    <row r="100" outlineLevel="1">
      <c r="A100" s="460" t="s">
        <v>373</v>
      </c>
      <c r="B100" s="318">
        <f t="shared" ref="B100:B102" si="59">index(A100:ZX100,,match($A$3,$A$1:$ZX$1,0))</f>
        <v>1453.536672</v>
      </c>
      <c r="C100" s="270">
        <f t="shared" ref="C100:C102" si="60">sumif(D100:R100,"&lt;&gt;#DIV/0!")</f>
        <v>1453.536672</v>
      </c>
      <c r="D100" s="270">
        <f t="shared" ref="D100:N100" si="58">(D31/D11)*D84</f>
        <v>99.07291996</v>
      </c>
      <c r="E100" s="270">
        <f t="shared" si="58"/>
        <v>151.973306</v>
      </c>
      <c r="F100" s="270">
        <f t="shared" si="58"/>
        <v>9.655262208</v>
      </c>
      <c r="G100" s="270">
        <f t="shared" si="58"/>
        <v>214.2257494</v>
      </c>
      <c r="H100" s="270">
        <f t="shared" si="58"/>
        <v>96.78533386</v>
      </c>
      <c r="I100" s="270">
        <f t="shared" si="58"/>
        <v>177.2146948</v>
      </c>
      <c r="J100" s="270">
        <f t="shared" si="58"/>
        <v>194.9384429</v>
      </c>
      <c r="K100" s="270">
        <f t="shared" si="58"/>
        <v>104.5683576</v>
      </c>
      <c r="L100" s="270">
        <f t="shared" si="58"/>
        <v>171.317293</v>
      </c>
      <c r="M100" s="270">
        <f t="shared" si="58"/>
        <v>193.8192097</v>
      </c>
      <c r="N100" s="270">
        <f t="shared" si="58"/>
        <v>39.96610239</v>
      </c>
    </row>
    <row r="101" outlineLevel="1">
      <c r="A101" s="460" t="s">
        <v>374</v>
      </c>
      <c r="B101" s="318">
        <f t="shared" si="59"/>
        <v>0</v>
      </c>
      <c r="C101" s="270">
        <f t="shared" si="60"/>
        <v>0</v>
      </c>
      <c r="D101" s="270">
        <f t="shared" ref="D101:N101" si="61">D31/D11*D85</f>
        <v>0</v>
      </c>
      <c r="E101" s="270">
        <f t="shared" si="61"/>
        <v>0</v>
      </c>
      <c r="F101" s="270">
        <f t="shared" si="61"/>
        <v>0</v>
      </c>
      <c r="G101" s="270">
        <f t="shared" si="61"/>
        <v>0</v>
      </c>
      <c r="H101" s="270">
        <f t="shared" si="61"/>
        <v>0</v>
      </c>
      <c r="I101" s="270">
        <f t="shared" si="61"/>
        <v>0</v>
      </c>
      <c r="J101" s="270">
        <f t="shared" si="61"/>
        <v>0</v>
      </c>
      <c r="K101" s="270">
        <f t="shared" si="61"/>
        <v>0</v>
      </c>
      <c r="L101" s="270">
        <f t="shared" si="61"/>
        <v>0</v>
      </c>
      <c r="M101" s="270">
        <f t="shared" si="61"/>
        <v>0</v>
      </c>
      <c r="N101" s="270">
        <f t="shared" si="61"/>
        <v>0</v>
      </c>
    </row>
    <row r="102" outlineLevel="1">
      <c r="A102" s="460" t="s">
        <v>375</v>
      </c>
      <c r="B102" s="318">
        <f t="shared" si="59"/>
        <v>1752.665417</v>
      </c>
      <c r="C102" s="270">
        <f t="shared" si="60"/>
        <v>1752.665417</v>
      </c>
      <c r="D102" s="270">
        <f t="shared" ref="D102:N102" si="62">D31/D11*D86</f>
        <v>35.32076917</v>
      </c>
      <c r="E102" s="270">
        <f t="shared" si="62"/>
        <v>177.2702572</v>
      </c>
      <c r="F102" s="270">
        <f t="shared" si="62"/>
        <v>2.681448664</v>
      </c>
      <c r="G102" s="270">
        <f t="shared" si="62"/>
        <v>293.3291825</v>
      </c>
      <c r="H102" s="270">
        <f t="shared" si="62"/>
        <v>112.445964</v>
      </c>
      <c r="I102" s="270">
        <f t="shared" si="62"/>
        <v>142.7494009</v>
      </c>
      <c r="J102" s="270">
        <f t="shared" si="62"/>
        <v>277.0165745</v>
      </c>
      <c r="K102" s="270">
        <f t="shared" si="62"/>
        <v>148.5964893</v>
      </c>
      <c r="L102" s="270">
        <f t="shared" si="62"/>
        <v>243.4498242</v>
      </c>
      <c r="M102" s="270">
        <f t="shared" si="62"/>
        <v>275.4260922</v>
      </c>
      <c r="N102" s="270">
        <f t="shared" si="62"/>
        <v>44.37941415</v>
      </c>
    </row>
    <row r="103" outlineLevel="1">
      <c r="A103" s="628"/>
      <c r="B103" s="618"/>
      <c r="C103" s="453"/>
      <c r="D103" s="453"/>
      <c r="E103" s="453"/>
      <c r="F103" s="453"/>
      <c r="G103" s="453"/>
      <c r="H103" s="453"/>
      <c r="I103" s="453"/>
      <c r="J103" s="453"/>
      <c r="K103" s="453"/>
      <c r="L103" s="453"/>
      <c r="M103" s="453"/>
      <c r="N103" s="453"/>
    </row>
    <row r="104" outlineLevel="1">
      <c r="A104" s="628"/>
      <c r="B104" s="618"/>
      <c r="C104" s="453"/>
      <c r="D104" s="453"/>
      <c r="E104" s="453"/>
      <c r="F104" s="453"/>
      <c r="G104" s="453"/>
      <c r="H104" s="453"/>
      <c r="I104" s="453"/>
      <c r="J104" s="453"/>
      <c r="K104" s="453"/>
      <c r="L104" s="453"/>
      <c r="M104" s="453"/>
      <c r="N104" s="453"/>
    </row>
    <row r="105" outlineLevel="1">
      <c r="A105" s="525" t="s">
        <v>377</v>
      </c>
      <c r="B105" s="618"/>
      <c r="C105" s="453"/>
      <c r="D105" s="453"/>
      <c r="E105" s="453"/>
      <c r="F105" s="453"/>
      <c r="G105" s="453"/>
      <c r="H105" s="453"/>
      <c r="I105" s="453"/>
      <c r="J105" s="453"/>
      <c r="K105" s="453"/>
      <c r="L105" s="453"/>
      <c r="M105" s="453"/>
      <c r="N105" s="453"/>
    </row>
    <row r="106" outlineLevel="1">
      <c r="A106" s="460" t="s">
        <v>368</v>
      </c>
      <c r="B106" s="318"/>
      <c r="C106" s="270"/>
      <c r="D106" s="270"/>
      <c r="E106" s="270"/>
      <c r="F106" s="270"/>
      <c r="G106" s="270"/>
      <c r="H106" s="270"/>
      <c r="I106" s="270"/>
      <c r="J106" s="270"/>
      <c r="K106" s="270"/>
      <c r="L106" s="270"/>
      <c r="M106" s="270"/>
      <c r="N106" s="270"/>
    </row>
    <row r="107" outlineLevel="1">
      <c r="A107" s="460" t="s">
        <v>373</v>
      </c>
      <c r="B107" s="318">
        <f t="shared" ref="B107:B109" si="64">index(A107:ZX107,,match($A$3,$A$1:$ZX$1,0))</f>
        <v>0</v>
      </c>
      <c r="C107" s="270">
        <f t="shared" ref="C107:C109" si="65">sumif(D107:R107,"&lt;&gt;#DIV/0!")</f>
        <v>0</v>
      </c>
      <c r="D107" s="270">
        <f t="shared" ref="D107:N107" si="63">-D74*D58/100000</f>
        <v>0</v>
      </c>
      <c r="E107" s="270">
        <f t="shared" si="63"/>
        <v>0</v>
      </c>
      <c r="F107" s="270">
        <f t="shared" si="63"/>
        <v>0</v>
      </c>
      <c r="G107" s="270">
        <f t="shared" si="63"/>
        <v>0</v>
      </c>
      <c r="H107" s="270">
        <f t="shared" si="63"/>
        <v>0</v>
      </c>
      <c r="I107" s="270">
        <f t="shared" si="63"/>
        <v>0</v>
      </c>
      <c r="J107" s="270">
        <f t="shared" si="63"/>
        <v>0</v>
      </c>
      <c r="K107" s="270">
        <f t="shared" si="63"/>
        <v>0</v>
      </c>
      <c r="L107" s="270">
        <f t="shared" si="63"/>
        <v>0</v>
      </c>
      <c r="M107" s="270">
        <f t="shared" si="63"/>
        <v>0</v>
      </c>
      <c r="N107" s="270">
        <f t="shared" si="63"/>
        <v>0</v>
      </c>
    </row>
    <row r="108" outlineLevel="1">
      <c r="A108" s="460" t="s">
        <v>374</v>
      </c>
      <c r="B108" s="318">
        <f t="shared" si="64"/>
        <v>357.7681507</v>
      </c>
      <c r="C108" s="270">
        <f t="shared" si="65"/>
        <v>357.7681507</v>
      </c>
      <c r="D108" s="270">
        <f t="shared" ref="D108:N108" si="66">-D75*D59/100000</f>
        <v>86.51218248</v>
      </c>
      <c r="E108" s="270">
        <f t="shared" si="66"/>
        <v>9.28668229</v>
      </c>
      <c r="F108" s="270">
        <f t="shared" si="66"/>
        <v>40.49220263</v>
      </c>
      <c r="G108" s="270">
        <f t="shared" si="66"/>
        <v>17.29323719</v>
      </c>
      <c r="H108" s="270">
        <f t="shared" si="66"/>
        <v>25.15093572</v>
      </c>
      <c r="I108" s="270">
        <f t="shared" si="66"/>
        <v>77.64785121</v>
      </c>
      <c r="J108" s="270">
        <f t="shared" si="66"/>
        <v>26.43274608</v>
      </c>
      <c r="K108" s="270">
        <f t="shared" si="66"/>
        <v>17.01477946</v>
      </c>
      <c r="L108" s="270">
        <f t="shared" si="66"/>
        <v>17.06681243</v>
      </c>
      <c r="M108" s="270">
        <f t="shared" si="66"/>
        <v>28.67016356</v>
      </c>
      <c r="N108" s="270">
        <f t="shared" si="66"/>
        <v>12.20055764</v>
      </c>
    </row>
    <row r="109" outlineLevel="1">
      <c r="A109" s="460" t="s">
        <v>375</v>
      </c>
      <c r="B109" s="318">
        <f t="shared" si="64"/>
        <v>0</v>
      </c>
      <c r="C109" s="270">
        <f t="shared" si="65"/>
        <v>0</v>
      </c>
      <c r="D109" s="270">
        <f t="shared" ref="D109:N109" si="67">-D76*D60/100000</f>
        <v>0</v>
      </c>
      <c r="E109" s="270">
        <f t="shared" si="67"/>
        <v>0</v>
      </c>
      <c r="F109" s="270">
        <f t="shared" si="67"/>
        <v>0</v>
      </c>
      <c r="G109" s="270">
        <f t="shared" si="67"/>
        <v>0</v>
      </c>
      <c r="H109" s="270">
        <f t="shared" si="67"/>
        <v>0</v>
      </c>
      <c r="I109" s="270">
        <f t="shared" si="67"/>
        <v>0</v>
      </c>
      <c r="J109" s="270">
        <f t="shared" si="67"/>
        <v>0</v>
      </c>
      <c r="K109" s="270">
        <f t="shared" si="67"/>
        <v>0</v>
      </c>
      <c r="L109" s="270">
        <f t="shared" si="67"/>
        <v>0</v>
      </c>
      <c r="M109" s="270">
        <f t="shared" si="67"/>
        <v>0</v>
      </c>
      <c r="N109" s="270">
        <f t="shared" si="67"/>
        <v>0</v>
      </c>
    </row>
    <row r="110" outlineLevel="1">
      <c r="A110" s="460"/>
      <c r="B110" s="318"/>
      <c r="C110" s="270"/>
      <c r="D110" s="270"/>
      <c r="E110" s="270"/>
      <c r="F110" s="270"/>
      <c r="G110" s="270"/>
      <c r="H110" s="270"/>
      <c r="I110" s="270"/>
      <c r="J110" s="270"/>
      <c r="K110" s="270"/>
      <c r="L110" s="270"/>
      <c r="M110" s="270"/>
      <c r="N110" s="270"/>
    </row>
    <row r="111" outlineLevel="1">
      <c r="A111" s="625" t="s">
        <v>369</v>
      </c>
      <c r="B111" s="318"/>
      <c r="C111" s="270"/>
      <c r="D111" s="270"/>
      <c r="E111" s="270"/>
      <c r="F111" s="270"/>
      <c r="G111" s="270"/>
      <c r="H111" s="270"/>
      <c r="I111" s="270"/>
      <c r="J111" s="270"/>
      <c r="K111" s="270"/>
      <c r="L111" s="270"/>
      <c r="M111" s="270"/>
      <c r="N111" s="270"/>
    </row>
    <row r="112" outlineLevel="1">
      <c r="A112" s="460" t="s">
        <v>373</v>
      </c>
      <c r="B112" s="318">
        <f t="shared" ref="B112:B115" si="69">index(A112:ZX112,,match($A$3,$A$1:$ZX$1,0))</f>
        <v>-269.3850092</v>
      </c>
      <c r="C112" s="270">
        <f t="shared" ref="C112:C114" si="70">sumif(D112:R112,"&lt;&gt;#DIV/0!")</f>
        <v>-269.3850092</v>
      </c>
      <c r="D112" s="270">
        <f t="shared" ref="D112:N112" si="68">-D79*D58/100000</f>
        <v>-43.7632973</v>
      </c>
      <c r="E112" s="270">
        <f t="shared" si="68"/>
        <v>-7.958580007</v>
      </c>
      <c r="F112" s="270">
        <f t="shared" si="68"/>
        <v>-19.69834503</v>
      </c>
      <c r="G112" s="270">
        <f t="shared" si="68"/>
        <v>-17.93754207</v>
      </c>
      <c r="H112" s="270">
        <f t="shared" si="68"/>
        <v>-21.46853554</v>
      </c>
      <c r="I112" s="270">
        <f t="shared" si="68"/>
        <v>-50.82275639</v>
      </c>
      <c r="J112" s="270">
        <f t="shared" si="68"/>
        <v>-28.9741587</v>
      </c>
      <c r="K112" s="270">
        <f t="shared" si="68"/>
        <v>-18.65068877</v>
      </c>
      <c r="L112" s="270">
        <f t="shared" si="68"/>
        <v>-18.70772451</v>
      </c>
      <c r="M112" s="270">
        <f t="shared" si="68"/>
        <v>-31.42669575</v>
      </c>
      <c r="N112" s="270">
        <f t="shared" si="68"/>
        <v>-9.976685099</v>
      </c>
    </row>
    <row r="113" outlineLevel="1">
      <c r="A113" s="460" t="s">
        <v>374</v>
      </c>
      <c r="B113" s="318">
        <f t="shared" si="69"/>
        <v>0</v>
      </c>
      <c r="C113" s="270">
        <f t="shared" si="70"/>
        <v>0</v>
      </c>
      <c r="D113" s="270">
        <f t="shared" ref="D113:N113" si="71">-D80*D59/100000</f>
        <v>0</v>
      </c>
      <c r="E113" s="270">
        <f t="shared" si="71"/>
        <v>0</v>
      </c>
      <c r="F113" s="270">
        <f t="shared" si="71"/>
        <v>0</v>
      </c>
      <c r="G113" s="270">
        <f t="shared" si="71"/>
        <v>0</v>
      </c>
      <c r="H113" s="270">
        <f t="shared" si="71"/>
        <v>0</v>
      </c>
      <c r="I113" s="270">
        <f t="shared" si="71"/>
        <v>0</v>
      </c>
      <c r="J113" s="270">
        <f t="shared" si="71"/>
        <v>0</v>
      </c>
      <c r="K113" s="270">
        <f t="shared" si="71"/>
        <v>0</v>
      </c>
      <c r="L113" s="270">
        <f t="shared" si="71"/>
        <v>0</v>
      </c>
      <c r="M113" s="270">
        <f t="shared" si="71"/>
        <v>0</v>
      </c>
      <c r="N113" s="270">
        <f t="shared" si="71"/>
        <v>0</v>
      </c>
    </row>
    <row r="114" outlineLevel="1">
      <c r="A114" s="460" t="s">
        <v>375</v>
      </c>
      <c r="B114" s="318">
        <f t="shared" si="69"/>
        <v>-499.1136238</v>
      </c>
      <c r="C114" s="270">
        <f t="shared" si="70"/>
        <v>-499.1136238</v>
      </c>
      <c r="D114" s="270">
        <f t="shared" ref="D114:N114" si="72">-D81*D60/100000</f>
        <v>-28.75682991</v>
      </c>
      <c r="E114" s="270">
        <f t="shared" si="72"/>
        <v>-17.11039098</v>
      </c>
      <c r="F114" s="270">
        <f t="shared" si="72"/>
        <v>-10.08302718</v>
      </c>
      <c r="G114" s="270">
        <f t="shared" si="72"/>
        <v>-45.2691476</v>
      </c>
      <c r="H114" s="270">
        <f t="shared" si="72"/>
        <v>-45.97190738</v>
      </c>
      <c r="I114" s="270">
        <f t="shared" si="72"/>
        <v>-75.45509351</v>
      </c>
      <c r="J114" s="270">
        <f t="shared" si="72"/>
        <v>-75.8883097</v>
      </c>
      <c r="K114" s="270">
        <f t="shared" si="72"/>
        <v>-48.84936471</v>
      </c>
      <c r="L114" s="270">
        <f t="shared" si="72"/>
        <v>-48.99875115</v>
      </c>
      <c r="M114" s="270">
        <f t="shared" si="72"/>
        <v>-82.31192647</v>
      </c>
      <c r="N114" s="270">
        <f t="shared" si="72"/>
        <v>-20.41887525</v>
      </c>
    </row>
    <row r="115" outlineLevel="1">
      <c r="A115" s="625"/>
      <c r="B115" s="318" t="str">
        <f t="shared" si="69"/>
        <v/>
      </c>
      <c r="C115" s="270"/>
      <c r="D115" s="270"/>
      <c r="E115" s="270"/>
      <c r="F115" s="270"/>
      <c r="G115" s="270"/>
      <c r="H115" s="270"/>
      <c r="I115" s="270"/>
      <c r="J115" s="270"/>
      <c r="K115" s="270"/>
      <c r="L115" s="270"/>
      <c r="M115" s="270"/>
      <c r="N115" s="270"/>
    </row>
    <row r="116" outlineLevel="1">
      <c r="A116" s="625" t="s">
        <v>370</v>
      </c>
      <c r="B116" s="318"/>
      <c r="C116" s="270"/>
      <c r="D116" s="270"/>
      <c r="E116" s="270"/>
      <c r="F116" s="270"/>
      <c r="G116" s="270"/>
      <c r="H116" s="270"/>
      <c r="I116" s="270"/>
      <c r="J116" s="270"/>
      <c r="K116" s="270"/>
      <c r="L116" s="270"/>
      <c r="M116" s="270"/>
      <c r="N116" s="270"/>
    </row>
    <row r="117" outlineLevel="1">
      <c r="A117" s="460" t="s">
        <v>373</v>
      </c>
      <c r="B117" s="318">
        <f t="shared" ref="B117:B119" si="74">index(A117:ZX117,,match($A$3,$A$1:$ZX$1,0))</f>
        <v>-269.3850092</v>
      </c>
      <c r="C117" s="270">
        <f t="shared" ref="C117:C119" si="75">sumif(D117:R117,"&lt;&gt;#DIV/0!")</f>
        <v>-269.3850092</v>
      </c>
      <c r="D117" s="270">
        <f t="shared" ref="D117:N117" si="73">-D84*D58/100000</f>
        <v>-43.7632973</v>
      </c>
      <c r="E117" s="270">
        <f t="shared" si="73"/>
        <v>-7.958580007</v>
      </c>
      <c r="F117" s="270">
        <f t="shared" si="73"/>
        <v>-19.69834503</v>
      </c>
      <c r="G117" s="270">
        <f t="shared" si="73"/>
        <v>-17.93754207</v>
      </c>
      <c r="H117" s="270">
        <f t="shared" si="73"/>
        <v>-21.46853554</v>
      </c>
      <c r="I117" s="270">
        <f t="shared" si="73"/>
        <v>-50.82275639</v>
      </c>
      <c r="J117" s="270">
        <f t="shared" si="73"/>
        <v>-28.9741587</v>
      </c>
      <c r="K117" s="270">
        <f t="shared" si="73"/>
        <v>-18.65068877</v>
      </c>
      <c r="L117" s="270">
        <f t="shared" si="73"/>
        <v>-18.70772451</v>
      </c>
      <c r="M117" s="270">
        <f t="shared" si="73"/>
        <v>-31.42669575</v>
      </c>
      <c r="N117" s="270">
        <f t="shared" si="73"/>
        <v>-9.976685099</v>
      </c>
    </row>
    <row r="118" outlineLevel="1">
      <c r="A118" s="460" t="s">
        <v>374</v>
      </c>
      <c r="B118" s="318">
        <f t="shared" si="74"/>
        <v>0</v>
      </c>
      <c r="C118" s="270">
        <f t="shared" si="75"/>
        <v>0</v>
      </c>
      <c r="D118" s="270">
        <f t="shared" ref="D118:N118" si="76">-D85*D59/100000</f>
        <v>0</v>
      </c>
      <c r="E118" s="270">
        <f t="shared" si="76"/>
        <v>0</v>
      </c>
      <c r="F118" s="270">
        <f t="shared" si="76"/>
        <v>0</v>
      </c>
      <c r="G118" s="270">
        <f t="shared" si="76"/>
        <v>0</v>
      </c>
      <c r="H118" s="270">
        <f t="shared" si="76"/>
        <v>0</v>
      </c>
      <c r="I118" s="270">
        <f t="shared" si="76"/>
        <v>0</v>
      </c>
      <c r="J118" s="270">
        <f t="shared" si="76"/>
        <v>0</v>
      </c>
      <c r="K118" s="270">
        <f t="shared" si="76"/>
        <v>0</v>
      </c>
      <c r="L118" s="270">
        <f t="shared" si="76"/>
        <v>0</v>
      </c>
      <c r="M118" s="270">
        <f t="shared" si="76"/>
        <v>0</v>
      </c>
      <c r="N118" s="270">
        <f t="shared" si="76"/>
        <v>0</v>
      </c>
    </row>
    <row r="119" outlineLevel="1">
      <c r="A119" s="460" t="s">
        <v>375</v>
      </c>
      <c r="B119" s="318">
        <f t="shared" si="74"/>
        <v>-499.1136238</v>
      </c>
      <c r="C119" s="270">
        <f t="shared" si="75"/>
        <v>-499.1136238</v>
      </c>
      <c r="D119" s="270">
        <f t="shared" ref="D119:N119" si="77">-D86*D60/100000</f>
        <v>-28.75682991</v>
      </c>
      <c r="E119" s="270">
        <f t="shared" si="77"/>
        <v>-17.11039098</v>
      </c>
      <c r="F119" s="270">
        <f t="shared" si="77"/>
        <v>-10.08302718</v>
      </c>
      <c r="G119" s="270">
        <f t="shared" si="77"/>
        <v>-45.2691476</v>
      </c>
      <c r="H119" s="270">
        <f t="shared" si="77"/>
        <v>-45.97190738</v>
      </c>
      <c r="I119" s="270">
        <f t="shared" si="77"/>
        <v>-75.45509351</v>
      </c>
      <c r="J119" s="270">
        <f t="shared" si="77"/>
        <v>-75.8883097</v>
      </c>
      <c r="K119" s="270">
        <f t="shared" si="77"/>
        <v>-48.84936471</v>
      </c>
      <c r="L119" s="270">
        <f t="shared" si="77"/>
        <v>-48.99875115</v>
      </c>
      <c r="M119" s="270">
        <f t="shared" si="77"/>
        <v>-82.31192647</v>
      </c>
      <c r="N119" s="270">
        <f t="shared" si="77"/>
        <v>-20.41887525</v>
      </c>
    </row>
    <row r="120" outlineLevel="1">
      <c r="A120" s="625"/>
      <c r="B120" s="318"/>
      <c r="C120" s="270"/>
      <c r="D120" s="270"/>
      <c r="E120" s="270"/>
      <c r="F120" s="270"/>
      <c r="G120" s="270"/>
      <c r="H120" s="270"/>
      <c r="I120" s="270"/>
      <c r="J120" s="270"/>
      <c r="K120" s="270"/>
      <c r="L120" s="270"/>
      <c r="M120" s="270"/>
      <c r="N120" s="270"/>
    </row>
    <row r="121" outlineLevel="1">
      <c r="A121" s="460"/>
      <c r="B121" s="618"/>
      <c r="C121" s="453"/>
      <c r="D121" s="165"/>
      <c r="E121" s="165"/>
      <c r="F121" s="165"/>
      <c r="G121" s="165"/>
      <c r="H121" s="165"/>
      <c r="I121" s="165"/>
      <c r="J121" s="165"/>
      <c r="K121" s="165"/>
      <c r="L121" s="165"/>
      <c r="M121" s="165"/>
      <c r="N121" s="165"/>
    </row>
    <row r="122" outlineLevel="1">
      <c r="A122" s="528" t="s">
        <v>378</v>
      </c>
      <c r="B122" s="618"/>
      <c r="C122" s="453"/>
      <c r="D122" s="453"/>
      <c r="E122" s="453"/>
      <c r="F122" s="453"/>
      <c r="G122" s="453"/>
      <c r="H122" s="453"/>
      <c r="I122" s="453"/>
      <c r="J122" s="453"/>
      <c r="K122" s="453"/>
      <c r="L122" s="453"/>
      <c r="M122" s="453"/>
      <c r="N122" s="453"/>
    </row>
    <row r="123" outlineLevel="1">
      <c r="A123" s="460" t="s">
        <v>368</v>
      </c>
      <c r="B123" s="318">
        <f t="shared" ref="B123:B125" si="79">index(A123:ZX123,,match($A$3,$A$1:$ZX$1,0))</f>
        <v>-1281.152</v>
      </c>
      <c r="C123" s="270">
        <f t="shared" ref="C123:C125" si="80">sumif(D123:R123,"&lt;&gt;#DIV/0!")</f>
        <v>-1281.152</v>
      </c>
      <c r="D123" s="270">
        <f t="shared" ref="D123:N123" si="78">sum(D107:D109)+sum(D90:D92)</f>
        <v>-109.3371949</v>
      </c>
      <c r="E123" s="270">
        <f t="shared" si="78"/>
        <v>-168.0474412</v>
      </c>
      <c r="F123" s="270">
        <f t="shared" si="78"/>
        <v>20.64470614</v>
      </c>
      <c r="G123" s="270">
        <f t="shared" si="78"/>
        <v>-189.2376622</v>
      </c>
      <c r="H123" s="270">
        <f t="shared" si="78"/>
        <v>-88.23554593</v>
      </c>
      <c r="I123" s="270">
        <f t="shared" si="78"/>
        <v>-193.1037024</v>
      </c>
      <c r="J123" s="270">
        <f t="shared" si="78"/>
        <v>-151.4070461</v>
      </c>
      <c r="K123" s="270">
        <f t="shared" si="78"/>
        <v>-78.38156574</v>
      </c>
      <c r="L123" s="270">
        <f t="shared" si="78"/>
        <v>-139.2237136</v>
      </c>
      <c r="M123" s="270">
        <f t="shared" si="78"/>
        <v>-148.1485668</v>
      </c>
      <c r="N123" s="270">
        <f t="shared" si="78"/>
        <v>-36.67426713</v>
      </c>
    </row>
    <row r="124" outlineLevel="1">
      <c r="A124" s="625" t="s">
        <v>369</v>
      </c>
      <c r="B124" s="318">
        <f t="shared" si="79"/>
        <v>2437.703456</v>
      </c>
      <c r="C124" s="270">
        <f t="shared" si="80"/>
        <v>2437.703456</v>
      </c>
      <c r="D124" s="270">
        <f t="shared" ref="D124:N124" si="81">sum(D112:D114)+sum(D95:D97)</f>
        <v>61.87356192</v>
      </c>
      <c r="E124" s="270">
        <f t="shared" si="81"/>
        <v>304.1745923</v>
      </c>
      <c r="F124" s="270">
        <f t="shared" si="81"/>
        <v>-17.44466133</v>
      </c>
      <c r="G124" s="270">
        <f t="shared" si="81"/>
        <v>444.3482423</v>
      </c>
      <c r="H124" s="270">
        <f t="shared" si="81"/>
        <v>141.790855</v>
      </c>
      <c r="I124" s="270">
        <f t="shared" si="81"/>
        <v>193.6862457</v>
      </c>
      <c r="J124" s="270">
        <f t="shared" si="81"/>
        <v>367.092549</v>
      </c>
      <c r="K124" s="270">
        <f t="shared" si="81"/>
        <v>185.6647934</v>
      </c>
      <c r="L124" s="270">
        <f t="shared" si="81"/>
        <v>347.0606415</v>
      </c>
      <c r="M124" s="270">
        <f t="shared" si="81"/>
        <v>355.5066797</v>
      </c>
      <c r="N124" s="270">
        <f t="shared" si="81"/>
        <v>53.9499562</v>
      </c>
    </row>
    <row r="125" outlineLevel="1">
      <c r="A125" s="625" t="s">
        <v>370</v>
      </c>
      <c r="B125" s="318">
        <f t="shared" si="79"/>
        <v>2437.703456</v>
      </c>
      <c r="C125" s="270">
        <f t="shared" si="80"/>
        <v>2437.703456</v>
      </c>
      <c r="D125" s="270">
        <f t="shared" ref="D125:N125" si="82">sum(D117:D119)+sum(D100:D102)</f>
        <v>61.87356192</v>
      </c>
      <c r="E125" s="270">
        <f t="shared" si="82"/>
        <v>304.1745923</v>
      </c>
      <c r="F125" s="270">
        <f t="shared" si="82"/>
        <v>-17.44466133</v>
      </c>
      <c r="G125" s="270">
        <f t="shared" si="82"/>
        <v>444.3482423</v>
      </c>
      <c r="H125" s="270">
        <f t="shared" si="82"/>
        <v>141.790855</v>
      </c>
      <c r="I125" s="270">
        <f t="shared" si="82"/>
        <v>193.6862457</v>
      </c>
      <c r="J125" s="270">
        <f t="shared" si="82"/>
        <v>367.092549</v>
      </c>
      <c r="K125" s="270">
        <f t="shared" si="82"/>
        <v>185.6647934</v>
      </c>
      <c r="L125" s="270">
        <f t="shared" si="82"/>
        <v>347.0606415</v>
      </c>
      <c r="M125" s="270">
        <f t="shared" si="82"/>
        <v>355.5066797</v>
      </c>
      <c r="N125" s="270">
        <f t="shared" si="82"/>
        <v>53.9499562</v>
      </c>
    </row>
    <row r="126" outlineLevel="1">
      <c r="A126" s="460"/>
      <c r="B126" s="618"/>
      <c r="C126" s="453"/>
      <c r="D126" s="429"/>
      <c r="E126" s="429"/>
      <c r="F126" s="429"/>
      <c r="G126" s="429"/>
      <c r="H126" s="429"/>
      <c r="I126" s="429"/>
      <c r="J126" s="429"/>
      <c r="K126" s="429"/>
      <c r="L126" s="429"/>
      <c r="M126" s="429"/>
      <c r="N126" s="429"/>
    </row>
    <row r="127" outlineLevel="1">
      <c r="A127" s="528" t="s">
        <v>379</v>
      </c>
      <c r="B127" s="618"/>
      <c r="C127" s="453"/>
      <c r="D127" s="453"/>
      <c r="E127" s="453"/>
      <c r="F127" s="453"/>
      <c r="G127" s="453"/>
      <c r="H127" s="453"/>
      <c r="I127" s="453"/>
      <c r="J127" s="453"/>
      <c r="K127" s="453"/>
      <c r="L127" s="453"/>
      <c r="M127" s="453"/>
      <c r="N127" s="453"/>
    </row>
    <row r="128" outlineLevel="1">
      <c r="A128" s="460" t="s">
        <v>368</v>
      </c>
      <c r="B128" s="318">
        <f t="shared" ref="B128:B130" si="84">index(A128:ZX128,,match($A$3,$A$1:$ZX$1,0))</f>
        <v>357.7681507</v>
      </c>
      <c r="C128" s="270">
        <f t="shared" ref="C128:C130" si="85">sumif(D128:R128,"&lt;&gt;#DIV/0!")</f>
        <v>357.7681507</v>
      </c>
      <c r="D128" s="270">
        <f t="shared" ref="D128:N128" si="83">D31+D123</f>
        <v>86.51218248</v>
      </c>
      <c r="E128" s="270">
        <f t="shared" si="83"/>
        <v>9.28668229</v>
      </c>
      <c r="F128" s="270">
        <f t="shared" si="83"/>
        <v>40.49220263</v>
      </c>
      <c r="G128" s="270">
        <f t="shared" si="83"/>
        <v>17.29323719</v>
      </c>
      <c r="H128" s="270">
        <f t="shared" si="83"/>
        <v>25.15093572</v>
      </c>
      <c r="I128" s="270">
        <f t="shared" si="83"/>
        <v>77.64785121</v>
      </c>
      <c r="J128" s="270">
        <f t="shared" si="83"/>
        <v>26.43274608</v>
      </c>
      <c r="K128" s="270">
        <f t="shared" si="83"/>
        <v>17.01477946</v>
      </c>
      <c r="L128" s="270">
        <f t="shared" si="83"/>
        <v>17.06681243</v>
      </c>
      <c r="M128" s="270">
        <f t="shared" si="83"/>
        <v>28.67016356</v>
      </c>
      <c r="N128" s="270">
        <f t="shared" si="83"/>
        <v>12.20055764</v>
      </c>
    </row>
    <row r="129" outlineLevel="1">
      <c r="A129" s="625" t="s">
        <v>369</v>
      </c>
      <c r="B129" s="318">
        <f t="shared" si="84"/>
        <v>4076.623606</v>
      </c>
      <c r="C129" s="270">
        <f t="shared" si="85"/>
        <v>4076.623606</v>
      </c>
      <c r="D129" s="270">
        <f t="shared" ref="D129:N129" si="86">D31+D124</f>
        <v>257.7229393</v>
      </c>
      <c r="E129" s="270">
        <f t="shared" si="86"/>
        <v>481.5087157</v>
      </c>
      <c r="F129" s="270">
        <f t="shared" si="86"/>
        <v>2.402835156</v>
      </c>
      <c r="G129" s="270">
        <f t="shared" si="86"/>
        <v>650.8791416</v>
      </c>
      <c r="H129" s="270">
        <f t="shared" si="86"/>
        <v>255.1773366</v>
      </c>
      <c r="I129" s="270">
        <f t="shared" si="86"/>
        <v>464.4377994</v>
      </c>
      <c r="J129" s="270">
        <f t="shared" si="86"/>
        <v>544.9323411</v>
      </c>
      <c r="K129" s="270">
        <f t="shared" si="86"/>
        <v>281.0611386</v>
      </c>
      <c r="L129" s="270">
        <f t="shared" si="86"/>
        <v>503.3511675</v>
      </c>
      <c r="M129" s="270">
        <f t="shared" si="86"/>
        <v>532.32541</v>
      </c>
      <c r="N129" s="270">
        <f t="shared" si="86"/>
        <v>102.824781</v>
      </c>
    </row>
    <row r="130" outlineLevel="1">
      <c r="A130" s="630" t="s">
        <v>370</v>
      </c>
      <c r="B130" s="318">
        <f t="shared" si="84"/>
        <v>4076.623606</v>
      </c>
      <c r="C130" s="270">
        <f t="shared" si="85"/>
        <v>4076.623606</v>
      </c>
      <c r="D130" s="270">
        <f t="shared" ref="D130:N130" si="87">D31+D125</f>
        <v>257.7229393</v>
      </c>
      <c r="E130" s="270">
        <f t="shared" si="87"/>
        <v>481.5087157</v>
      </c>
      <c r="F130" s="270">
        <f t="shared" si="87"/>
        <v>2.402835156</v>
      </c>
      <c r="G130" s="270">
        <f t="shared" si="87"/>
        <v>650.8791416</v>
      </c>
      <c r="H130" s="270">
        <f t="shared" si="87"/>
        <v>255.1773366</v>
      </c>
      <c r="I130" s="270">
        <f t="shared" si="87"/>
        <v>464.4377994</v>
      </c>
      <c r="J130" s="270">
        <f t="shared" si="87"/>
        <v>544.9323411</v>
      </c>
      <c r="K130" s="270">
        <f t="shared" si="87"/>
        <v>281.0611386</v>
      </c>
      <c r="L130" s="270">
        <f t="shared" si="87"/>
        <v>503.3511675</v>
      </c>
      <c r="M130" s="270">
        <f t="shared" si="87"/>
        <v>532.32541</v>
      </c>
      <c r="N130" s="270">
        <f t="shared" si="87"/>
        <v>102.824781</v>
      </c>
    </row>
    <row r="131" outlineLevel="1">
      <c r="A131" s="631" t="s">
        <v>96</v>
      </c>
      <c r="B131" s="632">
        <f t="array" ref="B131">index(A131:N131,,match($A$3,$A$1:$N$1,0))</f>
        <v>3332.852515</v>
      </c>
      <c r="C131" s="530">
        <f>SUM(D131:N131)</f>
        <v>3332.852515</v>
      </c>
      <c r="D131" s="530">
        <f t="shared" ref="D131:N131" si="88">SUMPRODUCT(D128:D130,D63:D65)</f>
        <v>223.4807879</v>
      </c>
      <c r="E131" s="530">
        <f t="shared" si="88"/>
        <v>387.064309</v>
      </c>
      <c r="F131" s="530">
        <f t="shared" si="88"/>
        <v>10.02070865</v>
      </c>
      <c r="G131" s="530">
        <f t="shared" si="88"/>
        <v>524.1619607</v>
      </c>
      <c r="H131" s="530">
        <f t="shared" si="88"/>
        <v>209.1720564</v>
      </c>
      <c r="I131" s="530">
        <f t="shared" si="88"/>
        <v>387.0798097</v>
      </c>
      <c r="J131" s="530">
        <f t="shared" si="88"/>
        <v>441.2324221</v>
      </c>
      <c r="K131" s="530">
        <f t="shared" si="88"/>
        <v>228.2518668</v>
      </c>
      <c r="L131" s="530">
        <f t="shared" si="88"/>
        <v>406.0942965</v>
      </c>
      <c r="M131" s="530">
        <f t="shared" si="88"/>
        <v>431.5943607</v>
      </c>
      <c r="N131" s="530">
        <f t="shared" si="88"/>
        <v>84.6999363</v>
      </c>
    </row>
    <row r="132" outlineLevel="1">
      <c r="A132" s="460"/>
      <c r="B132" s="621"/>
      <c r="C132" s="39"/>
      <c r="D132" s="39"/>
      <c r="E132" s="39"/>
      <c r="F132" s="39"/>
      <c r="G132" s="39"/>
      <c r="H132" s="39"/>
      <c r="I132" s="39"/>
      <c r="J132" s="39"/>
      <c r="K132" s="39"/>
      <c r="L132" s="39"/>
      <c r="M132" s="39"/>
      <c r="N132" s="39"/>
    </row>
    <row r="133">
      <c r="A133" s="625" t="s">
        <v>437</v>
      </c>
      <c r="B133" s="289">
        <f t="array" ref="B133">index(A133:ZX133,,match($A$3,$A$1:$ZX$1,0))</f>
        <v>1.033566134</v>
      </c>
      <c r="C133" s="531">
        <f t="shared" ref="C133:N133" si="89">C131/C31-1</f>
        <v>1.033566134</v>
      </c>
      <c r="D133" s="531">
        <f t="shared" si="89"/>
        <v>0.1410850058</v>
      </c>
      <c r="E133" s="531">
        <f t="shared" si="89"/>
        <v>1.182683747</v>
      </c>
      <c r="F133" s="531">
        <f t="shared" si="89"/>
        <v>-0.4951147286</v>
      </c>
      <c r="G133" s="531">
        <f t="shared" si="89"/>
        <v>1.537934819</v>
      </c>
      <c r="H133" s="531">
        <f t="shared" si="89"/>
        <v>0.8447706762</v>
      </c>
      <c r="I133" s="531">
        <f t="shared" si="89"/>
        <v>0.42964945</v>
      </c>
      <c r="J133" s="531">
        <f t="shared" si="89"/>
        <v>1.481066902</v>
      </c>
      <c r="K133" s="531">
        <f t="shared" si="89"/>
        <v>1.392668884</v>
      </c>
      <c r="L133" s="531">
        <f t="shared" si="89"/>
        <v>1.598329578</v>
      </c>
      <c r="M133" s="531">
        <f t="shared" si="89"/>
        <v>1.440885985</v>
      </c>
      <c r="N133" s="531">
        <f t="shared" si="89"/>
        <v>0.7329972374</v>
      </c>
    </row>
    <row r="134">
      <c r="A134" s="537"/>
      <c r="B134" s="607"/>
      <c r="C134" s="608"/>
      <c r="D134" s="707"/>
      <c r="E134" s="707"/>
      <c r="F134" s="707"/>
      <c r="G134" s="707"/>
      <c r="H134" s="707"/>
      <c r="I134" s="707"/>
      <c r="J134" s="707"/>
      <c r="K134" s="707"/>
      <c r="L134" s="707"/>
      <c r="M134" s="707"/>
      <c r="N134" s="707"/>
    </row>
    <row r="135">
      <c r="A135" s="583" t="s">
        <v>400</v>
      </c>
      <c r="B135" s="633"/>
      <c r="C135" s="583"/>
      <c r="D135" s="583"/>
      <c r="E135" s="583"/>
      <c r="F135" s="583"/>
      <c r="G135" s="583"/>
      <c r="H135" s="583"/>
      <c r="I135" s="583"/>
      <c r="J135" s="583"/>
      <c r="K135" s="583"/>
      <c r="L135" s="583"/>
      <c r="M135" s="583"/>
      <c r="N135" s="583"/>
    </row>
    <row r="136">
      <c r="A136" s="586"/>
      <c r="B136" s="607"/>
      <c r="C136" s="608"/>
      <c r="D136" s="707"/>
      <c r="E136" s="707"/>
      <c r="F136" s="707"/>
      <c r="G136" s="707"/>
      <c r="H136" s="707"/>
      <c r="I136" s="707"/>
      <c r="J136" s="707"/>
      <c r="K136" s="707"/>
      <c r="L136" s="707"/>
      <c r="M136" s="707"/>
      <c r="N136" s="707"/>
    </row>
    <row r="137">
      <c r="A137" s="555" t="s">
        <v>401</v>
      </c>
      <c r="B137" s="708">
        <f t="shared" ref="B137:B139" si="91">index(A137:ZX137,,match($A$3,$A$1:$ZX$1,0))</f>
        <v>3332.852515</v>
      </c>
      <c r="C137" s="709">
        <f t="shared" ref="C137:N137" si="90">C31*(1+C$133)</f>
        <v>3332.852515</v>
      </c>
      <c r="D137" s="709">
        <f t="shared" si="90"/>
        <v>223.4807879</v>
      </c>
      <c r="E137" s="709">
        <f t="shared" si="90"/>
        <v>387.064309</v>
      </c>
      <c r="F137" s="709">
        <f t="shared" si="90"/>
        <v>10.02070865</v>
      </c>
      <c r="G137" s="709">
        <f t="shared" si="90"/>
        <v>524.1619607</v>
      </c>
      <c r="H137" s="709">
        <f t="shared" si="90"/>
        <v>209.1720564</v>
      </c>
      <c r="I137" s="709">
        <f t="shared" si="90"/>
        <v>387.0798097</v>
      </c>
      <c r="J137" s="709">
        <f t="shared" si="90"/>
        <v>441.2324221</v>
      </c>
      <c r="K137" s="709">
        <f t="shared" si="90"/>
        <v>228.2518668</v>
      </c>
      <c r="L137" s="709">
        <f t="shared" si="90"/>
        <v>406.0942965</v>
      </c>
      <c r="M137" s="709">
        <f t="shared" si="90"/>
        <v>431.5943607</v>
      </c>
      <c r="N137" s="709">
        <f t="shared" si="90"/>
        <v>84.6999363</v>
      </c>
    </row>
    <row r="138">
      <c r="A138" s="506" t="s">
        <v>251</v>
      </c>
      <c r="B138" s="671">
        <f t="shared" si="91"/>
        <v>3332.852515</v>
      </c>
      <c r="C138" s="672">
        <f t="shared" ref="C138:N138" si="92">C137*$C11/C11</f>
        <v>3332.852515</v>
      </c>
      <c r="D138" s="672">
        <f t="shared" si="92"/>
        <v>924.1971007</v>
      </c>
      <c r="E138" s="672">
        <f t="shared" si="92"/>
        <v>14911.59897</v>
      </c>
      <c r="F138" s="672">
        <f t="shared" si="92"/>
        <v>88.53779666</v>
      </c>
      <c r="G138" s="672">
        <f t="shared" si="92"/>
        <v>10844.03419</v>
      </c>
      <c r="H138" s="672">
        <f t="shared" si="92"/>
        <v>2975.439985</v>
      </c>
      <c r="I138" s="672">
        <f t="shared" si="92"/>
        <v>1783.49852</v>
      </c>
      <c r="J138" s="672">
        <f t="shared" si="92"/>
        <v>5972.0964</v>
      </c>
      <c r="K138" s="672">
        <f t="shared" si="92"/>
        <v>4799.43031</v>
      </c>
      <c r="L138" s="672">
        <f t="shared" si="92"/>
        <v>8512.872927</v>
      </c>
      <c r="M138" s="672">
        <f t="shared" si="92"/>
        <v>5385.763355</v>
      </c>
      <c r="N138" s="672">
        <f t="shared" si="92"/>
        <v>2483.733979</v>
      </c>
    </row>
    <row r="139">
      <c r="A139" s="472" t="s">
        <v>117</v>
      </c>
      <c r="B139" s="520">
        <f t="shared" si="91"/>
        <v>3000.432799</v>
      </c>
      <c r="C139" s="674">
        <f t="array" ref="C139">if(C11&lt;&gt;0,C11/C137*index('Moral weights'!$A$1:$ZG$33,match("Value assigned to averting the death of an individual under 5 — AMF",'Moral weights'!$A$1:$A$33,0),match($B1,'Moral weights'!$A$1:$ZG1,0)),"Donation size is 0")</f>
        <v>3000.432799</v>
      </c>
      <c r="D139" s="674">
        <f t="array" ref="D139">if(D11&lt;&gt;0,D11/D137*index('Moral weights'!$A$1:$ZG$33,match("Value assigned to averting the death of an individual under 5 — AMF",'Moral weights'!$A$1:$A$33,0),match($B1,'Moral weights'!$A$1:$ZG1,0)),"Donation size is 0")</f>
        <v>10820.20274</v>
      </c>
      <c r="E139" s="674">
        <f t="array" ref="E139">if(E11&lt;&gt;0,E11/E137*index('Moral weights'!$A$1:$ZG$33,match("Value assigned to averting the death of an individual under 5 — AMF",'Moral weights'!$A$1:$A$33,0),match($B1,'Moral weights'!$A$1:$ZG1,0)),"Donation size is 0")</f>
        <v>670.6188936</v>
      </c>
      <c r="F139" s="674">
        <f t="array" ref="F139">if(F11&lt;&gt;0,F11/F137*index('Moral weights'!$A$1:$ZG$33,match("Value assigned to averting the death of an individual under 5 — AMF",'Moral weights'!$A$1:$A$33,0),match($B1,'Moral weights'!$A$1:$ZG1,0)),"Donation size is 0")</f>
        <v>112946.1132</v>
      </c>
      <c r="G139" s="674">
        <f t="array" ref="G139">if(G11&lt;&gt;0,G11/G137*index('Moral weights'!$A$1:$ZG$33,match("Value assigned to averting the death of an individual under 5 — AMF",'Moral weights'!$A$1:$A$33,0),match($B1,'Moral weights'!$A$1:$ZG1,0)),"Donation size is 0")</f>
        <v>922.1660338</v>
      </c>
      <c r="H139" s="674">
        <f t="array" ref="H139">if(H11&lt;&gt;0,H11/H137*index('Moral weights'!$A$1:$ZG$33,match("Value assigned to averting the death of an individual under 5 — AMF",'Moral weights'!$A$1:$A$33,0),match($B1,'Moral weights'!$A$1:$ZG1,0)),"Donation size is 0")</f>
        <v>3360.847488</v>
      </c>
      <c r="I139" s="674">
        <f t="array" ref="I139">if(I11&lt;&gt;0,I11/I137*index('Moral weights'!$A$1:$ZG$33,match("Value assigned to averting the death of an individual under 5 — AMF",'Moral weights'!$A$1:$A$33,0),match($B1,'Moral weights'!$A$1:$ZG1,0)),"Donation size is 0")</f>
        <v>5606.957275</v>
      </c>
      <c r="J139" s="674">
        <f t="array" ref="J139">if(J11&lt;&gt;0,J11/J137*index('Moral weights'!$A$1:$ZG$33,match("Value assigned to averting the death of an individual under 5 — AMF",'Moral weights'!$A$1:$A$33,0),match($B1,'Moral weights'!$A$1:$ZG1,0)),"Donation size is 0")</f>
        <v>1674.453882</v>
      </c>
      <c r="K139" s="674">
        <f t="array" ref="K139">if(K11&lt;&gt;0,K11/K137*index('Moral weights'!$A$1:$ZG$33,match("Value assigned to averting the death of an individual under 5 — AMF",'Moral weights'!$A$1:$A$33,0),match($B1,'Moral weights'!$A$1:$ZG1,0)),"Donation size is 0")</f>
        <v>2083.580624</v>
      </c>
      <c r="L139" s="674">
        <f t="array" ref="L139">if(L11&lt;&gt;0,L11/L137*index('Moral weights'!$A$1:$ZG$33,match("Value assigned to averting the death of an individual under 5 — AMF",'Moral weights'!$A$1:$A$33,0),match($B1,'Moral weights'!$A$1:$ZG1,0)),"Donation size is 0")</f>
        <v>1174.691562</v>
      </c>
      <c r="M139" s="674">
        <f t="array" ref="M139">if(M11&lt;&gt;0,M11/M137*index('Moral weights'!$A$1:$ZG$33,match("Value assigned to averting the death of an individual under 5 — AMF",'Moral weights'!$A$1:$A$33,0),match($B1,'Moral weights'!$A$1:$ZG1,0)),"Donation size is 0")</f>
        <v>1856.747009</v>
      </c>
      <c r="N139" s="674">
        <f t="array" ref="N139">if(N11&lt;&gt;0,N11/N137*index('Moral weights'!$A$1:$ZG$33,match("Value assigned to averting the death of an individual under 5 — AMF",'Moral weights'!$A$1:$A$33,0),match($B1,'Moral weights'!$A$1:$ZG1,0)),"Donation size is 0")</f>
        <v>4026.196076</v>
      </c>
    </row>
    <row r="140">
      <c r="A140" s="460"/>
      <c r="B140" s="652"/>
      <c r="C140" s="675"/>
      <c r="D140" s="675"/>
      <c r="E140" s="675"/>
      <c r="F140" s="675"/>
      <c r="G140" s="675"/>
      <c r="H140" s="675"/>
      <c r="I140" s="675"/>
      <c r="J140" s="675"/>
      <c r="K140" s="675"/>
      <c r="L140" s="675"/>
      <c r="M140" s="675"/>
      <c r="N140" s="675"/>
    </row>
    <row r="141">
      <c r="A141" s="636" t="s">
        <v>257</v>
      </c>
      <c r="B141" s="676">
        <f t="array" ref="B141">index(C141:F141,,match($A$3,$C$1:$F$1,0))</f>
        <v>9.687831433</v>
      </c>
      <c r="C141" s="349">
        <f t="array" ref="C141">C138/index(Cash!B:B,match("Total units of value generated with hypothetical donation ($100,000)",Cash!A:A,0))</f>
        <v>9.687831433</v>
      </c>
      <c r="D141" s="349">
        <f t="array" ref="D141">D138/index(Cash!B:B,match("Total units of value generated with hypothetical donation ($100,000)",Cash!A:A,0))</f>
        <v>2.686427222</v>
      </c>
      <c r="E141" s="349">
        <f t="array" ref="E141">E138/index(Cash!B:B,match("Total units of value generated with hypothetical donation ($100,000)",Cash!A:A,0))</f>
        <v>43.34456941</v>
      </c>
      <c r="F141" s="349">
        <f t="array" ref="F141">F138/index(Cash!B:B,match("Total units of value generated with hypothetical donation ($100,000)",Cash!A:A,0))</f>
        <v>0.2573588977</v>
      </c>
      <c r="G141" s="349">
        <f t="array" ref="G141">G138/index(Cash!B:B,match("Total units of value generated with hypothetical donation ($100,000)",Cash!A:A,0))</f>
        <v>31.52109937</v>
      </c>
      <c r="H141" s="349">
        <f t="array" ref="H141">H138/index(Cash!B:B,match("Total units of value generated with hypothetical donation ($100,000)",Cash!A:A,0))</f>
        <v>8.64891587</v>
      </c>
      <c r="I141" s="349">
        <f t="array" ref="I141">I138/index(Cash!B:B,match("Total units of value generated with hypothetical donation ($100,000)",Cash!A:A,0))</f>
        <v>5.184217706</v>
      </c>
      <c r="J141" s="349">
        <f t="array" ref="J141">J138/index(Cash!B:B,match("Total units of value generated with hypothetical donation ($100,000)",Cash!A:A,0))</f>
        <v>17.359503</v>
      </c>
      <c r="K141" s="349">
        <f t="array" ref="K141">K138/index(Cash!B:B,match("Total units of value generated with hypothetical donation ($100,000)",Cash!A:A,0))</f>
        <v>13.95083389</v>
      </c>
      <c r="L141" s="349">
        <f t="array" ref="L141">L138/index(Cash!B:B,match("Total units of value generated with hypothetical donation ($100,000)",Cash!A:A,0))</f>
        <v>24.74495273</v>
      </c>
      <c r="M141" s="349">
        <f t="array" ref="M141">M138/index(Cash!B:B,match("Total units of value generated with hypothetical donation ($100,000)",Cash!A:A,0))</f>
        <v>15.65516844</v>
      </c>
      <c r="N141" s="349">
        <f t="array" ref="N141">N138/index(Cash!B:B,match("Total units of value generated with hypothetical donation ($100,000)",Cash!A:A,0))</f>
        <v>7.219640233</v>
      </c>
    </row>
    <row r="142">
      <c r="A142" s="460"/>
      <c r="B142" s="320"/>
      <c r="C142" s="403"/>
      <c r="D142" s="403"/>
      <c r="E142" s="403"/>
      <c r="F142" s="403"/>
      <c r="G142" s="403"/>
      <c r="H142" s="403"/>
      <c r="I142" s="403"/>
      <c r="J142" s="403"/>
      <c r="K142" s="403"/>
      <c r="L142" s="403"/>
      <c r="M142" s="403"/>
      <c r="N142" s="403"/>
    </row>
    <row r="143">
      <c r="A143" s="350" t="s">
        <v>438</v>
      </c>
      <c r="B143" s="350"/>
      <c r="C143" s="350"/>
      <c r="D143" s="350"/>
      <c r="E143" s="350"/>
      <c r="F143" s="350"/>
      <c r="G143" s="350"/>
      <c r="H143" s="350"/>
      <c r="I143" s="350"/>
      <c r="J143" s="350"/>
      <c r="K143" s="350"/>
      <c r="L143" s="350"/>
      <c r="M143" s="350"/>
      <c r="N143" s="350"/>
    </row>
    <row r="144" outlineLevel="1">
      <c r="A144" s="352"/>
      <c r="D144" s="415"/>
      <c r="E144" s="415"/>
      <c r="F144" s="415"/>
      <c r="G144" s="415"/>
      <c r="H144" s="415"/>
      <c r="I144" s="415"/>
      <c r="J144" s="415"/>
      <c r="K144" s="415"/>
      <c r="L144" s="415"/>
      <c r="M144" s="415"/>
      <c r="N144" s="415"/>
    </row>
    <row r="145" outlineLevel="1">
      <c r="A145" s="62" t="s">
        <v>259</v>
      </c>
      <c r="B145" s="353"/>
      <c r="C145" s="110"/>
      <c r="D145" s="415"/>
      <c r="E145" s="415"/>
      <c r="F145" s="415"/>
      <c r="G145" s="415"/>
      <c r="H145" s="415"/>
      <c r="I145" s="415"/>
      <c r="J145" s="415"/>
      <c r="K145" s="415"/>
      <c r="L145" s="415"/>
      <c r="M145" s="415"/>
      <c r="N145" s="415"/>
    </row>
    <row r="146" outlineLevel="1">
      <c r="A146" s="40" t="s">
        <v>260</v>
      </c>
      <c r="B146" s="640">
        <f t="shared" ref="B146:B149" si="94">index(C146:X146,,match($A$3,$C$1:$X$1,0))</f>
        <v>0</v>
      </c>
      <c r="C146" s="47">
        <v>0.0</v>
      </c>
      <c r="D146" s="357">
        <f t="shared" ref="D146:N146" si="93">$C146</f>
        <v>0</v>
      </c>
      <c r="E146" s="357">
        <f t="shared" si="93"/>
        <v>0</v>
      </c>
      <c r="F146" s="357">
        <f t="shared" si="93"/>
        <v>0</v>
      </c>
      <c r="G146" s="357">
        <f t="shared" si="93"/>
        <v>0</v>
      </c>
      <c r="H146" s="357">
        <f t="shared" si="93"/>
        <v>0</v>
      </c>
      <c r="I146" s="357">
        <f t="shared" si="93"/>
        <v>0</v>
      </c>
      <c r="J146" s="357">
        <f t="shared" si="93"/>
        <v>0</v>
      </c>
      <c r="K146" s="357">
        <f t="shared" si="93"/>
        <v>0</v>
      </c>
      <c r="L146" s="357">
        <f t="shared" si="93"/>
        <v>0</v>
      </c>
      <c r="M146" s="357">
        <f t="shared" si="93"/>
        <v>0</v>
      </c>
      <c r="N146" s="357">
        <f t="shared" si="93"/>
        <v>0</v>
      </c>
    </row>
    <row r="147" outlineLevel="1">
      <c r="A147" s="40" t="s">
        <v>261</v>
      </c>
      <c r="B147" s="640">
        <f t="shared" si="94"/>
        <v>0</v>
      </c>
      <c r="C147" s="47">
        <v>0.0</v>
      </c>
      <c r="D147" s="357">
        <f t="shared" ref="D147:N147" si="95">$C147</f>
        <v>0</v>
      </c>
      <c r="E147" s="357">
        <f t="shared" si="95"/>
        <v>0</v>
      </c>
      <c r="F147" s="357">
        <f t="shared" si="95"/>
        <v>0</v>
      </c>
      <c r="G147" s="357">
        <f t="shared" si="95"/>
        <v>0</v>
      </c>
      <c r="H147" s="357">
        <f t="shared" si="95"/>
        <v>0</v>
      </c>
      <c r="I147" s="357">
        <f t="shared" si="95"/>
        <v>0</v>
      </c>
      <c r="J147" s="357">
        <f t="shared" si="95"/>
        <v>0</v>
      </c>
      <c r="K147" s="357">
        <f t="shared" si="95"/>
        <v>0</v>
      </c>
      <c r="L147" s="357">
        <f t="shared" si="95"/>
        <v>0</v>
      </c>
      <c r="M147" s="357">
        <f t="shared" si="95"/>
        <v>0</v>
      </c>
      <c r="N147" s="357">
        <f t="shared" si="95"/>
        <v>0</v>
      </c>
    </row>
    <row r="148" outlineLevel="1">
      <c r="A148" s="40" t="s">
        <v>262</v>
      </c>
      <c r="B148" s="640">
        <f t="shared" si="94"/>
        <v>0</v>
      </c>
      <c r="C148" s="543">
        <v>0.0</v>
      </c>
      <c r="D148" s="357">
        <f t="shared" ref="D148:N148" si="96">$C148</f>
        <v>0</v>
      </c>
      <c r="E148" s="357">
        <f t="shared" si="96"/>
        <v>0</v>
      </c>
      <c r="F148" s="357">
        <f t="shared" si="96"/>
        <v>0</v>
      </c>
      <c r="G148" s="357">
        <f t="shared" si="96"/>
        <v>0</v>
      </c>
      <c r="H148" s="357">
        <f t="shared" si="96"/>
        <v>0</v>
      </c>
      <c r="I148" s="357">
        <f t="shared" si="96"/>
        <v>0</v>
      </c>
      <c r="J148" s="357">
        <f t="shared" si="96"/>
        <v>0</v>
      </c>
      <c r="K148" s="357">
        <f t="shared" si="96"/>
        <v>0</v>
      </c>
      <c r="L148" s="357">
        <f t="shared" si="96"/>
        <v>0</v>
      </c>
      <c r="M148" s="357">
        <f t="shared" si="96"/>
        <v>0</v>
      </c>
      <c r="N148" s="357">
        <f t="shared" si="96"/>
        <v>0</v>
      </c>
    </row>
    <row r="149" outlineLevel="1">
      <c r="A149" s="358" t="s">
        <v>263</v>
      </c>
      <c r="B149" s="641">
        <f t="shared" si="94"/>
        <v>0</v>
      </c>
      <c r="C149" s="360">
        <f t="shared" ref="C149:N149" si="97">SUM(C146:C148)</f>
        <v>0</v>
      </c>
      <c r="D149" s="360">
        <f t="shared" si="97"/>
        <v>0</v>
      </c>
      <c r="E149" s="360">
        <f t="shared" si="97"/>
        <v>0</v>
      </c>
      <c r="F149" s="360">
        <f t="shared" si="97"/>
        <v>0</v>
      </c>
      <c r="G149" s="360">
        <f t="shared" si="97"/>
        <v>0</v>
      </c>
      <c r="H149" s="360">
        <f t="shared" si="97"/>
        <v>0</v>
      </c>
      <c r="I149" s="360">
        <f t="shared" si="97"/>
        <v>0</v>
      </c>
      <c r="J149" s="360">
        <f t="shared" si="97"/>
        <v>0</v>
      </c>
      <c r="K149" s="360">
        <f t="shared" si="97"/>
        <v>0</v>
      </c>
      <c r="L149" s="360">
        <f t="shared" si="97"/>
        <v>0</v>
      </c>
      <c r="M149" s="360">
        <f t="shared" si="97"/>
        <v>0</v>
      </c>
      <c r="N149" s="360">
        <f t="shared" si="97"/>
        <v>0</v>
      </c>
    </row>
    <row r="150" outlineLevel="1">
      <c r="A150" s="40"/>
      <c r="B150" s="353"/>
      <c r="C150" s="39"/>
      <c r="D150" s="353"/>
      <c r="E150" s="353"/>
      <c r="F150" s="353"/>
      <c r="G150" s="353"/>
      <c r="H150" s="353"/>
      <c r="I150" s="353"/>
      <c r="J150" s="353"/>
      <c r="K150" s="353"/>
      <c r="L150" s="353"/>
      <c r="M150" s="353"/>
      <c r="N150" s="353"/>
    </row>
    <row r="151" outlineLevel="1">
      <c r="A151" s="62" t="s">
        <v>310</v>
      </c>
      <c r="B151" s="640" t="str">
        <f t="shared" ref="B151:B154" si="98">index(C151:X151,,match($A$3,$C$1:$X$1,0))</f>
        <v/>
      </c>
      <c r="C151" s="39"/>
      <c r="D151" s="353"/>
      <c r="E151" s="353"/>
      <c r="F151" s="353"/>
      <c r="G151" s="353"/>
      <c r="H151" s="353"/>
      <c r="I151" s="353"/>
      <c r="J151" s="353"/>
      <c r="K151" s="353"/>
      <c r="L151" s="353"/>
      <c r="M151" s="353"/>
      <c r="N151" s="353"/>
    </row>
    <row r="152" outlineLevel="1">
      <c r="A152" s="40" t="s">
        <v>264</v>
      </c>
      <c r="B152" s="640">
        <f t="shared" si="98"/>
        <v>0.1</v>
      </c>
      <c r="C152" s="47">
        <v>0.1</v>
      </c>
      <c r="D152" s="357">
        <f t="shared" ref="D152:N152" si="99">$C152</f>
        <v>0.1</v>
      </c>
      <c r="E152" s="357">
        <f t="shared" si="99"/>
        <v>0.1</v>
      </c>
      <c r="F152" s="357">
        <f t="shared" si="99"/>
        <v>0.1</v>
      </c>
      <c r="G152" s="357">
        <f t="shared" si="99"/>
        <v>0.1</v>
      </c>
      <c r="H152" s="357">
        <f t="shared" si="99"/>
        <v>0.1</v>
      </c>
      <c r="I152" s="357">
        <f t="shared" si="99"/>
        <v>0.1</v>
      </c>
      <c r="J152" s="357">
        <f t="shared" si="99"/>
        <v>0.1</v>
      </c>
      <c r="K152" s="357">
        <f t="shared" si="99"/>
        <v>0.1</v>
      </c>
      <c r="L152" s="357">
        <f t="shared" si="99"/>
        <v>0.1</v>
      </c>
      <c r="M152" s="357">
        <f t="shared" si="99"/>
        <v>0.1</v>
      </c>
      <c r="N152" s="357">
        <f t="shared" si="99"/>
        <v>0.1</v>
      </c>
    </row>
    <row r="153" outlineLevel="1">
      <c r="A153" s="40" t="s">
        <v>265</v>
      </c>
      <c r="B153" s="640">
        <f t="shared" si="98"/>
        <v>0.05</v>
      </c>
      <c r="C153" s="543">
        <v>0.05</v>
      </c>
      <c r="D153" s="357">
        <f t="shared" ref="D153:N153" si="100">$C153</f>
        <v>0.05</v>
      </c>
      <c r="E153" s="357">
        <f t="shared" si="100"/>
        <v>0.05</v>
      </c>
      <c r="F153" s="357">
        <f t="shared" si="100"/>
        <v>0.05</v>
      </c>
      <c r="G153" s="357">
        <f t="shared" si="100"/>
        <v>0.05</v>
      </c>
      <c r="H153" s="357">
        <f t="shared" si="100"/>
        <v>0.05</v>
      </c>
      <c r="I153" s="357">
        <f t="shared" si="100"/>
        <v>0.05</v>
      </c>
      <c r="J153" s="357">
        <f t="shared" si="100"/>
        <v>0.05</v>
      </c>
      <c r="K153" s="357">
        <f t="shared" si="100"/>
        <v>0.05</v>
      </c>
      <c r="L153" s="357">
        <f t="shared" si="100"/>
        <v>0.05</v>
      </c>
      <c r="M153" s="357">
        <f t="shared" si="100"/>
        <v>0.05</v>
      </c>
      <c r="N153" s="357">
        <f t="shared" si="100"/>
        <v>0.05</v>
      </c>
    </row>
    <row r="154" outlineLevel="1">
      <c r="A154" s="358" t="s">
        <v>266</v>
      </c>
      <c r="B154" s="641">
        <f t="shared" si="98"/>
        <v>0.15</v>
      </c>
      <c r="C154" s="360">
        <f t="shared" ref="C154:N154" si="101">sum(C151:C153)</f>
        <v>0.15</v>
      </c>
      <c r="D154" s="360">
        <f t="shared" si="101"/>
        <v>0.15</v>
      </c>
      <c r="E154" s="360">
        <f t="shared" si="101"/>
        <v>0.15</v>
      </c>
      <c r="F154" s="360">
        <f t="shared" si="101"/>
        <v>0.15</v>
      </c>
      <c r="G154" s="360">
        <f t="shared" si="101"/>
        <v>0.15</v>
      </c>
      <c r="H154" s="360">
        <f t="shared" si="101"/>
        <v>0.15</v>
      </c>
      <c r="I154" s="360">
        <f t="shared" si="101"/>
        <v>0.15</v>
      </c>
      <c r="J154" s="360">
        <f t="shared" si="101"/>
        <v>0.15</v>
      </c>
      <c r="K154" s="360">
        <f t="shared" si="101"/>
        <v>0.15</v>
      </c>
      <c r="L154" s="360">
        <f t="shared" si="101"/>
        <v>0.15</v>
      </c>
      <c r="M154" s="360">
        <f t="shared" si="101"/>
        <v>0.15</v>
      </c>
      <c r="N154" s="360">
        <f t="shared" si="101"/>
        <v>0.15</v>
      </c>
    </row>
    <row r="155" outlineLevel="1">
      <c r="A155" s="40"/>
      <c r="B155" s="353"/>
      <c r="C155" s="39"/>
      <c r="D155" s="353"/>
      <c r="E155" s="353"/>
      <c r="F155" s="353"/>
      <c r="G155" s="353"/>
      <c r="H155" s="353"/>
      <c r="I155" s="353"/>
      <c r="J155" s="353"/>
      <c r="K155" s="353"/>
      <c r="L155" s="353"/>
      <c r="M155" s="353"/>
      <c r="N155" s="353"/>
    </row>
    <row r="156" outlineLevel="1">
      <c r="A156" s="62" t="s">
        <v>267</v>
      </c>
      <c r="B156" s="353"/>
      <c r="C156" s="39"/>
      <c r="D156" s="353"/>
      <c r="E156" s="353"/>
      <c r="F156" s="353"/>
      <c r="G156" s="353"/>
      <c r="H156" s="353"/>
      <c r="I156" s="353"/>
      <c r="J156" s="353"/>
      <c r="K156" s="353"/>
      <c r="L156" s="353"/>
      <c r="M156" s="353"/>
      <c r="N156" s="353"/>
    </row>
    <row r="157" outlineLevel="1">
      <c r="A157" s="40" t="s">
        <v>268</v>
      </c>
      <c r="B157" s="640">
        <f t="shared" ref="B157:B160" si="103">index(C157:X157,,match($A$3,$C$1:$X$1,0))</f>
        <v>0.02</v>
      </c>
      <c r="C157" s="47">
        <v>0.02</v>
      </c>
      <c r="D157" s="357">
        <f t="shared" ref="D157:N157" si="102">$C157</f>
        <v>0.02</v>
      </c>
      <c r="E157" s="357">
        <f t="shared" si="102"/>
        <v>0.02</v>
      </c>
      <c r="F157" s="357">
        <f t="shared" si="102"/>
        <v>0.02</v>
      </c>
      <c r="G157" s="357">
        <f t="shared" si="102"/>
        <v>0.02</v>
      </c>
      <c r="H157" s="357">
        <f t="shared" si="102"/>
        <v>0.02</v>
      </c>
      <c r="I157" s="357">
        <f t="shared" si="102"/>
        <v>0.02</v>
      </c>
      <c r="J157" s="357">
        <f t="shared" si="102"/>
        <v>0.02</v>
      </c>
      <c r="K157" s="357">
        <f t="shared" si="102"/>
        <v>0.02</v>
      </c>
      <c r="L157" s="357">
        <f t="shared" si="102"/>
        <v>0.02</v>
      </c>
      <c r="M157" s="357">
        <f t="shared" si="102"/>
        <v>0.02</v>
      </c>
      <c r="N157" s="357">
        <f t="shared" si="102"/>
        <v>0.02</v>
      </c>
    </row>
    <row r="158" outlineLevel="1">
      <c r="A158" s="40" t="s">
        <v>269</v>
      </c>
      <c r="B158" s="640">
        <f t="shared" si="103"/>
        <v>0</v>
      </c>
      <c r="C158" s="47">
        <v>0.0</v>
      </c>
      <c r="D158" s="357">
        <f t="shared" ref="D158:N158" si="104">$C158</f>
        <v>0</v>
      </c>
      <c r="E158" s="357">
        <f t="shared" si="104"/>
        <v>0</v>
      </c>
      <c r="F158" s="357">
        <f t="shared" si="104"/>
        <v>0</v>
      </c>
      <c r="G158" s="357">
        <f t="shared" si="104"/>
        <v>0</v>
      </c>
      <c r="H158" s="357">
        <f t="shared" si="104"/>
        <v>0</v>
      </c>
      <c r="I158" s="357">
        <f t="shared" si="104"/>
        <v>0</v>
      </c>
      <c r="J158" s="357">
        <f t="shared" si="104"/>
        <v>0</v>
      </c>
      <c r="K158" s="357">
        <f t="shared" si="104"/>
        <v>0</v>
      </c>
      <c r="L158" s="357">
        <f t="shared" si="104"/>
        <v>0</v>
      </c>
      <c r="M158" s="357">
        <f t="shared" si="104"/>
        <v>0</v>
      </c>
      <c r="N158" s="357">
        <f t="shared" si="104"/>
        <v>0</v>
      </c>
    </row>
    <row r="159" outlineLevel="1">
      <c r="A159" s="40" t="s">
        <v>270</v>
      </c>
      <c r="B159" s="640">
        <f t="shared" si="103"/>
        <v>0.05</v>
      </c>
      <c r="C159" s="543">
        <v>0.05</v>
      </c>
      <c r="D159" s="357">
        <f t="shared" ref="D159:N159" si="105">$C159</f>
        <v>0.05</v>
      </c>
      <c r="E159" s="357">
        <f t="shared" si="105"/>
        <v>0.05</v>
      </c>
      <c r="F159" s="357">
        <f t="shared" si="105"/>
        <v>0.05</v>
      </c>
      <c r="G159" s="357">
        <f t="shared" si="105"/>
        <v>0.05</v>
      </c>
      <c r="H159" s="357">
        <f t="shared" si="105"/>
        <v>0.05</v>
      </c>
      <c r="I159" s="357">
        <f t="shared" si="105"/>
        <v>0.05</v>
      </c>
      <c r="J159" s="357">
        <f t="shared" si="105"/>
        <v>0.05</v>
      </c>
      <c r="K159" s="357">
        <f t="shared" si="105"/>
        <v>0.05</v>
      </c>
      <c r="L159" s="357">
        <f t="shared" si="105"/>
        <v>0.05</v>
      </c>
      <c r="M159" s="357">
        <f t="shared" si="105"/>
        <v>0.05</v>
      </c>
      <c r="N159" s="357">
        <f t="shared" si="105"/>
        <v>0.05</v>
      </c>
    </row>
    <row r="160" outlineLevel="1">
      <c r="A160" s="362" t="s">
        <v>271</v>
      </c>
      <c r="B160" s="641">
        <f t="shared" si="103"/>
        <v>0.07</v>
      </c>
      <c r="C160" s="360">
        <f t="shared" ref="C160:N160" si="106">sum(C157:C159)</f>
        <v>0.07</v>
      </c>
      <c r="D160" s="360">
        <f t="shared" si="106"/>
        <v>0.07</v>
      </c>
      <c r="E160" s="360">
        <f t="shared" si="106"/>
        <v>0.07</v>
      </c>
      <c r="F160" s="360">
        <f t="shared" si="106"/>
        <v>0.07</v>
      </c>
      <c r="G160" s="360">
        <f t="shared" si="106"/>
        <v>0.07</v>
      </c>
      <c r="H160" s="360">
        <f t="shared" si="106"/>
        <v>0.07</v>
      </c>
      <c r="I160" s="360">
        <f t="shared" si="106"/>
        <v>0.07</v>
      </c>
      <c r="J160" s="360">
        <f t="shared" si="106"/>
        <v>0.07</v>
      </c>
      <c r="K160" s="360">
        <f t="shared" si="106"/>
        <v>0.07</v>
      </c>
      <c r="L160" s="360">
        <f t="shared" si="106"/>
        <v>0.07</v>
      </c>
      <c r="M160" s="360">
        <f t="shared" si="106"/>
        <v>0.07</v>
      </c>
      <c r="N160" s="360">
        <f t="shared" si="106"/>
        <v>0.07</v>
      </c>
    </row>
    <row r="161" outlineLevel="1">
      <c r="A161" s="40"/>
      <c r="B161" s="353"/>
      <c r="C161" s="39"/>
      <c r="D161" s="353"/>
      <c r="E161" s="353"/>
      <c r="F161" s="353"/>
      <c r="G161" s="353"/>
      <c r="H161" s="353"/>
      <c r="I161" s="353"/>
      <c r="J161" s="353"/>
      <c r="K161" s="353"/>
      <c r="L161" s="353"/>
      <c r="M161" s="353"/>
      <c r="N161" s="353"/>
    </row>
    <row r="162">
      <c r="A162" s="109" t="s">
        <v>272</v>
      </c>
      <c r="B162" s="640">
        <f t="array" ref="B162">index(C162:X162,,match($A$3,$C$1:$X$1,0))</f>
        <v>0.78</v>
      </c>
      <c r="C162" s="361">
        <f t="shared" ref="C162:N162" si="107">1-sum(C149,C154,C160)</f>
        <v>0.78</v>
      </c>
      <c r="D162" s="361">
        <f t="shared" si="107"/>
        <v>0.78</v>
      </c>
      <c r="E162" s="361">
        <f t="shared" si="107"/>
        <v>0.78</v>
      </c>
      <c r="F162" s="361">
        <f t="shared" si="107"/>
        <v>0.78</v>
      </c>
      <c r="G162" s="361">
        <f t="shared" si="107"/>
        <v>0.78</v>
      </c>
      <c r="H162" s="361">
        <f t="shared" si="107"/>
        <v>0.78</v>
      </c>
      <c r="I162" s="361">
        <f t="shared" si="107"/>
        <v>0.78</v>
      </c>
      <c r="J162" s="361">
        <f t="shared" si="107"/>
        <v>0.78</v>
      </c>
      <c r="K162" s="361">
        <f t="shared" si="107"/>
        <v>0.78</v>
      </c>
      <c r="L162" s="361">
        <f t="shared" si="107"/>
        <v>0.78</v>
      </c>
      <c r="M162" s="361">
        <f t="shared" si="107"/>
        <v>0.78</v>
      </c>
      <c r="N162" s="361">
        <f t="shared" si="107"/>
        <v>0.78</v>
      </c>
    </row>
    <row r="163">
      <c r="A163" s="40"/>
      <c r="B163" s="353"/>
      <c r="C163" s="110"/>
      <c r="D163" s="353"/>
      <c r="E163" s="353"/>
      <c r="F163" s="353"/>
      <c r="G163" s="353"/>
      <c r="H163" s="353"/>
      <c r="I163" s="353"/>
      <c r="J163" s="353"/>
      <c r="K163" s="353"/>
      <c r="L163" s="353"/>
      <c r="M163" s="353"/>
      <c r="N163" s="353"/>
    </row>
    <row r="164">
      <c r="A164" s="350" t="s">
        <v>383</v>
      </c>
      <c r="B164" s="351"/>
      <c r="C164" s="350"/>
      <c r="D164" s="350"/>
      <c r="E164" s="350"/>
      <c r="F164" s="350"/>
      <c r="G164" s="350"/>
      <c r="H164" s="350"/>
      <c r="I164" s="350"/>
      <c r="J164" s="350"/>
      <c r="K164" s="350"/>
      <c r="L164" s="350"/>
      <c r="M164" s="350"/>
      <c r="N164" s="350"/>
    </row>
    <row r="165" outlineLevel="1">
      <c r="A165" s="352" t="s">
        <v>274</v>
      </c>
      <c r="B165" s="363"/>
      <c r="C165" s="364"/>
      <c r="D165" s="364"/>
      <c r="E165" s="364"/>
      <c r="F165" s="364"/>
      <c r="G165" s="364"/>
      <c r="H165" s="364"/>
      <c r="I165" s="364"/>
      <c r="J165" s="364"/>
      <c r="K165" s="364"/>
      <c r="L165" s="364"/>
      <c r="M165" s="364"/>
      <c r="N165" s="364"/>
    </row>
    <row r="166" outlineLevel="1">
      <c r="A166" s="35" t="str">
        <f>IFERROR(__xludf.DUMMYFUNCTION("filter(InclusionExclusion!B:B,InclusionExclusion!A:A=""Deworming"",InclusionExclusion!C:C=""Included"")"),"Developmental effects")</f>
        <v>Developmental effects</v>
      </c>
      <c r="B166" s="363"/>
      <c r="C166" s="364"/>
      <c r="D166" s="364"/>
      <c r="E166" s="364"/>
      <c r="F166" s="364"/>
      <c r="G166" s="364"/>
      <c r="H166" s="364"/>
      <c r="I166" s="364"/>
      <c r="J166" s="364"/>
      <c r="K166" s="364"/>
      <c r="L166" s="364"/>
      <c r="M166" s="364"/>
      <c r="N166" s="364"/>
    </row>
    <row r="167" outlineLevel="1">
      <c r="A167" s="109"/>
      <c r="B167" s="363"/>
      <c r="C167" s="364"/>
      <c r="D167" s="364"/>
      <c r="E167" s="364"/>
      <c r="F167" s="364"/>
      <c r="G167" s="364"/>
      <c r="H167" s="364"/>
      <c r="I167" s="364"/>
      <c r="J167" s="364"/>
      <c r="K167" s="364"/>
      <c r="L167" s="364"/>
      <c r="M167" s="364"/>
      <c r="N167" s="364"/>
    </row>
    <row r="168" outlineLevel="1">
      <c r="A168" s="352" t="s">
        <v>275</v>
      </c>
      <c r="B168" s="363"/>
      <c r="C168" s="364"/>
      <c r="D168" s="364"/>
      <c r="E168" s="364"/>
      <c r="F168" s="364"/>
      <c r="G168" s="364"/>
      <c r="H168" s="364"/>
      <c r="I168" s="364"/>
      <c r="J168" s="364"/>
      <c r="K168" s="364"/>
      <c r="L168" s="364"/>
      <c r="M168" s="364"/>
      <c r="N168" s="364"/>
    </row>
    <row r="169" outlineLevel="1">
      <c r="A169" s="35" t="str">
        <f>IFERROR(__xludf.DUMMYFUNCTION("filter(InclusionExclusion!B:B,InclusionExclusion!A:A=""Deworming"",InclusionExclusion!C:C=""Excluded"")"),"Direct health effects")</f>
        <v>Direct health effects</v>
      </c>
      <c r="B169" s="354">
        <f t="shared" ref="B169:B183" si="109">index(C169:W169,,match($A$3,$C$1:$W$1,0))</f>
        <v>0.008</v>
      </c>
      <c r="C169" s="110">
        <f t="array" ref="C169">iferror(if(isblank(A169),"",index(InclusionExclusion!$L:L,match(1,(InclusionExclusion!B:B=A169)*(InclusionExclusion!A:A="Deworming"),0))),"Not specified")</f>
        <v>0.008</v>
      </c>
      <c r="D169" s="365">
        <f t="shared" ref="D169:N169" si="108">$C169</f>
        <v>0.008</v>
      </c>
      <c r="E169" s="365">
        <f t="shared" si="108"/>
        <v>0.008</v>
      </c>
      <c r="F169" s="365">
        <f t="shared" si="108"/>
        <v>0.008</v>
      </c>
      <c r="G169" s="365">
        <f t="shared" si="108"/>
        <v>0.008</v>
      </c>
      <c r="H169" s="365">
        <f t="shared" si="108"/>
        <v>0.008</v>
      </c>
      <c r="I169" s="365">
        <f t="shared" si="108"/>
        <v>0.008</v>
      </c>
      <c r="J169" s="365">
        <f t="shared" si="108"/>
        <v>0.008</v>
      </c>
      <c r="K169" s="365">
        <f t="shared" si="108"/>
        <v>0.008</v>
      </c>
      <c r="L169" s="365">
        <f t="shared" si="108"/>
        <v>0.008</v>
      </c>
      <c r="M169" s="365">
        <f t="shared" si="108"/>
        <v>0.008</v>
      </c>
      <c r="N169" s="365">
        <f t="shared" si="108"/>
        <v>0.008</v>
      </c>
    </row>
    <row r="170" outlineLevel="1">
      <c r="A170" s="200" t="str">
        <f>IFERROR(__xludf.DUMMYFUNCTION("""COMPUTED_VALUE"""),"HIV reduction")</f>
        <v>HIV reduction</v>
      </c>
      <c r="B170" s="354">
        <f t="shared" si="109"/>
        <v>0.06</v>
      </c>
      <c r="C170" s="110">
        <f t="array" ref="C170">iferror(if(isblank(A170),"",index(InclusionExclusion!$L:L,match(1,(InclusionExclusion!B:B=A170)*(InclusionExclusion!A:A="Deworming"),0))),"Not specified")</f>
        <v>0.06</v>
      </c>
      <c r="D170" s="365">
        <f t="shared" ref="D170:N170" si="110">$C170</f>
        <v>0.06</v>
      </c>
      <c r="E170" s="365">
        <f t="shared" si="110"/>
        <v>0.06</v>
      </c>
      <c r="F170" s="365">
        <f t="shared" si="110"/>
        <v>0.06</v>
      </c>
      <c r="G170" s="365">
        <f t="shared" si="110"/>
        <v>0.06</v>
      </c>
      <c r="H170" s="365">
        <f t="shared" si="110"/>
        <v>0.06</v>
      </c>
      <c r="I170" s="365">
        <f t="shared" si="110"/>
        <v>0.06</v>
      </c>
      <c r="J170" s="365">
        <f t="shared" si="110"/>
        <v>0.06</v>
      </c>
      <c r="K170" s="365">
        <f t="shared" si="110"/>
        <v>0.06</v>
      </c>
      <c r="L170" s="365">
        <f t="shared" si="110"/>
        <v>0.06</v>
      </c>
      <c r="M170" s="365">
        <f t="shared" si="110"/>
        <v>0.06</v>
      </c>
      <c r="N170" s="365">
        <f t="shared" si="110"/>
        <v>0.06</v>
      </c>
    </row>
    <row r="171" outlineLevel="1">
      <c r="A171" s="200" t="str">
        <f>IFERROR(__xludf.DUMMYFUNCTION("""COMPUTED_VALUE"""),"Possible increases in diseases of affluence (harms of deworming)")</f>
        <v>Possible increases in diseases of affluence (harms of deworming)</v>
      </c>
      <c r="B171" s="354">
        <f t="shared" si="109"/>
        <v>-0.025</v>
      </c>
      <c r="C171" s="110">
        <f t="array" ref="C171">iferror(if(isblank(A171),"",index(InclusionExclusion!$L:L,match(1,(InclusionExclusion!B:B=A171)*(InclusionExclusion!A:A="Deworming"),0))),"Not specified")</f>
        <v>-0.025</v>
      </c>
      <c r="D171" s="365">
        <f t="shared" ref="D171:N171" si="111">$C171</f>
        <v>-0.025</v>
      </c>
      <c r="E171" s="365">
        <f t="shared" si="111"/>
        <v>-0.025</v>
      </c>
      <c r="F171" s="365">
        <f t="shared" si="111"/>
        <v>-0.025</v>
      </c>
      <c r="G171" s="365">
        <f t="shared" si="111"/>
        <v>-0.025</v>
      </c>
      <c r="H171" s="365">
        <f t="shared" si="111"/>
        <v>-0.025</v>
      </c>
      <c r="I171" s="365">
        <f t="shared" si="111"/>
        <v>-0.025</v>
      </c>
      <c r="J171" s="365">
        <f t="shared" si="111"/>
        <v>-0.025</v>
      </c>
      <c r="K171" s="365">
        <f t="shared" si="111"/>
        <v>-0.025</v>
      </c>
      <c r="L171" s="365">
        <f t="shared" si="111"/>
        <v>-0.025</v>
      </c>
      <c r="M171" s="365">
        <f t="shared" si="111"/>
        <v>-0.025</v>
      </c>
      <c r="N171" s="365">
        <f t="shared" si="111"/>
        <v>-0.025</v>
      </c>
    </row>
    <row r="172" outlineLevel="1">
      <c r="A172" s="200" t="str">
        <f>IFERROR(__xludf.DUMMYFUNCTION("""COMPUTED_VALUE"""),"Averted mortality")</f>
        <v>Averted mortality</v>
      </c>
      <c r="B172" s="354">
        <f t="shared" si="109"/>
        <v>0.035</v>
      </c>
      <c r="C172" s="110">
        <f t="array" ref="C172">iferror(if(isblank(A172),"",index(InclusionExclusion!$L:L,match(1,(InclusionExclusion!B:B=A172)*(InclusionExclusion!A:A="Deworming"),0))),"Not specified")</f>
        <v>0.035</v>
      </c>
      <c r="D172" s="365">
        <f t="shared" ref="D172:N172" si="112">$C172</f>
        <v>0.035</v>
      </c>
      <c r="E172" s="365">
        <f t="shared" si="112"/>
        <v>0.035</v>
      </c>
      <c r="F172" s="365">
        <f t="shared" si="112"/>
        <v>0.035</v>
      </c>
      <c r="G172" s="365">
        <f t="shared" si="112"/>
        <v>0.035</v>
      </c>
      <c r="H172" s="365">
        <f t="shared" si="112"/>
        <v>0.035</v>
      </c>
      <c r="I172" s="365">
        <f t="shared" si="112"/>
        <v>0.035</v>
      </c>
      <c r="J172" s="365">
        <f t="shared" si="112"/>
        <v>0.035</v>
      </c>
      <c r="K172" s="365">
        <f t="shared" si="112"/>
        <v>0.035</v>
      </c>
      <c r="L172" s="365">
        <f t="shared" si="112"/>
        <v>0.035</v>
      </c>
      <c r="M172" s="365">
        <f t="shared" si="112"/>
        <v>0.035</v>
      </c>
      <c r="N172" s="365">
        <f t="shared" si="112"/>
        <v>0.035</v>
      </c>
    </row>
    <row r="173" outlineLevel="1">
      <c r="A173" s="200" t="str">
        <f>IFERROR(__xludf.DUMMYFUNCTION("""COMPUTED_VALUE"""),"Short-term anemia effects")</f>
        <v>Short-term anemia effects</v>
      </c>
      <c r="B173" s="354">
        <f t="shared" si="109"/>
        <v>0.09</v>
      </c>
      <c r="C173" s="110">
        <f t="array" ref="C173">iferror(if(isblank(A173),"",index(InclusionExclusion!$L:L,match(1,(InclusionExclusion!B:B=A173)*(InclusionExclusion!A:A="Deworming"),0))),"Not specified")</f>
        <v>0.09</v>
      </c>
      <c r="D173" s="365">
        <f t="shared" ref="D173:N173" si="113">$C173</f>
        <v>0.09</v>
      </c>
      <c r="E173" s="365">
        <f t="shared" si="113"/>
        <v>0.09</v>
      </c>
      <c r="F173" s="365">
        <f t="shared" si="113"/>
        <v>0.09</v>
      </c>
      <c r="G173" s="365">
        <f t="shared" si="113"/>
        <v>0.09</v>
      </c>
      <c r="H173" s="365">
        <f t="shared" si="113"/>
        <v>0.09</v>
      </c>
      <c r="I173" s="365">
        <f t="shared" si="113"/>
        <v>0.09</v>
      </c>
      <c r="J173" s="365">
        <f t="shared" si="113"/>
        <v>0.09</v>
      </c>
      <c r="K173" s="365">
        <f t="shared" si="113"/>
        <v>0.09</v>
      </c>
      <c r="L173" s="365">
        <f t="shared" si="113"/>
        <v>0.09</v>
      </c>
      <c r="M173" s="365">
        <f t="shared" si="113"/>
        <v>0.09</v>
      </c>
      <c r="N173" s="365">
        <f t="shared" si="113"/>
        <v>0.09</v>
      </c>
    </row>
    <row r="174" outlineLevel="1">
      <c r="A174" s="94" t="str">
        <f>IFERROR(__xludf.DUMMYFUNCTION("""COMPUTED_VALUE"""),"Investment of income increases")</f>
        <v>Investment of income increases</v>
      </c>
      <c r="B174" s="354">
        <f t="shared" si="109"/>
        <v>0.1</v>
      </c>
      <c r="C174" s="110">
        <f t="array" ref="C174">iferror(if(isblank(A174),"",index(InclusionExclusion!$L:L,match(1,(InclusionExclusion!B:B=A174)*(InclusionExclusion!A:A="Deworming"),0))),"Not specified")</f>
        <v>0.1</v>
      </c>
      <c r="D174" s="365">
        <f t="shared" ref="D174:N174" si="114">$C174</f>
        <v>0.1</v>
      </c>
      <c r="E174" s="365">
        <f t="shared" si="114"/>
        <v>0.1</v>
      </c>
      <c r="F174" s="365">
        <f t="shared" si="114"/>
        <v>0.1</v>
      </c>
      <c r="G174" s="365">
        <f t="shared" si="114"/>
        <v>0.1</v>
      </c>
      <c r="H174" s="365">
        <f t="shared" si="114"/>
        <v>0.1</v>
      </c>
      <c r="I174" s="365">
        <f t="shared" si="114"/>
        <v>0.1</v>
      </c>
      <c r="J174" s="365">
        <f t="shared" si="114"/>
        <v>0.1</v>
      </c>
      <c r="K174" s="365">
        <f t="shared" si="114"/>
        <v>0.1</v>
      </c>
      <c r="L174" s="365">
        <f t="shared" si="114"/>
        <v>0.1</v>
      </c>
      <c r="M174" s="365">
        <f t="shared" si="114"/>
        <v>0.1</v>
      </c>
      <c r="N174" s="365">
        <f t="shared" si="114"/>
        <v>0.1</v>
      </c>
    </row>
    <row r="175" outlineLevel="1">
      <c r="A175" s="200" t="str">
        <f>IFERROR(__xludf.DUMMYFUNCTION("""COMPUTED_VALUE"""),"Non-income long-run benefits of deworming")</f>
        <v>Non-income long-run benefits of deworming</v>
      </c>
      <c r="B175" s="354">
        <f t="shared" si="109"/>
        <v>0.04</v>
      </c>
      <c r="C175" s="110">
        <f t="array" ref="C175">iferror(if(isblank(A175),"",index(InclusionExclusion!$L:L,match(1,(InclusionExclusion!B:B=A175)*(InclusionExclusion!A:A="Deworming"),0))),"Not specified")</f>
        <v>0.04</v>
      </c>
      <c r="D175" s="365">
        <f t="shared" ref="D175:N175" si="115">$C175</f>
        <v>0.04</v>
      </c>
      <c r="E175" s="365">
        <f t="shared" si="115"/>
        <v>0.04</v>
      </c>
      <c r="F175" s="365">
        <f t="shared" si="115"/>
        <v>0.04</v>
      </c>
      <c r="G175" s="365">
        <f t="shared" si="115"/>
        <v>0.04</v>
      </c>
      <c r="H175" s="365">
        <f t="shared" si="115"/>
        <v>0.04</v>
      </c>
      <c r="I175" s="365">
        <f t="shared" si="115"/>
        <v>0.04</v>
      </c>
      <c r="J175" s="365">
        <f t="shared" si="115"/>
        <v>0.04</v>
      </c>
      <c r="K175" s="365">
        <f t="shared" si="115"/>
        <v>0.04</v>
      </c>
      <c r="L175" s="365">
        <f t="shared" si="115"/>
        <v>0.04</v>
      </c>
      <c r="M175" s="365">
        <f t="shared" si="115"/>
        <v>0.04</v>
      </c>
      <c r="N175" s="365">
        <f t="shared" si="115"/>
        <v>0.04</v>
      </c>
    </row>
    <row r="176" outlineLevel="1">
      <c r="A176" s="200" t="str">
        <f>IFERROR(__xludf.DUMMYFUNCTION("""COMPUTED_VALUE"""),"Other NTD prevention (relevant to Sightsavers and END Fund)")</f>
        <v>Other NTD prevention (relevant to Sightsavers and END Fund)</v>
      </c>
      <c r="B176" s="354">
        <f t="shared" si="109"/>
        <v>0.14</v>
      </c>
      <c r="C176" s="110">
        <f t="array" ref="C176">iferror(if(isblank(A176),"",index(InclusionExclusion!$L:L,match(1,(InclusionExclusion!B:B=A176)*(InclusionExclusion!A:A="Deworming"),0))),"Not specified")</f>
        <v>0.14</v>
      </c>
      <c r="D176" s="365">
        <f t="shared" ref="D176:N176" si="116">$C176</f>
        <v>0.14</v>
      </c>
      <c r="E176" s="365">
        <f t="shared" si="116"/>
        <v>0.14</v>
      </c>
      <c r="F176" s="365">
        <f t="shared" si="116"/>
        <v>0.14</v>
      </c>
      <c r="G176" s="365">
        <f t="shared" si="116"/>
        <v>0.14</v>
      </c>
      <c r="H176" s="365">
        <f t="shared" si="116"/>
        <v>0.14</v>
      </c>
      <c r="I176" s="365">
        <f t="shared" si="116"/>
        <v>0.14</v>
      </c>
      <c r="J176" s="365">
        <f t="shared" si="116"/>
        <v>0.14</v>
      </c>
      <c r="K176" s="365">
        <f t="shared" si="116"/>
        <v>0.14</v>
      </c>
      <c r="L176" s="365">
        <f t="shared" si="116"/>
        <v>0.14</v>
      </c>
      <c r="M176" s="365">
        <f t="shared" si="116"/>
        <v>0.14</v>
      </c>
      <c r="N176" s="365">
        <f t="shared" si="116"/>
        <v>0.14</v>
      </c>
    </row>
    <row r="177" outlineLevel="1">
      <c r="A177" s="200" t="str">
        <f>IFERROR(__xludf.DUMMYFUNCTION("""COMPUTED_VALUE"""),"Drug resistance")</f>
        <v>Drug resistance</v>
      </c>
      <c r="B177" s="354">
        <f t="shared" si="109"/>
        <v>-0.04</v>
      </c>
      <c r="C177" s="110">
        <f t="array" ref="C177">iferror(if(isblank(A177),"",index(InclusionExclusion!$L:L,match(1,(InclusionExclusion!B:B=A177)*(InclusionExclusion!A:A="Deworming"),0))),"Not specified")</f>
        <v>-0.04</v>
      </c>
      <c r="D177" s="365">
        <f t="shared" ref="D177:N177" si="117">$C177</f>
        <v>-0.04</v>
      </c>
      <c r="E177" s="365">
        <f t="shared" si="117"/>
        <v>-0.04</v>
      </c>
      <c r="F177" s="365">
        <f t="shared" si="117"/>
        <v>-0.04</v>
      </c>
      <c r="G177" s="365">
        <f t="shared" si="117"/>
        <v>-0.04</v>
      </c>
      <c r="H177" s="365">
        <f t="shared" si="117"/>
        <v>-0.04</v>
      </c>
      <c r="I177" s="365">
        <f t="shared" si="117"/>
        <v>-0.04</v>
      </c>
      <c r="J177" s="365">
        <f t="shared" si="117"/>
        <v>-0.04</v>
      </c>
      <c r="K177" s="365">
        <f t="shared" si="117"/>
        <v>-0.04</v>
      </c>
      <c r="L177" s="365">
        <f t="shared" si="117"/>
        <v>-0.04</v>
      </c>
      <c r="M177" s="365">
        <f t="shared" si="117"/>
        <v>-0.04</v>
      </c>
      <c r="N177" s="365">
        <f t="shared" si="117"/>
        <v>-0.04</v>
      </c>
    </row>
    <row r="178" outlineLevel="1">
      <c r="A178" s="200" t="str">
        <f>IFERROR(__xludf.DUMMYFUNCTION("""COMPUTED_VALUE"""),"Unprogrammed deworming")</f>
        <v>Unprogrammed deworming</v>
      </c>
      <c r="B178" s="354">
        <f t="shared" si="109"/>
        <v>-0.14</v>
      </c>
      <c r="C178" s="110">
        <f t="array" ref="C178">iferror(if(isblank(A178),"",index(InclusionExclusion!$L:L,match(1,(InclusionExclusion!B:B=A178)*(InclusionExclusion!A:A="Deworming"),0))),"Not specified")</f>
        <v>-0.14</v>
      </c>
      <c r="D178" s="365">
        <f t="shared" ref="D178:N178" si="118">$C178</f>
        <v>-0.14</v>
      </c>
      <c r="E178" s="365">
        <f t="shared" si="118"/>
        <v>-0.14</v>
      </c>
      <c r="F178" s="365">
        <f t="shared" si="118"/>
        <v>-0.14</v>
      </c>
      <c r="G178" s="365">
        <f t="shared" si="118"/>
        <v>-0.14</v>
      </c>
      <c r="H178" s="365">
        <f t="shared" si="118"/>
        <v>-0.14</v>
      </c>
      <c r="I178" s="365">
        <f t="shared" si="118"/>
        <v>-0.14</v>
      </c>
      <c r="J178" s="365">
        <f t="shared" si="118"/>
        <v>-0.14</v>
      </c>
      <c r="K178" s="365">
        <f t="shared" si="118"/>
        <v>-0.14</v>
      </c>
      <c r="L178" s="365">
        <f t="shared" si="118"/>
        <v>-0.14</v>
      </c>
      <c r="M178" s="365">
        <f t="shared" si="118"/>
        <v>-0.14</v>
      </c>
      <c r="N178" s="365">
        <f t="shared" si="118"/>
        <v>-0.14</v>
      </c>
    </row>
    <row r="179" outlineLevel="1">
      <c r="A179" s="94" t="str">
        <f>IFERROR(__xludf.DUMMYFUNCTION("""COMPUTED_VALUE"""),"Marginal funding goes to lower priority areas")</f>
        <v>Marginal funding goes to lower priority areas</v>
      </c>
      <c r="B179" s="354">
        <f t="shared" si="109"/>
        <v>-0.025</v>
      </c>
      <c r="C179" s="110">
        <f t="array" ref="C179">iferror(if(isblank(A179),"",index(InclusionExclusion!$L:L,match(1,(InclusionExclusion!B:B=A179)*(InclusionExclusion!A:A="Deworming"),0))),"Not specified")</f>
        <v>-0.025</v>
      </c>
      <c r="D179" s="365">
        <f t="shared" ref="D179:N179" si="119">$C179</f>
        <v>-0.025</v>
      </c>
      <c r="E179" s="365">
        <f t="shared" si="119"/>
        <v>-0.025</v>
      </c>
      <c r="F179" s="365">
        <f t="shared" si="119"/>
        <v>-0.025</v>
      </c>
      <c r="G179" s="365">
        <f t="shared" si="119"/>
        <v>-0.025</v>
      </c>
      <c r="H179" s="365">
        <f t="shared" si="119"/>
        <v>-0.025</v>
      </c>
      <c r="I179" s="365">
        <f t="shared" si="119"/>
        <v>-0.025</v>
      </c>
      <c r="J179" s="365">
        <f t="shared" si="119"/>
        <v>-0.025</v>
      </c>
      <c r="K179" s="365">
        <f t="shared" si="119"/>
        <v>-0.025</v>
      </c>
      <c r="L179" s="365">
        <f t="shared" si="119"/>
        <v>-0.025</v>
      </c>
      <c r="M179" s="365">
        <f t="shared" si="119"/>
        <v>-0.025</v>
      </c>
      <c r="N179" s="365">
        <f t="shared" si="119"/>
        <v>-0.025</v>
      </c>
    </row>
    <row r="180" outlineLevel="1">
      <c r="A180" s="94" t="str">
        <f>IFERROR(__xludf.DUMMYFUNCTION("""COMPUTED_VALUE"""),"General equilibrium effects")</f>
        <v>General equilibrium effects</v>
      </c>
      <c r="B180" s="354">
        <f t="shared" si="109"/>
        <v>-0.03</v>
      </c>
      <c r="C180" s="110">
        <f t="array" ref="C180">iferror(if(isblank(A180),"",index(InclusionExclusion!$L:L,match(1,(InclusionExclusion!B:B=A180)*(InclusionExclusion!A:A="Deworming"),0))),"Not specified")</f>
        <v>-0.03</v>
      </c>
      <c r="D180" s="365">
        <f t="shared" ref="D180:N180" si="120">$C180</f>
        <v>-0.03</v>
      </c>
      <c r="E180" s="365">
        <f t="shared" si="120"/>
        <v>-0.03</v>
      </c>
      <c r="F180" s="365">
        <f t="shared" si="120"/>
        <v>-0.03</v>
      </c>
      <c r="G180" s="365">
        <f t="shared" si="120"/>
        <v>-0.03</v>
      </c>
      <c r="H180" s="365">
        <f t="shared" si="120"/>
        <v>-0.03</v>
      </c>
      <c r="I180" s="365">
        <f t="shared" si="120"/>
        <v>-0.03</v>
      </c>
      <c r="J180" s="365">
        <f t="shared" si="120"/>
        <v>-0.03</v>
      </c>
      <c r="K180" s="365">
        <f t="shared" si="120"/>
        <v>-0.03</v>
      </c>
      <c r="L180" s="365">
        <f t="shared" si="120"/>
        <v>-0.03</v>
      </c>
      <c r="M180" s="365">
        <f t="shared" si="120"/>
        <v>-0.03</v>
      </c>
      <c r="N180" s="365">
        <f t="shared" si="120"/>
        <v>-0.03</v>
      </c>
    </row>
    <row r="181" outlineLevel="1">
      <c r="A181" s="94"/>
      <c r="B181" s="354" t="str">
        <f t="shared" si="109"/>
        <v/>
      </c>
      <c r="C181" s="110" t="str">
        <f t="array" ref="C181">iferror(if(isblank(A181),"",index(InclusionExclusion!$L:L,match(1,(InclusionExclusion!B:B=A181)*(InclusionExclusion!A:A="Deworming"),0))),"Not specified")</f>
        <v/>
      </c>
      <c r="D181" s="365" t="str">
        <f t="shared" ref="D181:N181" si="121">$C181</f>
        <v/>
      </c>
      <c r="E181" s="365" t="str">
        <f t="shared" si="121"/>
        <v/>
      </c>
      <c r="F181" s="365" t="str">
        <f t="shared" si="121"/>
        <v/>
      </c>
      <c r="G181" s="365" t="str">
        <f t="shared" si="121"/>
        <v/>
      </c>
      <c r="H181" s="365" t="str">
        <f t="shared" si="121"/>
        <v/>
      </c>
      <c r="I181" s="365" t="str">
        <f t="shared" si="121"/>
        <v/>
      </c>
      <c r="J181" s="365" t="str">
        <f t="shared" si="121"/>
        <v/>
      </c>
      <c r="K181" s="365" t="str">
        <f t="shared" si="121"/>
        <v/>
      </c>
      <c r="L181" s="365" t="str">
        <f t="shared" si="121"/>
        <v/>
      </c>
      <c r="M181" s="365" t="str">
        <f t="shared" si="121"/>
        <v/>
      </c>
      <c r="N181" s="365" t="str">
        <f t="shared" si="121"/>
        <v/>
      </c>
    </row>
    <row r="182">
      <c r="A182" s="366" t="s">
        <v>276</v>
      </c>
      <c r="B182" s="355">
        <f t="shared" si="109"/>
        <v>1.213</v>
      </c>
      <c r="C182" s="361">
        <f t="shared" ref="C182:N182" si="122">1+sum(C168:C181)</f>
        <v>1.213</v>
      </c>
      <c r="D182" s="361">
        <f t="shared" si="122"/>
        <v>1.213</v>
      </c>
      <c r="E182" s="361">
        <f t="shared" si="122"/>
        <v>1.213</v>
      </c>
      <c r="F182" s="361">
        <f t="shared" si="122"/>
        <v>1.213</v>
      </c>
      <c r="G182" s="361">
        <f t="shared" si="122"/>
        <v>1.213</v>
      </c>
      <c r="H182" s="361">
        <f t="shared" si="122"/>
        <v>1.213</v>
      </c>
      <c r="I182" s="361">
        <f t="shared" si="122"/>
        <v>1.213</v>
      </c>
      <c r="J182" s="361">
        <f t="shared" si="122"/>
        <v>1.213</v>
      </c>
      <c r="K182" s="361">
        <f t="shared" si="122"/>
        <v>1.213</v>
      </c>
      <c r="L182" s="361">
        <f t="shared" si="122"/>
        <v>1.213</v>
      </c>
      <c r="M182" s="361">
        <f t="shared" si="122"/>
        <v>1.213</v>
      </c>
      <c r="N182" s="361">
        <f t="shared" si="122"/>
        <v>1.213</v>
      </c>
    </row>
    <row r="183">
      <c r="A183" s="367" t="s">
        <v>277</v>
      </c>
      <c r="B183" s="363" t="str">
        <f t="shared" si="109"/>
        <v>OK</v>
      </c>
      <c r="C183" s="368" t="str">
        <f t="array" ref="C183">if(C182=index(InclusionExclusion!$L:$L,match("Deworming adjustment factor",InclusionExclusion!$J:$J,0)),"OK","Error")</f>
        <v>OK</v>
      </c>
      <c r="D183" s="368" t="str">
        <f t="array" ref="D183">if(D182=index(InclusionExclusion!$L:$L,match("Deworming adjustment factor",InclusionExclusion!$J:$J,0)),"OK","Error")</f>
        <v>OK</v>
      </c>
      <c r="E183" s="368" t="str">
        <f t="array" ref="E183">if(E182=index(InclusionExclusion!$L:$L,match("Deworming adjustment factor",InclusionExclusion!$J:$J,0)),"OK","Error")</f>
        <v>OK</v>
      </c>
      <c r="F183" s="368" t="str">
        <f t="array" ref="F183">if(F182=index(InclusionExclusion!$L:$L,match("Deworming adjustment factor",InclusionExclusion!$J:$J,0)),"OK","Error")</f>
        <v>OK</v>
      </c>
      <c r="G183" s="368" t="str">
        <f t="array" ref="G183">if(G182=index(InclusionExclusion!$L:$L,match("Deworming adjustment factor",InclusionExclusion!$J:$J,0)),"OK","Error")</f>
        <v>OK</v>
      </c>
      <c r="H183" s="368" t="str">
        <f t="array" ref="H183">if(H182=index(InclusionExclusion!$L:$L,match("Deworming adjustment factor",InclusionExclusion!$J:$J,0)),"OK","Error")</f>
        <v>OK</v>
      </c>
      <c r="I183" s="368" t="str">
        <f t="array" ref="I183">if(I182=index(InclusionExclusion!$L:$L,match("Deworming adjustment factor",InclusionExclusion!$J:$J,0)),"OK","Error")</f>
        <v>OK</v>
      </c>
      <c r="J183" s="368" t="str">
        <f t="array" ref="J183">if(J182=index(InclusionExclusion!$L:$L,match("Deworming adjustment factor",InclusionExclusion!$J:$J,0)),"OK","Error")</f>
        <v>OK</v>
      </c>
      <c r="K183" s="368" t="str">
        <f t="array" ref="K183">if(K182=index(InclusionExclusion!$L:$L,match("Deworming adjustment factor",InclusionExclusion!$J:$J,0)),"OK","Error")</f>
        <v>OK</v>
      </c>
      <c r="L183" s="368" t="str">
        <f t="array" ref="L183">if(L182=index(InclusionExclusion!$L:$L,match("Deworming adjustment factor",InclusionExclusion!$J:$J,0)),"OK","Error")</f>
        <v>OK</v>
      </c>
      <c r="M183" s="368" t="str">
        <f t="array" ref="M183">if(M182=index(InclusionExclusion!$L:$L,match("Deworming adjustment factor",InclusionExclusion!$J:$J,0)),"OK","Error")</f>
        <v>OK</v>
      </c>
      <c r="N183" s="368" t="str">
        <f t="array" ref="N183">if(N182=index(InclusionExclusion!$L:$L,match("Deworming adjustment factor",InclusionExclusion!$J:$J,0)),"OK","Error")</f>
        <v>OK</v>
      </c>
    </row>
    <row r="184">
      <c r="A184" s="167"/>
      <c r="B184" s="363"/>
      <c r="C184" s="364"/>
      <c r="D184" s="364"/>
      <c r="E184" s="353"/>
      <c r="F184" s="353"/>
      <c r="G184" s="353"/>
      <c r="H184" s="353"/>
      <c r="I184" s="353"/>
      <c r="J184" s="353"/>
      <c r="K184" s="353"/>
      <c r="L184" s="353"/>
      <c r="M184" s="353"/>
      <c r="N184" s="353"/>
    </row>
    <row r="185">
      <c r="A185" s="350" t="s">
        <v>278</v>
      </c>
      <c r="B185" s="350"/>
      <c r="C185" s="350"/>
      <c r="D185" s="350"/>
      <c r="E185" s="350"/>
      <c r="F185" s="350"/>
      <c r="G185" s="350"/>
      <c r="H185" s="350"/>
      <c r="I185" s="350"/>
      <c r="J185" s="350"/>
      <c r="K185" s="350"/>
      <c r="L185" s="350"/>
      <c r="M185" s="350"/>
      <c r="N185" s="350"/>
    </row>
    <row r="186">
      <c r="A186" s="167" t="s">
        <v>279</v>
      </c>
      <c r="B186" s="363">
        <f t="array" ref="B186">index(C186:W186,,match($A$3,$C$1:$W$1,0))</f>
        <v>3153.345079</v>
      </c>
      <c r="C186" s="364">
        <f t="shared" ref="C186:N186" si="123">C138*(C162)*C182</f>
        <v>3153.345079</v>
      </c>
      <c r="D186" s="364">
        <f t="shared" si="123"/>
        <v>874.4198449</v>
      </c>
      <c r="E186" s="364">
        <f t="shared" si="123"/>
        <v>14108.46025</v>
      </c>
      <c r="F186" s="364">
        <f t="shared" si="123"/>
        <v>83.76915093</v>
      </c>
      <c r="G186" s="364">
        <f t="shared" si="123"/>
        <v>10259.97451</v>
      </c>
      <c r="H186" s="364">
        <f t="shared" si="123"/>
        <v>2815.182787</v>
      </c>
      <c r="I186" s="364">
        <f t="shared" si="123"/>
        <v>1687.439289</v>
      </c>
      <c r="J186" s="364">
        <f t="shared" si="123"/>
        <v>5650.439288</v>
      </c>
      <c r="K186" s="364">
        <f t="shared" si="123"/>
        <v>4540.932994</v>
      </c>
      <c r="L186" s="364">
        <f t="shared" si="123"/>
        <v>8054.369591</v>
      </c>
      <c r="M186" s="364">
        <f t="shared" si="123"/>
        <v>5095.686141</v>
      </c>
      <c r="N186" s="364">
        <f t="shared" si="123"/>
        <v>2349.960067</v>
      </c>
    </row>
    <row r="187">
      <c r="A187" s="369"/>
      <c r="B187" s="643"/>
      <c r="C187" s="364"/>
      <c r="D187" s="364"/>
      <c r="E187" s="364"/>
      <c r="F187" s="364"/>
      <c r="G187" s="364"/>
      <c r="H187" s="364"/>
      <c r="I187" s="364"/>
      <c r="J187" s="364"/>
      <c r="K187" s="364"/>
      <c r="L187" s="364"/>
      <c r="M187" s="364"/>
      <c r="N187" s="364"/>
    </row>
    <row r="188">
      <c r="A188" s="545" t="s">
        <v>280</v>
      </c>
      <c r="B188" s="370">
        <f t="array" ref="B188">index(C188:W188,,match($A$3,$C$1:$W$1,0))</f>
        <v>9.166044832</v>
      </c>
      <c r="C188" s="371">
        <f t="array" ref="C188">C186/index(Cash!$B:$B,match("Total units of value generated with hypothetical donation ($100,000)",Cash!$A:$A,0))</f>
        <v>9.166044832</v>
      </c>
      <c r="D188" s="371">
        <f t="array" ref="D188">D186/index(Cash!$B:$B,match("Total units of value generated with hypothetical donation ($100,000)",Cash!$A:$A,0))</f>
        <v>2.541736252</v>
      </c>
      <c r="E188" s="371">
        <f t="array" ref="E188">E186/index(Cash!$B:$B,match("Total units of value generated with hypothetical donation ($100,000)",Cash!$A:$A,0))</f>
        <v>41.0100309</v>
      </c>
      <c r="F188" s="371">
        <f t="array" ref="F188">F186/index(Cash!$B:$B,match("Total units of value generated with hypothetical donation ($100,000)",Cash!$A:$A,0))</f>
        <v>0.2434975475</v>
      </c>
      <c r="G188" s="371">
        <f t="array" ref="G188">G186/index(Cash!$B:$B,match("Total units of value generated with hypothetical donation ($100,000)",Cash!$A:$A,0))</f>
        <v>29.82337295</v>
      </c>
      <c r="H188" s="371">
        <f t="array" ref="H188">H186/index(Cash!$B:$B,match("Total units of value generated with hypothetical donation ($100,000)",Cash!$A:$A,0))</f>
        <v>8.183085262</v>
      </c>
      <c r="I188" s="371">
        <f t="array" ref="I188">I186/index(Cash!$B:$B,match("Total units of value generated with hypothetical donation ($100,000)",Cash!$A:$A,0))</f>
        <v>4.90499574</v>
      </c>
      <c r="J188" s="371">
        <f t="array" ref="J188">J186/index(Cash!$B:$B,match("Total units of value generated with hypothetical donation ($100,000)",Cash!$A:$A,0))</f>
        <v>16.42452017</v>
      </c>
      <c r="K188" s="371">
        <f t="array" ref="K188">K186/index(Cash!$B:$B,match("Total units of value generated with hypothetical donation ($100,000)",Cash!$A:$A,0))</f>
        <v>13.19944198</v>
      </c>
      <c r="L188" s="371">
        <f t="array" ref="L188">L186/index(Cash!$B:$B,match("Total units of value generated with hypothetical donation ($100,000)",Cash!$A:$A,0))</f>
        <v>23.41218957</v>
      </c>
      <c r="M188" s="371">
        <f t="array" ref="M188">M186/index(Cash!$B:$B,match("Total units of value generated with hypothetical donation ($100,000)",Cash!$A:$A,0))</f>
        <v>14.81198107</v>
      </c>
      <c r="N188" s="371">
        <f t="array" ref="N188">N186/index(Cash!$B:$B,match("Total units of value generated with hypothetical donation ($100,000)",Cash!$A:$A,0))</f>
        <v>6.830790411</v>
      </c>
    </row>
    <row r="189">
      <c r="A189" s="40"/>
      <c r="B189" s="353"/>
      <c r="C189" s="110"/>
      <c r="D189" s="353"/>
      <c r="E189" s="353"/>
      <c r="F189" s="353"/>
      <c r="G189" s="353"/>
      <c r="H189" s="353"/>
      <c r="I189" s="353"/>
      <c r="J189" s="353"/>
      <c r="K189" s="353"/>
      <c r="L189" s="353"/>
      <c r="M189" s="353"/>
      <c r="N189" s="353"/>
    </row>
    <row r="190">
      <c r="A190" s="40"/>
      <c r="B190" s="353"/>
      <c r="C190" s="110"/>
      <c r="D190" s="353"/>
      <c r="E190" s="353"/>
      <c r="F190" s="353"/>
      <c r="G190" s="353"/>
      <c r="H190" s="353"/>
      <c r="I190" s="353"/>
      <c r="J190" s="353"/>
      <c r="K190" s="353"/>
      <c r="L190" s="353"/>
      <c r="M190" s="353"/>
      <c r="N190" s="353"/>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9.29"/>
    <col customWidth="1" min="2" max="7" width="17.29"/>
  </cols>
  <sheetData>
    <row r="1">
      <c r="A1" s="546" t="s">
        <v>439</v>
      </c>
      <c r="B1" s="373" t="s">
        <v>39</v>
      </c>
      <c r="C1" s="644" t="s">
        <v>96</v>
      </c>
      <c r="D1" s="644" t="s">
        <v>440</v>
      </c>
      <c r="E1" s="644" t="s">
        <v>441</v>
      </c>
      <c r="F1" s="644" t="s">
        <v>147</v>
      </c>
      <c r="G1" s="644" t="s">
        <v>144</v>
      </c>
    </row>
    <row r="2">
      <c r="A2" s="547" t="s">
        <v>148</v>
      </c>
      <c r="B2" s="710"/>
      <c r="C2" s="415"/>
      <c r="D2" s="415"/>
      <c r="E2" s="415"/>
      <c r="F2" s="415"/>
      <c r="G2" s="415"/>
    </row>
    <row r="3">
      <c r="A3" s="550" t="str">
        <f>Results!C13</f>
        <v>Overall</v>
      </c>
      <c r="B3" s="710"/>
      <c r="C3" s="415"/>
      <c r="D3" s="415"/>
      <c r="E3" s="415"/>
      <c r="F3" s="415"/>
      <c r="G3" s="415"/>
    </row>
    <row r="4">
      <c r="A4" s="415"/>
      <c r="B4" s="597"/>
      <c r="C4" s="415"/>
      <c r="D4" s="415"/>
      <c r="E4" s="415"/>
      <c r="F4" s="415"/>
      <c r="G4" s="415"/>
    </row>
    <row r="5">
      <c r="A5" s="174" t="s">
        <v>149</v>
      </c>
      <c r="B5" s="595"/>
      <c r="C5" s="595"/>
      <c r="D5" s="595"/>
      <c r="E5" s="595"/>
      <c r="F5" s="595"/>
      <c r="G5" s="595"/>
    </row>
    <row r="6">
      <c r="A6" s="415"/>
      <c r="B6" s="597"/>
      <c r="C6" s="415"/>
      <c r="D6" s="415"/>
      <c r="E6" s="415"/>
      <c r="F6" s="415"/>
      <c r="G6" s="415"/>
    </row>
    <row r="7">
      <c r="A7" s="94" t="s">
        <v>150</v>
      </c>
      <c r="B7" s="289">
        <f t="array" ref="B7">index(A7:Z7,,match($A$3,$A$1:$Z$1,0))</f>
        <v>1</v>
      </c>
      <c r="C7" s="180">
        <f>sum(D7:Z7)</f>
        <v>1</v>
      </c>
      <c r="D7" s="47">
        <f>11.3/(11.6+11.3+10.2+2.5)</f>
        <v>0.3174157303</v>
      </c>
      <c r="E7" s="47">
        <f>10.2/(11.6+11.3+10.2+2.5)</f>
        <v>0.2865168539</v>
      </c>
      <c r="F7" s="47">
        <f>11.6/(11.6+11.3+10.2+2.5)</f>
        <v>0.3258426966</v>
      </c>
      <c r="G7" s="711">
        <f>2.5/(11.6+11.3+10.2+2.5)</f>
        <v>0.0702247191</v>
      </c>
    </row>
    <row r="8">
      <c r="A8" s="415"/>
      <c r="B8" s="597"/>
      <c r="C8" s="415"/>
      <c r="D8" s="415"/>
      <c r="E8" s="415"/>
      <c r="F8" s="415"/>
      <c r="G8" s="555"/>
    </row>
    <row r="9">
      <c r="A9" s="654" t="s">
        <v>442</v>
      </c>
      <c r="B9" s="595"/>
      <c r="C9" s="596"/>
      <c r="D9" s="596"/>
      <c r="E9" s="596"/>
      <c r="F9" s="596"/>
      <c r="G9" s="596"/>
    </row>
    <row r="10">
      <c r="A10" s="655"/>
      <c r="B10" s="597"/>
      <c r="C10" s="415"/>
      <c r="D10" s="415"/>
      <c r="E10" s="415"/>
      <c r="F10" s="415"/>
      <c r="G10" s="415"/>
    </row>
    <row r="11">
      <c r="A11" s="94" t="s">
        <v>153</v>
      </c>
      <c r="B11" s="607">
        <f t="shared" ref="B11:B15" si="2">index(A11:W11,,match($A$3,$A$1:$W$1,0))</f>
        <v>100000</v>
      </c>
      <c r="C11" s="712">
        <v>100000.0</v>
      </c>
      <c r="D11" s="608">
        <f t="shared" ref="D11:G11" si="1">if($C$11*D7&lt;&gt;0,$C$11*D7,1)</f>
        <v>31741.57303</v>
      </c>
      <c r="E11" s="608">
        <f t="shared" si="1"/>
        <v>28651.68539</v>
      </c>
      <c r="F11" s="608">
        <f t="shared" si="1"/>
        <v>32584.26966</v>
      </c>
      <c r="G11" s="713">
        <f t="shared" si="1"/>
        <v>7022.47191</v>
      </c>
    </row>
    <row r="12">
      <c r="A12" s="555" t="s">
        <v>443</v>
      </c>
      <c r="B12" s="587">
        <f t="shared" si="2"/>
        <v>4</v>
      </c>
      <c r="C12" s="714">
        <v>4.0</v>
      </c>
      <c r="D12" s="715">
        <f t="shared" ref="D12:G12" si="3">$C$12</f>
        <v>4</v>
      </c>
      <c r="E12" s="715">
        <f t="shared" si="3"/>
        <v>4</v>
      </c>
      <c r="F12" s="715">
        <f t="shared" si="3"/>
        <v>4</v>
      </c>
      <c r="G12" s="715">
        <f t="shared" si="3"/>
        <v>4</v>
      </c>
    </row>
    <row r="13">
      <c r="A13" s="555" t="s">
        <v>444</v>
      </c>
      <c r="B13" s="716">
        <f t="shared" si="2"/>
        <v>7.423051272</v>
      </c>
      <c r="C13" s="500">
        <f>sumproduct(D13:W13,D7:W7)</f>
        <v>7.423051272</v>
      </c>
      <c r="D13" s="490">
        <v>6.062378278731254</v>
      </c>
      <c r="E13" s="490">
        <v>8.767515119266744</v>
      </c>
      <c r="F13" s="490">
        <v>7.700611768693678</v>
      </c>
      <c r="G13" s="490">
        <v>6.8</v>
      </c>
    </row>
    <row r="14">
      <c r="A14" s="555" t="s">
        <v>445</v>
      </c>
      <c r="B14" s="587">
        <f t="shared" si="2"/>
        <v>13767.86893</v>
      </c>
      <c r="C14" s="588">
        <f t="shared" ref="C14:C15" si="5">sum(D14:W14)</f>
        <v>13767.86893</v>
      </c>
      <c r="D14" s="588">
        <f t="shared" ref="D14:G14" si="4">D11/D13</f>
        <v>5235.828511</v>
      </c>
      <c r="E14" s="588">
        <f t="shared" si="4"/>
        <v>3267.93681</v>
      </c>
      <c r="F14" s="588">
        <f t="shared" si="4"/>
        <v>4231.387147</v>
      </c>
      <c r="G14" s="588">
        <f t="shared" si="4"/>
        <v>1032.716457</v>
      </c>
    </row>
    <row r="15">
      <c r="A15" s="555" t="s">
        <v>446</v>
      </c>
      <c r="B15" s="685">
        <f t="shared" si="2"/>
        <v>1</v>
      </c>
      <c r="C15" s="419">
        <f t="shared" si="5"/>
        <v>1</v>
      </c>
      <c r="D15" s="419">
        <f t="shared" ref="D15:G15" si="6">D14/$C$14</f>
        <v>0.3802933147</v>
      </c>
      <c r="E15" s="419">
        <f t="shared" si="6"/>
        <v>0.237359669</v>
      </c>
      <c r="F15" s="419">
        <f t="shared" si="6"/>
        <v>0.3073378436</v>
      </c>
      <c r="G15" s="419">
        <f t="shared" si="6"/>
        <v>0.07500917266</v>
      </c>
    </row>
    <row r="16">
      <c r="A16" s="415"/>
      <c r="B16" s="597"/>
      <c r="C16" s="717"/>
      <c r="D16" s="415"/>
      <c r="E16" s="415"/>
      <c r="F16" s="415"/>
      <c r="G16" s="415"/>
    </row>
    <row r="17">
      <c r="A17" s="264" t="s">
        <v>447</v>
      </c>
      <c r="B17" s="595"/>
      <c r="C17" s="718"/>
      <c r="D17" s="596"/>
      <c r="E17" s="596"/>
      <c r="F17" s="596"/>
      <c r="G17" s="596"/>
    </row>
    <row r="18">
      <c r="A18" s="625"/>
      <c r="B18" s="597"/>
      <c r="C18" s="719"/>
      <c r="D18" s="415"/>
      <c r="E18" s="415"/>
      <c r="F18" s="415"/>
      <c r="G18" s="415"/>
    </row>
    <row r="19">
      <c r="A19" s="625" t="s">
        <v>448</v>
      </c>
      <c r="B19" s="696">
        <f t="shared" ref="B19:B24" si="8">index(A19:W19,,match($A$3,$A$1:$W$1,0))</f>
        <v>0.25</v>
      </c>
      <c r="C19" s="720">
        <v>0.25</v>
      </c>
      <c r="D19" s="721">
        <f t="shared" ref="D19:G19" si="7">$C$19</f>
        <v>0.25</v>
      </c>
      <c r="E19" s="721">
        <f t="shared" si="7"/>
        <v>0.25</v>
      </c>
      <c r="F19" s="721">
        <f t="shared" si="7"/>
        <v>0.25</v>
      </c>
      <c r="G19" s="721">
        <f t="shared" si="7"/>
        <v>0.25</v>
      </c>
    </row>
    <row r="20">
      <c r="A20" s="722" t="s">
        <v>449</v>
      </c>
      <c r="B20" s="685">
        <f t="shared" si="8"/>
        <v>0.75</v>
      </c>
      <c r="C20" s="723">
        <f>1-C19</f>
        <v>0.75</v>
      </c>
      <c r="D20" s="724">
        <f t="shared" ref="D20:G20" si="9">$C$20</f>
        <v>0.75</v>
      </c>
      <c r="E20" s="724">
        <f t="shared" si="9"/>
        <v>0.75</v>
      </c>
      <c r="F20" s="724">
        <f t="shared" si="9"/>
        <v>0.75</v>
      </c>
      <c r="G20" s="724">
        <f t="shared" si="9"/>
        <v>0.75</v>
      </c>
    </row>
    <row r="21">
      <c r="A21" s="537" t="s">
        <v>450</v>
      </c>
      <c r="B21" s="685">
        <f t="shared" si="8"/>
        <v>0.95</v>
      </c>
      <c r="C21" s="402">
        <v>0.95</v>
      </c>
      <c r="D21" s="724">
        <f t="shared" ref="D21:G21" si="10">$C$21</f>
        <v>0.95</v>
      </c>
      <c r="E21" s="724">
        <f t="shared" si="10"/>
        <v>0.95</v>
      </c>
      <c r="F21" s="724">
        <f t="shared" si="10"/>
        <v>0.95</v>
      </c>
      <c r="G21" s="724">
        <f t="shared" si="10"/>
        <v>0.95</v>
      </c>
    </row>
    <row r="22">
      <c r="A22" s="537" t="s">
        <v>451</v>
      </c>
      <c r="B22" s="685">
        <f t="shared" si="8"/>
        <v>1</v>
      </c>
      <c r="C22" s="402">
        <v>1.0</v>
      </c>
      <c r="D22" s="724">
        <f t="shared" ref="D22:G22" si="11">$C$22</f>
        <v>1</v>
      </c>
      <c r="E22" s="724">
        <f t="shared" si="11"/>
        <v>1</v>
      </c>
      <c r="F22" s="724">
        <f t="shared" si="11"/>
        <v>1</v>
      </c>
      <c r="G22" s="724">
        <f t="shared" si="11"/>
        <v>1</v>
      </c>
    </row>
    <row r="23">
      <c r="A23" s="725" t="s">
        <v>452</v>
      </c>
      <c r="B23" s="685">
        <f t="shared" si="8"/>
        <v>0.8977</v>
      </c>
      <c r="C23" s="47">
        <v>0.8977</v>
      </c>
      <c r="D23" s="726">
        <f t="shared" ref="D23:G23" si="12">$C$23</f>
        <v>0.8977</v>
      </c>
      <c r="E23" s="726">
        <f t="shared" si="12"/>
        <v>0.8977</v>
      </c>
      <c r="F23" s="726">
        <f t="shared" si="12"/>
        <v>0.8977</v>
      </c>
      <c r="G23" s="726">
        <f t="shared" si="12"/>
        <v>0.8977</v>
      </c>
    </row>
    <row r="24">
      <c r="A24" s="722" t="s">
        <v>453</v>
      </c>
      <c r="B24" s="727">
        <f t="shared" si="8"/>
        <v>0.7936949983</v>
      </c>
      <c r="C24" s="728">
        <f>$C$20/C23*$C$21*$C$22</f>
        <v>0.7936949983</v>
      </c>
      <c r="D24" s="728">
        <f t="shared" ref="D24:G24" si="13">D20/D23*D21*D22</f>
        <v>0.7936949983</v>
      </c>
      <c r="E24" s="728">
        <f t="shared" si="13"/>
        <v>0.7936949983</v>
      </c>
      <c r="F24" s="728">
        <f t="shared" si="13"/>
        <v>0.7936949983</v>
      </c>
      <c r="G24" s="728">
        <f t="shared" si="13"/>
        <v>0.7936949983</v>
      </c>
    </row>
    <row r="25">
      <c r="A25" s="415"/>
      <c r="B25" s="597"/>
      <c r="C25" s="415"/>
      <c r="D25" s="415"/>
      <c r="E25" s="415"/>
      <c r="F25" s="415"/>
      <c r="G25" s="415"/>
    </row>
    <row r="26">
      <c r="A26" s="654" t="s">
        <v>454</v>
      </c>
      <c r="B26" s="595"/>
      <c r="C26" s="596"/>
      <c r="D26" s="596"/>
      <c r="E26" s="596"/>
      <c r="F26" s="596"/>
      <c r="G26" s="596"/>
    </row>
    <row r="27">
      <c r="A27" s="94"/>
      <c r="B27" s="120"/>
      <c r="C27" s="120"/>
      <c r="D27" s="120"/>
      <c r="E27" s="120"/>
      <c r="F27" s="120"/>
      <c r="G27" s="120"/>
    </row>
    <row r="28">
      <c r="A28" s="729" t="s">
        <v>455</v>
      </c>
      <c r="B28" s="120"/>
      <c r="C28" s="120"/>
      <c r="D28" s="94"/>
      <c r="E28" s="94"/>
      <c r="F28" s="94"/>
      <c r="G28" s="94"/>
    </row>
    <row r="29">
      <c r="A29" s="94"/>
      <c r="B29" s="120"/>
      <c r="C29" s="120"/>
      <c r="D29" s="94"/>
      <c r="E29" s="94"/>
      <c r="F29" s="94"/>
      <c r="G29" s="94"/>
    </row>
    <row r="30">
      <c r="A30" s="730" t="s">
        <v>456</v>
      </c>
      <c r="B30" s="120"/>
      <c r="C30" s="120"/>
      <c r="D30" s="120"/>
      <c r="E30" s="120"/>
      <c r="F30" s="120"/>
      <c r="G30" s="120"/>
    </row>
    <row r="31">
      <c r="A31" s="731" t="s">
        <v>457</v>
      </c>
      <c r="B31" s="120"/>
      <c r="C31" s="120"/>
      <c r="D31" s="94"/>
      <c r="E31" s="94"/>
      <c r="F31" s="94"/>
      <c r="G31" s="94"/>
    </row>
    <row r="32">
      <c r="A32" s="732" t="s">
        <v>458</v>
      </c>
      <c r="B32" s="733">
        <f t="shared" ref="B32:B40" si="14">index($A$1:$W$50,match($A32,$A$1:$A$50,0),match($A$3,$A$1:$W$1,0))</f>
        <v>132931.1625</v>
      </c>
      <c r="C32" s="296">
        <f t="shared" ref="C32:C35" si="15">sum(D32:W32)</f>
        <v>132931.1625</v>
      </c>
      <c r="D32" s="734">
        <v>21006.9757378959</v>
      </c>
      <c r="E32" s="734">
        <v>4662.14113852823</v>
      </c>
      <c r="F32" s="57">
        <v>104085.48</v>
      </c>
      <c r="G32" s="272">
        <v>3176.565652</v>
      </c>
    </row>
    <row r="33">
      <c r="A33" s="732" t="s">
        <v>459</v>
      </c>
      <c r="B33" s="733">
        <f t="shared" si="14"/>
        <v>0</v>
      </c>
      <c r="C33" s="296">
        <f t="shared" si="15"/>
        <v>0</v>
      </c>
      <c r="D33" s="734">
        <v>0.0</v>
      </c>
      <c r="E33" s="734">
        <v>0.0</v>
      </c>
      <c r="F33" s="57">
        <v>0.0</v>
      </c>
      <c r="G33" s="57">
        <v>0.0</v>
      </c>
    </row>
    <row r="34">
      <c r="A34" s="732" t="s">
        <v>460</v>
      </c>
      <c r="B34" s="733">
        <f t="shared" si="14"/>
        <v>5786.56294</v>
      </c>
      <c r="C34" s="296">
        <f t="shared" si="15"/>
        <v>5786.56294</v>
      </c>
      <c r="D34" s="734">
        <v>887.66010716441</v>
      </c>
      <c r="E34" s="734">
        <v>195.665951400246</v>
      </c>
      <c r="F34" s="57">
        <v>4604.66</v>
      </c>
      <c r="G34" s="272">
        <v>98.57688146</v>
      </c>
    </row>
    <row r="35">
      <c r="A35" s="732" t="s">
        <v>461</v>
      </c>
      <c r="B35" s="733">
        <f t="shared" si="14"/>
        <v>35491.82552</v>
      </c>
      <c r="C35" s="296">
        <f t="shared" si="15"/>
        <v>35491.82552</v>
      </c>
      <c r="D35" s="734">
        <v>6572.36495428815</v>
      </c>
      <c r="E35" s="734">
        <v>1594.78080736701</v>
      </c>
      <c r="F35" s="57">
        <v>26329.83</v>
      </c>
      <c r="G35" s="272">
        <v>994.8497574</v>
      </c>
    </row>
    <row r="36">
      <c r="A36" s="735" t="s">
        <v>462</v>
      </c>
      <c r="B36" s="736">
        <f t="shared" si="14"/>
        <v>1</v>
      </c>
      <c r="C36" s="737">
        <v>1.0</v>
      </c>
      <c r="D36" s="736">
        <f t="shared" ref="D36:G36" si="16">$C$36</f>
        <v>1</v>
      </c>
      <c r="E36" s="736">
        <f t="shared" si="16"/>
        <v>1</v>
      </c>
      <c r="F36" s="736">
        <f t="shared" si="16"/>
        <v>1</v>
      </c>
      <c r="G36" s="736">
        <f t="shared" si="16"/>
        <v>1</v>
      </c>
    </row>
    <row r="37">
      <c r="A37" s="95" t="s">
        <v>463</v>
      </c>
      <c r="B37" s="733">
        <f t="shared" si="14"/>
        <v>3226.529593</v>
      </c>
      <c r="C37" s="296">
        <f t="shared" ref="C37:C39" si="18">sum(D37:W37)</f>
        <v>3226.529593</v>
      </c>
      <c r="D37" s="296">
        <f t="shared" ref="D37:G37" si="17">D35/11</f>
        <v>597.4877231</v>
      </c>
      <c r="E37" s="296">
        <f t="shared" si="17"/>
        <v>144.9800734</v>
      </c>
      <c r="F37" s="296">
        <f t="shared" si="17"/>
        <v>2393.620909</v>
      </c>
      <c r="G37" s="296">
        <f t="shared" si="17"/>
        <v>90.44088704</v>
      </c>
    </row>
    <row r="38">
      <c r="A38" s="39" t="s">
        <v>464</v>
      </c>
      <c r="B38" s="733">
        <f t="shared" si="14"/>
        <v>6453.059185</v>
      </c>
      <c r="C38" s="296">
        <f t="shared" si="18"/>
        <v>6453.059185</v>
      </c>
      <c r="D38" s="296">
        <f t="shared" ref="D38:G38" si="19">2*D37*D36</f>
        <v>1194.975446</v>
      </c>
      <c r="E38" s="296">
        <f t="shared" si="19"/>
        <v>289.9601468</v>
      </c>
      <c r="F38" s="296">
        <f t="shared" si="19"/>
        <v>4787.241818</v>
      </c>
      <c r="G38" s="296">
        <f t="shared" si="19"/>
        <v>180.8817741</v>
      </c>
    </row>
    <row r="39">
      <c r="A39" s="94" t="s">
        <v>465</v>
      </c>
      <c r="B39" s="733">
        <f t="shared" si="14"/>
        <v>120691.5404</v>
      </c>
      <c r="C39" s="296">
        <f t="shared" si="18"/>
        <v>120691.5404</v>
      </c>
      <c r="D39" s="296">
        <f t="shared" ref="D39:G39" si="20">D32-sum(D33:D34,D38)</f>
        <v>18924.34018</v>
      </c>
      <c r="E39" s="296">
        <f t="shared" si="20"/>
        <v>4176.51504</v>
      </c>
      <c r="F39" s="296">
        <f t="shared" si="20"/>
        <v>94693.57818</v>
      </c>
      <c r="G39" s="296">
        <f t="shared" si="20"/>
        <v>2897.106996</v>
      </c>
    </row>
    <row r="40">
      <c r="A40" s="429" t="s">
        <v>466</v>
      </c>
      <c r="B40" s="726">
        <f t="shared" si="14"/>
        <v>0.9079251103</v>
      </c>
      <c r="C40" s="180">
        <f t="shared" ref="C40:G40" si="21">C39/C32</f>
        <v>0.9079251103</v>
      </c>
      <c r="D40" s="180">
        <f t="shared" si="21"/>
        <v>0.9008598106</v>
      </c>
      <c r="E40" s="180">
        <f t="shared" si="21"/>
        <v>0.8958362512</v>
      </c>
      <c r="F40" s="180">
        <f t="shared" si="21"/>
        <v>0.909767416</v>
      </c>
      <c r="G40" s="180">
        <f t="shared" si="21"/>
        <v>0.912024908</v>
      </c>
    </row>
    <row r="41">
      <c r="A41" s="429"/>
      <c r="B41" s="120"/>
      <c r="C41" s="120"/>
      <c r="D41" s="429"/>
      <c r="E41" s="429"/>
      <c r="F41" s="429"/>
      <c r="G41" s="429"/>
    </row>
    <row r="42">
      <c r="A42" s="738" t="s">
        <v>467</v>
      </c>
      <c r="B42" s="733">
        <f t="shared" ref="B42:B44" si="22">index($A$1:$W$50,match($A42,$A$1:$A$50,0),match($A$3,$A$1:$W$1,0))</f>
        <v>365.2257542</v>
      </c>
      <c r="C42" s="739">
        <f>SUMPRODUCT(D42:W42,D15:W15)</f>
        <v>365.2257542</v>
      </c>
      <c r="D42" s="308">
        <v>562.661596724416</v>
      </c>
      <c r="E42" s="308">
        <v>152.088938545122</v>
      </c>
      <c r="F42" s="308">
        <v>302.180843878245</v>
      </c>
      <c r="G42" s="314">
        <v>297.0026288</v>
      </c>
    </row>
    <row r="43">
      <c r="A43" s="120" t="s">
        <v>468</v>
      </c>
      <c r="B43" s="733">
        <f t="shared" si="22"/>
        <v>40161691.91</v>
      </c>
      <c r="C43" s="296">
        <f>sum(D43:W43)</f>
        <v>40161691.91</v>
      </c>
      <c r="D43" s="296">
        <f t="shared" ref="D43:G43" si="23">((56/59)*(D32/D42))*100000</f>
        <v>3543661.864</v>
      </c>
      <c r="E43" s="296">
        <f t="shared" si="23"/>
        <v>2909536.457</v>
      </c>
      <c r="F43" s="296">
        <f t="shared" si="23"/>
        <v>32693335.78</v>
      </c>
      <c r="G43" s="296">
        <f t="shared" si="23"/>
        <v>1015157.804</v>
      </c>
    </row>
    <row r="44">
      <c r="A44" s="95" t="s">
        <v>469</v>
      </c>
      <c r="B44" s="736">
        <f t="shared" si="22"/>
        <v>3.475857025</v>
      </c>
      <c r="C44" s="740">
        <f>SUMPRODUCT(D44:W44,D15:W15)</f>
        <v>3.475857025</v>
      </c>
      <c r="D44" s="96">
        <f t="shared" ref="D44:G44" si="24">(D39/D43)*1000</f>
        <v>5.340334634</v>
      </c>
      <c r="E44" s="96">
        <f t="shared" si="24"/>
        <v>1.435457195</v>
      </c>
      <c r="F44" s="96">
        <f t="shared" si="24"/>
        <v>2.896418365</v>
      </c>
      <c r="G44" s="96">
        <f t="shared" si="24"/>
        <v>2.853848914</v>
      </c>
    </row>
    <row r="45">
      <c r="A45" s="95"/>
      <c r="B45" s="120"/>
      <c r="C45" s="460"/>
      <c r="D45" s="95"/>
      <c r="E45" s="95"/>
      <c r="F45" s="95"/>
      <c r="G45" s="95"/>
    </row>
    <row r="46">
      <c r="A46" s="95" t="s">
        <v>470</v>
      </c>
      <c r="B46" s="120"/>
      <c r="C46" s="460"/>
      <c r="D46" s="95"/>
      <c r="E46" s="95"/>
      <c r="F46" s="95"/>
      <c r="G46" s="95"/>
    </row>
    <row r="47">
      <c r="A47" s="454" t="s">
        <v>471</v>
      </c>
      <c r="B47" s="733">
        <f t="shared" ref="B47:B48" si="26">index($A$1:$W$50,match($A47,$A$1:$A$50,0),match($A$3,$A$1:$W$1,0))</f>
        <v>120691.5404</v>
      </c>
      <c r="C47" s="296">
        <f t="shared" ref="C47:C48" si="27">sum(D47:W47)</f>
        <v>120691.5404</v>
      </c>
      <c r="D47" s="733">
        <f t="shared" ref="D47:G47" si="25">D39</f>
        <v>18924.34018</v>
      </c>
      <c r="E47" s="733">
        <f t="shared" si="25"/>
        <v>4176.51504</v>
      </c>
      <c r="F47" s="733">
        <f t="shared" si="25"/>
        <v>94693.57818</v>
      </c>
      <c r="G47" s="733">
        <f t="shared" si="25"/>
        <v>2897.106996</v>
      </c>
    </row>
    <row r="48">
      <c r="A48" s="454" t="s">
        <v>472</v>
      </c>
      <c r="B48" s="733">
        <f t="shared" si="26"/>
        <v>197398.5618</v>
      </c>
      <c r="C48" s="296">
        <f t="shared" si="27"/>
        <v>197398.5618</v>
      </c>
      <c r="D48" s="57">
        <v>30574.53</v>
      </c>
      <c r="E48" s="57">
        <v>7679.41</v>
      </c>
      <c r="F48" s="57">
        <v>152240.31</v>
      </c>
      <c r="G48" s="57">
        <v>6904.311841</v>
      </c>
    </row>
    <row r="49">
      <c r="A49" s="741"/>
      <c r="B49" s="597"/>
      <c r="C49" s="415"/>
      <c r="D49" s="742"/>
      <c r="E49" s="742"/>
      <c r="F49" s="742"/>
      <c r="G49" s="742"/>
    </row>
    <row r="50">
      <c r="A50" s="427" t="s">
        <v>473</v>
      </c>
      <c r="B50" s="685">
        <f t="array" ref="B50">index(A50:W50,,match($A$3,$A$1:$W$1,0))</f>
        <v>1.723717096</v>
      </c>
      <c r="C50" s="110">
        <f>sumproduct(D50:W50,D15:W15)</f>
        <v>1.723717096</v>
      </c>
      <c r="D50" s="110">
        <f t="shared" ref="D50:G50" si="28">D48/D47</f>
        <v>1.61561934</v>
      </c>
      <c r="E50" s="110">
        <f t="shared" si="28"/>
        <v>1.838712402</v>
      </c>
      <c r="F50" s="110">
        <f t="shared" si="28"/>
        <v>1.607715253</v>
      </c>
      <c r="G50" s="110">
        <f t="shared" si="28"/>
        <v>2.383174612</v>
      </c>
    </row>
    <row r="51">
      <c r="A51" s="40"/>
      <c r="B51" s="597"/>
      <c r="C51" s="415"/>
      <c r="D51" s="40"/>
      <c r="E51" s="40"/>
      <c r="F51" s="40"/>
      <c r="G51" s="40"/>
    </row>
    <row r="52">
      <c r="A52" s="743" t="s">
        <v>474</v>
      </c>
      <c r="B52" s="597"/>
      <c r="C52" s="415"/>
      <c r="D52" s="744"/>
      <c r="E52" s="744"/>
      <c r="F52" s="744"/>
      <c r="G52" s="744"/>
    </row>
    <row r="53">
      <c r="A53" s="200" t="s">
        <v>475</v>
      </c>
      <c r="B53" s="745">
        <f t="shared" ref="B53:B56" si="29">index(A53:W53,,match($A$3,$A$1:$W$1,0))</f>
        <v>0.2887308127</v>
      </c>
      <c r="C53" s="480">
        <f>sumproduct(D53:W53,D15:W15)</f>
        <v>0.2887308127</v>
      </c>
      <c r="D53" s="31">
        <v>0.403</v>
      </c>
      <c r="E53" s="31">
        <v>0.092</v>
      </c>
      <c r="F53" s="31">
        <v>0.271</v>
      </c>
      <c r="G53" s="32">
        <v>0.404576675</v>
      </c>
    </row>
    <row r="54">
      <c r="A54" s="426" t="s">
        <v>476</v>
      </c>
      <c r="B54" s="745">
        <f t="shared" si="29"/>
        <v>0.3175029455</v>
      </c>
      <c r="C54" s="480">
        <f>sumproduct(D54:W54,D15:W15)</f>
        <v>0.3175029455</v>
      </c>
      <c r="D54" s="31">
        <v>0.443</v>
      </c>
      <c r="E54" s="31">
        <v>0.099</v>
      </c>
      <c r="F54" s="31">
        <v>0.307</v>
      </c>
      <c r="G54" s="32">
        <v>0.415704916</v>
      </c>
    </row>
    <row r="55">
      <c r="A55" s="427" t="s">
        <v>477</v>
      </c>
      <c r="B55" s="745">
        <f t="shared" si="29"/>
        <v>0.2597898195</v>
      </c>
      <c r="C55" s="480">
        <f>sumproduct(D55:W55,D15:W15)</f>
        <v>0.2597898195</v>
      </c>
      <c r="D55" s="31">
        <v>0.386</v>
      </c>
      <c r="E55" s="31">
        <v>0.061</v>
      </c>
      <c r="F55" s="31">
        <v>0.226</v>
      </c>
      <c r="G55" s="31">
        <v>0.387410053</v>
      </c>
    </row>
    <row r="56">
      <c r="A56" s="426" t="s">
        <v>478</v>
      </c>
      <c r="B56" s="745">
        <f t="shared" si="29"/>
        <v>0.2886463825</v>
      </c>
      <c r="C56" s="480">
        <f>sumproduct(D56:W56,D15:W15)</f>
        <v>0.2886463825</v>
      </c>
      <c r="D56" s="480">
        <f t="shared" ref="D56:G56" si="30">average(D54:D55)</f>
        <v>0.4145</v>
      </c>
      <c r="E56" s="480">
        <f t="shared" si="30"/>
        <v>0.08</v>
      </c>
      <c r="F56" s="480">
        <f t="shared" si="30"/>
        <v>0.2665</v>
      </c>
      <c r="G56" s="480">
        <f t="shared" si="30"/>
        <v>0.4015574845</v>
      </c>
    </row>
    <row r="57">
      <c r="A57" s="551"/>
      <c r="B57" s="551"/>
    </row>
    <row r="58">
      <c r="A58" s="746" t="s">
        <v>479</v>
      </c>
      <c r="B58" s="88"/>
      <c r="C58" s="266"/>
      <c r="D58" s="266"/>
      <c r="E58" s="266"/>
      <c r="F58" s="266"/>
      <c r="G58" s="266"/>
    </row>
    <row r="59">
      <c r="A59" s="94"/>
      <c r="B59" s="120"/>
      <c r="C59" s="120"/>
      <c r="D59" s="120"/>
      <c r="E59" s="120"/>
      <c r="F59" s="120"/>
      <c r="G59" s="120"/>
    </row>
    <row r="60">
      <c r="A60" s="94" t="s">
        <v>480</v>
      </c>
      <c r="B60" s="747">
        <f t="shared" ref="B60:B68" si="32">index($A$1:$W$92,match($A60,$A$1:$A$92,0),match($A$3,$A$1:$W$1,0))</f>
        <v>3.475857025</v>
      </c>
      <c r="C60" s="747">
        <f>sumproduct(D60:W60,D15:W15)</f>
        <v>3.475857025</v>
      </c>
      <c r="D60" s="747">
        <f t="shared" ref="D60:G60" si="31">D44</f>
        <v>5.340334634</v>
      </c>
      <c r="E60" s="747">
        <f t="shared" si="31"/>
        <v>1.435457195</v>
      </c>
      <c r="F60" s="747">
        <f t="shared" si="31"/>
        <v>2.896418365</v>
      </c>
      <c r="G60" s="747">
        <f t="shared" si="31"/>
        <v>2.853848914</v>
      </c>
    </row>
    <row r="61">
      <c r="A61" s="94" t="s">
        <v>481</v>
      </c>
      <c r="B61" s="726">
        <f t="shared" si="32"/>
        <v>0.5</v>
      </c>
      <c r="C61" s="33">
        <v>0.5</v>
      </c>
      <c r="D61" s="736">
        <f t="shared" ref="D61:G61" si="33">$C$61</f>
        <v>0.5</v>
      </c>
      <c r="E61" s="736">
        <f t="shared" si="33"/>
        <v>0.5</v>
      </c>
      <c r="F61" s="736">
        <f t="shared" si="33"/>
        <v>0.5</v>
      </c>
      <c r="G61" s="736">
        <f t="shared" si="33"/>
        <v>0.5</v>
      </c>
    </row>
    <row r="62">
      <c r="A62" s="95" t="s">
        <v>482</v>
      </c>
      <c r="B62" s="747">
        <f t="shared" si="32"/>
        <v>5.213785537</v>
      </c>
      <c r="C62" s="748">
        <f>sumproduct(D62:W62,D15:W15)</f>
        <v>5.213785537</v>
      </c>
      <c r="D62" s="748">
        <f t="shared" ref="D62:G62" si="34">D60*(1+D61)</f>
        <v>8.01050195</v>
      </c>
      <c r="E62" s="748">
        <f t="shared" si="34"/>
        <v>2.153185792</v>
      </c>
      <c r="F62" s="748">
        <f t="shared" si="34"/>
        <v>4.344627548</v>
      </c>
      <c r="G62" s="748">
        <f t="shared" si="34"/>
        <v>4.280773371</v>
      </c>
    </row>
    <row r="63">
      <c r="A63" s="39" t="s">
        <v>483</v>
      </c>
      <c r="B63" s="749">
        <f t="shared" si="32"/>
        <v>0.7</v>
      </c>
      <c r="C63" s="728">
        <v>0.7</v>
      </c>
      <c r="D63" s="749">
        <f t="shared" ref="D63:G63" si="35">$C$63</f>
        <v>0.7</v>
      </c>
      <c r="E63" s="749">
        <f t="shared" si="35"/>
        <v>0.7</v>
      </c>
      <c r="F63" s="749">
        <f t="shared" si="35"/>
        <v>0.7</v>
      </c>
      <c r="G63" s="749">
        <f t="shared" si="35"/>
        <v>0.7</v>
      </c>
    </row>
    <row r="64">
      <c r="A64" s="95" t="s">
        <v>484</v>
      </c>
      <c r="B64" s="747">
        <f t="shared" si="32"/>
        <v>3.649649876</v>
      </c>
      <c r="C64" s="748">
        <f>C62*$C$63</f>
        <v>3.649649876</v>
      </c>
      <c r="D64" s="748">
        <f t="shared" ref="D64:G64" si="36">D62*D63</f>
        <v>5.607351365</v>
      </c>
      <c r="E64" s="748">
        <f t="shared" si="36"/>
        <v>1.507230054</v>
      </c>
      <c r="F64" s="748">
        <f t="shared" si="36"/>
        <v>3.041239283</v>
      </c>
      <c r="G64" s="748">
        <f t="shared" si="36"/>
        <v>2.996541359</v>
      </c>
    </row>
    <row r="65">
      <c r="A65" s="94" t="s">
        <v>485</v>
      </c>
      <c r="B65" s="726">
        <f t="shared" si="32"/>
        <v>1</v>
      </c>
      <c r="C65" s="180">
        <v>1.0</v>
      </c>
      <c r="D65" s="726">
        <f t="shared" ref="D65:G65" si="37">$C$65</f>
        <v>1</v>
      </c>
      <c r="E65" s="726">
        <f t="shared" si="37"/>
        <v>1</v>
      </c>
      <c r="F65" s="726">
        <f t="shared" si="37"/>
        <v>1</v>
      </c>
      <c r="G65" s="726">
        <f t="shared" si="37"/>
        <v>1</v>
      </c>
    </row>
    <row r="66">
      <c r="A66" s="94" t="s">
        <v>486</v>
      </c>
      <c r="B66" s="747">
        <f t="shared" si="32"/>
        <v>2.896708852</v>
      </c>
      <c r="C66" s="96">
        <f>C64*$C$24*$C$65</f>
        <v>2.896708852</v>
      </c>
      <c r="D66" s="96">
        <f t="shared" ref="D66:G66" si="38">D64*D24*D65</f>
        <v>4.450526732</v>
      </c>
      <c r="E66" s="96">
        <f t="shared" si="38"/>
        <v>1.196280955</v>
      </c>
      <c r="F66" s="96">
        <f t="shared" si="38"/>
        <v>2.413816408</v>
      </c>
      <c r="G66" s="96">
        <f t="shared" si="38"/>
        <v>2.378339889</v>
      </c>
    </row>
    <row r="67">
      <c r="A67" s="750" t="s">
        <v>487</v>
      </c>
      <c r="B67" s="733">
        <f t="shared" si="32"/>
        <v>39.88150779</v>
      </c>
      <c r="C67" s="296">
        <f>sum(D67:W67)</f>
        <v>39.88150779</v>
      </c>
      <c r="D67" s="296">
        <f t="shared" ref="D67:G67" si="39">D14*D66/1000</f>
        <v>23.30219475</v>
      </c>
      <c r="E67" s="296">
        <f t="shared" si="39"/>
        <v>3.90937057</v>
      </c>
      <c r="F67" s="296">
        <f t="shared" si="39"/>
        <v>10.21379172</v>
      </c>
      <c r="G67" s="296">
        <f t="shared" si="39"/>
        <v>2.456150745</v>
      </c>
    </row>
    <row r="68">
      <c r="A68" s="94" t="s">
        <v>78</v>
      </c>
      <c r="B68" s="751">
        <f t="shared" si="32"/>
        <v>100</v>
      </c>
      <c r="C68" s="739">
        <f t="array" ref="C68">index('Moral weights'!$A$1:$ZG$33,match($A68,'Moral weights'!$A$1:$A$33,0),match($B$1,'Moral weights'!$A$1:$ZG1,0))</f>
        <v>100</v>
      </c>
      <c r="D68" s="751">
        <f t="shared" ref="D68:G68" si="40">$C$68</f>
        <v>100</v>
      </c>
      <c r="E68" s="751">
        <f t="shared" si="40"/>
        <v>100</v>
      </c>
      <c r="F68" s="751">
        <f t="shared" si="40"/>
        <v>100</v>
      </c>
      <c r="G68" s="751">
        <f t="shared" si="40"/>
        <v>100</v>
      </c>
    </row>
    <row r="69">
      <c r="A69" s="429"/>
      <c r="B69" s="120"/>
      <c r="C69" s="429"/>
      <c r="D69" s="429"/>
      <c r="E69" s="429"/>
      <c r="F69" s="429"/>
      <c r="G69" s="429"/>
    </row>
    <row r="70">
      <c r="A70" s="752" t="s">
        <v>488</v>
      </c>
      <c r="B70" s="753">
        <f t="array" ref="B70">index($A$1:$W$92,match($A70,$A$1:$A$92,0),match($A$3,$A$1:$W$1,0))</f>
        <v>3988.150779</v>
      </c>
      <c r="C70" s="323">
        <f>sum(D70:W70)</f>
        <v>3988.150779</v>
      </c>
      <c r="D70" s="323">
        <f t="shared" ref="D70:G70" si="41">D67*D68</f>
        <v>2330.219475</v>
      </c>
      <c r="E70" s="323">
        <f t="shared" si="41"/>
        <v>390.937057</v>
      </c>
      <c r="F70" s="323">
        <f t="shared" si="41"/>
        <v>1021.379172</v>
      </c>
      <c r="G70" s="323">
        <f t="shared" si="41"/>
        <v>245.6150745</v>
      </c>
    </row>
    <row r="71">
      <c r="A71" s="39"/>
      <c r="B71" s="120"/>
      <c r="C71" s="754"/>
      <c r="D71" s="39"/>
      <c r="E71" s="39"/>
      <c r="F71" s="39"/>
      <c r="G71" s="39"/>
    </row>
    <row r="72">
      <c r="A72" s="746" t="s">
        <v>489</v>
      </c>
      <c r="B72" s="266"/>
      <c r="C72" s="755"/>
      <c r="D72" s="293"/>
      <c r="E72" s="293"/>
      <c r="F72" s="293"/>
      <c r="G72" s="293"/>
    </row>
    <row r="73">
      <c r="A73" s="460"/>
      <c r="B73" s="120"/>
      <c r="C73" s="39"/>
      <c r="D73" s="39"/>
      <c r="E73" s="39"/>
      <c r="F73" s="39"/>
      <c r="G73" s="39"/>
    </row>
    <row r="74">
      <c r="A74" s="460" t="s">
        <v>490</v>
      </c>
      <c r="B74" s="726">
        <f t="shared" ref="B74:B82" si="43">index($A$1:$W$92,match($A74,$A$1:$A$92,0),match($A$3,$A$1:$W$1,0))</f>
        <v>0.6</v>
      </c>
      <c r="C74" s="47">
        <v>0.6</v>
      </c>
      <c r="D74" s="726">
        <f t="shared" ref="D74:G74" si="42">$C$74</f>
        <v>0.6</v>
      </c>
      <c r="E74" s="726">
        <f t="shared" si="42"/>
        <v>0.6</v>
      </c>
      <c r="F74" s="726">
        <f t="shared" si="42"/>
        <v>0.6</v>
      </c>
      <c r="G74" s="726">
        <f t="shared" si="42"/>
        <v>0.6</v>
      </c>
    </row>
    <row r="75">
      <c r="A75" s="460" t="s">
        <v>491</v>
      </c>
      <c r="B75" s="726">
        <f t="shared" si="43"/>
        <v>0.26</v>
      </c>
      <c r="C75" s="47">
        <v>0.26</v>
      </c>
      <c r="D75" s="726">
        <f t="shared" ref="D75:G75" si="44">$C$75</f>
        <v>0.26</v>
      </c>
      <c r="E75" s="726">
        <f t="shared" si="44"/>
        <v>0.26</v>
      </c>
      <c r="F75" s="726">
        <f t="shared" si="44"/>
        <v>0.26</v>
      </c>
      <c r="G75" s="726">
        <f t="shared" si="44"/>
        <v>0.26</v>
      </c>
    </row>
    <row r="76">
      <c r="A76" s="460" t="s">
        <v>492</v>
      </c>
      <c r="B76" s="726">
        <f t="shared" si="43"/>
        <v>0.4333333333</v>
      </c>
      <c r="C76" s="180">
        <f>C75/C74</f>
        <v>0.4333333333</v>
      </c>
      <c r="D76" s="726">
        <f t="shared" ref="D76:G76" si="45">$C$76</f>
        <v>0.4333333333</v>
      </c>
      <c r="E76" s="726">
        <f t="shared" si="45"/>
        <v>0.4333333333</v>
      </c>
      <c r="F76" s="726">
        <f t="shared" si="45"/>
        <v>0.4333333333</v>
      </c>
      <c r="G76" s="726">
        <f t="shared" si="45"/>
        <v>0.4333333333</v>
      </c>
    </row>
    <row r="77">
      <c r="A77" s="460" t="s">
        <v>493</v>
      </c>
      <c r="B77" s="726">
        <f t="shared" si="43"/>
        <v>1.723717096</v>
      </c>
      <c r="C77" s="726">
        <f t="shared" ref="C77:G77" si="46">C50</f>
        <v>1.723717096</v>
      </c>
      <c r="D77" s="726">
        <f t="shared" si="46"/>
        <v>1.61561934</v>
      </c>
      <c r="E77" s="726">
        <f t="shared" si="46"/>
        <v>1.838712402</v>
      </c>
      <c r="F77" s="726">
        <f t="shared" si="46"/>
        <v>1.607715253</v>
      </c>
      <c r="G77" s="726">
        <f t="shared" si="46"/>
        <v>2.383174612</v>
      </c>
    </row>
    <row r="78">
      <c r="A78" s="39" t="s">
        <v>494</v>
      </c>
      <c r="B78" s="747">
        <f t="shared" si="43"/>
        <v>0.9084390114</v>
      </c>
      <c r="C78" s="96">
        <f>C66*$C$76*(C77-1)</f>
        <v>0.9084390114</v>
      </c>
      <c r="D78" s="96">
        <f t="shared" ref="D78:G78" si="47">D66*D76*(D77-1)</f>
        <v>1.18725981</v>
      </c>
      <c r="E78" s="96">
        <f t="shared" si="47"/>
        <v>0.4347787916</v>
      </c>
      <c r="F78" s="96">
        <f t="shared" si="47"/>
        <v>0.6356623212</v>
      </c>
      <c r="G78" s="96">
        <f t="shared" si="47"/>
        <v>1.425519053</v>
      </c>
    </row>
    <row r="79">
      <c r="A79" s="429" t="s">
        <v>495</v>
      </c>
      <c r="B79" s="747">
        <f t="shared" si="43"/>
        <v>12.50726924</v>
      </c>
      <c r="C79" s="96">
        <f t="shared" ref="C79:G79" si="48">C14*C78/1000</f>
        <v>12.50726924</v>
      </c>
      <c r="D79" s="96">
        <f t="shared" si="48"/>
        <v>6.216288761</v>
      </c>
      <c r="E79" s="96">
        <f t="shared" si="48"/>
        <v>1.420829618</v>
      </c>
      <c r="F79" s="96">
        <f t="shared" si="48"/>
        <v>2.689733376</v>
      </c>
      <c r="G79" s="96">
        <f t="shared" si="48"/>
        <v>1.472156986</v>
      </c>
    </row>
    <row r="80">
      <c r="A80" s="200" t="s">
        <v>496</v>
      </c>
      <c r="B80" s="726">
        <f t="shared" si="43"/>
        <v>0.31</v>
      </c>
      <c r="C80" s="47">
        <v>0.31</v>
      </c>
      <c r="D80" s="726">
        <f t="shared" ref="D80:G80" si="49">$C$80</f>
        <v>0.31</v>
      </c>
      <c r="E80" s="726">
        <f t="shared" si="49"/>
        <v>0.31</v>
      </c>
      <c r="F80" s="726">
        <f t="shared" si="49"/>
        <v>0.31</v>
      </c>
      <c r="G80" s="726">
        <f t="shared" si="49"/>
        <v>0.31</v>
      </c>
    </row>
    <row r="81">
      <c r="A81" s="750" t="s">
        <v>497</v>
      </c>
      <c r="B81" s="736">
        <f t="shared" si="43"/>
        <v>3.657692709</v>
      </c>
      <c r="C81" s="740">
        <f>sum(D81:W81)</f>
        <v>3.657692709</v>
      </c>
      <c r="D81" s="740">
        <f t="shared" ref="D81:G81" si="50">D79*D80</f>
        <v>1.927049516</v>
      </c>
      <c r="E81" s="740">
        <f t="shared" si="50"/>
        <v>0.4404571814</v>
      </c>
      <c r="F81" s="740">
        <f t="shared" si="50"/>
        <v>0.8338173465</v>
      </c>
      <c r="G81" s="740">
        <f t="shared" si="50"/>
        <v>0.4563686657</v>
      </c>
    </row>
    <row r="82">
      <c r="A82" s="756" t="s">
        <v>76</v>
      </c>
      <c r="B82" s="751">
        <f t="shared" si="43"/>
        <v>100</v>
      </c>
      <c r="C82" s="751">
        <f t="array" ref="C82">index('Moral weights'!$A$1:$ZG$33,match($A82,'Moral weights'!$A$1:$A$33,0),match($B$1,'Moral weights'!$A$1:$ZG1,0))</f>
        <v>100</v>
      </c>
      <c r="D82" s="751">
        <f t="shared" ref="D82:G82" si="51">$C$82</f>
        <v>100</v>
      </c>
      <c r="E82" s="751">
        <f t="shared" si="51"/>
        <v>100</v>
      </c>
      <c r="F82" s="751">
        <f t="shared" si="51"/>
        <v>100</v>
      </c>
      <c r="G82" s="751">
        <f t="shared" si="51"/>
        <v>100</v>
      </c>
    </row>
    <row r="83">
      <c r="A83" s="756"/>
      <c r="B83" s="120"/>
      <c r="C83" s="423"/>
      <c r="D83" s="39"/>
      <c r="E83" s="39"/>
      <c r="F83" s="39"/>
      <c r="G83" s="39"/>
    </row>
    <row r="84">
      <c r="A84" s="757" t="s">
        <v>498</v>
      </c>
      <c r="B84" s="753">
        <f t="array" ref="B84">index($A$1:$W$92,match($A84,$A$1:$A$92,0),match($A$3,$A$1:$W$1,0))</f>
        <v>365.7692709</v>
      </c>
      <c r="C84" s="323">
        <f>sum(D84:W84)</f>
        <v>365.7692709</v>
      </c>
      <c r="D84" s="323">
        <f t="shared" ref="D84:G84" si="52">D81*D82</f>
        <v>192.7049516</v>
      </c>
      <c r="E84" s="323">
        <f t="shared" si="52"/>
        <v>44.04571814</v>
      </c>
      <c r="F84" s="323">
        <f t="shared" si="52"/>
        <v>83.38173465</v>
      </c>
      <c r="G84" s="323">
        <f t="shared" si="52"/>
        <v>45.63686657</v>
      </c>
    </row>
    <row r="85">
      <c r="A85" s="758"/>
    </row>
    <row r="86">
      <c r="A86" s="759" t="s">
        <v>499</v>
      </c>
      <c r="B86" s="595"/>
      <c r="C86" s="596"/>
      <c r="D86" s="596"/>
      <c r="E86" s="596"/>
      <c r="F86" s="596"/>
      <c r="G86" s="596"/>
    </row>
    <row r="87">
      <c r="A87" s="294" t="s">
        <v>500</v>
      </c>
      <c r="B87" s="760">
        <f t="array" ref="B87">index(A87:W87,,match($A$3,$A$1:$W$1,0))</f>
        <v>43.5392005</v>
      </c>
      <c r="C87" s="761">
        <f>sum(D87:G87)</f>
        <v>43.5392005</v>
      </c>
      <c r="D87" s="761">
        <f t="shared" ref="D87:G87" si="53">D81+D67</f>
        <v>25.22924427</v>
      </c>
      <c r="E87" s="761">
        <f t="shared" si="53"/>
        <v>4.349827751</v>
      </c>
      <c r="F87" s="761">
        <f t="shared" si="53"/>
        <v>11.04760907</v>
      </c>
      <c r="G87" s="761">
        <f t="shared" si="53"/>
        <v>2.912519411</v>
      </c>
    </row>
    <row r="88">
      <c r="A88" s="653"/>
      <c r="B88" s="597"/>
      <c r="C88" s="415"/>
      <c r="D88" s="415"/>
      <c r="E88" s="415"/>
      <c r="F88" s="415"/>
      <c r="G88" s="415"/>
    </row>
    <row r="89">
      <c r="A89" s="422" t="s">
        <v>218</v>
      </c>
      <c r="B89" s="595"/>
      <c r="C89" s="762"/>
      <c r="D89" s="763"/>
      <c r="E89" s="596"/>
      <c r="F89" s="596"/>
      <c r="G89" s="596"/>
    </row>
    <row r="90">
      <c r="A90" s="426"/>
      <c r="B90" s="597"/>
      <c r="C90" s="180"/>
      <c r="D90" s="180"/>
      <c r="E90" s="180"/>
      <c r="F90" s="180"/>
      <c r="G90" s="180"/>
    </row>
    <row r="91">
      <c r="A91" s="426" t="s">
        <v>475</v>
      </c>
      <c r="B91" s="685">
        <f t="shared" ref="B91:B99" si="55">index(A91:W91,,match($A$3,$A$1:$W$1,0))</f>
        <v>0.2887308127</v>
      </c>
      <c r="C91" s="726">
        <f t="shared" ref="C91:G91" si="54">C53</f>
        <v>0.2887308127</v>
      </c>
      <c r="D91" s="726">
        <f t="shared" si="54"/>
        <v>0.403</v>
      </c>
      <c r="E91" s="726">
        <f t="shared" si="54"/>
        <v>0.092</v>
      </c>
      <c r="F91" s="726">
        <f t="shared" si="54"/>
        <v>0.271</v>
      </c>
      <c r="G91" s="726">
        <f t="shared" si="54"/>
        <v>0.404576675</v>
      </c>
    </row>
    <row r="92">
      <c r="A92" s="764" t="s">
        <v>478</v>
      </c>
      <c r="B92" s="685">
        <f t="shared" si="55"/>
        <v>0.2886463825</v>
      </c>
      <c r="C92" s="726">
        <f t="shared" ref="C92:G92" si="56">C56</f>
        <v>0.2886463825</v>
      </c>
      <c r="D92" s="726">
        <f t="shared" si="56"/>
        <v>0.4145</v>
      </c>
      <c r="E92" s="726">
        <f t="shared" si="56"/>
        <v>0.08</v>
      </c>
      <c r="F92" s="726">
        <f t="shared" si="56"/>
        <v>0.2665</v>
      </c>
      <c r="G92" s="726">
        <f t="shared" si="56"/>
        <v>0.4015574845</v>
      </c>
    </row>
    <row r="93">
      <c r="A93" s="310" t="s">
        <v>501</v>
      </c>
      <c r="B93" s="685">
        <f t="shared" si="55"/>
        <v>0.2291642019</v>
      </c>
      <c r="C93" s="180">
        <f>C91*$C$65*C24</f>
        <v>0.2291642019</v>
      </c>
      <c r="D93" s="180">
        <f t="shared" ref="D93:G93" si="57">D91*D65*D24</f>
        <v>0.3198590843</v>
      </c>
      <c r="E93" s="180">
        <f t="shared" si="57"/>
        <v>0.07301993985</v>
      </c>
      <c r="F93" s="180">
        <f t="shared" si="57"/>
        <v>0.2150913445</v>
      </c>
      <c r="G93" s="180">
        <f t="shared" si="57"/>
        <v>0.3211104834</v>
      </c>
    </row>
    <row r="94">
      <c r="A94" s="310" t="s">
        <v>502</v>
      </c>
      <c r="B94" s="685">
        <f t="shared" si="55"/>
        <v>0.02154277244</v>
      </c>
      <c r="C94" s="180">
        <f t="shared" ref="C94:G94" si="58">C92*(C24*$C$76*$C$80)*$C$63</f>
        <v>0.02154277244</v>
      </c>
      <c r="D94" s="180">
        <f t="shared" si="58"/>
        <v>0.03093570444</v>
      </c>
      <c r="E94" s="180">
        <f t="shared" si="58"/>
        <v>0.005970702907</v>
      </c>
      <c r="F94" s="180">
        <f t="shared" si="58"/>
        <v>0.01988990406</v>
      </c>
      <c r="G94" s="180">
        <f t="shared" si="58"/>
        <v>0.0299697555</v>
      </c>
    </row>
    <row r="95">
      <c r="A95" s="310" t="s">
        <v>503</v>
      </c>
      <c r="B95" s="318">
        <f t="shared" si="55"/>
        <v>33239833.2</v>
      </c>
      <c r="C95" s="296">
        <f t="shared" ref="C95:C99" si="59">sum(D95:W95)</f>
        <v>33239833.2</v>
      </c>
      <c r="D95" s="57">
        <v>2928244.0</v>
      </c>
      <c r="E95" s="57">
        <v>2393360.0</v>
      </c>
      <c r="F95" s="57">
        <v>2.7064181E7</v>
      </c>
      <c r="G95" s="57">
        <v>854048.2</v>
      </c>
    </row>
    <row r="96">
      <c r="A96" s="310" t="s">
        <v>504</v>
      </c>
      <c r="B96" s="318">
        <f t="shared" si="55"/>
        <v>70593215</v>
      </c>
      <c r="C96" s="296">
        <f t="shared" si="59"/>
        <v>70593215</v>
      </c>
      <c r="D96" s="57">
        <v>5921249.0</v>
      </c>
      <c r="E96" s="57">
        <v>4678208.0</v>
      </c>
      <c r="F96" s="57">
        <v>5.8038499E7</v>
      </c>
      <c r="G96" s="57">
        <v>1955259.0</v>
      </c>
    </row>
    <row r="97">
      <c r="A97" s="310" t="s">
        <v>505</v>
      </c>
      <c r="B97" s="318">
        <f t="shared" si="55"/>
        <v>28413.57436</v>
      </c>
      <c r="C97" s="296">
        <f t="shared" si="59"/>
        <v>28413.57436</v>
      </c>
      <c r="D97" s="296">
        <f t="shared" ref="D97:G97" si="60">(D96/D95)*D14</f>
        <v>10587.45253</v>
      </c>
      <c r="E97" s="296">
        <f t="shared" si="60"/>
        <v>6387.709383</v>
      </c>
      <c r="F97" s="296">
        <f t="shared" si="60"/>
        <v>9074.11012</v>
      </c>
      <c r="G97" s="296">
        <f t="shared" si="60"/>
        <v>2364.302328</v>
      </c>
    </row>
    <row r="98">
      <c r="A98" s="294" t="s">
        <v>220</v>
      </c>
      <c r="B98" s="587">
        <f t="shared" si="55"/>
        <v>3155.102694</v>
      </c>
      <c r="C98" s="296">
        <f t="shared" si="59"/>
        <v>3155.102694</v>
      </c>
      <c r="D98" s="296">
        <f t="shared" ref="D98:G98" si="61">D93*D14</f>
        <v>1674.727313</v>
      </c>
      <c r="E98" s="296">
        <f t="shared" si="61"/>
        <v>238.6245493</v>
      </c>
      <c r="F98" s="296">
        <f t="shared" si="61"/>
        <v>910.1347508</v>
      </c>
      <c r="G98" s="296">
        <f t="shared" si="61"/>
        <v>331.6160808</v>
      </c>
    </row>
    <row r="99">
      <c r="A99" s="294" t="s">
        <v>221</v>
      </c>
      <c r="B99" s="587">
        <f t="shared" si="55"/>
        <v>617.0101595</v>
      </c>
      <c r="C99" s="296">
        <f t="shared" si="59"/>
        <v>617.0101595</v>
      </c>
      <c r="D99" s="296">
        <f t="shared" ref="D99:G99" si="62">D94*D97</f>
        <v>327.5303021</v>
      </c>
      <c r="E99" s="296">
        <f t="shared" si="62"/>
        <v>38.13911499</v>
      </c>
      <c r="F99" s="296">
        <f t="shared" si="62"/>
        <v>180.4831797</v>
      </c>
      <c r="G99" s="296">
        <f t="shared" si="62"/>
        <v>70.85756271</v>
      </c>
    </row>
    <row r="100">
      <c r="A100" s="294"/>
      <c r="B100" s="597"/>
      <c r="C100" s="299"/>
      <c r="D100" s="710"/>
      <c r="E100" s="710"/>
      <c r="F100" s="765"/>
      <c r="G100" s="765"/>
    </row>
    <row r="101">
      <c r="A101" s="294" t="s">
        <v>506</v>
      </c>
      <c r="B101" s="593">
        <f t="shared" ref="B101:B113" si="64">index(A101:W101,,match($A$3,$A$1:$W$1,0))</f>
        <v>0.023</v>
      </c>
      <c r="C101" s="299">
        <v>0.023</v>
      </c>
      <c r="D101" s="766">
        <f t="shared" ref="D101:G101" si="63">$C$101</f>
        <v>0.023</v>
      </c>
      <c r="E101" s="766">
        <f t="shared" si="63"/>
        <v>0.023</v>
      </c>
      <c r="F101" s="765">
        <f t="shared" si="63"/>
        <v>0.023</v>
      </c>
      <c r="G101" s="765">
        <f t="shared" si="63"/>
        <v>0.023</v>
      </c>
    </row>
    <row r="102">
      <c r="A102" s="165" t="s">
        <v>224</v>
      </c>
      <c r="B102" s="685">
        <f t="shared" si="64"/>
        <v>0.52</v>
      </c>
      <c r="C102" s="47">
        <v>0.52</v>
      </c>
      <c r="D102" s="724">
        <f t="shared" ref="D102:G102" si="65">$C$102</f>
        <v>0.52</v>
      </c>
      <c r="E102" s="724">
        <f t="shared" si="65"/>
        <v>0.52</v>
      </c>
      <c r="F102" s="726">
        <f t="shared" si="65"/>
        <v>0.52</v>
      </c>
      <c r="G102" s="726">
        <f t="shared" si="65"/>
        <v>0.52</v>
      </c>
    </row>
    <row r="103">
      <c r="A103" s="165" t="s">
        <v>507</v>
      </c>
      <c r="B103" s="767">
        <f t="shared" si="64"/>
        <v>0.01182453322</v>
      </c>
      <c r="C103" s="303">
        <f>(ln(1+$C$101)-ln(1))*$C$102</f>
        <v>0.01182453322</v>
      </c>
      <c r="D103" s="768">
        <f t="shared" ref="D103:G103" si="66">$C$103</f>
        <v>0.01182453322</v>
      </c>
      <c r="E103" s="768">
        <f t="shared" si="66"/>
        <v>0.01182453322</v>
      </c>
      <c r="F103" s="769">
        <f t="shared" si="66"/>
        <v>0.01182453322</v>
      </c>
      <c r="G103" s="769">
        <f t="shared" si="66"/>
        <v>0.01182453322</v>
      </c>
    </row>
    <row r="104">
      <c r="A104" s="267" t="s">
        <v>508</v>
      </c>
      <c r="B104" s="587">
        <f t="shared" si="64"/>
        <v>10</v>
      </c>
      <c r="C104" s="57">
        <v>10.0</v>
      </c>
      <c r="D104" s="715">
        <f t="shared" ref="D104:G104" si="67">$C$104</f>
        <v>10</v>
      </c>
      <c r="E104" s="715">
        <f t="shared" si="67"/>
        <v>10</v>
      </c>
      <c r="F104" s="733">
        <f t="shared" si="67"/>
        <v>10</v>
      </c>
      <c r="G104" s="733">
        <f t="shared" si="67"/>
        <v>10</v>
      </c>
    </row>
    <row r="105">
      <c r="A105" s="310" t="s">
        <v>59</v>
      </c>
      <c r="B105" s="745">
        <f t="shared" si="64"/>
        <v>0.03995</v>
      </c>
      <c r="C105" s="480">
        <f t="array" ref="C105">index('User inputs'!$A$1:$AAB$24,match($A105,'User inputs'!$A$1:$A$24,0),match($B$1,'User inputs'!$A$1:$AAB$1,0))</f>
        <v>0.03995</v>
      </c>
      <c r="D105" s="770">
        <f t="shared" ref="D105:G105" si="68">$C$105</f>
        <v>0.03995</v>
      </c>
      <c r="E105" s="770">
        <f t="shared" si="68"/>
        <v>0.03995</v>
      </c>
      <c r="F105" s="771">
        <f t="shared" si="68"/>
        <v>0.03995</v>
      </c>
      <c r="G105" s="771">
        <f t="shared" si="68"/>
        <v>0.03995</v>
      </c>
    </row>
    <row r="106">
      <c r="A106" s="310" t="s">
        <v>228</v>
      </c>
      <c r="B106" s="581">
        <f t="shared" si="64"/>
        <v>0.007992072471</v>
      </c>
      <c r="C106" s="449">
        <f>C103/(1+C105)^C104</f>
        <v>0.007992072471</v>
      </c>
      <c r="D106" s="772">
        <f t="shared" ref="D106:G106" si="69">$C$106</f>
        <v>0.007992072471</v>
      </c>
      <c r="E106" s="772">
        <f t="shared" si="69"/>
        <v>0.007992072471</v>
      </c>
      <c r="F106" s="773">
        <f t="shared" si="69"/>
        <v>0.007992072471</v>
      </c>
      <c r="G106" s="773">
        <f t="shared" si="69"/>
        <v>0.007992072471</v>
      </c>
    </row>
    <row r="107">
      <c r="A107" s="429" t="s">
        <v>509</v>
      </c>
      <c r="B107" s="587">
        <f t="shared" si="64"/>
        <v>40</v>
      </c>
      <c r="C107" s="733">
        <f t="array" ref="C107">index('Deworming - DtW'!$A$1:$ZT$62,match("Duration of long-term benefits of deworming (in years)",'Deworming - DtW'!$A$1:$A$62,0),match($B$1,'Deworming - DtW'!$A$1:$ZT1,0))</f>
        <v>40</v>
      </c>
      <c r="D107" s="715">
        <f t="shared" ref="D107:G107" si="70">$C$107</f>
        <v>40</v>
      </c>
      <c r="E107" s="715">
        <f t="shared" si="70"/>
        <v>40</v>
      </c>
      <c r="F107" s="733">
        <f t="shared" si="70"/>
        <v>40</v>
      </c>
      <c r="G107" s="733">
        <f t="shared" si="70"/>
        <v>40</v>
      </c>
    </row>
    <row r="108">
      <c r="A108" s="165" t="s">
        <v>510</v>
      </c>
      <c r="B108" s="696">
        <f t="shared" si="64"/>
        <v>0.1646272583</v>
      </c>
      <c r="C108" s="316">
        <f>pv(C105,C107,-C106,,1)</f>
        <v>0.1646272583</v>
      </c>
      <c r="D108" s="721">
        <f t="shared" ref="D108:G108" si="71">$C$108</f>
        <v>0.1646272583</v>
      </c>
      <c r="E108" s="721">
        <f t="shared" si="71"/>
        <v>0.1646272583</v>
      </c>
      <c r="F108" s="447">
        <f t="shared" si="71"/>
        <v>0.1646272583</v>
      </c>
      <c r="G108" s="447">
        <f t="shared" si="71"/>
        <v>0.1646272583</v>
      </c>
    </row>
    <row r="109">
      <c r="A109" s="310" t="s">
        <v>231</v>
      </c>
      <c r="B109" s="587">
        <f t="shared" si="64"/>
        <v>2</v>
      </c>
      <c r="C109" s="733">
        <f t="array" ref="C109">index('Deworming - DtW'!$A$1:$ZT$62,match("Multiplier for resource sharing within households",'Deworming - DtW'!$A$1:$A$62,0),match($B$1,'Deworming - DtW'!$A$1:$ZT1,0))</f>
        <v>2</v>
      </c>
      <c r="D109" s="715">
        <f t="shared" ref="D109:G109" si="72">$C$109</f>
        <v>2</v>
      </c>
      <c r="E109" s="715">
        <f t="shared" si="72"/>
        <v>2</v>
      </c>
      <c r="F109" s="733">
        <f t="shared" si="72"/>
        <v>2</v>
      </c>
      <c r="G109" s="733">
        <f t="shared" si="72"/>
        <v>2</v>
      </c>
    </row>
    <row r="110">
      <c r="A110" s="427" t="s">
        <v>511</v>
      </c>
      <c r="B110" s="696">
        <f t="shared" si="64"/>
        <v>0.3292545165</v>
      </c>
      <c r="C110" s="319">
        <f>C108*C109</f>
        <v>0.3292545165</v>
      </c>
      <c r="D110" s="721">
        <f t="shared" ref="D110:G110" si="73">$C$110</f>
        <v>0.3292545165</v>
      </c>
      <c r="E110" s="721">
        <f t="shared" si="73"/>
        <v>0.3292545165</v>
      </c>
      <c r="F110" s="447">
        <f t="shared" si="73"/>
        <v>0.3292545165</v>
      </c>
      <c r="G110" s="447">
        <f t="shared" si="73"/>
        <v>0.3292545165</v>
      </c>
    </row>
    <row r="111">
      <c r="A111" s="267" t="s">
        <v>512</v>
      </c>
      <c r="B111" s="587">
        <f t="shared" si="64"/>
        <v>1038.831812</v>
      </c>
      <c r="C111" s="296">
        <f t="shared" ref="C111:C112" si="75">$C$110*C98</f>
        <v>1038.831812</v>
      </c>
      <c r="D111" s="296">
        <f t="shared" ref="D111:G111" si="74">D110*D98</f>
        <v>551.4115318</v>
      </c>
      <c r="E111" s="296">
        <f t="shared" si="74"/>
        <v>78.56821062</v>
      </c>
      <c r="F111" s="296">
        <f t="shared" si="74"/>
        <v>299.6659774</v>
      </c>
      <c r="G111" s="296">
        <f t="shared" si="74"/>
        <v>109.1860924</v>
      </c>
    </row>
    <row r="112">
      <c r="A112" s="267" t="s">
        <v>513</v>
      </c>
      <c r="B112" s="587">
        <f t="shared" si="64"/>
        <v>203.1533818</v>
      </c>
      <c r="C112" s="296">
        <f t="shared" si="75"/>
        <v>203.1533818</v>
      </c>
      <c r="D112" s="296">
        <f t="shared" ref="D112:G112" si="76">D110*D99</f>
        <v>107.8408313</v>
      </c>
      <c r="E112" s="296">
        <f t="shared" si="76"/>
        <v>12.55747587</v>
      </c>
      <c r="F112" s="296">
        <f t="shared" si="76"/>
        <v>59.42490208</v>
      </c>
      <c r="G112" s="296">
        <f t="shared" si="76"/>
        <v>23.33017255</v>
      </c>
    </row>
    <row r="113">
      <c r="A113" s="310" t="s">
        <v>84</v>
      </c>
      <c r="B113" s="696">
        <f t="shared" si="64"/>
        <v>1.442695041</v>
      </c>
      <c r="C113" s="447">
        <f t="array" ref="C113">index('Moral weights'!$A$1:$ZI$33,match($A113,'Moral weights'!$A$1:$A$33,0),match($B$1,'Moral weights'!$A$1:$ZI1,0))</f>
        <v>1.442695041</v>
      </c>
      <c r="D113" s="721">
        <f t="shared" ref="D113:G113" si="77">$C$113</f>
        <v>1.442695041</v>
      </c>
      <c r="E113" s="721">
        <f t="shared" si="77"/>
        <v>1.442695041</v>
      </c>
      <c r="F113" s="721">
        <f t="shared" si="77"/>
        <v>1.442695041</v>
      </c>
      <c r="G113" s="721">
        <f t="shared" si="77"/>
        <v>1.442695041</v>
      </c>
    </row>
    <row r="114">
      <c r="A114" s="310"/>
      <c r="B114" s="597"/>
      <c r="C114" s="319"/>
      <c r="D114" s="415"/>
      <c r="E114" s="415"/>
      <c r="F114" s="415"/>
      <c r="G114" s="415"/>
    </row>
    <row r="115">
      <c r="A115" s="774" t="s">
        <v>514</v>
      </c>
      <c r="B115" s="587">
        <f t="array" ref="B115">index(A115:W115,,match($A$3,$A$1:$W$1,0))</f>
        <v>1791.80588</v>
      </c>
      <c r="C115" s="323">
        <f>sum(D115:W115)</f>
        <v>1791.80588</v>
      </c>
      <c r="D115" s="323">
        <f t="shared" ref="D115:G115" si="78">D113*sum(D111:D112)</f>
        <v>951.1001149</v>
      </c>
      <c r="E115" s="323">
        <f t="shared" si="78"/>
        <v>131.466576</v>
      </c>
      <c r="F115" s="323">
        <f t="shared" si="78"/>
        <v>518.058631</v>
      </c>
      <c r="G115" s="323">
        <f t="shared" si="78"/>
        <v>191.1805582</v>
      </c>
    </row>
    <row r="116">
      <c r="A116" s="310"/>
      <c r="B116" s="597"/>
      <c r="C116" s="415"/>
      <c r="D116" s="415"/>
      <c r="E116" s="415"/>
      <c r="F116" s="415"/>
      <c r="G116" s="415"/>
    </row>
    <row r="117">
      <c r="A117" s="759" t="s">
        <v>354</v>
      </c>
      <c r="B117" s="595"/>
      <c r="C117" s="596"/>
      <c r="D117" s="596"/>
      <c r="E117" s="596"/>
      <c r="F117" s="596"/>
      <c r="G117" s="596"/>
    </row>
    <row r="118">
      <c r="A118" s="321"/>
      <c r="B118" s="597"/>
      <c r="C118" s="415"/>
      <c r="D118" s="415"/>
      <c r="E118" s="415"/>
      <c r="F118" s="415"/>
      <c r="G118" s="415"/>
    </row>
    <row r="119">
      <c r="A119" s="775" t="str">
        <f>A87</f>
        <v>Malaria-attributable deaths averted with hypothetical donation ($100,000) in treated and untreated populations (after internal and external validity adjustments)</v>
      </c>
      <c r="B119" s="708">
        <f t="shared" ref="B119:B120" si="80">index(A119:W119,,match($A$3,$A$1:$W$1,0))</f>
        <v>43.5392005</v>
      </c>
      <c r="C119" s="296">
        <f t="shared" ref="C119:G119" si="79">C87</f>
        <v>43.5392005</v>
      </c>
      <c r="D119" s="296">
        <f t="shared" si="79"/>
        <v>25.22924427</v>
      </c>
      <c r="E119" s="296">
        <f t="shared" si="79"/>
        <v>4.349827751</v>
      </c>
      <c r="F119" s="296">
        <f t="shared" si="79"/>
        <v>11.04760907</v>
      </c>
      <c r="G119" s="296">
        <f t="shared" si="79"/>
        <v>2.912519411</v>
      </c>
    </row>
    <row r="120">
      <c r="A120" s="555" t="s">
        <v>237</v>
      </c>
      <c r="B120" s="708">
        <f t="shared" si="80"/>
        <v>6145.72593</v>
      </c>
      <c r="C120" s="296">
        <f t="shared" ref="C120:G120" si="81">C70+C84+C115</f>
        <v>6145.72593</v>
      </c>
      <c r="D120" s="296">
        <f t="shared" si="81"/>
        <v>3474.024542</v>
      </c>
      <c r="E120" s="296">
        <f t="shared" si="81"/>
        <v>566.4493511</v>
      </c>
      <c r="F120" s="296">
        <f t="shared" si="81"/>
        <v>1622.819538</v>
      </c>
      <c r="G120" s="296">
        <f t="shared" si="81"/>
        <v>482.4324993</v>
      </c>
    </row>
    <row r="121">
      <c r="A121" s="35" t="s">
        <v>238</v>
      </c>
      <c r="B121" s="295">
        <f t="array" ref="B121">index(C121:V121,,match($A$3,$C$1:$V$1,0))</f>
        <v>6145.72593</v>
      </c>
      <c r="C121" s="270">
        <f>C120</f>
        <v>6145.72593</v>
      </c>
      <c r="D121" s="296">
        <f t="shared" ref="D121:G121" si="82">$C11/D11*D120</f>
        <v>10944.71449</v>
      </c>
      <c r="E121" s="296">
        <f t="shared" si="82"/>
        <v>1977.019304</v>
      </c>
      <c r="F121" s="296">
        <f t="shared" si="82"/>
        <v>4980.377203</v>
      </c>
      <c r="G121" s="296">
        <f t="shared" si="82"/>
        <v>6869.83879</v>
      </c>
    </row>
    <row r="122">
      <c r="A122" s="655"/>
      <c r="B122" s="776"/>
      <c r="C122" s="323"/>
      <c r="D122" s="323"/>
      <c r="E122" s="323"/>
      <c r="F122" s="323"/>
      <c r="G122" s="323"/>
    </row>
    <row r="123">
      <c r="A123" s="655" t="s">
        <v>239</v>
      </c>
      <c r="B123" s="777">
        <f t="array" ref="B123">index(A123:W123,,match($A$3,$A$1:$W$1,0))</f>
        <v>17.86420388</v>
      </c>
      <c r="C123" s="323">
        <f t="array" ref="C123">C121/index(Cash!$B:$B,match("Total units of value generated with hypothetical donation ($100,000)",Cash!$A:$A,0))</f>
        <v>17.86420388</v>
      </c>
      <c r="D123" s="323">
        <f t="array" ref="D123">D121/index(Cash!$B:$B,match("Total units of value generated with hypothetical donation ($100,000)",Cash!$A:$A,0))</f>
        <v>31.8137537</v>
      </c>
      <c r="E123" s="323">
        <f t="array" ref="E123">E121/index(Cash!$B:$B,match("Total units of value generated with hypothetical donation ($100,000)",Cash!$A:$A,0))</f>
        <v>5.746737867</v>
      </c>
      <c r="F123" s="323">
        <f t="array" ref="F123">F121/index(Cash!$B:$B,match("Total units of value generated with hypothetical donation ($100,000)",Cash!$A:$A,0))</f>
        <v>14.47680466</v>
      </c>
      <c r="G123" s="323">
        <f t="array" ref="G123">G121/index(Cash!$B:$B,match("Total units of value generated with hypothetical donation ($100,000)",Cash!$A:$A,0))</f>
        <v>19.96903249</v>
      </c>
    </row>
    <row r="124">
      <c r="A124" s="655"/>
      <c r="B124" s="778"/>
      <c r="C124" s="323"/>
      <c r="D124" s="323"/>
      <c r="E124" s="323"/>
      <c r="F124" s="323"/>
      <c r="G124" s="323"/>
    </row>
    <row r="125">
      <c r="A125" s="759" t="s">
        <v>126</v>
      </c>
      <c r="B125" s="595"/>
      <c r="C125" s="596"/>
      <c r="D125" s="596"/>
      <c r="E125" s="596"/>
      <c r="F125" s="596"/>
      <c r="G125" s="596"/>
    </row>
    <row r="126">
      <c r="A126" s="321"/>
      <c r="B126" s="597"/>
      <c r="C126" s="415"/>
      <c r="D126" s="415"/>
      <c r="E126" s="415"/>
      <c r="F126" s="415"/>
      <c r="G126" s="415"/>
    </row>
    <row r="127">
      <c r="A127" s="294" t="s">
        <v>135</v>
      </c>
      <c r="B127" s="685">
        <f t="shared" ref="B127:B129" si="84">index(A127:W127,,match($A$3,$A$1:$W$1,0))</f>
        <v>0.2915531705</v>
      </c>
      <c r="C127" s="419">
        <f t="shared" ref="C127:G127" si="83">C115/C120</f>
        <v>0.2915531705</v>
      </c>
      <c r="D127" s="419">
        <f t="shared" si="83"/>
        <v>0.2737747254</v>
      </c>
      <c r="E127" s="419">
        <f t="shared" si="83"/>
        <v>0.2320888456</v>
      </c>
      <c r="F127" s="419">
        <f t="shared" si="83"/>
        <v>0.3192336664</v>
      </c>
      <c r="G127" s="419">
        <f t="shared" si="83"/>
        <v>0.3962845756</v>
      </c>
    </row>
    <row r="128">
      <c r="A128" s="294" t="s">
        <v>133</v>
      </c>
      <c r="B128" s="685">
        <f t="shared" si="84"/>
        <v>0.6489307894</v>
      </c>
      <c r="C128" s="419">
        <f t="shared" ref="C128:G128" si="85">C70/C120</f>
        <v>0.6489307894</v>
      </c>
      <c r="D128" s="419">
        <f t="shared" si="85"/>
        <v>0.6707550414</v>
      </c>
      <c r="E128" s="419">
        <f t="shared" si="85"/>
        <v>0.6901535966</v>
      </c>
      <c r="F128" s="419">
        <f t="shared" si="85"/>
        <v>0.629385553</v>
      </c>
      <c r="G128" s="419">
        <f t="shared" si="85"/>
        <v>0.509118011</v>
      </c>
    </row>
    <row r="129">
      <c r="A129" s="294" t="s">
        <v>134</v>
      </c>
      <c r="B129" s="685">
        <f t="shared" si="84"/>
        <v>0.05951604011</v>
      </c>
      <c r="C129" s="419">
        <f t="shared" ref="C129:G129" si="86">C84/C120</f>
        <v>0.05951604011</v>
      </c>
      <c r="D129" s="419">
        <f t="shared" si="86"/>
        <v>0.05547023323</v>
      </c>
      <c r="E129" s="419">
        <f t="shared" si="86"/>
        <v>0.07775755778</v>
      </c>
      <c r="F129" s="419">
        <f t="shared" si="86"/>
        <v>0.05138078061</v>
      </c>
      <c r="G129" s="419">
        <f t="shared" si="86"/>
        <v>0.09459741339</v>
      </c>
    </row>
    <row r="130">
      <c r="A130" s="310"/>
      <c r="B130" s="779"/>
      <c r="C130" s="467"/>
      <c r="D130" s="415"/>
      <c r="E130" s="415"/>
      <c r="F130" s="415"/>
      <c r="G130" s="415"/>
    </row>
    <row r="131">
      <c r="A131" s="264" t="s">
        <v>240</v>
      </c>
      <c r="B131" s="780"/>
      <c r="C131" s="596"/>
      <c r="D131" s="596"/>
      <c r="E131" s="596"/>
      <c r="F131" s="596"/>
      <c r="G131" s="596"/>
    </row>
    <row r="132" outlineLevel="1">
      <c r="A132" s="310"/>
      <c r="B132" s="779"/>
      <c r="C132" s="415"/>
      <c r="D132" s="415"/>
      <c r="E132" s="415"/>
      <c r="F132" s="415"/>
      <c r="G132" s="415"/>
    </row>
    <row r="133" outlineLevel="1">
      <c r="A133" s="598" t="s">
        <v>355</v>
      </c>
      <c r="B133" s="779"/>
      <c r="C133" s="415"/>
      <c r="D133" s="415"/>
      <c r="E133" s="415"/>
      <c r="F133" s="415"/>
      <c r="G133" s="415"/>
    </row>
    <row r="134" outlineLevel="1">
      <c r="A134" s="599" t="s">
        <v>356</v>
      </c>
      <c r="B134" s="716">
        <f t="shared" ref="B134:B136" si="87">index(A134:W134,,match($A$3,$A$1:$W$1,0))</f>
        <v>6.274579657</v>
      </c>
      <c r="C134" s="713">
        <f>sumproduct(D134:F134,D7:F7)</f>
        <v>6.274579657</v>
      </c>
      <c r="D134" s="781">
        <v>5.524125104023671</v>
      </c>
      <c r="E134" s="781">
        <v>8.037493670301759</v>
      </c>
      <c r="F134" s="781">
        <v>6.807757472007561</v>
      </c>
      <c r="G134" s="781">
        <v>6.1580486032743496</v>
      </c>
    </row>
    <row r="135" outlineLevel="1">
      <c r="A135" s="599" t="s">
        <v>515</v>
      </c>
      <c r="B135" s="716">
        <f t="shared" si="87"/>
        <v>0.6709435251</v>
      </c>
      <c r="C135" s="713">
        <f>sumproduct(D135:F135,D7:F7)</f>
        <v>0.6709435251</v>
      </c>
      <c r="D135" s="781">
        <v>0.5382531747075827</v>
      </c>
      <c r="E135" s="781">
        <v>0.730021448964984</v>
      </c>
      <c r="F135" s="781">
        <v>0.8928542966861166</v>
      </c>
      <c r="G135" s="781">
        <v>0.6410213028351474</v>
      </c>
    </row>
    <row r="136" outlineLevel="1">
      <c r="A136" s="602" t="s">
        <v>360</v>
      </c>
      <c r="B136" s="603">
        <f t="shared" si="87"/>
        <v>6.945523182</v>
      </c>
      <c r="C136" s="604">
        <f t="shared" ref="C136:G136" si="88">sum(C134:C135)</f>
        <v>6.945523182</v>
      </c>
      <c r="D136" s="604">
        <f t="shared" si="88"/>
        <v>6.062378279</v>
      </c>
      <c r="E136" s="604">
        <f t="shared" si="88"/>
        <v>8.767515119</v>
      </c>
      <c r="F136" s="604">
        <f t="shared" si="88"/>
        <v>7.700611769</v>
      </c>
      <c r="G136" s="604">
        <f t="shared" si="88"/>
        <v>6.799069906</v>
      </c>
    </row>
    <row r="137" outlineLevel="1">
      <c r="A137" s="339" t="s">
        <v>252</v>
      </c>
      <c r="B137" s="782">
        <f t="shared" ref="B137:G137" si="89">B136-B13</f>
        <v>-0.4775280899</v>
      </c>
      <c r="C137" s="783">
        <f t="shared" si="89"/>
        <v>-0.4775280899</v>
      </c>
      <c r="D137" s="783">
        <f t="shared" si="89"/>
        <v>0</v>
      </c>
      <c r="E137" s="783">
        <f t="shared" si="89"/>
        <v>0</v>
      </c>
      <c r="F137" s="783">
        <f t="shared" si="89"/>
        <v>0</v>
      </c>
      <c r="G137" s="783">
        <f t="shared" si="89"/>
        <v>-0.0009300938905</v>
      </c>
    </row>
    <row r="138" outlineLevel="1">
      <c r="A138" s="310"/>
      <c r="B138" s="779"/>
      <c r="C138" s="415"/>
      <c r="D138" s="415"/>
      <c r="E138" s="415"/>
      <c r="F138" s="415"/>
      <c r="G138" s="415"/>
    </row>
    <row r="139" outlineLevel="1">
      <c r="A139" s="301" t="s">
        <v>361</v>
      </c>
      <c r="B139" s="779"/>
      <c r="C139" s="415"/>
      <c r="D139" s="415"/>
      <c r="E139" s="415"/>
      <c r="F139" s="415"/>
      <c r="G139" s="415"/>
    </row>
    <row r="140" outlineLevel="1">
      <c r="A140" s="294" t="s">
        <v>356</v>
      </c>
      <c r="B140" s="607">
        <f t="shared" ref="B140:B142" si="91">index(A140:W140,,match($A$3,$A$1:$W$1,0))</f>
        <v>100000</v>
      </c>
      <c r="C140" s="607">
        <f>B11</f>
        <v>100000</v>
      </c>
      <c r="D140" s="607">
        <f t="shared" ref="D140:G140" si="90">D11</f>
        <v>31741.57303</v>
      </c>
      <c r="E140" s="607">
        <f t="shared" si="90"/>
        <v>28651.68539</v>
      </c>
      <c r="F140" s="607">
        <f t="shared" si="90"/>
        <v>32584.26966</v>
      </c>
      <c r="G140" s="716">
        <f t="shared" si="90"/>
        <v>7022.47191</v>
      </c>
    </row>
    <row r="141" outlineLevel="1">
      <c r="A141" s="294" t="s">
        <v>515</v>
      </c>
      <c r="B141" s="607">
        <f t="shared" si="91"/>
        <v>9660.086181</v>
      </c>
      <c r="C141" s="608">
        <f>(C135/C136)*C140</f>
        <v>9660.086181</v>
      </c>
      <c r="D141" s="608">
        <f t="shared" ref="D141:G141" si="92">D135/D134*D140</f>
        <v>3092.797888</v>
      </c>
      <c r="E141" s="608">
        <f t="shared" si="92"/>
        <v>2602.34667</v>
      </c>
      <c r="F141" s="608">
        <f t="shared" si="92"/>
        <v>4273.507876</v>
      </c>
      <c r="G141" s="713">
        <f t="shared" si="92"/>
        <v>731.0033394</v>
      </c>
    </row>
    <row r="142" outlineLevel="1">
      <c r="A142" s="612" t="s">
        <v>362</v>
      </c>
      <c r="B142" s="613">
        <f t="shared" si="91"/>
        <v>109660.0862</v>
      </c>
      <c r="C142" s="614">
        <f t="shared" ref="C142:G142" si="93">sum(C140:C141)</f>
        <v>109660.0862</v>
      </c>
      <c r="D142" s="614">
        <f t="shared" si="93"/>
        <v>34834.37092</v>
      </c>
      <c r="E142" s="614">
        <f t="shared" si="93"/>
        <v>31254.03206</v>
      </c>
      <c r="F142" s="614">
        <f t="shared" si="93"/>
        <v>36857.77754</v>
      </c>
      <c r="G142" s="614">
        <f t="shared" si="93"/>
        <v>7753.475249</v>
      </c>
    </row>
    <row r="143" outlineLevel="1">
      <c r="A143" s="310"/>
      <c r="B143" s="779"/>
      <c r="C143" s="415"/>
      <c r="D143" s="415"/>
      <c r="E143" s="415"/>
      <c r="F143" s="415"/>
      <c r="G143" s="415"/>
    </row>
    <row r="144" outlineLevel="1">
      <c r="A144" s="509" t="s">
        <v>366</v>
      </c>
      <c r="B144" s="784"/>
      <c r="C144" s="460"/>
      <c r="D144" s="460"/>
      <c r="E144" s="453"/>
      <c r="F144" s="453"/>
      <c r="G144" s="453"/>
    </row>
    <row r="145" outlineLevel="1">
      <c r="A145" s="460" t="s">
        <v>515</v>
      </c>
      <c r="B145" s="309">
        <f t="shared" ref="B145:B146" si="94">index(C145:W145,,match($A$3,$C$1:$W$1,0))</f>
        <v>477.5153033</v>
      </c>
      <c r="C145" s="617">
        <f>100000/'Counterfactual non-philanthropi'!$D$33*'Moral weights'!$B$6</f>
        <v>477.5153033</v>
      </c>
      <c r="D145" s="617">
        <f>100000/'Counterfactual non-philanthropi'!$D$33*'Moral weights'!$B$6</f>
        <v>477.5153033</v>
      </c>
      <c r="E145" s="617">
        <f>100000/'Counterfactual non-philanthropi'!$D$33*'Moral weights'!$B$6</f>
        <v>477.5153033</v>
      </c>
      <c r="F145" s="617">
        <f>100000/'Counterfactual non-philanthropi'!$D$33*'Moral weights'!$B$6</f>
        <v>477.5153033</v>
      </c>
      <c r="G145" s="617">
        <f>100000/'Counterfactual non-philanthropi'!$D$33*'Moral weights'!$B$6</f>
        <v>477.5153033</v>
      </c>
    </row>
    <row r="146" outlineLevel="1">
      <c r="A146" s="460" t="s">
        <v>516</v>
      </c>
      <c r="B146" s="309">
        <f t="shared" si="94"/>
        <v>3956.477585</v>
      </c>
      <c r="C146" s="617">
        <f>100000/'Counterfactual non-philanthropi'!$D$35*'Moral weights'!$B$6</f>
        <v>3956.477585</v>
      </c>
      <c r="D146" s="617">
        <f>100000/'Counterfactual non-philanthropi'!$D$35*'Moral weights'!$B$6</f>
        <v>3956.477585</v>
      </c>
      <c r="E146" s="617">
        <f>100000/'Counterfactual non-philanthropi'!$D$35*'Moral weights'!$B$6</f>
        <v>3956.477585</v>
      </c>
      <c r="F146" s="617">
        <f>100000/'Counterfactual non-philanthropi'!$D$35*'Moral weights'!$B$6</f>
        <v>3956.477585</v>
      </c>
      <c r="G146" s="617">
        <f>100000/'Counterfactual non-philanthropi'!$D$35*'Moral weights'!$B$6</f>
        <v>3956.477585</v>
      </c>
    </row>
    <row r="147" outlineLevel="1">
      <c r="A147" s="460"/>
      <c r="B147" s="784"/>
      <c r="C147" s="453"/>
      <c r="D147" s="453"/>
      <c r="E147" s="453"/>
      <c r="F147" s="453"/>
      <c r="G147" s="453"/>
    </row>
    <row r="148" outlineLevel="1">
      <c r="A148" s="509" t="s">
        <v>367</v>
      </c>
      <c r="B148" s="784"/>
      <c r="C148" s="453"/>
      <c r="D148" s="453"/>
      <c r="E148" s="453"/>
      <c r="F148" s="453"/>
      <c r="G148" s="453"/>
    </row>
    <row r="149" outlineLevel="1">
      <c r="A149" s="460" t="s">
        <v>368</v>
      </c>
      <c r="B149" s="289">
        <f t="shared" ref="B149:B152" si="95">index(C149:W149,,match($A$3,$C$1:$W$1,0))</f>
        <v>0.1</v>
      </c>
      <c r="C149" s="47">
        <v>0.1</v>
      </c>
      <c r="D149" s="47">
        <v>0.1</v>
      </c>
      <c r="E149" s="47">
        <v>0.1</v>
      </c>
      <c r="F149" s="47">
        <v>0.1</v>
      </c>
      <c r="G149" s="47">
        <v>0.1</v>
      </c>
    </row>
    <row r="150" outlineLevel="1">
      <c r="A150" s="460" t="s">
        <v>517</v>
      </c>
      <c r="B150" s="289">
        <f t="shared" si="95"/>
        <v>0.25</v>
      </c>
      <c r="C150" s="47">
        <v>0.25</v>
      </c>
      <c r="D150" s="47">
        <v>0.25</v>
      </c>
      <c r="E150" s="47">
        <v>0.25</v>
      </c>
      <c r="F150" s="47">
        <v>0.25</v>
      </c>
      <c r="G150" s="47">
        <v>0.25</v>
      </c>
    </row>
    <row r="151" outlineLevel="1">
      <c r="A151" s="599" t="s">
        <v>518</v>
      </c>
      <c r="B151" s="289">
        <f t="shared" si="95"/>
        <v>0</v>
      </c>
      <c r="C151" s="47">
        <v>0.0</v>
      </c>
      <c r="D151" s="47">
        <v>0.0</v>
      </c>
      <c r="E151" s="47">
        <v>0.0</v>
      </c>
      <c r="F151" s="47">
        <v>0.0</v>
      </c>
      <c r="G151" s="47">
        <v>0.0</v>
      </c>
    </row>
    <row r="152" outlineLevel="1">
      <c r="A152" s="599" t="s">
        <v>519</v>
      </c>
      <c r="B152" s="289">
        <f t="shared" si="95"/>
        <v>0.65</v>
      </c>
      <c r="C152" s="47">
        <v>0.65</v>
      </c>
      <c r="D152" s="47">
        <v>0.65</v>
      </c>
      <c r="E152" s="47">
        <v>0.65</v>
      </c>
      <c r="F152" s="47">
        <v>0.65</v>
      </c>
      <c r="G152" s="47">
        <v>0.65</v>
      </c>
    </row>
    <row r="153" outlineLevel="1">
      <c r="A153" s="460"/>
      <c r="B153" s="621"/>
      <c r="C153" s="453"/>
      <c r="D153" s="453"/>
      <c r="E153" s="453"/>
      <c r="F153" s="453"/>
      <c r="G153" s="453"/>
    </row>
    <row r="154" outlineLevel="1">
      <c r="A154" s="509" t="s">
        <v>372</v>
      </c>
      <c r="B154" s="784"/>
      <c r="C154" s="453"/>
      <c r="D154" s="453"/>
      <c r="E154" s="453"/>
      <c r="F154" s="453"/>
      <c r="G154" s="453"/>
    </row>
    <row r="155" outlineLevel="1">
      <c r="A155" s="460" t="s">
        <v>368</v>
      </c>
      <c r="B155" s="318">
        <f t="shared" ref="B155:B158" si="97">index(C155:W155,,match($A$3,$C$1:$W$1,0))</f>
        <v>-100000</v>
      </c>
      <c r="C155" s="270">
        <f t="shared" ref="C155:C158" si="98">sum(D155:W155)</f>
        <v>-100000</v>
      </c>
      <c r="D155" s="318">
        <f t="shared" ref="D155:G155" si="96">-D140</f>
        <v>-31741.57303</v>
      </c>
      <c r="E155" s="318">
        <f t="shared" si="96"/>
        <v>-28651.68539</v>
      </c>
      <c r="F155" s="318">
        <f t="shared" si="96"/>
        <v>-32584.26966</v>
      </c>
      <c r="G155" s="318">
        <f t="shared" si="96"/>
        <v>-7022.47191</v>
      </c>
    </row>
    <row r="156" outlineLevel="1">
      <c r="A156" s="460" t="s">
        <v>517</v>
      </c>
      <c r="B156" s="318">
        <f t="shared" si="97"/>
        <v>-100000</v>
      </c>
      <c r="C156" s="270">
        <f t="shared" si="98"/>
        <v>-100000</v>
      </c>
      <c r="D156" s="318">
        <f t="shared" ref="D156:G156" si="99">-D140</f>
        <v>-31741.57303</v>
      </c>
      <c r="E156" s="318">
        <f t="shared" si="99"/>
        <v>-28651.68539</v>
      </c>
      <c r="F156" s="318">
        <f t="shared" si="99"/>
        <v>-32584.26966</v>
      </c>
      <c r="G156" s="318">
        <f t="shared" si="99"/>
        <v>-7022.47191</v>
      </c>
    </row>
    <row r="157" outlineLevel="1">
      <c r="A157" s="460" t="s">
        <v>518</v>
      </c>
      <c r="B157" s="318">
        <f t="shared" si="97"/>
        <v>0</v>
      </c>
      <c r="C157" s="270">
        <f t="shared" si="98"/>
        <v>0</v>
      </c>
      <c r="D157" s="57">
        <v>0.0</v>
      </c>
      <c r="E157" s="57">
        <v>0.0</v>
      </c>
      <c r="F157" s="57">
        <v>0.0</v>
      </c>
      <c r="G157" s="57">
        <v>0.0</v>
      </c>
    </row>
    <row r="158" outlineLevel="1">
      <c r="A158" s="460" t="s">
        <v>519</v>
      </c>
      <c r="B158" s="318">
        <f t="shared" si="97"/>
        <v>10699.65577</v>
      </c>
      <c r="C158" s="270">
        <f t="shared" si="98"/>
        <v>10699.65577</v>
      </c>
      <c r="D158" s="318">
        <f t="shared" ref="D158:G158" si="100">D141</f>
        <v>3092.797888</v>
      </c>
      <c r="E158" s="318">
        <f t="shared" si="100"/>
        <v>2602.34667</v>
      </c>
      <c r="F158" s="318">
        <f t="shared" si="100"/>
        <v>4273.507876</v>
      </c>
      <c r="G158" s="318">
        <f t="shared" si="100"/>
        <v>731.0033394</v>
      </c>
    </row>
    <row r="159" outlineLevel="1">
      <c r="A159" s="460"/>
      <c r="B159" s="627"/>
      <c r="C159" s="453"/>
      <c r="D159" s="453"/>
      <c r="E159" s="453"/>
      <c r="F159" s="453"/>
      <c r="G159" s="453"/>
    </row>
    <row r="160" outlineLevel="1">
      <c r="A160" s="525" t="s">
        <v>376</v>
      </c>
      <c r="B160" s="784"/>
      <c r="C160" s="453"/>
      <c r="D160" s="453"/>
      <c r="E160" s="453"/>
      <c r="F160" s="453"/>
      <c r="G160" s="453"/>
    </row>
    <row r="161" outlineLevel="1">
      <c r="A161" s="460" t="s">
        <v>368</v>
      </c>
      <c r="B161" s="318">
        <f t="shared" ref="B161:B164" si="102">index(C161:W161,,match($A$3,$C$1:$W$1,0))</f>
        <v>-6145.72593</v>
      </c>
      <c r="C161" s="270">
        <f t="shared" ref="C161:C164" si="103">sum(D161:W161)</f>
        <v>-6145.72593</v>
      </c>
      <c r="D161" s="270">
        <f t="shared" ref="D161:G161" si="101">D155/D$11*D$120</f>
        <v>-3474.024542</v>
      </c>
      <c r="E161" s="270">
        <f t="shared" si="101"/>
        <v>-566.4493511</v>
      </c>
      <c r="F161" s="270">
        <f t="shared" si="101"/>
        <v>-1622.819538</v>
      </c>
      <c r="G161" s="270">
        <f t="shared" si="101"/>
        <v>-482.4324993</v>
      </c>
    </row>
    <row r="162" outlineLevel="1">
      <c r="A162" s="460" t="s">
        <v>517</v>
      </c>
      <c r="B162" s="318">
        <f t="shared" si="102"/>
        <v>-6145.72593</v>
      </c>
      <c r="C162" s="270">
        <f t="shared" si="103"/>
        <v>-6145.72593</v>
      </c>
      <c r="D162" s="270">
        <f t="shared" ref="D162:G162" si="104">D156/D$11*D$120</f>
        <v>-3474.024542</v>
      </c>
      <c r="E162" s="270">
        <f t="shared" si="104"/>
        <v>-566.4493511</v>
      </c>
      <c r="F162" s="270">
        <f t="shared" si="104"/>
        <v>-1622.819538</v>
      </c>
      <c r="G162" s="270">
        <f t="shared" si="104"/>
        <v>-482.4324993</v>
      </c>
    </row>
    <row r="163" outlineLevel="1">
      <c r="A163" s="460" t="s">
        <v>518</v>
      </c>
      <c r="B163" s="318">
        <f t="shared" si="102"/>
        <v>0</v>
      </c>
      <c r="C163" s="270">
        <f t="shared" si="103"/>
        <v>0</v>
      </c>
      <c r="D163" s="270">
        <f t="shared" ref="D163:G163" si="105">D157/D$11*D$120</f>
        <v>0</v>
      </c>
      <c r="E163" s="270">
        <f t="shared" si="105"/>
        <v>0</v>
      </c>
      <c r="F163" s="270">
        <f t="shared" si="105"/>
        <v>0</v>
      </c>
      <c r="G163" s="270">
        <f t="shared" si="105"/>
        <v>0</v>
      </c>
    </row>
    <row r="164" outlineLevel="1">
      <c r="A164" s="460" t="s">
        <v>519</v>
      </c>
      <c r="B164" s="318">
        <f t="shared" si="102"/>
        <v>653.0023575</v>
      </c>
      <c r="C164" s="270">
        <f t="shared" si="103"/>
        <v>653.0023575</v>
      </c>
      <c r="D164" s="270">
        <f t="shared" ref="D164:G164" si="106">D158/D$11*D$120</f>
        <v>338.4978985</v>
      </c>
      <c r="E164" s="270">
        <f t="shared" si="106"/>
        <v>51.44889601</v>
      </c>
      <c r="F164" s="270">
        <f t="shared" si="106"/>
        <v>212.836812</v>
      </c>
      <c r="G164" s="270">
        <f t="shared" si="106"/>
        <v>50.21875096</v>
      </c>
    </row>
    <row r="165" outlineLevel="1">
      <c r="A165" s="460"/>
      <c r="B165" s="627"/>
      <c r="C165" s="453"/>
      <c r="D165" s="453"/>
      <c r="E165" s="453"/>
      <c r="F165" s="453"/>
      <c r="G165" s="453"/>
    </row>
    <row r="166" outlineLevel="1">
      <c r="A166" s="525" t="s">
        <v>377</v>
      </c>
      <c r="B166" s="784"/>
      <c r="C166" s="453"/>
      <c r="D166" s="453"/>
      <c r="E166" s="453"/>
      <c r="F166" s="453"/>
      <c r="G166" s="453"/>
    </row>
    <row r="167" outlineLevel="1">
      <c r="A167" s="460" t="s">
        <v>368</v>
      </c>
      <c r="B167" s="318">
        <f t="shared" ref="B167:B170" si="108">index(C167:W167,,match($A$3,$C$1:$W$1,0))</f>
        <v>477.5153033</v>
      </c>
      <c r="C167" s="270">
        <f t="shared" ref="C167:C170" si="109">sum(D167:W167)</f>
        <v>477.5153033</v>
      </c>
      <c r="D167" s="270">
        <f t="shared" ref="D167:G167" si="107">-D155*D145/100000</f>
        <v>151.5708688</v>
      </c>
      <c r="E167" s="270">
        <f t="shared" si="107"/>
        <v>136.8161824</v>
      </c>
      <c r="F167" s="270">
        <f t="shared" si="107"/>
        <v>155.5948741</v>
      </c>
      <c r="G167" s="270">
        <f t="shared" si="107"/>
        <v>33.53337804</v>
      </c>
    </row>
    <row r="168" outlineLevel="1">
      <c r="A168" s="460" t="s">
        <v>517</v>
      </c>
      <c r="B168" s="318">
        <f t="shared" si="108"/>
        <v>3956.477585</v>
      </c>
      <c r="C168" s="270">
        <f t="shared" si="109"/>
        <v>3956.477585</v>
      </c>
      <c r="D168" s="270">
        <f t="shared" ref="D168:G168" si="110">-D156*D146/100000</f>
        <v>1255.848222</v>
      </c>
      <c r="E168" s="270">
        <f t="shared" si="110"/>
        <v>1133.59751</v>
      </c>
      <c r="F168" s="270">
        <f t="shared" si="110"/>
        <v>1289.189325</v>
      </c>
      <c r="G168" s="270">
        <f t="shared" si="110"/>
        <v>277.842527</v>
      </c>
    </row>
    <row r="169" outlineLevel="1">
      <c r="A169" s="460" t="s">
        <v>518</v>
      </c>
      <c r="B169" s="318">
        <f t="shared" si="108"/>
        <v>0</v>
      </c>
      <c r="C169" s="270">
        <f t="shared" si="109"/>
        <v>0</v>
      </c>
      <c r="D169" s="270">
        <f t="shared" ref="D169:G169" si="111">-D157*D145/100000</f>
        <v>0</v>
      </c>
      <c r="E169" s="270">
        <f t="shared" si="111"/>
        <v>0</v>
      </c>
      <c r="F169" s="270">
        <f t="shared" si="111"/>
        <v>0</v>
      </c>
      <c r="G169" s="270">
        <f t="shared" si="111"/>
        <v>0</v>
      </c>
    </row>
    <row r="170" outlineLevel="1">
      <c r="A170" s="460" t="s">
        <v>519</v>
      </c>
      <c r="B170" s="318">
        <f t="shared" si="108"/>
        <v>-51.09249372</v>
      </c>
      <c r="C170" s="270">
        <f t="shared" si="109"/>
        <v>-51.09249372</v>
      </c>
      <c r="D170" s="270">
        <f t="shared" ref="D170:G170" si="112">-D158*D145/100000</f>
        <v>-14.76858322</v>
      </c>
      <c r="E170" s="270">
        <f t="shared" si="112"/>
        <v>-12.42660359</v>
      </c>
      <c r="F170" s="270">
        <f t="shared" si="112"/>
        <v>-20.4066541</v>
      </c>
      <c r="G170" s="270">
        <f t="shared" si="112"/>
        <v>-3.490652813</v>
      </c>
    </row>
    <row r="171" outlineLevel="1">
      <c r="A171" s="460"/>
      <c r="B171" s="627"/>
      <c r="C171" s="453"/>
      <c r="D171" s="453"/>
      <c r="E171" s="453"/>
      <c r="F171" s="453"/>
      <c r="G171" s="453"/>
    </row>
    <row r="172" outlineLevel="1">
      <c r="A172" s="528" t="s">
        <v>378</v>
      </c>
      <c r="B172" s="784"/>
      <c r="C172" s="453"/>
      <c r="D172" s="453"/>
      <c r="E172" s="453"/>
      <c r="F172" s="453"/>
      <c r="G172" s="453"/>
    </row>
    <row r="173" outlineLevel="1">
      <c r="A173" s="460" t="s">
        <v>368</v>
      </c>
      <c r="B173" s="318">
        <f t="shared" ref="B173:B176" si="114">index(C173:W173,,match($A$3,$C$1:$W$1,0))</f>
        <v>-5668.210627</v>
      </c>
      <c r="C173" s="270">
        <f t="shared" ref="C173:C176" si="115">sum(D173:W173)</f>
        <v>-5668.210627</v>
      </c>
      <c r="D173" s="270">
        <f t="shared" ref="D173:G173" si="113">D161+D167</f>
        <v>-3322.453673</v>
      </c>
      <c r="E173" s="270">
        <f t="shared" si="113"/>
        <v>-429.6331687</v>
      </c>
      <c r="F173" s="270">
        <f t="shared" si="113"/>
        <v>-1467.224664</v>
      </c>
      <c r="G173" s="270">
        <f t="shared" si="113"/>
        <v>-448.8991213</v>
      </c>
    </row>
    <row r="174" outlineLevel="1">
      <c r="A174" s="460" t="s">
        <v>517</v>
      </c>
      <c r="B174" s="318">
        <f t="shared" si="114"/>
        <v>-2189.248345</v>
      </c>
      <c r="C174" s="270">
        <f t="shared" si="115"/>
        <v>-2189.248345</v>
      </c>
      <c r="D174" s="270">
        <f t="shared" ref="D174:G174" si="116">D162+D168</f>
        <v>-2218.17632</v>
      </c>
      <c r="E174" s="270">
        <f t="shared" si="116"/>
        <v>567.1481592</v>
      </c>
      <c r="F174" s="270">
        <f t="shared" si="116"/>
        <v>-333.6302126</v>
      </c>
      <c r="G174" s="270">
        <f t="shared" si="116"/>
        <v>-204.5899723</v>
      </c>
    </row>
    <row r="175" outlineLevel="1">
      <c r="A175" s="460" t="s">
        <v>518</v>
      </c>
      <c r="B175" s="318">
        <f t="shared" si="114"/>
        <v>0</v>
      </c>
      <c r="C175" s="270">
        <f t="shared" si="115"/>
        <v>0</v>
      </c>
      <c r="D175" s="270">
        <f t="shared" ref="D175:G175" si="117">D163+D169</f>
        <v>0</v>
      </c>
      <c r="E175" s="270">
        <f t="shared" si="117"/>
        <v>0</v>
      </c>
      <c r="F175" s="270">
        <f t="shared" si="117"/>
        <v>0</v>
      </c>
      <c r="G175" s="270">
        <f t="shared" si="117"/>
        <v>0</v>
      </c>
    </row>
    <row r="176" outlineLevel="1">
      <c r="A176" s="460" t="s">
        <v>519</v>
      </c>
      <c r="B176" s="318">
        <f t="shared" si="114"/>
        <v>601.9098637</v>
      </c>
      <c r="C176" s="270">
        <f t="shared" si="115"/>
        <v>601.9098637</v>
      </c>
      <c r="D176" s="270">
        <f t="shared" ref="D176:G176" si="118">D164+D170</f>
        <v>323.7293153</v>
      </c>
      <c r="E176" s="270">
        <f t="shared" si="118"/>
        <v>39.02229242</v>
      </c>
      <c r="F176" s="270">
        <f t="shared" si="118"/>
        <v>192.4301579</v>
      </c>
      <c r="G176" s="270">
        <f t="shared" si="118"/>
        <v>46.72809815</v>
      </c>
    </row>
    <row r="177" outlineLevel="1">
      <c r="A177" s="460"/>
      <c r="B177" s="627"/>
      <c r="C177" s="453"/>
      <c r="D177" s="429"/>
      <c r="E177" s="429"/>
      <c r="F177" s="429"/>
      <c r="G177" s="429"/>
    </row>
    <row r="178" outlineLevel="1">
      <c r="A178" s="528" t="s">
        <v>379</v>
      </c>
      <c r="B178" s="784"/>
      <c r="C178" s="453"/>
      <c r="D178" s="453"/>
      <c r="E178" s="453"/>
      <c r="F178" s="453"/>
      <c r="G178" s="453"/>
    </row>
    <row r="179" outlineLevel="1">
      <c r="A179" s="460" t="s">
        <v>368</v>
      </c>
      <c r="B179" s="318">
        <f t="shared" ref="B179:B183" si="120">index(C179:W179,,match($A$3,$C$1:$W$1,0))</f>
        <v>477.5153033</v>
      </c>
      <c r="C179" s="270">
        <f t="shared" ref="C179:C182" si="121">sum(D179:W179)</f>
        <v>477.5153033</v>
      </c>
      <c r="D179" s="270">
        <f t="shared" ref="D179:G179" si="119">D$120+D173</f>
        <v>151.5708688</v>
      </c>
      <c r="E179" s="270">
        <f t="shared" si="119"/>
        <v>136.8161824</v>
      </c>
      <c r="F179" s="270">
        <f t="shared" si="119"/>
        <v>155.5948741</v>
      </c>
      <c r="G179" s="270">
        <f t="shared" si="119"/>
        <v>33.53337804</v>
      </c>
    </row>
    <row r="180" outlineLevel="1">
      <c r="A180" s="460" t="s">
        <v>517</v>
      </c>
      <c r="B180" s="318">
        <f t="shared" si="120"/>
        <v>3956.477585</v>
      </c>
      <c r="C180" s="270">
        <f t="shared" si="121"/>
        <v>3956.477585</v>
      </c>
      <c r="D180" s="270">
        <f t="shared" ref="D180:G180" si="122">D$120+D174</f>
        <v>1255.848222</v>
      </c>
      <c r="E180" s="270">
        <f t="shared" si="122"/>
        <v>1133.59751</v>
      </c>
      <c r="F180" s="270">
        <f t="shared" si="122"/>
        <v>1289.189325</v>
      </c>
      <c r="G180" s="270">
        <f t="shared" si="122"/>
        <v>277.842527</v>
      </c>
    </row>
    <row r="181" outlineLevel="1">
      <c r="A181" s="460" t="s">
        <v>518</v>
      </c>
      <c r="B181" s="318">
        <f t="shared" si="120"/>
        <v>6145.72593</v>
      </c>
      <c r="C181" s="270">
        <f t="shared" si="121"/>
        <v>6145.72593</v>
      </c>
      <c r="D181" s="270">
        <f t="shared" ref="D181:G181" si="123">D$120+D175</f>
        <v>3474.024542</v>
      </c>
      <c r="E181" s="270">
        <f t="shared" si="123"/>
        <v>566.4493511</v>
      </c>
      <c r="F181" s="270">
        <f t="shared" si="123"/>
        <v>1622.819538</v>
      </c>
      <c r="G181" s="270">
        <f t="shared" si="123"/>
        <v>482.4324993</v>
      </c>
    </row>
    <row r="182" outlineLevel="1">
      <c r="A182" s="511" t="s">
        <v>519</v>
      </c>
      <c r="B182" s="785">
        <f t="shared" si="120"/>
        <v>6747.635794</v>
      </c>
      <c r="C182" s="786">
        <f t="shared" si="121"/>
        <v>6747.635794</v>
      </c>
      <c r="D182" s="786">
        <f t="shared" ref="D182:G182" si="124">D$120+D176</f>
        <v>3797.753857</v>
      </c>
      <c r="E182" s="786">
        <f t="shared" si="124"/>
        <v>605.4716435</v>
      </c>
      <c r="F182" s="786">
        <f t="shared" si="124"/>
        <v>1815.249696</v>
      </c>
      <c r="G182" s="786">
        <f t="shared" si="124"/>
        <v>529.1605975</v>
      </c>
    </row>
    <row r="183" outlineLevel="1">
      <c r="A183" s="460" t="s">
        <v>96</v>
      </c>
      <c r="B183" s="318">
        <f t="shared" si="120"/>
        <v>5422.834193</v>
      </c>
      <c r="C183" s="270">
        <f>SUM(D183:G183)</f>
        <v>5422.834193</v>
      </c>
      <c r="D183" s="270">
        <f t="shared" ref="D183:G183" si="125">SUMPRODUCT(D179:D182,D149:D152)</f>
        <v>2797.65915</v>
      </c>
      <c r="E183" s="270">
        <f t="shared" si="125"/>
        <v>690.6375641</v>
      </c>
      <c r="F183" s="270">
        <f t="shared" si="125"/>
        <v>1517.769121</v>
      </c>
      <c r="G183" s="270">
        <f t="shared" si="125"/>
        <v>416.7683579</v>
      </c>
    </row>
    <row r="184" outlineLevel="1">
      <c r="A184" s="460"/>
      <c r="B184" s="627"/>
      <c r="C184" s="39"/>
      <c r="D184" s="39"/>
      <c r="E184" s="39"/>
      <c r="F184" s="39"/>
      <c r="G184" s="39"/>
    </row>
    <row r="185">
      <c r="A185" s="625" t="s">
        <v>520</v>
      </c>
      <c r="B185" s="289">
        <f t="array" ref="B185">index(C185:W185,,match($A$3,$C$1:$W$1,0))</f>
        <v>-0.117625118</v>
      </c>
      <c r="C185" s="531">
        <f t="shared" ref="C185:G185" si="126">C183/C120-1</f>
        <v>-0.117625118</v>
      </c>
      <c r="D185" s="531">
        <f t="shared" si="126"/>
        <v>-0.1946921745</v>
      </c>
      <c r="E185" s="531">
        <f t="shared" si="126"/>
        <v>0.219239748</v>
      </c>
      <c r="F185" s="531">
        <f t="shared" si="126"/>
        <v>-0.06473327097</v>
      </c>
      <c r="G185" s="531">
        <f t="shared" si="126"/>
        <v>-0.1361105263</v>
      </c>
    </row>
    <row r="186">
      <c r="A186" s="625"/>
      <c r="B186" s="289"/>
      <c r="C186" s="531"/>
      <c r="D186" s="531"/>
      <c r="E186" s="531"/>
      <c r="F186" s="531"/>
      <c r="G186" s="531"/>
    </row>
    <row r="187">
      <c r="A187" s="759" t="s">
        <v>381</v>
      </c>
      <c r="B187" s="787"/>
      <c r="C187" s="759"/>
      <c r="D187" s="759"/>
      <c r="E187" s="759"/>
      <c r="F187" s="759"/>
      <c r="G187" s="759"/>
    </row>
    <row r="188">
      <c r="A188" s="310"/>
      <c r="B188" s="289"/>
      <c r="C188" s="415"/>
      <c r="D188" s="415"/>
      <c r="E188" s="415"/>
      <c r="F188" s="415"/>
      <c r="G188" s="415"/>
    </row>
    <row r="189">
      <c r="A189" s="519" t="s">
        <v>244</v>
      </c>
      <c r="B189" s="289"/>
      <c r="C189" s="415"/>
      <c r="D189" s="415"/>
      <c r="E189" s="415"/>
      <c r="F189" s="415"/>
      <c r="G189" s="415"/>
    </row>
    <row r="190">
      <c r="A190" s="294" t="s">
        <v>512</v>
      </c>
      <c r="B190" s="788">
        <f t="shared" ref="B190:B193" si="128">index(C190:W190,,match($A$3,$C$1:$W$1,0))</f>
        <v>914.4418413</v>
      </c>
      <c r="C190" s="550">
        <f t="shared" ref="C190:C193" si="129">sum(D190:G190)</f>
        <v>914.4418413</v>
      </c>
      <c r="D190" s="550">
        <f t="shared" ref="D190:G190" si="127">D111*(1+D$185)</f>
        <v>444.0560216</v>
      </c>
      <c r="E190" s="550">
        <f t="shared" si="127"/>
        <v>95.79348532</v>
      </c>
      <c r="F190" s="550">
        <f t="shared" si="127"/>
        <v>280.2676184</v>
      </c>
      <c r="G190" s="550">
        <f t="shared" si="127"/>
        <v>94.32471587</v>
      </c>
    </row>
    <row r="191">
      <c r="A191" s="294" t="s">
        <v>513</v>
      </c>
      <c r="B191" s="788">
        <f t="shared" si="128"/>
        <v>177.8884633</v>
      </c>
      <c r="C191" s="550">
        <f t="shared" si="129"/>
        <v>177.8884633</v>
      </c>
      <c r="D191" s="550">
        <f t="shared" ref="D191:G191" si="130">D112*(1+D$185)</f>
        <v>86.84506533</v>
      </c>
      <c r="E191" s="550">
        <f t="shared" si="130"/>
        <v>15.31057371</v>
      </c>
      <c r="F191" s="550">
        <f t="shared" si="130"/>
        <v>55.5781338</v>
      </c>
      <c r="G191" s="550">
        <f t="shared" si="130"/>
        <v>20.15469049</v>
      </c>
    </row>
    <row r="192">
      <c r="A192" s="294" t="s">
        <v>487</v>
      </c>
      <c r="B192" s="788">
        <f t="shared" si="128"/>
        <v>35.20636212</v>
      </c>
      <c r="C192" s="550">
        <f t="shared" si="129"/>
        <v>35.20636212</v>
      </c>
      <c r="D192" s="550">
        <f t="shared" ref="D192:G192" si="131">D67*(1+D$185)</f>
        <v>18.76543979</v>
      </c>
      <c r="E192" s="550">
        <f t="shared" si="131"/>
        <v>4.766459988</v>
      </c>
      <c r="F192" s="550">
        <f t="shared" si="131"/>
        <v>9.552619577</v>
      </c>
      <c r="G192" s="550">
        <f t="shared" si="131"/>
        <v>2.121842774</v>
      </c>
    </row>
    <row r="193">
      <c r="A193" s="294" t="s">
        <v>497</v>
      </c>
      <c r="B193" s="788">
        <f t="shared" si="128"/>
        <v>3.262984667</v>
      </c>
      <c r="C193" s="550">
        <f t="shared" si="129"/>
        <v>3.262984667</v>
      </c>
      <c r="D193" s="550">
        <f t="shared" ref="D193:G193" si="132">D81*(1+D$185)</f>
        <v>1.551868055</v>
      </c>
      <c r="E193" s="550">
        <f t="shared" si="132"/>
        <v>0.5370229029</v>
      </c>
      <c r="F193" s="550">
        <f t="shared" si="132"/>
        <v>0.7798416223</v>
      </c>
      <c r="G193" s="550">
        <f t="shared" si="132"/>
        <v>0.3942520864</v>
      </c>
    </row>
    <row r="194">
      <c r="A194" s="310"/>
      <c r="B194" s="788"/>
      <c r="C194" s="550"/>
      <c r="D194" s="550"/>
      <c r="E194" s="550"/>
      <c r="F194" s="550"/>
      <c r="G194" s="550"/>
    </row>
    <row r="195">
      <c r="A195" s="301" t="s">
        <v>521</v>
      </c>
      <c r="B195" s="788"/>
      <c r="C195" s="550"/>
      <c r="D195" s="550"/>
      <c r="E195" s="550"/>
      <c r="F195" s="550"/>
      <c r="G195" s="550"/>
    </row>
    <row r="196">
      <c r="A196" s="294" t="s">
        <v>522</v>
      </c>
      <c r="B196" s="788">
        <f t="shared" ref="B196:B200" si="134">index(C196:W196,,match($A$3,$C$1:$W$1,0))</f>
        <v>3520.636212</v>
      </c>
      <c r="C196" s="550">
        <f t="shared" ref="C196:C199" si="135">sum(D196:G196)</f>
        <v>3520.636212</v>
      </c>
      <c r="D196" s="550">
        <f t="shared" ref="D196:G196" si="133">D70*(1+D$185)</f>
        <v>1876.543979</v>
      </c>
      <c r="E196" s="550">
        <f t="shared" si="133"/>
        <v>476.6459988</v>
      </c>
      <c r="F196" s="550">
        <f t="shared" si="133"/>
        <v>955.2619577</v>
      </c>
      <c r="G196" s="550">
        <f t="shared" si="133"/>
        <v>212.1842774</v>
      </c>
    </row>
    <row r="197">
      <c r="A197" s="294" t="s">
        <v>523</v>
      </c>
      <c r="B197" s="788">
        <f t="shared" si="134"/>
        <v>326.2984667</v>
      </c>
      <c r="C197" s="550">
        <f t="shared" si="135"/>
        <v>326.2984667</v>
      </c>
      <c r="D197" s="550">
        <f t="shared" ref="D197:G197" si="136">D84*(1+D$185)</f>
        <v>155.1868055</v>
      </c>
      <c r="E197" s="550">
        <f t="shared" si="136"/>
        <v>53.70229029</v>
      </c>
      <c r="F197" s="550">
        <f t="shared" si="136"/>
        <v>77.98416223</v>
      </c>
      <c r="G197" s="550">
        <f t="shared" si="136"/>
        <v>39.42520864</v>
      </c>
    </row>
    <row r="198">
      <c r="A198" s="294" t="s">
        <v>524</v>
      </c>
      <c r="B198" s="788">
        <f t="shared" si="134"/>
        <v>1575.899513</v>
      </c>
      <c r="C198" s="550">
        <f t="shared" si="135"/>
        <v>1575.899513</v>
      </c>
      <c r="D198" s="550">
        <f t="shared" ref="D198:G198" si="137">D115*(1+D$185)</f>
        <v>765.9283654</v>
      </c>
      <c r="E198" s="550">
        <f t="shared" si="137"/>
        <v>160.289275</v>
      </c>
      <c r="F198" s="550">
        <f t="shared" si="137"/>
        <v>484.5230013</v>
      </c>
      <c r="G198" s="550">
        <f t="shared" si="137"/>
        <v>165.1588718</v>
      </c>
    </row>
    <row r="199">
      <c r="A199" s="612" t="s">
        <v>250</v>
      </c>
      <c r="B199" s="789">
        <f t="shared" si="134"/>
        <v>5422.834193</v>
      </c>
      <c r="C199" s="790">
        <f t="shared" si="135"/>
        <v>5422.834193</v>
      </c>
      <c r="D199" s="790">
        <f t="shared" ref="D199:G199" si="138">D120*(1+D$185)</f>
        <v>2797.65915</v>
      </c>
      <c r="E199" s="790">
        <f t="shared" si="138"/>
        <v>690.6375641</v>
      </c>
      <c r="F199" s="790">
        <f t="shared" si="138"/>
        <v>1517.769121</v>
      </c>
      <c r="G199" s="790">
        <f t="shared" si="138"/>
        <v>416.7683579</v>
      </c>
    </row>
    <row r="200">
      <c r="A200" s="339" t="s">
        <v>252</v>
      </c>
      <c r="B200" s="318">
        <f t="shared" si="134"/>
        <v>0</v>
      </c>
      <c r="C200" s="340">
        <f t="shared" ref="C200:G200" si="139">C199-sum(C196:C198)</f>
        <v>0</v>
      </c>
      <c r="D200" s="340">
        <f t="shared" si="139"/>
        <v>0</v>
      </c>
      <c r="E200" s="340">
        <f t="shared" si="139"/>
        <v>0</v>
      </c>
      <c r="F200" s="340">
        <f t="shared" si="139"/>
        <v>0</v>
      </c>
      <c r="G200" s="340">
        <f t="shared" si="139"/>
        <v>0</v>
      </c>
    </row>
    <row r="201">
      <c r="A201" s="310"/>
      <c r="B201" s="597"/>
      <c r="C201" s="415"/>
      <c r="D201" s="415"/>
      <c r="E201" s="415"/>
      <c r="F201" s="415"/>
      <c r="G201" s="415"/>
    </row>
    <row r="202">
      <c r="A202" s="35" t="s">
        <v>251</v>
      </c>
      <c r="B202" s="788">
        <f t="array" ref="B202">index(C202:W202,,match($A$3,$C$1:$W$1,0))</f>
        <v>5422.834193</v>
      </c>
      <c r="C202" s="550">
        <f t="shared" ref="C202:G202" si="140">C199*$C11/C11</f>
        <v>5422.834193</v>
      </c>
      <c r="D202" s="550">
        <f t="shared" si="140"/>
        <v>8813.864223</v>
      </c>
      <c r="E202" s="550">
        <f t="shared" si="140"/>
        <v>2410.460518</v>
      </c>
      <c r="F202" s="550">
        <f t="shared" si="140"/>
        <v>4657.981096</v>
      </c>
      <c r="G202" s="550">
        <f t="shared" si="140"/>
        <v>5934.781417</v>
      </c>
    </row>
    <row r="203">
      <c r="A203" s="310"/>
      <c r="B203" s="597"/>
      <c r="C203" s="415"/>
      <c r="D203" s="415"/>
      <c r="E203" s="415"/>
      <c r="F203" s="415"/>
      <c r="G203" s="415"/>
    </row>
    <row r="204">
      <c r="A204" s="94" t="s">
        <v>525</v>
      </c>
      <c r="B204" s="520">
        <f t="shared" ref="B204:B207" si="142">index(C204:W204,,match($A$3,$C$1:$W$1,0))</f>
        <v>2840.395712</v>
      </c>
      <c r="C204" s="475">
        <f t="shared" ref="C204:G204" si="141">C$11/C192</f>
        <v>2840.395712</v>
      </c>
      <c r="D204" s="475">
        <f t="shared" si="141"/>
        <v>1691.491028</v>
      </c>
      <c r="E204" s="475">
        <f t="shared" si="141"/>
        <v>6011.103726</v>
      </c>
      <c r="F204" s="475">
        <f t="shared" si="141"/>
        <v>3411.02976</v>
      </c>
      <c r="G204" s="475">
        <f t="shared" si="141"/>
        <v>3309.609927</v>
      </c>
    </row>
    <row r="205">
      <c r="A205" s="94" t="s">
        <v>255</v>
      </c>
      <c r="B205" s="520">
        <f t="shared" si="142"/>
        <v>30646.7882</v>
      </c>
      <c r="C205" s="475">
        <f t="shared" ref="C205:G205" si="143">C$11/C193</f>
        <v>30646.7882</v>
      </c>
      <c r="D205" s="475">
        <f t="shared" si="143"/>
        <v>20453.78338</v>
      </c>
      <c r="E205" s="475">
        <f t="shared" si="143"/>
        <v>53352.81836</v>
      </c>
      <c r="F205" s="475">
        <f t="shared" si="143"/>
        <v>41783.1887</v>
      </c>
      <c r="G205" s="475">
        <f t="shared" si="143"/>
        <v>17812.13633</v>
      </c>
    </row>
    <row r="206">
      <c r="A206" s="94" t="s">
        <v>256</v>
      </c>
      <c r="B206" s="520">
        <f t="shared" si="142"/>
        <v>2599.472264</v>
      </c>
      <c r="C206" s="475">
        <f t="shared" ref="C206:G206" si="144">C$11/sum(C192:C193)</f>
        <v>2599.472264</v>
      </c>
      <c r="D206" s="475">
        <f t="shared" si="144"/>
        <v>1562.292272</v>
      </c>
      <c r="E206" s="475">
        <f t="shared" si="144"/>
        <v>5402.428174</v>
      </c>
      <c r="F206" s="475">
        <f t="shared" si="144"/>
        <v>3153.582582</v>
      </c>
      <c r="G206" s="475">
        <f t="shared" si="144"/>
        <v>2791.020331</v>
      </c>
    </row>
    <row r="207">
      <c r="A207" s="310" t="s">
        <v>117</v>
      </c>
      <c r="B207" s="520">
        <f t="shared" si="142"/>
        <v>1844.054169</v>
      </c>
      <c r="C207" s="475">
        <f t="array" ref="C207">C11/C199*index('Moral weights'!$A$1:$ZG$33,match("Value assigned to averting the death of an individual under 5 — AMF",'Moral weights'!$A$1:$A$33,0),match($B1,'Moral weights'!$A$1:$ZG1,0))</f>
        <v>1844.054169</v>
      </c>
      <c r="D207" s="475">
        <f t="array" ref="D207">D11/D199*index('Moral weights'!$A$1:$ZG$33,match("Value assigned to averting the death of an individual under 5 — AMF",'Moral weights'!$A$1:$A$33,0),match($B1,'Moral weights'!$A$1:$ZG1,0))</f>
        <v>1134.576134</v>
      </c>
      <c r="E207" s="475">
        <f t="array" ref="E207">E11/E199*index('Moral weights'!$A$1:$ZG$33,match("Value assigned to averting the death of an individual under 5 — AMF",'Moral weights'!$A$1:$A$33,0),match($B1,'Moral weights'!$A$1:$ZG1,0))</f>
        <v>4148.584856</v>
      </c>
      <c r="F207" s="475">
        <f t="array" ref="F207">F11/F199*index('Moral weights'!$A$1:$ZG$33,match("Value assigned to averting the death of an individual under 5 — AMF",'Moral weights'!$A$1:$A$33,0),match($B1,'Moral weights'!$A$1:$ZG1,0))</f>
        <v>2146.852852</v>
      </c>
      <c r="G207" s="475">
        <f t="array" ref="G207">G11/G199*index('Moral weights'!$A$1:$ZG$33,match("Value assigned to averting the death of an individual under 5 — AMF",'Moral weights'!$A$1:$A$33,0),match($B1,'Moral weights'!$A$1:$ZG1,0))</f>
        <v>1684.982023</v>
      </c>
    </row>
    <row r="208">
      <c r="A208" s="310"/>
      <c r="B208" s="773"/>
      <c r="C208" s="415"/>
      <c r="D208" s="415"/>
      <c r="E208" s="415"/>
      <c r="F208" s="415"/>
      <c r="G208" s="415"/>
    </row>
    <row r="209">
      <c r="A209" s="321" t="s">
        <v>257</v>
      </c>
      <c r="B209" s="676">
        <f t="array" ref="B209">index(C209:W209,,match($A$3,$C$1:$W$1,0))</f>
        <v>15.76292479</v>
      </c>
      <c r="C209" s="421">
        <f t="array" ref="C209">C202/index(Cash!B:B,match("Total units of value generated with hypothetical donation ($100,000)",Cash!A:A,0))</f>
        <v>15.76292479</v>
      </c>
      <c r="D209" s="421">
        <f t="array" ref="D209">D202/index(Cash!B:B,match("Total units of value generated with hypothetical donation ($100,000)",Cash!A:A,0))</f>
        <v>25.61986481</v>
      </c>
      <c r="E209" s="421">
        <f t="array" ref="E209">E202/index(Cash!B:B,match("Total units of value generated with hypothetical donation ($100,000)",Cash!A:A,0))</f>
        <v>7.00665123</v>
      </c>
      <c r="F209" s="421">
        <f t="array" ref="F209">F202/index(Cash!B:B,match("Total units of value generated with hypothetical donation ($100,000)",Cash!A:A,0))</f>
        <v>13.53967374</v>
      </c>
      <c r="G209" s="421">
        <f t="array" ref="G209">G202/index(Cash!B:B,match("Total units of value generated with hypothetical donation ($100,000)",Cash!A:A,0))</f>
        <v>17.25103697</v>
      </c>
    </row>
    <row r="210">
      <c r="A210" s="310"/>
      <c r="B210" s="773"/>
      <c r="C210" s="415"/>
      <c r="D210" s="415"/>
      <c r="E210" s="415"/>
      <c r="F210" s="415"/>
      <c r="G210" s="415"/>
    </row>
    <row r="211">
      <c r="A211" s="350" t="s">
        <v>526</v>
      </c>
      <c r="B211" s="350"/>
      <c r="C211" s="350"/>
      <c r="D211" s="350"/>
      <c r="E211" s="350"/>
      <c r="F211" s="350"/>
      <c r="G211" s="350"/>
    </row>
    <row r="212" outlineLevel="1">
      <c r="A212" s="352"/>
      <c r="D212" s="415"/>
      <c r="E212" s="415"/>
      <c r="F212" s="415"/>
      <c r="G212" s="415"/>
    </row>
    <row r="213" outlineLevel="1">
      <c r="A213" s="62" t="s">
        <v>259</v>
      </c>
      <c r="B213" s="353"/>
      <c r="C213" s="110"/>
      <c r="D213" s="415"/>
      <c r="E213" s="415"/>
      <c r="F213" s="415"/>
      <c r="G213" s="415"/>
    </row>
    <row r="214" outlineLevel="1">
      <c r="A214" s="40" t="s">
        <v>260</v>
      </c>
      <c r="B214" s="640">
        <f t="shared" ref="B214:B217" si="146">index(C214:W214,,match($A$3,$C$1:$W$1,0))</f>
        <v>0</v>
      </c>
      <c r="C214" s="356">
        <v>0.0</v>
      </c>
      <c r="D214" s="357">
        <f t="shared" ref="D214:G214" si="145">$C214</f>
        <v>0</v>
      </c>
      <c r="E214" s="357">
        <f t="shared" si="145"/>
        <v>0</v>
      </c>
      <c r="F214" s="357">
        <f t="shared" si="145"/>
        <v>0</v>
      </c>
      <c r="G214" s="357">
        <f t="shared" si="145"/>
        <v>0</v>
      </c>
    </row>
    <row r="215" outlineLevel="1">
      <c r="A215" s="40" t="s">
        <v>261</v>
      </c>
      <c r="B215" s="640">
        <f t="shared" si="146"/>
        <v>0</v>
      </c>
      <c r="C215" s="356">
        <v>0.0</v>
      </c>
      <c r="D215" s="357">
        <f t="shared" ref="D215:G215" si="147">$C215</f>
        <v>0</v>
      </c>
      <c r="E215" s="357">
        <f t="shared" si="147"/>
        <v>0</v>
      </c>
      <c r="F215" s="357">
        <f t="shared" si="147"/>
        <v>0</v>
      </c>
      <c r="G215" s="357">
        <f t="shared" si="147"/>
        <v>0</v>
      </c>
    </row>
    <row r="216" outlineLevel="1">
      <c r="A216" s="40" t="s">
        <v>262</v>
      </c>
      <c r="B216" s="640">
        <f t="shared" si="146"/>
        <v>0</v>
      </c>
      <c r="C216" s="356">
        <v>0.0</v>
      </c>
      <c r="D216" s="357">
        <f t="shared" ref="D216:G216" si="148">$C216</f>
        <v>0</v>
      </c>
      <c r="E216" s="357">
        <f t="shared" si="148"/>
        <v>0</v>
      </c>
      <c r="F216" s="357">
        <f t="shared" si="148"/>
        <v>0</v>
      </c>
      <c r="G216" s="357">
        <f t="shared" si="148"/>
        <v>0</v>
      </c>
    </row>
    <row r="217" outlineLevel="1">
      <c r="A217" s="358" t="s">
        <v>263</v>
      </c>
      <c r="B217" s="641">
        <f t="shared" si="146"/>
        <v>0</v>
      </c>
      <c r="C217" s="360">
        <f t="shared" ref="C217:G217" si="149">SUM(C214:C216)</f>
        <v>0</v>
      </c>
      <c r="D217" s="360">
        <f t="shared" si="149"/>
        <v>0</v>
      </c>
      <c r="E217" s="360">
        <f t="shared" si="149"/>
        <v>0</v>
      </c>
      <c r="F217" s="360">
        <f t="shared" si="149"/>
        <v>0</v>
      </c>
      <c r="G217" s="360">
        <f t="shared" si="149"/>
        <v>0</v>
      </c>
    </row>
    <row r="218" outlineLevel="1">
      <c r="A218" s="40"/>
      <c r="B218" s="353"/>
      <c r="C218" s="361"/>
      <c r="D218" s="353"/>
      <c r="E218" s="353"/>
      <c r="F218" s="353"/>
      <c r="G218" s="353"/>
    </row>
    <row r="219" outlineLevel="1">
      <c r="A219" s="62" t="s">
        <v>310</v>
      </c>
      <c r="B219" s="640" t="str">
        <f t="shared" ref="B219:B222" si="150">index(C219:W219,,match($A$3,$C$1:$W$1,0))</f>
        <v/>
      </c>
      <c r="C219" s="361"/>
      <c r="D219" s="353"/>
      <c r="E219" s="353"/>
      <c r="F219" s="353"/>
      <c r="G219" s="353"/>
    </row>
    <row r="220" outlineLevel="1">
      <c r="A220" s="40" t="s">
        <v>264</v>
      </c>
      <c r="B220" s="640">
        <f t="shared" si="150"/>
        <v>0</v>
      </c>
      <c r="C220" s="356">
        <v>0.0</v>
      </c>
      <c r="D220" s="357">
        <f t="shared" ref="D220:G220" si="151">$C220</f>
        <v>0</v>
      </c>
      <c r="E220" s="357">
        <f t="shared" si="151"/>
        <v>0</v>
      </c>
      <c r="F220" s="357">
        <f t="shared" si="151"/>
        <v>0</v>
      </c>
      <c r="G220" s="357">
        <f t="shared" si="151"/>
        <v>0</v>
      </c>
    </row>
    <row r="221" outlineLevel="1">
      <c r="A221" s="40" t="s">
        <v>265</v>
      </c>
      <c r="B221" s="640">
        <f t="shared" si="150"/>
        <v>0.02</v>
      </c>
      <c r="C221" s="356">
        <v>0.02</v>
      </c>
      <c r="D221" s="357">
        <f t="shared" ref="D221:G221" si="152">$C221</f>
        <v>0.02</v>
      </c>
      <c r="E221" s="357">
        <f t="shared" si="152"/>
        <v>0.02</v>
      </c>
      <c r="F221" s="357">
        <f t="shared" si="152"/>
        <v>0.02</v>
      </c>
      <c r="G221" s="357">
        <f t="shared" si="152"/>
        <v>0.02</v>
      </c>
    </row>
    <row r="222" outlineLevel="1">
      <c r="A222" s="358" t="s">
        <v>266</v>
      </c>
      <c r="B222" s="641">
        <f t="shared" si="150"/>
        <v>0.02</v>
      </c>
      <c r="C222" s="360">
        <f>SUM(C219:C221)</f>
        <v>0.02</v>
      </c>
      <c r="D222" s="360">
        <f t="shared" ref="D222:G222" si="153">sum(D219:D221)</f>
        <v>0.02</v>
      </c>
      <c r="E222" s="360">
        <f t="shared" si="153"/>
        <v>0.02</v>
      </c>
      <c r="F222" s="360">
        <f t="shared" si="153"/>
        <v>0.02</v>
      </c>
      <c r="G222" s="360">
        <f t="shared" si="153"/>
        <v>0.02</v>
      </c>
    </row>
    <row r="223" outlineLevel="1">
      <c r="A223" s="40"/>
      <c r="B223" s="353"/>
      <c r="C223" s="361"/>
      <c r="D223" s="353"/>
      <c r="E223" s="353"/>
      <c r="F223" s="353"/>
      <c r="G223" s="353"/>
    </row>
    <row r="224" outlineLevel="1">
      <c r="A224" s="62" t="s">
        <v>267</v>
      </c>
      <c r="B224" s="353"/>
      <c r="C224" s="361"/>
      <c r="D224" s="353"/>
      <c r="E224" s="353"/>
      <c r="F224" s="353"/>
      <c r="G224" s="353"/>
    </row>
    <row r="225" outlineLevel="1">
      <c r="A225" s="40" t="s">
        <v>268</v>
      </c>
      <c r="B225" s="640">
        <f t="shared" ref="B225:B228" si="155">index(C225:W225,,match($A$3,$C$1:$W$1,0))</f>
        <v>0.04</v>
      </c>
      <c r="C225" s="356">
        <v>0.04</v>
      </c>
      <c r="D225" s="357">
        <f t="shared" ref="D225:G225" si="154">$C225</f>
        <v>0.04</v>
      </c>
      <c r="E225" s="357">
        <f t="shared" si="154"/>
        <v>0.04</v>
      </c>
      <c r="F225" s="357">
        <f t="shared" si="154"/>
        <v>0.04</v>
      </c>
      <c r="G225" s="357">
        <f t="shared" si="154"/>
        <v>0.04</v>
      </c>
    </row>
    <row r="226" outlineLevel="1">
      <c r="A226" s="40" t="s">
        <v>269</v>
      </c>
      <c r="B226" s="640">
        <f t="shared" si="155"/>
        <v>0</v>
      </c>
      <c r="C226" s="356">
        <v>0.0</v>
      </c>
      <c r="D226" s="357">
        <f t="shared" ref="D226:G226" si="156">$C226</f>
        <v>0</v>
      </c>
      <c r="E226" s="357">
        <f t="shared" si="156"/>
        <v>0</v>
      </c>
      <c r="F226" s="357">
        <f t="shared" si="156"/>
        <v>0</v>
      </c>
      <c r="G226" s="357">
        <f t="shared" si="156"/>
        <v>0</v>
      </c>
    </row>
    <row r="227" outlineLevel="1">
      <c r="A227" s="40" t="s">
        <v>270</v>
      </c>
      <c r="B227" s="640">
        <f t="shared" si="155"/>
        <v>0.05</v>
      </c>
      <c r="C227" s="356">
        <v>0.05</v>
      </c>
      <c r="D227" s="357">
        <f t="shared" ref="D227:G227" si="157">$C227</f>
        <v>0.05</v>
      </c>
      <c r="E227" s="357">
        <f t="shared" si="157"/>
        <v>0.05</v>
      </c>
      <c r="F227" s="357">
        <f t="shared" si="157"/>
        <v>0.05</v>
      </c>
      <c r="G227" s="357">
        <f t="shared" si="157"/>
        <v>0.05</v>
      </c>
    </row>
    <row r="228" outlineLevel="1">
      <c r="A228" s="362" t="s">
        <v>271</v>
      </c>
      <c r="B228" s="641">
        <f t="shared" si="155"/>
        <v>0.09</v>
      </c>
      <c r="C228" s="360">
        <f>SUM(C225:C227)</f>
        <v>0.09</v>
      </c>
      <c r="D228" s="360">
        <f t="shared" ref="D228:G228" si="158">sum(D225:D227)</f>
        <v>0.09</v>
      </c>
      <c r="E228" s="360">
        <f t="shared" si="158"/>
        <v>0.09</v>
      </c>
      <c r="F228" s="360">
        <f t="shared" si="158"/>
        <v>0.09</v>
      </c>
      <c r="G228" s="360">
        <f t="shared" si="158"/>
        <v>0.09</v>
      </c>
    </row>
    <row r="229" outlineLevel="1">
      <c r="A229" s="40"/>
      <c r="B229" s="353"/>
      <c r="C229" s="361"/>
      <c r="D229" s="353"/>
      <c r="E229" s="353"/>
      <c r="F229" s="353"/>
      <c r="G229" s="353"/>
    </row>
    <row r="230" outlineLevel="1">
      <c r="A230" s="109" t="s">
        <v>272</v>
      </c>
      <c r="B230" s="640">
        <f t="array" ref="B230">index(C230:W230,,match($A$3,$C$1:$W$1,0))</f>
        <v>0.89</v>
      </c>
      <c r="C230" s="361">
        <f t="shared" ref="C230:G230" si="159">1-sum(C217,C222,C228)</f>
        <v>0.89</v>
      </c>
      <c r="D230" s="361">
        <f t="shared" si="159"/>
        <v>0.89</v>
      </c>
      <c r="E230" s="361">
        <f t="shared" si="159"/>
        <v>0.89</v>
      </c>
      <c r="F230" s="361">
        <f t="shared" si="159"/>
        <v>0.89</v>
      </c>
      <c r="G230" s="361">
        <f t="shared" si="159"/>
        <v>0.89</v>
      </c>
    </row>
    <row r="231">
      <c r="A231" s="551"/>
      <c r="B231" s="643"/>
      <c r="C231" s="364"/>
      <c r="D231" s="364"/>
      <c r="E231" s="364"/>
      <c r="F231" s="364"/>
      <c r="G231" s="364"/>
    </row>
    <row r="232">
      <c r="A232" s="350" t="s">
        <v>527</v>
      </c>
      <c r="B232" s="351"/>
      <c r="C232" s="350"/>
      <c r="D232" s="350"/>
      <c r="E232" s="350"/>
      <c r="F232" s="350"/>
      <c r="G232" s="350"/>
    </row>
    <row r="233" outlineLevel="1">
      <c r="A233" s="352" t="s">
        <v>274</v>
      </c>
      <c r="B233" s="363"/>
      <c r="C233" s="364"/>
      <c r="D233" s="364"/>
      <c r="E233" s="364"/>
      <c r="F233" s="364"/>
      <c r="G233" s="364"/>
    </row>
    <row r="234" outlineLevel="1">
      <c r="A234" s="35" t="str">
        <f>IFERROR(__xludf.DUMMYFUNCTION("filter(InclusionExclusion!B:B,InclusionExclusion!A:A=""SMC"",InclusionExclusion!C:C=""Included"")"),"Malaria child mortality")</f>
        <v>Malaria child mortality</v>
      </c>
      <c r="B234" s="363"/>
      <c r="C234" s="364"/>
      <c r="D234" s="364"/>
      <c r="E234" s="364"/>
      <c r="F234" s="364"/>
      <c r="G234" s="364"/>
    </row>
    <row r="235" outlineLevel="1">
      <c r="A235" s="109" t="str">
        <f>IFERROR(__xludf.DUMMYFUNCTION("""COMPUTED_VALUE"""),"Developmental effects")</f>
        <v>Developmental effects</v>
      </c>
      <c r="B235" s="363"/>
      <c r="C235" s="364"/>
      <c r="D235" s="364"/>
      <c r="E235" s="364"/>
      <c r="F235" s="364"/>
      <c r="G235" s="364"/>
    </row>
    <row r="236" outlineLevel="1">
      <c r="A236" s="167" t="str">
        <f>IFERROR(__xludf.DUMMYFUNCTION("""COMPUTED_VALUE"""),"Malaria adult mortality")</f>
        <v>Malaria adult mortality</v>
      </c>
      <c r="B236" s="363"/>
      <c r="C236" s="364"/>
      <c r="D236" s="364"/>
      <c r="E236" s="364"/>
      <c r="F236" s="364"/>
      <c r="G236" s="364"/>
    </row>
    <row r="237" outlineLevel="1">
      <c r="A237" s="167"/>
      <c r="B237" s="363"/>
      <c r="C237" s="364"/>
      <c r="D237" s="364"/>
      <c r="E237" s="364"/>
      <c r="F237" s="364"/>
      <c r="G237" s="364"/>
    </row>
    <row r="238" outlineLevel="1">
      <c r="A238" s="352" t="s">
        <v>275</v>
      </c>
      <c r="B238" s="363"/>
      <c r="C238" s="364"/>
      <c r="D238" s="364"/>
      <c r="E238" s="364"/>
      <c r="F238" s="364"/>
      <c r="G238" s="364"/>
    </row>
    <row r="239" outlineLevel="1">
      <c r="A239" s="200" t="str">
        <f>IFERROR(__xludf.DUMMYFUNCTION("filter(InclusionExclusion!B:B,InclusionExclusion!A:A=""SMC"",InclusionExclusion!C:C=""Excluded"")"),"Malaria morbidity")</f>
        <v>Malaria morbidity</v>
      </c>
      <c r="B239" s="354">
        <f t="shared" ref="B239:B253" si="161">index(C239:V239,,match($A$3,$C$1:$V$1,0))</f>
        <v>0.09</v>
      </c>
      <c r="C239" s="110">
        <f t="array" ref="C239">iferror(if(isblank(A239),"",index(InclusionExclusion!$L:L,match(1,(InclusionExclusion!B:B=A239)*(InclusionExclusion!A:A="SMC"),0))),"Not specified")</f>
        <v>0.09</v>
      </c>
      <c r="D239" s="365">
        <f t="shared" ref="D239:G239" si="160">$C239</f>
        <v>0.09</v>
      </c>
      <c r="E239" s="365">
        <f t="shared" si="160"/>
        <v>0.09</v>
      </c>
      <c r="F239" s="365">
        <f t="shared" si="160"/>
        <v>0.09</v>
      </c>
      <c r="G239" s="365">
        <f t="shared" si="160"/>
        <v>0.09</v>
      </c>
    </row>
    <row r="240" outlineLevel="1">
      <c r="A240" s="200" t="str">
        <f>IFERROR(__xludf.DUMMYFUNCTION("""COMPUTED_VALUE"""),"Short-term anemia effects")</f>
        <v>Short-term anemia effects</v>
      </c>
      <c r="B240" s="354">
        <f t="shared" si="161"/>
        <v>0.09</v>
      </c>
      <c r="C240" s="110">
        <f t="array" ref="C240">iferror(if(isblank(A240),"",index(InclusionExclusion!$L:L,match(1,(InclusionExclusion!B:B=A240)*(InclusionExclusion!A:A="SMC"),0))),"Not specified")</f>
        <v>0.09</v>
      </c>
      <c r="D240" s="365">
        <f t="shared" ref="D240:G240" si="162">$C240</f>
        <v>0.09</v>
      </c>
      <c r="E240" s="365">
        <f t="shared" si="162"/>
        <v>0.09</v>
      </c>
      <c r="F240" s="365">
        <f t="shared" si="162"/>
        <v>0.09</v>
      </c>
      <c r="G240" s="365">
        <f t="shared" si="162"/>
        <v>0.09</v>
      </c>
    </row>
    <row r="241" outlineLevel="1">
      <c r="A241" s="200" t="str">
        <f>IFERROR(__xludf.DUMMYFUNCTION("""COMPUTED_VALUE"""),"Investment of income increases")</f>
        <v>Investment of income increases</v>
      </c>
      <c r="B241" s="354">
        <f t="shared" si="161"/>
        <v>0.06</v>
      </c>
      <c r="C241" s="110">
        <f t="array" ref="C241">iferror(if(isblank(A241),"",index(InclusionExclusion!$L:L,match(1,(InclusionExclusion!B:B=A241)*(InclusionExclusion!A:A="SMC"),0))),"Not specified")</f>
        <v>0.06</v>
      </c>
      <c r="D241" s="365">
        <f t="shared" ref="D241:G241" si="163">$C241</f>
        <v>0.06</v>
      </c>
      <c r="E241" s="365">
        <f t="shared" si="163"/>
        <v>0.06</v>
      </c>
      <c r="F241" s="365">
        <f t="shared" si="163"/>
        <v>0.06</v>
      </c>
      <c r="G241" s="365">
        <f t="shared" si="163"/>
        <v>0.06</v>
      </c>
    </row>
    <row r="242" outlineLevel="1">
      <c r="A242" s="200" t="str">
        <f>IFERROR(__xludf.DUMMYFUNCTION("""COMPUTED_VALUE"""),"Rebound effects / decreased immunity development")</f>
        <v>Rebound effects / decreased immunity development</v>
      </c>
      <c r="B242" s="354">
        <f t="shared" si="161"/>
        <v>-0.04</v>
      </c>
      <c r="C242" s="110">
        <f t="array" ref="C242">iferror(if(isblank(A242),"",index(InclusionExclusion!$L:L,match(1,(InclusionExclusion!B:B=A242)*(InclusionExclusion!A:A="SMC"),0))),"Not specified")</f>
        <v>-0.04</v>
      </c>
      <c r="D242" s="365">
        <f t="shared" ref="D242:G242" si="164">$C242</f>
        <v>-0.04</v>
      </c>
      <c r="E242" s="365">
        <f t="shared" si="164"/>
        <v>-0.04</v>
      </c>
      <c r="F242" s="365">
        <f t="shared" si="164"/>
        <v>-0.04</v>
      </c>
      <c r="G242" s="365">
        <f t="shared" si="164"/>
        <v>-0.04</v>
      </c>
    </row>
    <row r="243" outlineLevel="1">
      <c r="A243" s="200" t="str">
        <f>IFERROR(__xludf.DUMMYFUNCTION("""COMPUTED_VALUE"""),"Drug resistance")</f>
        <v>Drug resistance</v>
      </c>
      <c r="B243" s="354">
        <f t="shared" si="161"/>
        <v>-0.04</v>
      </c>
      <c r="C243" s="110">
        <f t="array" ref="C243">iferror(if(isblank(A243),"",index(InclusionExclusion!$L:L,match(1,(InclusionExclusion!B:B=A243)*(InclusionExclusion!A:A="SMC"),0))),"Not specified")</f>
        <v>-0.04</v>
      </c>
      <c r="D243" s="365">
        <f t="shared" ref="D243:G243" si="165">$C243</f>
        <v>-0.04</v>
      </c>
      <c r="E243" s="365">
        <f t="shared" si="165"/>
        <v>-0.04</v>
      </c>
      <c r="F243" s="365">
        <f t="shared" si="165"/>
        <v>-0.04</v>
      </c>
      <c r="G243" s="365">
        <f t="shared" si="165"/>
        <v>-0.04</v>
      </c>
    </row>
    <row r="244" outlineLevel="1">
      <c r="A244" s="94" t="str">
        <f>IFERROR(__xludf.DUMMYFUNCTION("""COMPUTED_VALUE"""),"Effect on fertility")</f>
        <v>Effect on fertility</v>
      </c>
      <c r="B244" s="354" t="str">
        <f t="shared" si="161"/>
        <v>Not specified</v>
      </c>
      <c r="C244" s="110" t="str">
        <f t="array" ref="C244">iferror(if(isblank(A244),"",index(InclusionExclusion!$L:L,match(1,(InclusionExclusion!B:B=A244)*(InclusionExclusion!A:A="SMC"),0))),"Not specified")</f>
        <v>Not specified</v>
      </c>
      <c r="D244" s="365" t="str">
        <f t="shared" ref="D244:G244" si="166">$C244</f>
        <v>Not specified</v>
      </c>
      <c r="E244" s="365" t="str">
        <f t="shared" si="166"/>
        <v>Not specified</v>
      </c>
      <c r="F244" s="365" t="str">
        <f t="shared" si="166"/>
        <v>Not specified</v>
      </c>
      <c r="G244" s="365" t="str">
        <f t="shared" si="166"/>
        <v>Not specified</v>
      </c>
    </row>
    <row r="245" outlineLevel="1">
      <c r="A245" s="200" t="str">
        <f>IFERROR(__xludf.DUMMYFUNCTION("""COMPUTED_VALUE"""),"Treatment costs averted from prevention")</f>
        <v>Treatment costs averted from prevention</v>
      </c>
      <c r="B245" s="354">
        <f t="shared" si="161"/>
        <v>0.06</v>
      </c>
      <c r="C245" s="110">
        <f t="array" ref="C245">iferror(if(isblank(A245),"",index(InclusionExclusion!$L:L,match(1,(InclusionExclusion!B:B=A245)*(InclusionExclusion!A:A="SMC"),0))),"Not specified")</f>
        <v>0.06</v>
      </c>
      <c r="D245" s="365">
        <f t="shared" ref="D245:G245" si="167">$C245</f>
        <v>0.06</v>
      </c>
      <c r="E245" s="365">
        <f t="shared" si="167"/>
        <v>0.06</v>
      </c>
      <c r="F245" s="365">
        <f t="shared" si="167"/>
        <v>0.06</v>
      </c>
      <c r="G245" s="365">
        <f t="shared" si="167"/>
        <v>0.06</v>
      </c>
    </row>
    <row r="246" outlineLevel="1">
      <c r="A246" s="200" t="str">
        <f>IFERROR(__xludf.DUMMYFUNCTION("""COMPUTED_VALUE"""),"Subnational adjustments")</f>
        <v>Subnational adjustments</v>
      </c>
      <c r="B246" s="354">
        <f t="shared" si="161"/>
        <v>0.032</v>
      </c>
      <c r="C246" s="110">
        <f t="array" ref="C246">iferror(if(isblank(A246),"",index(InclusionExclusion!$L:L,match(1,(InclusionExclusion!B:B=A246)*(InclusionExclusion!A:A="SMC"),0))),"Not specified")</f>
        <v>0.032</v>
      </c>
      <c r="D246" s="365">
        <f t="shared" ref="D246:G246" si="168">$C246</f>
        <v>0.032</v>
      </c>
      <c r="E246" s="365">
        <f t="shared" si="168"/>
        <v>0.032</v>
      </c>
      <c r="F246" s="365">
        <f t="shared" si="168"/>
        <v>0.032</v>
      </c>
      <c r="G246" s="365">
        <f t="shared" si="168"/>
        <v>0.032</v>
      </c>
    </row>
    <row r="247" outlineLevel="1">
      <c r="A247" s="200" t="str">
        <f>IFERROR(__xludf.DUMMYFUNCTION("""COMPUTED_VALUE"""),"Marginal funding goes to lower priority areas")</f>
        <v>Marginal funding goes to lower priority areas</v>
      </c>
      <c r="B247" s="354">
        <f t="shared" si="161"/>
        <v>-0.025</v>
      </c>
      <c r="C247" s="110">
        <f t="array" ref="C247">iferror(if(isblank(A247),"",index(InclusionExclusion!$L:L,match(1,(InclusionExclusion!B:B=A247)*(InclusionExclusion!A:A="SMC"),0))),"Not specified")</f>
        <v>-0.025</v>
      </c>
      <c r="D247" s="365">
        <f t="shared" ref="D247:G247" si="169">$C247</f>
        <v>-0.025</v>
      </c>
      <c r="E247" s="365">
        <f t="shared" si="169"/>
        <v>-0.025</v>
      </c>
      <c r="F247" s="365">
        <f t="shared" si="169"/>
        <v>-0.025</v>
      </c>
      <c r="G247" s="365">
        <f t="shared" si="169"/>
        <v>-0.025</v>
      </c>
    </row>
    <row r="248" outlineLevel="1">
      <c r="A248" s="200" t="str">
        <f>IFERROR(__xludf.DUMMYFUNCTION("""COMPUTED_VALUE"""),"Spillover effects prevent child deaths &lt;3 months, as well as adult deaths")</f>
        <v>Spillover effects prevent child deaths &lt;3 months, as well as adult deaths</v>
      </c>
      <c r="B248" s="354">
        <f t="shared" si="161"/>
        <v>-0.0045</v>
      </c>
      <c r="C248" s="110">
        <f t="array" ref="C248">iferror(if(isblank(A248),"",index(InclusionExclusion!$L:L,match(1,(InclusionExclusion!B:B=A248)*(InclusionExclusion!A:A="SMC"),0))),"Not specified")</f>
        <v>-0.0045</v>
      </c>
      <c r="D248" s="365">
        <f t="shared" ref="D248:G248" si="170">$C248</f>
        <v>-0.0045</v>
      </c>
      <c r="E248" s="365">
        <f t="shared" si="170"/>
        <v>-0.0045</v>
      </c>
      <c r="F248" s="365">
        <f t="shared" si="170"/>
        <v>-0.0045</v>
      </c>
      <c r="G248" s="365">
        <f t="shared" si="170"/>
        <v>-0.0045</v>
      </c>
    </row>
    <row r="249" outlineLevel="1">
      <c r="A249" s="94" t="str">
        <f>IFERROR(__xludf.DUMMYFUNCTION("""COMPUTED_VALUE"""),"Counterfactual mortality rates")</f>
        <v>Counterfactual mortality rates</v>
      </c>
      <c r="B249" s="354">
        <f t="shared" si="161"/>
        <v>-0.016</v>
      </c>
      <c r="C249" s="110">
        <f t="array" ref="C249">iferror(if(isblank(A249),"",index(InclusionExclusion!$L:L,match(1,(InclusionExclusion!B:B=A249)*(InclusionExclusion!A:A="SMC"),0))),"Not specified")</f>
        <v>-0.016</v>
      </c>
      <c r="D249" s="365">
        <f t="shared" ref="D249:G249" si="171">$C249</f>
        <v>-0.016</v>
      </c>
      <c r="E249" s="365">
        <f t="shared" si="171"/>
        <v>-0.016</v>
      </c>
      <c r="F249" s="365">
        <f t="shared" si="171"/>
        <v>-0.016</v>
      </c>
      <c r="G249" s="365">
        <f t="shared" si="171"/>
        <v>-0.016</v>
      </c>
    </row>
    <row r="250" outlineLevel="1">
      <c r="A250" s="94" t="str">
        <f>IFERROR(__xludf.DUMMYFUNCTION("""COMPUTED_VALUE"""),"Serious adverse events due to side effects of treatment")</f>
        <v>Serious adverse events due to side effects of treatment</v>
      </c>
      <c r="B250" s="354">
        <f t="shared" si="161"/>
        <v>-0.006</v>
      </c>
      <c r="C250" s="110">
        <f t="array" ref="C250">iferror(if(isblank(A250),"",index(InclusionExclusion!$L:L,match(1,(InclusionExclusion!B:B=A250)*(InclusionExclusion!A:A="SMC"),0))),"Not specified")</f>
        <v>-0.006</v>
      </c>
      <c r="D250" s="365">
        <f t="shared" ref="D250:G250" si="172">$C250</f>
        <v>-0.006</v>
      </c>
      <c r="E250" s="365">
        <f t="shared" si="172"/>
        <v>-0.006</v>
      </c>
      <c r="F250" s="365">
        <f t="shared" si="172"/>
        <v>-0.006</v>
      </c>
      <c r="G250" s="365">
        <f t="shared" si="172"/>
        <v>-0.006</v>
      </c>
    </row>
    <row r="251" outlineLevel="1">
      <c r="A251" s="94"/>
      <c r="B251" s="354" t="str">
        <f t="shared" si="161"/>
        <v/>
      </c>
      <c r="C251" s="110" t="str">
        <f t="array" ref="C251">iferror(if(isblank(A251),"",index(InclusionExclusion!$L:L,match(A251,InclusionExclusion!B:B,0))),"Not specified")</f>
        <v/>
      </c>
      <c r="D251" s="365" t="str">
        <f t="shared" ref="D251:G251" si="173">$C251</f>
        <v/>
      </c>
      <c r="E251" s="365" t="str">
        <f t="shared" si="173"/>
        <v/>
      </c>
      <c r="F251" s="365" t="str">
        <f t="shared" si="173"/>
        <v/>
      </c>
      <c r="G251" s="365" t="str">
        <f t="shared" si="173"/>
        <v/>
      </c>
    </row>
    <row r="252" outlineLevel="1">
      <c r="A252" s="366" t="s">
        <v>276</v>
      </c>
      <c r="B252" s="355">
        <f t="shared" si="161"/>
        <v>1.2005</v>
      </c>
      <c r="C252" s="361">
        <f t="shared" ref="C252:G252" si="174">1+sum(C236:C251)</f>
        <v>1.2005</v>
      </c>
      <c r="D252" s="361">
        <f t="shared" si="174"/>
        <v>1.2005</v>
      </c>
      <c r="E252" s="361">
        <f t="shared" si="174"/>
        <v>1.2005</v>
      </c>
      <c r="F252" s="361">
        <f t="shared" si="174"/>
        <v>1.2005</v>
      </c>
      <c r="G252" s="361">
        <f t="shared" si="174"/>
        <v>1.2005</v>
      </c>
    </row>
    <row r="253" outlineLevel="1">
      <c r="A253" s="367" t="s">
        <v>277</v>
      </c>
      <c r="B253" s="642" t="str">
        <f t="shared" si="161"/>
        <v>OK</v>
      </c>
      <c r="C253" s="368" t="str">
        <f t="array" ref="C253">if(C252=index(InclusionExclusion!$L:$L,match("SMC adjustment factor",InclusionExclusion!$J:$J,0)),"OK","Error")</f>
        <v>OK</v>
      </c>
      <c r="D253" s="368" t="str">
        <f t="array" ref="D253">if(D252=index(InclusionExclusion!$L:$L,match("SMC adjustment factor",InclusionExclusion!$J:$J,0)),"OK","Error")</f>
        <v>OK</v>
      </c>
      <c r="E253" s="368" t="str">
        <f t="array" ref="E253">if(E252=index(InclusionExclusion!$L:$L,match("SMC adjustment factor",InclusionExclusion!$J:$J,0)),"OK","Error")</f>
        <v>OK</v>
      </c>
      <c r="F253" s="368" t="str">
        <f t="array" ref="F253">if(F252=index(InclusionExclusion!$L:$L,match("SMC adjustment factor",InclusionExclusion!$J:$J,0)),"OK","Error")</f>
        <v>OK</v>
      </c>
      <c r="G253" s="368" t="str">
        <f t="array" ref="G253">if(G252=index(InclusionExclusion!$L:$L,match("SMC adjustment factor",InclusionExclusion!$J:$J,0)),"OK","Error")</f>
        <v>OK</v>
      </c>
    </row>
    <row r="254">
      <c r="A254" s="167"/>
      <c r="B254" s="363"/>
      <c r="C254" s="364"/>
      <c r="D254" s="364"/>
      <c r="E254" s="364"/>
      <c r="F254" s="364"/>
      <c r="G254" s="364"/>
    </row>
    <row r="255">
      <c r="A255" s="350" t="s">
        <v>278</v>
      </c>
      <c r="B255" s="350"/>
      <c r="C255" s="350"/>
      <c r="D255" s="350"/>
      <c r="E255" s="350"/>
      <c r="F255" s="350"/>
      <c r="G255" s="350"/>
    </row>
    <row r="256">
      <c r="A256" s="167" t="s">
        <v>279</v>
      </c>
      <c r="B256" s="363">
        <f t="array" ref="B256">index(C256:V256,,match($A$3,$C$1:$V$1,0))</f>
        <v>5794.000079</v>
      </c>
      <c r="C256" s="364">
        <f t="shared" ref="C256:G256" si="175">C202*C230*C252</f>
        <v>5794.000079</v>
      </c>
      <c r="D256" s="364">
        <f t="shared" si="175"/>
        <v>9417.12916</v>
      </c>
      <c r="E256" s="364">
        <f t="shared" si="175"/>
        <v>2575.444488</v>
      </c>
      <c r="F256" s="364">
        <f t="shared" si="175"/>
        <v>4976.796612</v>
      </c>
      <c r="G256" s="364">
        <f t="shared" si="175"/>
        <v>6340.987531</v>
      </c>
    </row>
    <row r="257">
      <c r="A257" s="369"/>
      <c r="B257" s="643"/>
      <c r="C257" s="364"/>
      <c r="D257" s="364"/>
      <c r="E257" s="364"/>
      <c r="F257" s="364"/>
      <c r="G257" s="364"/>
    </row>
    <row r="258">
      <c r="A258" s="545" t="s">
        <v>280</v>
      </c>
      <c r="B258" s="370">
        <f t="array" ref="B258">index(C258:V258,,match($A$3,$C$1:$V$1,0))</f>
        <v>16.84181818</v>
      </c>
      <c r="C258" s="371">
        <f t="array" ref="C258">C256/index(Cash!$B:$B,match("Total units of value generated with hypothetical donation ($100,000)",Cash!$A:$A,0))</f>
        <v>16.84181818</v>
      </c>
      <c r="D258" s="371">
        <f t="array" ref="D258">D256/index(Cash!$B:$B,match("Total units of value generated with hypothetical donation ($100,000)",Cash!$A:$A,0))</f>
        <v>27.37341646</v>
      </c>
      <c r="E258" s="371">
        <f t="array" ref="E258">E256/index(Cash!$B:$B,match("Total units of value generated with hypothetical donation ($100,000)",Cash!$A:$A,0))</f>
        <v>7.486221473</v>
      </c>
      <c r="F258" s="371">
        <f t="array" ref="F258">F256/index(Cash!$B:$B,match("Total units of value generated with hypothetical donation ($100,000)",Cash!$A:$A,0))</f>
        <v>14.46639671</v>
      </c>
      <c r="G258" s="371">
        <f t="array" ref="G258">G256/index(Cash!$B:$B,match("Total units of value generated with hypothetical donation ($100,000)",Cash!$A:$A,0))</f>
        <v>18.4317842</v>
      </c>
    </row>
    <row r="259">
      <c r="A259" s="551"/>
      <c r="B259" s="643"/>
      <c r="C259" s="364"/>
      <c r="D259" s="364"/>
      <c r="E259" s="364"/>
      <c r="F259" s="364"/>
      <c r="G259" s="364"/>
    </row>
    <row r="260">
      <c r="A260" s="551"/>
      <c r="B260" s="643"/>
      <c r="C260" s="364"/>
      <c r="D260" s="364"/>
      <c r="E260" s="364"/>
      <c r="F260" s="364"/>
      <c r="G260" s="364"/>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5.14"/>
    <col customWidth="1" min="2" max="12" width="17.29"/>
  </cols>
  <sheetData>
    <row r="1">
      <c r="A1" s="791" t="s">
        <v>528</v>
      </c>
      <c r="B1" s="644" t="s">
        <v>39</v>
      </c>
      <c r="C1" s="644" t="s">
        <v>96</v>
      </c>
      <c r="D1" s="434" t="s">
        <v>440</v>
      </c>
      <c r="E1" s="434" t="s">
        <v>421</v>
      </c>
      <c r="F1" s="646" t="s">
        <v>529</v>
      </c>
      <c r="G1" s="646" t="s">
        <v>139</v>
      </c>
      <c r="H1" s="646" t="s">
        <v>141</v>
      </c>
      <c r="I1" s="646" t="s">
        <v>318</v>
      </c>
      <c r="J1" s="646" t="s">
        <v>530</v>
      </c>
      <c r="K1" s="646" t="s">
        <v>531</v>
      </c>
      <c r="L1" s="646" t="s">
        <v>147</v>
      </c>
    </row>
    <row r="2">
      <c r="A2" s="547" t="s">
        <v>148</v>
      </c>
      <c r="B2" s="415"/>
      <c r="C2" s="415"/>
      <c r="D2" s="415"/>
      <c r="E2" s="415"/>
      <c r="F2" s="415"/>
      <c r="G2" s="415"/>
      <c r="H2" s="415"/>
      <c r="I2" s="415"/>
      <c r="J2" s="415"/>
      <c r="K2" s="415"/>
      <c r="L2" s="415"/>
    </row>
    <row r="3">
      <c r="A3" s="792" t="str">
        <f>Results!C14</f>
        <v>Overall</v>
      </c>
      <c r="B3" s="415"/>
      <c r="C3" s="415"/>
      <c r="D3" s="415"/>
      <c r="E3" s="415"/>
      <c r="F3" s="415"/>
      <c r="G3" s="415"/>
      <c r="H3" s="415"/>
      <c r="I3" s="415"/>
      <c r="J3" s="415"/>
      <c r="K3" s="415"/>
      <c r="L3" s="415"/>
    </row>
    <row r="4">
      <c r="A4" s="547"/>
      <c r="B4" s="415"/>
      <c r="C4" s="415"/>
      <c r="D4" s="415"/>
      <c r="E4" s="415"/>
      <c r="F4" s="415"/>
      <c r="G4" s="415"/>
      <c r="H4" s="415"/>
      <c r="I4" s="415"/>
      <c r="J4" s="415"/>
      <c r="K4" s="415"/>
      <c r="L4" s="415"/>
    </row>
    <row r="5">
      <c r="A5" s="174" t="s">
        <v>149</v>
      </c>
      <c r="B5" s="595"/>
      <c r="C5" s="596"/>
      <c r="D5" s="596"/>
      <c r="E5" s="596"/>
      <c r="F5" s="596"/>
      <c r="G5" s="596"/>
      <c r="H5" s="596"/>
      <c r="I5" s="596"/>
      <c r="J5" s="596"/>
      <c r="K5" s="596"/>
      <c r="L5" s="596"/>
    </row>
    <row r="6">
      <c r="A6" s="547"/>
      <c r="B6" s="597"/>
      <c r="C6" s="415"/>
      <c r="D6" s="415"/>
      <c r="E6" s="415"/>
      <c r="F6" s="415"/>
      <c r="G6" s="415"/>
      <c r="H6" s="415"/>
      <c r="I6" s="415"/>
      <c r="J6" s="415"/>
      <c r="K6" s="415"/>
      <c r="L6" s="415"/>
    </row>
    <row r="7">
      <c r="A7" s="94" t="s">
        <v>150</v>
      </c>
      <c r="B7" s="289">
        <f t="array" ref="B7">index(A7:L7,,match($A$3,$A$1:$L$1,0))</f>
        <v>1</v>
      </c>
      <c r="C7" s="180">
        <f>sum(D7:L7)</f>
        <v>1</v>
      </c>
      <c r="D7" s="47">
        <v>0.0</v>
      </c>
      <c r="E7" s="47">
        <f>1.8/(1.8+1.5)</f>
        <v>0.5454545455</v>
      </c>
      <c r="F7" s="47">
        <v>0.0</v>
      </c>
      <c r="G7" s="47">
        <v>0.0</v>
      </c>
      <c r="H7" s="47">
        <v>0.0</v>
      </c>
      <c r="I7" s="47">
        <f>1.5/(1.8+1.5)</f>
        <v>0.4545454545</v>
      </c>
      <c r="J7" s="47">
        <v>0.0</v>
      </c>
      <c r="K7" s="47">
        <v>0.0</v>
      </c>
      <c r="L7" s="47">
        <v>0.0</v>
      </c>
    </row>
    <row r="8">
      <c r="A8" s="547"/>
      <c r="B8" s="597"/>
      <c r="C8" s="415"/>
      <c r="D8" s="415"/>
      <c r="E8" s="415"/>
      <c r="F8" s="415"/>
      <c r="G8" s="415"/>
      <c r="H8" s="415"/>
      <c r="I8" s="415"/>
      <c r="J8" s="415"/>
      <c r="K8" s="415"/>
      <c r="L8" s="415"/>
    </row>
    <row r="9">
      <c r="A9" s="654" t="s">
        <v>532</v>
      </c>
      <c r="B9" s="595"/>
      <c r="C9" s="596"/>
      <c r="D9" s="596"/>
      <c r="E9" s="596"/>
      <c r="F9" s="596"/>
      <c r="G9" s="596"/>
      <c r="H9" s="596"/>
      <c r="I9" s="596"/>
      <c r="J9" s="596"/>
      <c r="K9" s="596"/>
      <c r="L9" s="596"/>
    </row>
    <row r="10">
      <c r="A10" s="655"/>
      <c r="B10" s="597"/>
      <c r="C10" s="415"/>
      <c r="D10" s="415"/>
      <c r="E10" s="415"/>
      <c r="F10" s="415"/>
      <c r="G10" s="415"/>
      <c r="H10" s="415"/>
      <c r="I10" s="415"/>
      <c r="J10" s="415"/>
      <c r="K10" s="415"/>
      <c r="L10" s="415"/>
    </row>
    <row r="11">
      <c r="A11" s="94" t="s">
        <v>153</v>
      </c>
      <c r="B11" s="793">
        <f t="shared" ref="B11:B16" si="2">index(A11:L11,,match($A$3,$A$1:$L$1,0))</f>
        <v>100000</v>
      </c>
      <c r="C11" s="712">
        <v>100000.0</v>
      </c>
      <c r="D11" s="608">
        <f t="shared" ref="D11:L11" si="1">if(D7&lt;&gt;0,$C$11*D7,0.01)</f>
        <v>0.01</v>
      </c>
      <c r="E11" s="608">
        <f t="shared" si="1"/>
        <v>54545.45455</v>
      </c>
      <c r="F11" s="608">
        <f t="shared" si="1"/>
        <v>0.01</v>
      </c>
      <c r="G11" s="608">
        <f t="shared" si="1"/>
        <v>0.01</v>
      </c>
      <c r="H11" s="608">
        <f t="shared" si="1"/>
        <v>0.01</v>
      </c>
      <c r="I11" s="608">
        <f t="shared" si="1"/>
        <v>45454.54545</v>
      </c>
      <c r="J11" s="608">
        <f t="shared" si="1"/>
        <v>0.01</v>
      </c>
      <c r="K11" s="608">
        <f t="shared" si="1"/>
        <v>0.01</v>
      </c>
      <c r="L11" s="608">
        <f t="shared" si="1"/>
        <v>0.01</v>
      </c>
    </row>
    <row r="12">
      <c r="A12" s="713" t="s">
        <v>533</v>
      </c>
      <c r="B12" s="716">
        <f t="shared" si="2"/>
        <v>1.230526265</v>
      </c>
      <c r="C12" s="713">
        <f>IFERROR(__xludf.DUMMYFUNCTION("average.weighted(D12:L12,D15:L15)"),1.230526265059729)</f>
        <v>1.230526265</v>
      </c>
      <c r="D12" s="794">
        <v>1.2538392619046217</v>
      </c>
      <c r="E12" s="490">
        <v>1.2305262678101212</v>
      </c>
      <c r="F12" s="490">
        <v>1.2305262678101212</v>
      </c>
      <c r="G12" s="490">
        <v>1.2305262678101212</v>
      </c>
      <c r="H12" s="666">
        <v>1.4343368766767979</v>
      </c>
      <c r="I12" s="490">
        <v>1.2305262678101212</v>
      </c>
      <c r="J12" s="794">
        <v>1.040140409352783</v>
      </c>
      <c r="K12" s="490">
        <v>1.2305262678101212</v>
      </c>
      <c r="L12" s="490">
        <v>1.2305262678101212</v>
      </c>
    </row>
    <row r="13">
      <c r="A13" s="555" t="s">
        <v>534</v>
      </c>
      <c r="B13" s="795">
        <f t="shared" si="2"/>
        <v>2</v>
      </c>
      <c r="C13" s="796">
        <v>2.0</v>
      </c>
      <c r="D13" s="710">
        <f t="shared" ref="D13:L13" si="3">$C$13</f>
        <v>2</v>
      </c>
      <c r="E13" s="710">
        <f t="shared" si="3"/>
        <v>2</v>
      </c>
      <c r="F13" s="710">
        <f t="shared" si="3"/>
        <v>2</v>
      </c>
      <c r="G13" s="710">
        <f t="shared" si="3"/>
        <v>2</v>
      </c>
      <c r="H13" s="710">
        <f t="shared" si="3"/>
        <v>2</v>
      </c>
      <c r="I13" s="710">
        <f t="shared" si="3"/>
        <v>2</v>
      </c>
      <c r="J13" s="710">
        <f t="shared" si="3"/>
        <v>2</v>
      </c>
      <c r="K13" s="710">
        <f t="shared" si="3"/>
        <v>2</v>
      </c>
      <c r="L13" s="710">
        <f t="shared" si="3"/>
        <v>2</v>
      </c>
    </row>
    <row r="14">
      <c r="A14" s="555" t="s">
        <v>535</v>
      </c>
      <c r="B14" s="716">
        <f t="shared" si="2"/>
        <v>2.46105253</v>
      </c>
      <c r="C14" s="713">
        <f t="shared" ref="C14:L14" si="4">C12*C13</f>
        <v>2.46105253</v>
      </c>
      <c r="D14" s="797">
        <f t="shared" si="4"/>
        <v>2.507678524</v>
      </c>
      <c r="E14" s="713">
        <f t="shared" si="4"/>
        <v>2.461052536</v>
      </c>
      <c r="F14" s="713">
        <f t="shared" si="4"/>
        <v>2.461052536</v>
      </c>
      <c r="G14" s="713">
        <f t="shared" si="4"/>
        <v>2.461052536</v>
      </c>
      <c r="H14" s="797">
        <f t="shared" si="4"/>
        <v>2.868673753</v>
      </c>
      <c r="I14" s="713">
        <f t="shared" si="4"/>
        <v>2.461052536</v>
      </c>
      <c r="J14" s="797">
        <f t="shared" si="4"/>
        <v>2.080280819</v>
      </c>
      <c r="K14" s="713">
        <f t="shared" si="4"/>
        <v>2.461052536</v>
      </c>
      <c r="L14" s="713">
        <f t="shared" si="4"/>
        <v>2.461052536</v>
      </c>
    </row>
    <row r="15">
      <c r="A15" s="555" t="s">
        <v>536</v>
      </c>
      <c r="B15" s="587">
        <f t="shared" si="2"/>
        <v>40633.04979</v>
      </c>
      <c r="C15" s="588">
        <f t="shared" ref="C15:C16" si="6">sum(D15:L15)</f>
        <v>40633.04979</v>
      </c>
      <c r="D15" s="588">
        <f t="shared" ref="D15:L15" si="5">D11/D14</f>
        <v>0.003987751981</v>
      </c>
      <c r="E15" s="588">
        <f t="shared" si="5"/>
        <v>22163.46614</v>
      </c>
      <c r="F15" s="588">
        <f t="shared" si="5"/>
        <v>0.004063302126</v>
      </c>
      <c r="G15" s="588">
        <f t="shared" si="5"/>
        <v>0.004063302126</v>
      </c>
      <c r="H15" s="588">
        <f t="shared" si="5"/>
        <v>0.00348593143</v>
      </c>
      <c r="I15" s="588">
        <f t="shared" si="5"/>
        <v>18469.55512</v>
      </c>
      <c r="J15" s="588">
        <f t="shared" si="5"/>
        <v>0.004807043314</v>
      </c>
      <c r="K15" s="588">
        <f t="shared" si="5"/>
        <v>0.004063302126</v>
      </c>
      <c r="L15" s="588">
        <f t="shared" si="5"/>
        <v>0.004063302126</v>
      </c>
    </row>
    <row r="16">
      <c r="A16" s="555" t="s">
        <v>537</v>
      </c>
      <c r="B16" s="685">
        <f t="shared" si="2"/>
        <v>1</v>
      </c>
      <c r="C16" s="419">
        <f t="shared" si="6"/>
        <v>1</v>
      </c>
      <c r="D16" s="798">
        <f t="shared" ref="D16:L16" si="7">D15/$C$15</f>
        <v>0.00000009814060231</v>
      </c>
      <c r="E16" s="798">
        <f t="shared" si="7"/>
        <v>0.5454541624</v>
      </c>
      <c r="F16" s="798">
        <f t="shared" si="7"/>
        <v>0.00000009999992978</v>
      </c>
      <c r="G16" s="798">
        <f t="shared" si="7"/>
        <v>0.00000009999992978</v>
      </c>
      <c r="H16" s="798">
        <f t="shared" si="7"/>
        <v>0.00000008579054361</v>
      </c>
      <c r="I16" s="798">
        <f t="shared" si="7"/>
        <v>0.4545451353</v>
      </c>
      <c r="J16" s="798">
        <f t="shared" si="7"/>
        <v>0.0000001183037783</v>
      </c>
      <c r="K16" s="798">
        <f t="shared" si="7"/>
        <v>0.00000009999992978</v>
      </c>
      <c r="L16" s="798">
        <f t="shared" si="7"/>
        <v>0.00000009999992978</v>
      </c>
    </row>
    <row r="17">
      <c r="A17" s="799"/>
      <c r="B17" s="597"/>
      <c r="C17" s="415"/>
      <c r="D17" s="415"/>
      <c r="E17" s="415"/>
      <c r="F17" s="415"/>
      <c r="G17" s="415"/>
      <c r="H17" s="415"/>
      <c r="I17" s="415"/>
      <c r="J17" s="415"/>
      <c r="K17" s="415"/>
      <c r="L17" s="415"/>
    </row>
    <row r="18">
      <c r="A18" s="264" t="s">
        <v>538</v>
      </c>
      <c r="B18" s="595"/>
      <c r="C18" s="596"/>
      <c r="D18" s="596"/>
      <c r="E18" s="596"/>
      <c r="F18" s="596"/>
      <c r="G18" s="596"/>
      <c r="H18" s="596"/>
      <c r="I18" s="596"/>
      <c r="J18" s="596"/>
      <c r="K18" s="596"/>
      <c r="L18" s="596"/>
    </row>
    <row r="19">
      <c r="A19" s="800"/>
      <c r="B19" s="696"/>
      <c r="C19" s="801"/>
      <c r="D19" s="801"/>
      <c r="E19" s="801"/>
      <c r="F19" s="801"/>
      <c r="G19" s="801"/>
      <c r="H19" s="801"/>
      <c r="I19" s="801"/>
      <c r="J19" s="801"/>
      <c r="K19" s="801"/>
      <c r="L19" s="801"/>
    </row>
    <row r="20">
      <c r="A20" s="800" t="s">
        <v>539</v>
      </c>
      <c r="B20" s="696">
        <f t="shared" ref="B20:B23" si="9">index(A20:L20,,match($A$3,$A$1:$L$1,0))</f>
        <v>0.76</v>
      </c>
      <c r="C20" s="802">
        <v>0.76</v>
      </c>
      <c r="D20" s="721">
        <f t="shared" ref="D20:L20" si="8">$C$20</f>
        <v>0.76</v>
      </c>
      <c r="E20" s="721">
        <f t="shared" si="8"/>
        <v>0.76</v>
      </c>
      <c r="F20" s="721">
        <f t="shared" si="8"/>
        <v>0.76</v>
      </c>
      <c r="G20" s="721">
        <f t="shared" si="8"/>
        <v>0.76</v>
      </c>
      <c r="H20" s="721">
        <f t="shared" si="8"/>
        <v>0.76</v>
      </c>
      <c r="I20" s="721">
        <f t="shared" si="8"/>
        <v>0.76</v>
      </c>
      <c r="J20" s="721">
        <f t="shared" si="8"/>
        <v>0.76</v>
      </c>
      <c r="K20" s="721">
        <f t="shared" si="8"/>
        <v>0.76</v>
      </c>
      <c r="L20" s="721">
        <f t="shared" si="8"/>
        <v>0.76</v>
      </c>
    </row>
    <row r="21">
      <c r="A21" s="555" t="s">
        <v>540</v>
      </c>
      <c r="B21" s="685">
        <f t="shared" si="9"/>
        <v>0.24</v>
      </c>
      <c r="C21" s="419">
        <f>1-C20</f>
        <v>0.24</v>
      </c>
      <c r="D21" s="724">
        <f t="shared" ref="D21:L21" si="10">$C$21</f>
        <v>0.24</v>
      </c>
      <c r="E21" s="724">
        <f t="shared" si="10"/>
        <v>0.24</v>
      </c>
      <c r="F21" s="724">
        <f t="shared" si="10"/>
        <v>0.24</v>
      </c>
      <c r="G21" s="724">
        <f t="shared" si="10"/>
        <v>0.24</v>
      </c>
      <c r="H21" s="724">
        <f t="shared" si="10"/>
        <v>0.24</v>
      </c>
      <c r="I21" s="724">
        <f t="shared" si="10"/>
        <v>0.24</v>
      </c>
      <c r="J21" s="724">
        <f t="shared" si="10"/>
        <v>0.24</v>
      </c>
      <c r="K21" s="724">
        <f t="shared" si="10"/>
        <v>0.24</v>
      </c>
      <c r="L21" s="724">
        <f t="shared" si="10"/>
        <v>0.24</v>
      </c>
    </row>
    <row r="22">
      <c r="A22" s="555" t="s">
        <v>541</v>
      </c>
      <c r="B22" s="803">
        <f t="shared" si="9"/>
        <v>0.873</v>
      </c>
      <c r="C22" s="402">
        <v>0.873</v>
      </c>
      <c r="D22" s="724">
        <f t="shared" ref="D22:L22" si="11">$C$22</f>
        <v>0.873</v>
      </c>
      <c r="E22" s="724">
        <f t="shared" si="11"/>
        <v>0.873</v>
      </c>
      <c r="F22" s="724">
        <f t="shared" si="11"/>
        <v>0.873</v>
      </c>
      <c r="G22" s="724">
        <f t="shared" si="11"/>
        <v>0.873</v>
      </c>
      <c r="H22" s="724">
        <f t="shared" si="11"/>
        <v>0.873</v>
      </c>
      <c r="I22" s="724">
        <f t="shared" si="11"/>
        <v>0.873</v>
      </c>
      <c r="J22" s="724">
        <f t="shared" si="11"/>
        <v>0.873</v>
      </c>
      <c r="K22" s="724">
        <f t="shared" si="11"/>
        <v>0.873</v>
      </c>
      <c r="L22" s="724">
        <f t="shared" si="11"/>
        <v>0.873</v>
      </c>
    </row>
    <row r="23">
      <c r="A23" s="555" t="s">
        <v>542</v>
      </c>
      <c r="B23" s="685">
        <f t="shared" si="9"/>
        <v>0.2749140893</v>
      </c>
      <c r="C23" s="419">
        <f t="shared" ref="C23:L23" si="12">C21/C22</f>
        <v>0.2749140893</v>
      </c>
      <c r="D23" s="419">
        <f t="shared" si="12"/>
        <v>0.2749140893</v>
      </c>
      <c r="E23" s="419">
        <f t="shared" si="12"/>
        <v>0.2749140893</v>
      </c>
      <c r="F23" s="419">
        <f t="shared" si="12"/>
        <v>0.2749140893</v>
      </c>
      <c r="G23" s="419">
        <f t="shared" si="12"/>
        <v>0.2749140893</v>
      </c>
      <c r="H23" s="419">
        <f t="shared" si="12"/>
        <v>0.2749140893</v>
      </c>
      <c r="I23" s="419">
        <f t="shared" si="12"/>
        <v>0.2749140893</v>
      </c>
      <c r="J23" s="419">
        <f t="shared" si="12"/>
        <v>0.2749140893</v>
      </c>
      <c r="K23" s="419">
        <f t="shared" si="12"/>
        <v>0.2749140893</v>
      </c>
      <c r="L23" s="419">
        <f t="shared" si="12"/>
        <v>0.2749140893</v>
      </c>
    </row>
    <row r="24">
      <c r="A24" s="415"/>
      <c r="B24" s="597"/>
      <c r="C24" s="597"/>
      <c r="D24" s="415"/>
      <c r="E24" s="415"/>
      <c r="F24" s="415"/>
      <c r="G24" s="415"/>
      <c r="H24" s="415"/>
      <c r="I24" s="415"/>
      <c r="J24" s="415"/>
      <c r="K24" s="415"/>
      <c r="L24" s="415"/>
    </row>
    <row r="25">
      <c r="A25" s="654" t="s">
        <v>543</v>
      </c>
      <c r="B25" s="595"/>
      <c r="C25" s="596"/>
      <c r="D25" s="596"/>
      <c r="E25" s="596"/>
      <c r="F25" s="596"/>
      <c r="G25" s="596"/>
      <c r="H25" s="596"/>
      <c r="I25" s="596"/>
      <c r="J25" s="596"/>
      <c r="K25" s="596"/>
      <c r="L25" s="596"/>
    </row>
    <row r="26">
      <c r="A26" s="655"/>
      <c r="B26" s="597"/>
      <c r="C26" s="415"/>
      <c r="D26" s="415"/>
      <c r="E26" s="415"/>
      <c r="F26" s="415"/>
      <c r="G26" s="415"/>
      <c r="H26" s="415"/>
      <c r="I26" s="415"/>
      <c r="J26" s="415"/>
      <c r="K26" s="415"/>
      <c r="L26" s="415"/>
    </row>
    <row r="27">
      <c r="A27" s="804" t="s">
        <v>544</v>
      </c>
      <c r="B27" s="805">
        <f t="shared" ref="B27:B34" si="13">index(A27:L27,,match($A$3,$A$1:$L$1,0))</f>
        <v>6.967097391</v>
      </c>
      <c r="C27" s="806">
        <f>sumproduct($D$16:$L$16,D27:L27)</f>
        <v>6.967097391</v>
      </c>
      <c r="D27" s="802">
        <v>17.27006772280076</v>
      </c>
      <c r="E27" s="802">
        <v>8.91977655683583</v>
      </c>
      <c r="F27" s="802">
        <v>9.96412025864942</v>
      </c>
      <c r="G27" s="802">
        <v>12.812499572569697</v>
      </c>
      <c r="H27" s="802">
        <v>13.730950730888809</v>
      </c>
      <c r="I27" s="802">
        <v>4.623869542407623</v>
      </c>
      <c r="J27" s="802">
        <v>19.03375415365172</v>
      </c>
      <c r="K27" s="802">
        <v>18.068294979528748</v>
      </c>
      <c r="L27" s="802">
        <v>15.240628533416348</v>
      </c>
    </row>
    <row r="28">
      <c r="A28" s="555" t="s">
        <v>545</v>
      </c>
      <c r="B28" s="587">
        <f t="shared" si="13"/>
        <v>283.0944152</v>
      </c>
      <c r="C28" s="588">
        <f t="shared" ref="C28:C29" si="15">sum(D28:L28)</f>
        <v>283.0944152</v>
      </c>
      <c r="D28" s="588">
        <f t="shared" ref="D28:L28" si="14">(D27/1000)*D15</f>
        <v>0.00006886874677</v>
      </c>
      <c r="E28" s="588">
        <f t="shared" si="14"/>
        <v>197.6931657</v>
      </c>
      <c r="F28" s="588">
        <f t="shared" si="14"/>
        <v>0.00004048723103</v>
      </c>
      <c r="G28" s="588">
        <f t="shared" si="14"/>
        <v>0.00005206105675</v>
      </c>
      <c r="H28" s="588">
        <f t="shared" si="14"/>
        <v>0.00004786515272</v>
      </c>
      <c r="I28" s="588">
        <f t="shared" si="14"/>
        <v>85.40081337</v>
      </c>
      <c r="J28" s="588">
        <f t="shared" si="14"/>
        <v>0.00009149608064</v>
      </c>
      <c r="K28" s="588">
        <f t="shared" si="14"/>
        <v>0.0000734169414</v>
      </c>
      <c r="L28" s="588">
        <f t="shared" si="14"/>
        <v>0.00006192727832</v>
      </c>
    </row>
    <row r="29">
      <c r="A29" s="555" t="s">
        <v>546</v>
      </c>
      <c r="B29" s="587">
        <f t="shared" si="13"/>
        <v>77.82664335</v>
      </c>
      <c r="C29" s="588">
        <f t="shared" si="15"/>
        <v>77.82664335</v>
      </c>
      <c r="D29" s="588">
        <f t="shared" ref="D29:L29" si="16">D28*D23</f>
        <v>0.0000189329888</v>
      </c>
      <c r="E29" s="588">
        <f t="shared" si="16"/>
        <v>54.34863662</v>
      </c>
      <c r="F29" s="588">
        <f t="shared" si="16"/>
        <v>0.00001113051025</v>
      </c>
      <c r="G29" s="588">
        <f t="shared" si="16"/>
        <v>0.00001431231801</v>
      </c>
      <c r="H29" s="588">
        <f t="shared" si="16"/>
        <v>0.00001315880487</v>
      </c>
      <c r="I29" s="588">
        <f t="shared" si="16"/>
        <v>23.47788684</v>
      </c>
      <c r="J29" s="588">
        <f t="shared" si="16"/>
        <v>0.00002515356169</v>
      </c>
      <c r="K29" s="588">
        <f t="shared" si="16"/>
        <v>0.00002018335159</v>
      </c>
      <c r="L29" s="588">
        <f t="shared" si="16"/>
        <v>0.00001702468133</v>
      </c>
    </row>
    <row r="30">
      <c r="A30" s="804" t="s">
        <v>547</v>
      </c>
      <c r="B30" s="807">
        <f t="shared" si="13"/>
        <v>0.85</v>
      </c>
      <c r="C30" s="711">
        <v>0.85</v>
      </c>
      <c r="D30" s="724">
        <f t="shared" ref="D30:L30" si="17">$C$30</f>
        <v>0.85</v>
      </c>
      <c r="E30" s="724">
        <f t="shared" si="17"/>
        <v>0.85</v>
      </c>
      <c r="F30" s="724">
        <f t="shared" si="17"/>
        <v>0.85</v>
      </c>
      <c r="G30" s="724">
        <f t="shared" si="17"/>
        <v>0.85</v>
      </c>
      <c r="H30" s="724">
        <f t="shared" si="17"/>
        <v>0.85</v>
      </c>
      <c r="I30" s="724">
        <f t="shared" si="17"/>
        <v>0.85</v>
      </c>
      <c r="J30" s="724">
        <f t="shared" si="17"/>
        <v>0.85</v>
      </c>
      <c r="K30" s="724">
        <f t="shared" si="17"/>
        <v>0.85</v>
      </c>
      <c r="L30" s="724">
        <f t="shared" si="17"/>
        <v>0.85</v>
      </c>
    </row>
    <row r="31">
      <c r="A31" s="804" t="s">
        <v>548</v>
      </c>
      <c r="B31" s="808">
        <f t="shared" si="13"/>
        <v>0.4538934245</v>
      </c>
      <c r="C31" s="809">
        <f>sumproduct($D$16:$L$16,D31:L31)</f>
        <v>0.4538934245</v>
      </c>
      <c r="D31" s="47">
        <v>0.3362590750678182</v>
      </c>
      <c r="E31" s="47">
        <v>0.3719920487775721</v>
      </c>
      <c r="F31" s="47">
        <v>0.41100089321210476</v>
      </c>
      <c r="G31" s="47">
        <v>0.4154760026866952</v>
      </c>
      <c r="H31" s="47">
        <v>0.3226536706624514</v>
      </c>
      <c r="I31" s="47">
        <v>0.5521752124589511</v>
      </c>
      <c r="J31" s="47">
        <v>0.33374080649650517</v>
      </c>
      <c r="K31" s="47">
        <v>0.41710997290128266</v>
      </c>
      <c r="L31" s="47">
        <v>0.3186227995956268</v>
      </c>
    </row>
    <row r="32">
      <c r="A32" s="555" t="s">
        <v>549</v>
      </c>
      <c r="B32" s="587">
        <f t="shared" si="13"/>
        <v>28.20402953</v>
      </c>
      <c r="C32" s="588">
        <f>sum(D32:L32)</f>
        <v>28.20402953</v>
      </c>
      <c r="D32" s="810">
        <f t="shared" ref="D32:L32" si="18">D29*D30*D31</f>
        <v>0.000005411430907</v>
      </c>
      <c r="E32" s="810">
        <f t="shared" si="18"/>
        <v>17.18467158</v>
      </c>
      <c r="F32" s="810">
        <f t="shared" si="18"/>
        <v>0.000003888452206</v>
      </c>
      <c r="G32" s="810">
        <f t="shared" si="18"/>
        <v>0.000005054460974</v>
      </c>
      <c r="H32" s="810">
        <f t="shared" si="18"/>
        <v>0.000003608876189</v>
      </c>
      <c r="I32" s="810">
        <f t="shared" si="18"/>
        <v>11.01932108</v>
      </c>
      <c r="J32" s="810">
        <f t="shared" si="18"/>
        <v>0.000007135554469</v>
      </c>
      <c r="K32" s="810">
        <f t="shared" si="18"/>
        <v>0.000007155875649</v>
      </c>
      <c r="L32" s="810">
        <f t="shared" si="18"/>
        <v>0.000004610783882</v>
      </c>
    </row>
    <row r="33">
      <c r="A33" s="555" t="s">
        <v>80</v>
      </c>
      <c r="B33" s="587">
        <f t="shared" si="13"/>
        <v>100</v>
      </c>
      <c r="C33" s="588">
        <f t="array" ref="C33">index('Moral weights'!$A$1:$H$33, match($A33, 'Moral weights'!$A$1:$A$33,0), match($B$1, 'Moral weights'!$A$1:$J$1,0))</f>
        <v>100</v>
      </c>
      <c r="D33" s="715">
        <f t="shared" ref="D33:L33" si="19">$C$33</f>
        <v>100</v>
      </c>
      <c r="E33" s="715">
        <f t="shared" si="19"/>
        <v>100</v>
      </c>
      <c r="F33" s="715">
        <f t="shared" si="19"/>
        <v>100</v>
      </c>
      <c r="G33" s="715">
        <f t="shared" si="19"/>
        <v>100</v>
      </c>
      <c r="H33" s="715">
        <f t="shared" si="19"/>
        <v>100</v>
      </c>
      <c r="I33" s="715">
        <f t="shared" si="19"/>
        <v>100</v>
      </c>
      <c r="J33" s="715">
        <f t="shared" si="19"/>
        <v>100</v>
      </c>
      <c r="K33" s="715">
        <f t="shared" si="19"/>
        <v>100</v>
      </c>
      <c r="L33" s="715">
        <f t="shared" si="19"/>
        <v>100</v>
      </c>
    </row>
    <row r="34">
      <c r="A34" s="555" t="s">
        <v>550</v>
      </c>
      <c r="B34" s="587">
        <f t="shared" si="13"/>
        <v>2820.402953</v>
      </c>
      <c r="C34" s="588">
        <f>sum(D34:L34)</f>
        <v>2820.402953</v>
      </c>
      <c r="D34" s="588">
        <f t="shared" ref="D34:L34" si="20">D32*D33</f>
        <v>0.0005411430907</v>
      </c>
      <c r="E34" s="588">
        <f t="shared" si="20"/>
        <v>1718.467158</v>
      </c>
      <c r="F34" s="588">
        <f t="shared" si="20"/>
        <v>0.0003888452206</v>
      </c>
      <c r="G34" s="588">
        <f t="shared" si="20"/>
        <v>0.0005054460974</v>
      </c>
      <c r="H34" s="588">
        <f t="shared" si="20"/>
        <v>0.0003608876189</v>
      </c>
      <c r="I34" s="588">
        <f t="shared" si="20"/>
        <v>1101.932108</v>
      </c>
      <c r="J34" s="588">
        <f t="shared" si="20"/>
        <v>0.0007135554469</v>
      </c>
      <c r="K34" s="588">
        <f t="shared" si="20"/>
        <v>0.0007155875649</v>
      </c>
      <c r="L34" s="588">
        <f t="shared" si="20"/>
        <v>0.0004610783882</v>
      </c>
    </row>
    <row r="35">
      <c r="A35" s="415"/>
      <c r="B35" s="597"/>
      <c r="C35" s="415"/>
      <c r="D35" s="415"/>
      <c r="E35" s="415"/>
      <c r="F35" s="415"/>
      <c r="G35" s="415"/>
      <c r="H35" s="415"/>
      <c r="I35" s="415"/>
      <c r="J35" s="415"/>
      <c r="K35" s="415"/>
      <c r="L35" s="415"/>
    </row>
    <row r="36">
      <c r="A36" s="264" t="s">
        <v>551</v>
      </c>
      <c r="B36" s="595"/>
      <c r="C36" s="596"/>
      <c r="D36" s="596"/>
      <c r="E36" s="596"/>
      <c r="F36" s="596"/>
      <c r="G36" s="596"/>
      <c r="H36" s="596"/>
      <c r="I36" s="596"/>
      <c r="J36" s="596"/>
      <c r="K36" s="596"/>
      <c r="L36" s="596"/>
    </row>
    <row r="37">
      <c r="A37" s="412"/>
      <c r="B37" s="597"/>
      <c r="C37" s="415"/>
      <c r="D37" s="415"/>
      <c r="E37" s="415"/>
      <c r="F37" s="415"/>
      <c r="G37" s="415"/>
      <c r="H37" s="415"/>
      <c r="I37" s="415"/>
      <c r="J37" s="415"/>
      <c r="K37" s="415"/>
      <c r="L37" s="415"/>
    </row>
    <row r="38">
      <c r="A38" s="165" t="s">
        <v>137</v>
      </c>
      <c r="B38" s="807">
        <f t="array" ref="B38">index(A38:L38,,match($A$3,$A$1:$L$1,0))</f>
        <v>0.225</v>
      </c>
      <c r="C38" s="711">
        <v>0.225</v>
      </c>
      <c r="D38" s="724">
        <f t="shared" ref="D38:L38" si="21">$C$38</f>
        <v>0.225</v>
      </c>
      <c r="E38" s="724">
        <f t="shared" si="21"/>
        <v>0.225</v>
      </c>
      <c r="F38" s="724">
        <f t="shared" si="21"/>
        <v>0.225</v>
      </c>
      <c r="G38" s="724">
        <f t="shared" si="21"/>
        <v>0.225</v>
      </c>
      <c r="H38" s="724">
        <f t="shared" si="21"/>
        <v>0.225</v>
      </c>
      <c r="I38" s="724">
        <f t="shared" si="21"/>
        <v>0.225</v>
      </c>
      <c r="J38" s="724">
        <f t="shared" si="21"/>
        <v>0.225</v>
      </c>
      <c r="K38" s="724">
        <f t="shared" si="21"/>
        <v>0.225</v>
      </c>
      <c r="L38" s="724">
        <f t="shared" si="21"/>
        <v>0.225</v>
      </c>
    </row>
    <row r="39">
      <c r="B39" s="624"/>
    </row>
    <row r="40">
      <c r="A40" s="811" t="s">
        <v>552</v>
      </c>
      <c r="B40" s="502">
        <f t="array" ref="B40">index(A40:L40,,match($A$3,$A$1:$L$1,0))</f>
        <v>818.8266637</v>
      </c>
      <c r="C40" s="811">
        <f>sum(D40:L40)</f>
        <v>818.8266637</v>
      </c>
      <c r="D40" s="588">
        <f t="shared" ref="D40:L40" si="22">D34/(1-D38)-D34</f>
        <v>0.0001571060586</v>
      </c>
      <c r="E40" s="588">
        <f t="shared" si="22"/>
        <v>498.9098201</v>
      </c>
      <c r="F40" s="588">
        <f t="shared" si="22"/>
        <v>0.0001128905479</v>
      </c>
      <c r="G40" s="588">
        <f t="shared" si="22"/>
        <v>0.0001467424154</v>
      </c>
      <c r="H40" s="588">
        <f t="shared" si="22"/>
        <v>0.0001047738249</v>
      </c>
      <c r="I40" s="588">
        <f t="shared" si="22"/>
        <v>319.9157733</v>
      </c>
      <c r="J40" s="588">
        <f t="shared" si="22"/>
        <v>0.0002071612588</v>
      </c>
      <c r="K40" s="588">
        <f t="shared" si="22"/>
        <v>0.0002077512285</v>
      </c>
      <c r="L40" s="588">
        <f t="shared" si="22"/>
        <v>0.0001338614675</v>
      </c>
    </row>
    <row r="41">
      <c r="A41" s="165"/>
      <c r="B41" s="685"/>
      <c r="C41" s="419"/>
      <c r="D41" s="801"/>
      <c r="E41" s="419"/>
      <c r="F41" s="419"/>
      <c r="G41" s="419"/>
      <c r="H41" s="419"/>
      <c r="I41" s="419"/>
      <c r="J41" s="419"/>
      <c r="K41" s="419"/>
      <c r="L41" s="419"/>
    </row>
    <row r="42">
      <c r="A42" s="654" t="s">
        <v>354</v>
      </c>
      <c r="B42" s="595"/>
      <c r="C42" s="596"/>
      <c r="D42" s="596"/>
      <c r="E42" s="596"/>
      <c r="F42" s="596"/>
      <c r="G42" s="596"/>
      <c r="H42" s="596"/>
      <c r="I42" s="596"/>
      <c r="J42" s="596"/>
      <c r="K42" s="596"/>
      <c r="L42" s="596"/>
    </row>
    <row r="43">
      <c r="A43" s="655"/>
      <c r="B43" s="597"/>
      <c r="C43" s="415"/>
      <c r="D43" s="415"/>
      <c r="E43" s="415"/>
      <c r="F43" s="415"/>
      <c r="G43" s="415"/>
      <c r="H43" s="415"/>
      <c r="I43" s="415"/>
      <c r="J43" s="415"/>
      <c r="K43" s="415"/>
      <c r="L43" s="415"/>
    </row>
    <row r="44">
      <c r="A44" s="551" t="str">
        <f t="shared" ref="A44:A46" si="24">A32</f>
        <v>Expected deaths averted in cohort due to program (after internal and external validity adjustments)</v>
      </c>
      <c r="B44" s="556">
        <f t="shared" ref="B44:B49" si="25">index(A44:L44,,match($A$3,$A$1:$L$1,0))</f>
        <v>28.20402953</v>
      </c>
      <c r="C44" s="548">
        <f t="shared" ref="C44:L44" si="23">C32</f>
        <v>28.20402953</v>
      </c>
      <c r="D44" s="761">
        <f t="shared" si="23"/>
        <v>0.000005411430907</v>
      </c>
      <c r="E44" s="761">
        <f t="shared" si="23"/>
        <v>17.18467158</v>
      </c>
      <c r="F44" s="761">
        <f t="shared" si="23"/>
        <v>0.000003888452206</v>
      </c>
      <c r="G44" s="761">
        <f t="shared" si="23"/>
        <v>0.000005054460974</v>
      </c>
      <c r="H44" s="761">
        <f t="shared" si="23"/>
        <v>0.000003608876189</v>
      </c>
      <c r="I44" s="761">
        <f t="shared" si="23"/>
        <v>11.01932108</v>
      </c>
      <c r="J44" s="761">
        <f t="shared" si="23"/>
        <v>0.000007135554469</v>
      </c>
      <c r="K44" s="761">
        <f t="shared" si="23"/>
        <v>0.000007155875649</v>
      </c>
      <c r="L44" s="761">
        <f t="shared" si="23"/>
        <v>0.000004610783882</v>
      </c>
    </row>
    <row r="45">
      <c r="A45" s="551" t="str">
        <f t="shared" si="24"/>
        <v>Value assigned to averting the death of a 6- to 59-month old child — HKI</v>
      </c>
      <c r="B45" s="556">
        <f t="shared" si="25"/>
        <v>100</v>
      </c>
      <c r="C45" s="548">
        <f t="shared" ref="C45:L45" si="26">C33</f>
        <v>100</v>
      </c>
      <c r="D45" s="548">
        <f t="shared" si="26"/>
        <v>100</v>
      </c>
      <c r="E45" s="548">
        <f t="shared" si="26"/>
        <v>100</v>
      </c>
      <c r="F45" s="548">
        <f t="shared" si="26"/>
        <v>100</v>
      </c>
      <c r="G45" s="548">
        <f t="shared" si="26"/>
        <v>100</v>
      </c>
      <c r="H45" s="548">
        <f t="shared" si="26"/>
        <v>100</v>
      </c>
      <c r="I45" s="548">
        <f t="shared" si="26"/>
        <v>100</v>
      </c>
      <c r="J45" s="548">
        <f t="shared" si="26"/>
        <v>100</v>
      </c>
      <c r="K45" s="548">
        <f t="shared" si="26"/>
        <v>100</v>
      </c>
      <c r="L45" s="548">
        <f t="shared" si="26"/>
        <v>100</v>
      </c>
    </row>
    <row r="46">
      <c r="A46" s="551" t="str">
        <f t="shared" si="24"/>
        <v>Total units of value from mortality reduction with hypothetical donation ($100,000)</v>
      </c>
      <c r="B46" s="556">
        <f t="shared" si="25"/>
        <v>2820.402953</v>
      </c>
      <c r="C46" s="548">
        <f t="shared" ref="C46:L46" si="27">C34</f>
        <v>2820.402953</v>
      </c>
      <c r="D46" s="548">
        <f t="shared" si="27"/>
        <v>0.0005411430907</v>
      </c>
      <c r="E46" s="548">
        <f t="shared" si="27"/>
        <v>1718.467158</v>
      </c>
      <c r="F46" s="548">
        <f t="shared" si="27"/>
        <v>0.0003888452206</v>
      </c>
      <c r="G46" s="548">
        <f t="shared" si="27"/>
        <v>0.0005054460974</v>
      </c>
      <c r="H46" s="548">
        <f t="shared" si="27"/>
        <v>0.0003608876189</v>
      </c>
      <c r="I46" s="548">
        <f t="shared" si="27"/>
        <v>1101.932108</v>
      </c>
      <c r="J46" s="548">
        <f t="shared" si="27"/>
        <v>0.0007135554469</v>
      </c>
      <c r="K46" s="548">
        <f t="shared" si="27"/>
        <v>0.0007155875649</v>
      </c>
      <c r="L46" s="548">
        <f t="shared" si="27"/>
        <v>0.0004610783882</v>
      </c>
    </row>
    <row r="47">
      <c r="A47" s="548" t="str">
        <f>A40</f>
        <v>Units of value from development benefits with hypothetical donation ($100,000)</v>
      </c>
      <c r="B47" s="556">
        <f t="shared" si="25"/>
        <v>818.8266637</v>
      </c>
      <c r="C47" s="548">
        <f t="shared" ref="C47:L47" si="28">C40</f>
        <v>818.8266637</v>
      </c>
      <c r="D47" s="548">
        <f t="shared" si="28"/>
        <v>0.0001571060586</v>
      </c>
      <c r="E47" s="548">
        <f t="shared" si="28"/>
        <v>498.9098201</v>
      </c>
      <c r="F47" s="548">
        <f t="shared" si="28"/>
        <v>0.0001128905479</v>
      </c>
      <c r="G47" s="548">
        <f t="shared" si="28"/>
        <v>0.0001467424154</v>
      </c>
      <c r="H47" s="548">
        <f t="shared" si="28"/>
        <v>0.0001047738249</v>
      </c>
      <c r="I47" s="548">
        <f t="shared" si="28"/>
        <v>319.9157733</v>
      </c>
      <c r="J47" s="548">
        <f t="shared" si="28"/>
        <v>0.0002071612588</v>
      </c>
      <c r="K47" s="548">
        <f t="shared" si="28"/>
        <v>0.0002077512285</v>
      </c>
      <c r="L47" s="548">
        <f t="shared" si="28"/>
        <v>0.0001338614675</v>
      </c>
    </row>
    <row r="48">
      <c r="A48" s="503" t="s">
        <v>553</v>
      </c>
      <c r="B48" s="812">
        <f t="shared" si="25"/>
        <v>3639.229616</v>
      </c>
      <c r="C48" s="813">
        <f>sum(D48:L48)</f>
        <v>3639.229616</v>
      </c>
      <c r="D48" s="663">
        <f t="shared" ref="D48:L48" si="29">sum(D46:D47)</f>
        <v>0.0006982491493</v>
      </c>
      <c r="E48" s="663">
        <f t="shared" si="29"/>
        <v>2217.376978</v>
      </c>
      <c r="F48" s="663">
        <f t="shared" si="29"/>
        <v>0.0005017357685</v>
      </c>
      <c r="G48" s="663">
        <f t="shared" si="29"/>
        <v>0.0006521885127</v>
      </c>
      <c r="H48" s="663">
        <f t="shared" si="29"/>
        <v>0.0004656614438</v>
      </c>
      <c r="I48" s="663">
        <f t="shared" si="29"/>
        <v>1421.847881</v>
      </c>
      <c r="J48" s="663">
        <f t="shared" si="29"/>
        <v>0.0009207167057</v>
      </c>
      <c r="K48" s="663">
        <f t="shared" si="29"/>
        <v>0.0009233387934</v>
      </c>
      <c r="L48" s="663">
        <f t="shared" si="29"/>
        <v>0.0005949398558</v>
      </c>
    </row>
    <row r="49">
      <c r="A49" s="506" t="s">
        <v>238</v>
      </c>
      <c r="B49" s="502">
        <f t="shared" si="25"/>
        <v>3639.229616</v>
      </c>
      <c r="C49" s="811">
        <f t="shared" ref="C49:L49" si="30">$C11/C11*C48</f>
        <v>3639.229616</v>
      </c>
      <c r="D49" s="811">
        <f t="shared" si="30"/>
        <v>6982.491493</v>
      </c>
      <c r="E49" s="811">
        <f t="shared" si="30"/>
        <v>4065.191127</v>
      </c>
      <c r="F49" s="811">
        <f t="shared" si="30"/>
        <v>5017.357685</v>
      </c>
      <c r="G49" s="811">
        <f t="shared" si="30"/>
        <v>6521.885127</v>
      </c>
      <c r="H49" s="811">
        <f t="shared" si="30"/>
        <v>4656.614438</v>
      </c>
      <c r="I49" s="811">
        <f t="shared" si="30"/>
        <v>3128.065339</v>
      </c>
      <c r="J49" s="811">
        <f t="shared" si="30"/>
        <v>9207.167057</v>
      </c>
      <c r="K49" s="811">
        <f t="shared" si="30"/>
        <v>9233.387934</v>
      </c>
      <c r="L49" s="811">
        <f t="shared" si="30"/>
        <v>5949.398558</v>
      </c>
    </row>
    <row r="50">
      <c r="A50" s="412"/>
      <c r="B50" s="814"/>
      <c r="C50" s="815"/>
      <c r="D50" s="665"/>
      <c r="E50" s="665"/>
      <c r="F50" s="665"/>
      <c r="G50" s="665"/>
      <c r="H50" s="665"/>
      <c r="I50" s="665"/>
      <c r="J50" s="665"/>
      <c r="K50" s="665"/>
      <c r="L50" s="665"/>
    </row>
    <row r="51">
      <c r="A51" s="325" t="s">
        <v>239</v>
      </c>
      <c r="B51" s="508">
        <f t="array" ref="B51">index(C51:AA51,,match($A$3,$C$1:$AA$1,0))</f>
        <v>10.57839881</v>
      </c>
      <c r="C51" s="421">
        <f t="array" ref="C51">C49/index(Cash!$B:$B,match("Total units of value generated with hypothetical donation ($100,000)",Cash!$A:$A,0))</f>
        <v>10.57839881</v>
      </c>
      <c r="D51" s="421">
        <f t="array" ref="D51">D49/index(Cash!$B:$B,match("Total units of value generated with hypothetical donation ($100,000)",Cash!$A:$A,0))</f>
        <v>20.29648785</v>
      </c>
      <c r="E51" s="421">
        <f t="array" ref="E51">E49/index(Cash!$B:$B,match("Total units of value generated with hypothetical donation ($100,000)",Cash!$A:$A,0))</f>
        <v>11.8165704</v>
      </c>
      <c r="F51" s="421">
        <f t="array" ref="F51">F49/index(Cash!$B:$B,match("Total units of value generated with hypothetical donation ($100,000)",Cash!$A:$A,0))</f>
        <v>14.58429837</v>
      </c>
      <c r="G51" s="421">
        <f t="array" ref="G51">G49/index(Cash!$B:$B,match("Total units of value generated with hypothetical donation ($100,000)",Cash!$A:$A,0))</f>
        <v>18.95761167</v>
      </c>
      <c r="H51" s="421">
        <f t="array" ref="H51">H49/index(Cash!$B:$B,match("Total units of value generated with hypothetical donation ($100,000)",Cash!$A:$A,0))</f>
        <v>13.53570118</v>
      </c>
      <c r="I51" s="421">
        <f t="array" ref="I51">I49/index(Cash!$B:$B,match("Total units of value generated with hypothetical donation ($100,000)",Cash!$A:$A,0))</f>
        <v>9.092562475</v>
      </c>
      <c r="J51" s="421">
        <f t="array" ref="J51">J49/index(Cash!$B:$B,match("Total units of value generated with hypothetical donation ($100,000)",Cash!$A:$A,0))</f>
        <v>26.76310518</v>
      </c>
      <c r="K51" s="421">
        <f t="array" ref="K51">K49/index(Cash!$B:$B,match("Total units of value generated with hypothetical donation ($100,000)",Cash!$A:$A,0))</f>
        <v>26.83932321</v>
      </c>
      <c r="L51" s="421">
        <f t="array" ref="L51">L49/index(Cash!$B:$B,match("Total units of value generated with hypothetical donation ($100,000)",Cash!$A:$A,0))</f>
        <v>17.29352562</v>
      </c>
    </row>
    <row r="52">
      <c r="A52" s="9"/>
      <c r="B52" s="685"/>
      <c r="C52" s="419"/>
      <c r="D52" s="419"/>
      <c r="E52" s="419"/>
      <c r="F52" s="419"/>
      <c r="G52" s="419"/>
      <c r="H52" s="419"/>
      <c r="I52" s="419"/>
      <c r="J52" s="419"/>
      <c r="K52" s="419"/>
      <c r="L52" s="419"/>
    </row>
    <row r="53">
      <c r="A53" s="264" t="s">
        <v>240</v>
      </c>
      <c r="B53" s="595"/>
      <c r="C53" s="596"/>
      <c r="D53" s="596"/>
      <c r="E53" s="596"/>
      <c r="F53" s="596"/>
      <c r="G53" s="596"/>
      <c r="H53" s="596"/>
      <c r="I53" s="596"/>
      <c r="J53" s="596"/>
      <c r="K53" s="596"/>
      <c r="L53" s="596"/>
    </row>
    <row r="54" outlineLevel="1">
      <c r="A54" s="415"/>
      <c r="B54" s="597"/>
      <c r="C54" s="415"/>
      <c r="E54" s="415"/>
      <c r="F54" s="415"/>
      <c r="G54" s="415"/>
      <c r="I54" s="415"/>
      <c r="J54" s="415"/>
      <c r="K54" s="415"/>
      <c r="L54" s="415"/>
    </row>
    <row r="55" outlineLevel="1">
      <c r="A55" s="598" t="s">
        <v>355</v>
      </c>
      <c r="B55" s="816"/>
      <c r="C55" s="816"/>
      <c r="D55" s="817"/>
      <c r="E55" s="618"/>
      <c r="F55" s="618"/>
      <c r="G55" s="618"/>
      <c r="I55" s="618"/>
      <c r="K55" s="618"/>
      <c r="L55" s="618"/>
    </row>
    <row r="56" outlineLevel="1">
      <c r="A56" s="818" t="s">
        <v>554</v>
      </c>
      <c r="B56" s="819">
        <f t="shared" ref="B56:B58" si="31">index(A56:L56,,match($A$3,$A$1:$L$1,0))</f>
        <v>0.8336071774</v>
      </c>
      <c r="C56" s="820">
        <v>0.8336071773623419</v>
      </c>
      <c r="D56" s="820">
        <v>0.7881913335570068</v>
      </c>
      <c r="E56" s="820">
        <v>0.8613683874670848</v>
      </c>
      <c r="F56" s="820">
        <v>0.8613683874670848</v>
      </c>
      <c r="G56" s="820">
        <v>0.8613683874670848</v>
      </c>
      <c r="H56" s="820">
        <v>1.0040358136737584</v>
      </c>
      <c r="I56" s="820">
        <v>0.8613683874670848</v>
      </c>
      <c r="J56" s="820">
        <v>0.7280982865469481</v>
      </c>
      <c r="K56" s="820">
        <v>0.8613683874670848</v>
      </c>
      <c r="L56" s="820">
        <v>0.8613683874670848</v>
      </c>
    </row>
    <row r="57" outlineLevel="1">
      <c r="A57" s="818" t="s">
        <v>515</v>
      </c>
      <c r="B57" s="819">
        <f t="shared" si="31"/>
        <v>0.3969190904</v>
      </c>
      <c r="C57" s="820">
        <v>0.39691909044777923</v>
      </c>
      <c r="D57" s="820">
        <v>0.4656479283476149</v>
      </c>
      <c r="E57" s="820">
        <v>0.36915788034303637</v>
      </c>
      <c r="F57" s="820">
        <v>0.36915788034303637</v>
      </c>
      <c r="G57" s="820">
        <v>0.36915788034303637</v>
      </c>
      <c r="H57" s="820">
        <v>0.4303010630030395</v>
      </c>
      <c r="I57" s="820">
        <v>0.36915788034303637</v>
      </c>
      <c r="J57" s="820">
        <v>0.312042122805835</v>
      </c>
      <c r="K57" s="820">
        <v>0.36915788034303637</v>
      </c>
      <c r="L57" s="820">
        <v>0.36915788034303637</v>
      </c>
    </row>
    <row r="58" outlineLevel="1">
      <c r="A58" s="602" t="s">
        <v>360</v>
      </c>
      <c r="B58" s="821">
        <f t="shared" si="31"/>
        <v>1.230526268</v>
      </c>
      <c r="C58" s="822">
        <f t="shared" ref="C58:L58" si="32">sum(C56:C57)</f>
        <v>1.230526268</v>
      </c>
      <c r="D58" s="822">
        <f t="shared" si="32"/>
        <v>1.253839262</v>
      </c>
      <c r="E58" s="822">
        <f t="shared" si="32"/>
        <v>1.230526268</v>
      </c>
      <c r="F58" s="822">
        <f t="shared" si="32"/>
        <v>1.230526268</v>
      </c>
      <c r="G58" s="822">
        <f t="shared" si="32"/>
        <v>1.230526268</v>
      </c>
      <c r="H58" s="822">
        <f t="shared" si="32"/>
        <v>1.434336877</v>
      </c>
      <c r="I58" s="822">
        <f t="shared" si="32"/>
        <v>1.230526268</v>
      </c>
      <c r="J58" s="822">
        <f t="shared" si="32"/>
        <v>1.040140409</v>
      </c>
      <c r="K58" s="822">
        <f t="shared" si="32"/>
        <v>1.230526268</v>
      </c>
      <c r="L58" s="822">
        <f t="shared" si="32"/>
        <v>1.230526268</v>
      </c>
    </row>
    <row r="59" outlineLevel="1">
      <c r="A59" s="339" t="s">
        <v>252</v>
      </c>
      <c r="B59" s="823"/>
      <c r="C59" s="824">
        <f t="shared" ref="C59:L59" si="33">C58-C12</f>
        <v>0.000000002750392136</v>
      </c>
      <c r="D59" s="824">
        <f t="shared" si="33"/>
        <v>0</v>
      </c>
      <c r="E59" s="824">
        <f t="shared" si="33"/>
        <v>0</v>
      </c>
      <c r="F59" s="824">
        <f t="shared" si="33"/>
        <v>0</v>
      </c>
      <c r="G59" s="824">
        <f t="shared" si="33"/>
        <v>0</v>
      </c>
      <c r="H59" s="824">
        <f t="shared" si="33"/>
        <v>0</v>
      </c>
      <c r="I59" s="824">
        <f t="shared" si="33"/>
        <v>0</v>
      </c>
      <c r="J59" s="824">
        <f t="shared" si="33"/>
        <v>0</v>
      </c>
      <c r="K59" s="824">
        <f t="shared" si="33"/>
        <v>0</v>
      </c>
      <c r="L59" s="824">
        <f t="shared" si="33"/>
        <v>0</v>
      </c>
    </row>
    <row r="60" outlineLevel="1">
      <c r="A60" s="599"/>
      <c r="B60" s="825"/>
      <c r="C60" s="825"/>
      <c r="D60" s="618"/>
      <c r="E60" s="618"/>
      <c r="F60" s="618"/>
      <c r="G60" s="618"/>
      <c r="H60" s="618"/>
      <c r="I60" s="618"/>
      <c r="J60" s="618"/>
      <c r="K60" s="618"/>
      <c r="L60" s="618"/>
    </row>
    <row r="61" outlineLevel="1">
      <c r="A61" s="598" t="s">
        <v>361</v>
      </c>
      <c r="B61" s="825"/>
      <c r="C61" s="825"/>
      <c r="D61" s="618"/>
      <c r="E61" s="618"/>
      <c r="F61" s="618"/>
      <c r="G61" s="618"/>
      <c r="H61" s="618"/>
      <c r="I61" s="618"/>
      <c r="J61" s="618"/>
      <c r="K61" s="618"/>
      <c r="L61" s="618"/>
    </row>
    <row r="62" outlineLevel="1">
      <c r="A62" s="599" t="s">
        <v>554</v>
      </c>
      <c r="B62" s="826">
        <f t="shared" ref="B62:B64" si="35">index(A62:L62,,match($A$3,$A$1:$L$1,0))</f>
        <v>100000</v>
      </c>
      <c r="C62" s="826">
        <f t="shared" ref="C62:L62" si="34">C$11</f>
        <v>100000</v>
      </c>
      <c r="D62" s="826">
        <f t="shared" si="34"/>
        <v>0.01</v>
      </c>
      <c r="E62" s="826">
        <f t="shared" si="34"/>
        <v>54545.45455</v>
      </c>
      <c r="F62" s="826">
        <f t="shared" si="34"/>
        <v>0.01</v>
      </c>
      <c r="G62" s="826">
        <f t="shared" si="34"/>
        <v>0.01</v>
      </c>
      <c r="H62" s="826">
        <f t="shared" si="34"/>
        <v>0.01</v>
      </c>
      <c r="I62" s="826">
        <f t="shared" si="34"/>
        <v>45454.54545</v>
      </c>
      <c r="J62" s="826">
        <f t="shared" si="34"/>
        <v>0.01</v>
      </c>
      <c r="K62" s="826">
        <f t="shared" si="34"/>
        <v>0.01</v>
      </c>
      <c r="L62" s="826">
        <f t="shared" si="34"/>
        <v>0.01</v>
      </c>
    </row>
    <row r="63" outlineLevel="1">
      <c r="A63" s="599" t="s">
        <v>515</v>
      </c>
      <c r="B63" s="826">
        <f t="shared" si="35"/>
        <v>47614.64407</v>
      </c>
      <c r="C63" s="827">
        <f t="shared" ref="C63:L63" si="36">C57/C56*C62</f>
        <v>47614.64407</v>
      </c>
      <c r="D63" s="827">
        <f t="shared" si="36"/>
        <v>0.005907803201</v>
      </c>
      <c r="E63" s="827">
        <f t="shared" si="36"/>
        <v>23376.62338</v>
      </c>
      <c r="F63" s="827">
        <f t="shared" si="36"/>
        <v>0.004285714286</v>
      </c>
      <c r="G63" s="827">
        <f t="shared" si="36"/>
        <v>0.004285714286</v>
      </c>
      <c r="H63" s="827">
        <f t="shared" si="36"/>
        <v>0.004285714286</v>
      </c>
      <c r="I63" s="827">
        <f t="shared" si="36"/>
        <v>19480.51948</v>
      </c>
      <c r="J63" s="827">
        <f t="shared" si="36"/>
        <v>0.004285714286</v>
      </c>
      <c r="K63" s="827">
        <f t="shared" si="36"/>
        <v>0.004285714286</v>
      </c>
      <c r="L63" s="827">
        <f t="shared" si="36"/>
        <v>0.004285714286</v>
      </c>
    </row>
    <row r="64" outlineLevel="1">
      <c r="A64" s="828" t="s">
        <v>362</v>
      </c>
      <c r="B64" s="829">
        <f t="shared" si="35"/>
        <v>147614.6441</v>
      </c>
      <c r="C64" s="830">
        <f t="shared" ref="C64:L64" si="37">sum(C62:C63)</f>
        <v>147614.6441</v>
      </c>
      <c r="D64" s="830">
        <f t="shared" si="37"/>
        <v>0.0159078032</v>
      </c>
      <c r="E64" s="830">
        <f t="shared" si="37"/>
        <v>77922.07792</v>
      </c>
      <c r="F64" s="830">
        <f t="shared" si="37"/>
        <v>0.01428571429</v>
      </c>
      <c r="G64" s="830">
        <f t="shared" si="37"/>
        <v>0.01428571429</v>
      </c>
      <c r="H64" s="830">
        <f t="shared" si="37"/>
        <v>0.01428571429</v>
      </c>
      <c r="I64" s="830">
        <f t="shared" si="37"/>
        <v>64935.06494</v>
      </c>
      <c r="J64" s="830">
        <f t="shared" si="37"/>
        <v>0.01428571429</v>
      </c>
      <c r="K64" s="830">
        <f t="shared" si="37"/>
        <v>0.01428571429</v>
      </c>
      <c r="L64" s="830">
        <f t="shared" si="37"/>
        <v>0.01428571429</v>
      </c>
    </row>
    <row r="65" outlineLevel="1">
      <c r="A65" s="599"/>
      <c r="B65" s="825"/>
      <c r="C65" s="825"/>
      <c r="D65" s="618"/>
      <c r="E65" s="618"/>
      <c r="F65" s="618"/>
      <c r="G65" s="618"/>
      <c r="H65" s="618"/>
      <c r="I65" s="618"/>
      <c r="J65" s="618"/>
      <c r="K65" s="618"/>
      <c r="L65" s="618"/>
    </row>
    <row r="66" outlineLevel="1">
      <c r="A66" s="598" t="s">
        <v>366</v>
      </c>
      <c r="B66" s="816"/>
      <c r="C66" s="816"/>
      <c r="D66" s="615"/>
      <c r="E66" s="615"/>
      <c r="F66" s="615"/>
      <c r="G66" s="615"/>
      <c r="H66" s="615"/>
      <c r="I66" s="615"/>
      <c r="J66" s="615"/>
      <c r="K66" s="615"/>
      <c r="L66" s="615"/>
    </row>
    <row r="67" outlineLevel="1">
      <c r="A67" s="599" t="s">
        <v>515</v>
      </c>
      <c r="B67" s="616">
        <f t="array" ref="B67">index(A67:L67,,match($A$3,$A$1:$L$1,0))</f>
        <v>477.5153033</v>
      </c>
      <c r="C67" s="617">
        <f>100000/'Counterfactual non-philanthropi'!$D$33*'Moral weights'!$B$6</f>
        <v>477.5153033</v>
      </c>
      <c r="D67" s="617">
        <f>100000/'Counterfactual non-philanthropi'!$D$32*'Moral weights'!$B$6</f>
        <v>357.7681507</v>
      </c>
      <c r="E67" s="617">
        <f>100000/'Counterfactual non-philanthropi'!$D$32*'Moral weights'!$B$6</f>
        <v>357.7681507</v>
      </c>
      <c r="F67" s="617">
        <f>100000/'Counterfactual non-philanthropi'!$D$32*'Moral weights'!$B$6</f>
        <v>357.7681507</v>
      </c>
      <c r="G67" s="617">
        <f>100000/'Counterfactual non-philanthropi'!$D$32*'Moral weights'!$B$6</f>
        <v>357.7681507</v>
      </c>
      <c r="H67" s="617">
        <f>100000/'Counterfactual non-philanthropi'!$D$32*'Moral weights'!$B$6</f>
        <v>357.7681507</v>
      </c>
      <c r="I67" s="617">
        <f>100000/'Counterfactual non-philanthropi'!$D$32*'Moral weights'!$B$6</f>
        <v>357.7681507</v>
      </c>
      <c r="J67" s="617">
        <f>100000/'Counterfactual non-philanthropi'!$D$32*'Moral weights'!$B$6</f>
        <v>357.7681507</v>
      </c>
      <c r="K67" s="617">
        <f>100000/'Counterfactual non-philanthropi'!$D$32*'Moral weights'!$B$6</f>
        <v>357.7681507</v>
      </c>
      <c r="L67" s="617">
        <f>100000/'Counterfactual non-philanthropi'!$D$32*'Moral weights'!$B$6</f>
        <v>357.7681507</v>
      </c>
    </row>
    <row r="68" outlineLevel="1">
      <c r="A68" s="599"/>
      <c r="B68" s="825"/>
      <c r="C68" s="825"/>
      <c r="D68" s="618"/>
      <c r="E68" s="618"/>
      <c r="F68" s="618"/>
      <c r="G68" s="618"/>
      <c r="H68" s="618"/>
      <c r="I68" s="618"/>
      <c r="J68" s="618"/>
      <c r="K68" s="618"/>
      <c r="L68" s="618"/>
    </row>
    <row r="69" outlineLevel="1">
      <c r="A69" s="598" t="s">
        <v>367</v>
      </c>
      <c r="B69" s="825"/>
      <c r="C69" s="825"/>
      <c r="D69" s="618"/>
      <c r="E69" s="618"/>
      <c r="F69" s="618"/>
      <c r="G69" s="618"/>
      <c r="H69" s="618"/>
      <c r="I69" s="618"/>
      <c r="J69" s="618"/>
      <c r="K69" s="618"/>
      <c r="L69" s="618"/>
    </row>
    <row r="70" outlineLevel="1">
      <c r="A70" s="599" t="s">
        <v>368</v>
      </c>
      <c r="B70" s="831">
        <f t="shared" ref="B70:B72" si="38">index(A70:L70,,match($A$3,$A$1:$L$1,0))</f>
        <v>0.15</v>
      </c>
      <c r="C70" s="832">
        <v>0.15</v>
      </c>
      <c r="D70" s="832">
        <v>0.15</v>
      </c>
      <c r="E70" s="832">
        <v>0.15</v>
      </c>
      <c r="F70" s="832">
        <v>0.15</v>
      </c>
      <c r="G70" s="832">
        <v>0.15</v>
      </c>
      <c r="H70" s="832">
        <v>0.15</v>
      </c>
      <c r="I70" s="832">
        <v>0.15</v>
      </c>
      <c r="J70" s="832">
        <v>0.15</v>
      </c>
      <c r="K70" s="832">
        <v>0.15</v>
      </c>
      <c r="L70" s="832">
        <v>0.15</v>
      </c>
    </row>
    <row r="71" outlineLevel="1">
      <c r="A71" s="599" t="s">
        <v>518</v>
      </c>
      <c r="B71" s="831">
        <f t="shared" si="38"/>
        <v>0</v>
      </c>
      <c r="C71" s="832">
        <v>0.0</v>
      </c>
      <c r="D71" s="832">
        <v>0.0</v>
      </c>
      <c r="E71" s="832">
        <v>0.0</v>
      </c>
      <c r="F71" s="832">
        <v>0.0</v>
      </c>
      <c r="G71" s="832">
        <v>0.0</v>
      </c>
      <c r="H71" s="832">
        <v>0.0</v>
      </c>
      <c r="I71" s="832">
        <v>0.0</v>
      </c>
      <c r="J71" s="832">
        <v>0.0</v>
      </c>
      <c r="K71" s="832">
        <v>0.0</v>
      </c>
      <c r="L71" s="832">
        <v>0.0</v>
      </c>
    </row>
    <row r="72" outlineLevel="1">
      <c r="A72" s="599" t="s">
        <v>519</v>
      </c>
      <c r="B72" s="831">
        <f t="shared" si="38"/>
        <v>0.85</v>
      </c>
      <c r="C72" s="832">
        <v>0.85</v>
      </c>
      <c r="D72" s="832">
        <v>0.85</v>
      </c>
      <c r="E72" s="832">
        <v>0.85</v>
      </c>
      <c r="F72" s="832">
        <v>0.85</v>
      </c>
      <c r="G72" s="832">
        <v>0.85</v>
      </c>
      <c r="H72" s="832">
        <v>0.85</v>
      </c>
      <c r="I72" s="832">
        <v>0.85</v>
      </c>
      <c r="J72" s="832">
        <v>0.85</v>
      </c>
      <c r="K72" s="832">
        <v>0.85</v>
      </c>
      <c r="L72" s="832">
        <v>0.85</v>
      </c>
    </row>
    <row r="73" outlineLevel="1">
      <c r="A73" s="599"/>
      <c r="B73" s="825"/>
      <c r="C73" s="825"/>
      <c r="D73" s="618"/>
      <c r="E73" s="618"/>
      <c r="F73" s="618"/>
      <c r="G73" s="618"/>
      <c r="H73" s="618"/>
      <c r="I73" s="618"/>
      <c r="J73" s="618"/>
      <c r="K73" s="618"/>
      <c r="L73" s="618"/>
    </row>
    <row r="74" outlineLevel="1">
      <c r="A74" s="598" t="s">
        <v>372</v>
      </c>
      <c r="B74" s="825"/>
      <c r="C74" s="825"/>
      <c r="D74" s="618"/>
      <c r="E74" s="618"/>
      <c r="F74" s="618"/>
      <c r="G74" s="618"/>
      <c r="H74" s="618"/>
      <c r="I74" s="618"/>
      <c r="J74" s="618"/>
      <c r="K74" s="618"/>
      <c r="L74" s="618"/>
    </row>
    <row r="75" outlineLevel="1">
      <c r="A75" s="599" t="s">
        <v>368</v>
      </c>
      <c r="B75" s="833">
        <f t="shared" ref="B75:B77" si="40">index(A75:L75,,match($A$3,$A$1:$L$1,0))</f>
        <v>-100000.07</v>
      </c>
      <c r="C75" s="834">
        <f t="shared" ref="C75:C77" si="41">sum(D75:L75)</f>
        <v>-100000.07</v>
      </c>
      <c r="D75" s="833">
        <f t="shared" ref="D75:L75" si="39">-D62</f>
        <v>-0.01</v>
      </c>
      <c r="E75" s="833">
        <f t="shared" si="39"/>
        <v>-54545.45455</v>
      </c>
      <c r="F75" s="833">
        <f t="shared" si="39"/>
        <v>-0.01</v>
      </c>
      <c r="G75" s="833">
        <f t="shared" si="39"/>
        <v>-0.01</v>
      </c>
      <c r="H75" s="833">
        <f t="shared" si="39"/>
        <v>-0.01</v>
      </c>
      <c r="I75" s="833">
        <f t="shared" si="39"/>
        <v>-45454.54545</v>
      </c>
      <c r="J75" s="833">
        <f t="shared" si="39"/>
        <v>-0.01</v>
      </c>
      <c r="K75" s="833">
        <f t="shared" si="39"/>
        <v>-0.01</v>
      </c>
      <c r="L75" s="833">
        <f t="shared" si="39"/>
        <v>-0.01</v>
      </c>
    </row>
    <row r="76" outlineLevel="1">
      <c r="A76" s="599" t="s">
        <v>518</v>
      </c>
      <c r="B76" s="833">
        <f t="shared" si="40"/>
        <v>0</v>
      </c>
      <c r="C76" s="834">
        <f t="shared" si="41"/>
        <v>0</v>
      </c>
      <c r="D76" s="835">
        <v>0.0</v>
      </c>
      <c r="E76" s="835">
        <v>0.0</v>
      </c>
      <c r="F76" s="835">
        <v>0.0</v>
      </c>
      <c r="G76" s="835">
        <v>0.0</v>
      </c>
      <c r="H76" s="835">
        <v>0.0</v>
      </c>
      <c r="I76" s="835">
        <v>0.0</v>
      </c>
      <c r="J76" s="835">
        <v>0.0</v>
      </c>
      <c r="K76" s="835">
        <v>0.0</v>
      </c>
      <c r="L76" s="835">
        <v>0.0</v>
      </c>
    </row>
    <row r="77" outlineLevel="1">
      <c r="A77" s="599" t="s">
        <v>519</v>
      </c>
      <c r="B77" s="833">
        <f t="shared" si="40"/>
        <v>42857.17448</v>
      </c>
      <c r="C77" s="834">
        <f t="shared" si="41"/>
        <v>42857.17448</v>
      </c>
      <c r="D77" s="833">
        <f t="shared" ref="D77:L77" si="42">D63</f>
        <v>0.005907803201</v>
      </c>
      <c r="E77" s="833">
        <f t="shared" si="42"/>
        <v>23376.62338</v>
      </c>
      <c r="F77" s="833">
        <f t="shared" si="42"/>
        <v>0.004285714286</v>
      </c>
      <c r="G77" s="833">
        <f t="shared" si="42"/>
        <v>0.004285714286</v>
      </c>
      <c r="H77" s="833">
        <f t="shared" si="42"/>
        <v>0.004285714286</v>
      </c>
      <c r="I77" s="833">
        <f t="shared" si="42"/>
        <v>19480.51948</v>
      </c>
      <c r="J77" s="833">
        <f t="shared" si="42"/>
        <v>0.004285714286</v>
      </c>
      <c r="K77" s="833">
        <f t="shared" si="42"/>
        <v>0.004285714286</v>
      </c>
      <c r="L77" s="833">
        <f t="shared" si="42"/>
        <v>0.004285714286</v>
      </c>
    </row>
    <row r="78" outlineLevel="1">
      <c r="A78" s="836"/>
      <c r="B78" s="825"/>
      <c r="C78" s="837"/>
      <c r="D78" s="445"/>
      <c r="E78" s="445"/>
      <c r="F78" s="445"/>
      <c r="G78" s="445"/>
      <c r="H78" s="445"/>
      <c r="I78" s="445"/>
      <c r="J78" s="445"/>
      <c r="K78" s="445"/>
      <c r="L78" s="445"/>
    </row>
    <row r="79" outlineLevel="1">
      <c r="A79" s="838" t="s">
        <v>376</v>
      </c>
      <c r="B79" s="825"/>
      <c r="C79" s="837"/>
      <c r="D79" s="445"/>
      <c r="E79" s="445"/>
      <c r="F79" s="445"/>
      <c r="G79" s="445"/>
      <c r="H79" s="445"/>
      <c r="I79" s="445"/>
      <c r="J79" s="445"/>
      <c r="K79" s="445"/>
      <c r="L79" s="445"/>
    </row>
    <row r="80" outlineLevel="1">
      <c r="A80" s="599" t="s">
        <v>368</v>
      </c>
      <c r="B80" s="833">
        <f t="shared" ref="B80:B82" si="44">index(A80:L80,,match($A$3,$A$1:$L$1,0))</f>
        <v>-3639.229616</v>
      </c>
      <c r="C80" s="834">
        <f t="shared" ref="C80:C82" si="45">sum(D80:L80)</f>
        <v>-3639.229616</v>
      </c>
      <c r="D80" s="839">
        <f t="shared" ref="D80:L80" si="43">D75/D$11*D48</f>
        <v>-0.0006982491493</v>
      </c>
      <c r="E80" s="839">
        <f t="shared" si="43"/>
        <v>-2217.376978</v>
      </c>
      <c r="F80" s="839">
        <f t="shared" si="43"/>
        <v>-0.0005017357685</v>
      </c>
      <c r="G80" s="839">
        <f t="shared" si="43"/>
        <v>-0.0006521885127</v>
      </c>
      <c r="H80" s="839">
        <f t="shared" si="43"/>
        <v>-0.0004656614438</v>
      </c>
      <c r="I80" s="839">
        <f t="shared" si="43"/>
        <v>-1421.847881</v>
      </c>
      <c r="J80" s="839">
        <f t="shared" si="43"/>
        <v>-0.0009207167057</v>
      </c>
      <c r="K80" s="839">
        <f t="shared" si="43"/>
        <v>-0.0009233387934</v>
      </c>
      <c r="L80" s="839">
        <f t="shared" si="43"/>
        <v>-0.0005949398558</v>
      </c>
    </row>
    <row r="81" outlineLevel="1">
      <c r="A81" s="599" t="s">
        <v>518</v>
      </c>
      <c r="B81" s="833">
        <f t="shared" si="44"/>
        <v>0</v>
      </c>
      <c r="C81" s="834">
        <f t="shared" si="45"/>
        <v>0</v>
      </c>
      <c r="D81" s="839">
        <f t="shared" ref="D81:L81" si="46">D76/D$11*D48</f>
        <v>0</v>
      </c>
      <c r="E81" s="839">
        <f t="shared" si="46"/>
        <v>0</v>
      </c>
      <c r="F81" s="839">
        <f t="shared" si="46"/>
        <v>0</v>
      </c>
      <c r="G81" s="839">
        <f t="shared" si="46"/>
        <v>0</v>
      </c>
      <c r="H81" s="839">
        <f t="shared" si="46"/>
        <v>0</v>
      </c>
      <c r="I81" s="839">
        <f t="shared" si="46"/>
        <v>0</v>
      </c>
      <c r="J81" s="839">
        <f t="shared" si="46"/>
        <v>0</v>
      </c>
      <c r="K81" s="839">
        <f t="shared" si="46"/>
        <v>0</v>
      </c>
      <c r="L81" s="839">
        <f t="shared" si="46"/>
        <v>0</v>
      </c>
    </row>
    <row r="82" outlineLevel="1">
      <c r="A82" s="599" t="s">
        <v>519</v>
      </c>
      <c r="B82" s="833">
        <f t="shared" si="44"/>
        <v>1559.669949</v>
      </c>
      <c r="C82" s="834">
        <f t="shared" si="45"/>
        <v>1559.669949</v>
      </c>
      <c r="D82" s="839">
        <f t="shared" ref="D82:L82" si="47">D77/D$11*D48</f>
        <v>0.000412511856</v>
      </c>
      <c r="E82" s="839">
        <f t="shared" si="47"/>
        <v>950.3044193</v>
      </c>
      <c r="F82" s="839">
        <f t="shared" si="47"/>
        <v>0.0002150296151</v>
      </c>
      <c r="G82" s="839">
        <f t="shared" si="47"/>
        <v>0.0002795093626</v>
      </c>
      <c r="H82" s="839">
        <f t="shared" si="47"/>
        <v>0.0001995691902</v>
      </c>
      <c r="I82" s="839">
        <f t="shared" si="47"/>
        <v>609.3633777</v>
      </c>
      <c r="J82" s="839">
        <f t="shared" si="47"/>
        <v>0.0003945928739</v>
      </c>
      <c r="K82" s="839">
        <f t="shared" si="47"/>
        <v>0.0003957166257</v>
      </c>
      <c r="L82" s="839">
        <f t="shared" si="47"/>
        <v>0.0002549742239</v>
      </c>
    </row>
    <row r="83" outlineLevel="1">
      <c r="A83" s="836"/>
      <c r="B83" s="825"/>
      <c r="C83" s="837"/>
      <c r="D83" s="445"/>
      <c r="E83" s="445"/>
      <c r="F83" s="445"/>
      <c r="G83" s="445"/>
      <c r="H83" s="445"/>
      <c r="I83" s="445"/>
      <c r="J83" s="445"/>
      <c r="K83" s="445"/>
      <c r="L83" s="445"/>
    </row>
    <row r="84" outlineLevel="1">
      <c r="A84" s="838" t="s">
        <v>377</v>
      </c>
      <c r="B84" s="825"/>
      <c r="C84" s="837"/>
      <c r="D84" s="445"/>
      <c r="E84" s="445"/>
      <c r="F84" s="445"/>
      <c r="G84" s="445"/>
      <c r="H84" s="445"/>
      <c r="I84" s="445"/>
      <c r="J84" s="445"/>
      <c r="K84" s="445"/>
      <c r="L84" s="445"/>
    </row>
    <row r="85" outlineLevel="1">
      <c r="A85" s="599" t="s">
        <v>368</v>
      </c>
      <c r="B85" s="833">
        <f t="shared" ref="B85:B87" si="49">index(A85:L85,,match($A$3,$A$1:$L$1,0))</f>
        <v>357.7684011</v>
      </c>
      <c r="C85" s="834">
        <f t="shared" ref="C85:C87" si="50">sum(D85:L85)</f>
        <v>357.7684011</v>
      </c>
      <c r="D85" s="839">
        <f t="shared" ref="D85:L85" si="48">-D75*D67/100000</f>
        <v>0.00003577681507</v>
      </c>
      <c r="E85" s="839">
        <f t="shared" si="48"/>
        <v>195.146264</v>
      </c>
      <c r="F85" s="839">
        <f t="shared" si="48"/>
        <v>0.00003577681507</v>
      </c>
      <c r="G85" s="839">
        <f t="shared" si="48"/>
        <v>0.00003577681507</v>
      </c>
      <c r="H85" s="839">
        <f t="shared" si="48"/>
        <v>0.00003577681507</v>
      </c>
      <c r="I85" s="839">
        <f t="shared" si="48"/>
        <v>162.6218867</v>
      </c>
      <c r="J85" s="839">
        <f t="shared" si="48"/>
        <v>0.00003577681507</v>
      </c>
      <c r="K85" s="839">
        <f t="shared" si="48"/>
        <v>0.00003577681507</v>
      </c>
      <c r="L85" s="839">
        <f t="shared" si="48"/>
        <v>0.00003577681507</v>
      </c>
    </row>
    <row r="86" outlineLevel="1">
      <c r="A86" s="599" t="s">
        <v>518</v>
      </c>
      <c r="B86" s="833">
        <f t="shared" si="49"/>
        <v>0</v>
      </c>
      <c r="C86" s="834">
        <f t="shared" si="50"/>
        <v>0</v>
      </c>
      <c r="D86" s="839">
        <f t="shared" ref="D86:L86" si="51">-D76*D67/100000</f>
        <v>0</v>
      </c>
      <c r="E86" s="839">
        <f t="shared" si="51"/>
        <v>0</v>
      </c>
      <c r="F86" s="839">
        <f t="shared" si="51"/>
        <v>0</v>
      </c>
      <c r="G86" s="839">
        <f t="shared" si="51"/>
        <v>0</v>
      </c>
      <c r="H86" s="839">
        <f t="shared" si="51"/>
        <v>0</v>
      </c>
      <c r="I86" s="839">
        <f t="shared" si="51"/>
        <v>0</v>
      </c>
      <c r="J86" s="839">
        <f t="shared" si="51"/>
        <v>0</v>
      </c>
      <c r="K86" s="839">
        <f t="shared" si="51"/>
        <v>0</v>
      </c>
      <c r="L86" s="839">
        <f t="shared" si="51"/>
        <v>0</v>
      </c>
    </row>
    <row r="87" outlineLevel="1">
      <c r="A87" s="599" t="s">
        <v>519</v>
      </c>
      <c r="B87" s="833">
        <f t="shared" si="49"/>
        <v>-153.3293206</v>
      </c>
      <c r="C87" s="834">
        <f t="shared" si="50"/>
        <v>-153.3293206</v>
      </c>
      <c r="D87" s="839">
        <f t="shared" ref="D87:L87" si="52">-D77*D67/100000</f>
        <v>-0.00002113623826</v>
      </c>
      <c r="E87" s="839">
        <f t="shared" si="52"/>
        <v>-83.63411315</v>
      </c>
      <c r="F87" s="839">
        <f t="shared" si="52"/>
        <v>-0.00001533292074</v>
      </c>
      <c r="G87" s="839">
        <f t="shared" si="52"/>
        <v>-0.00001533292074</v>
      </c>
      <c r="H87" s="839">
        <f t="shared" si="52"/>
        <v>-0.00001533292074</v>
      </c>
      <c r="I87" s="839">
        <f t="shared" si="52"/>
        <v>-69.69509429</v>
      </c>
      <c r="J87" s="839">
        <f t="shared" si="52"/>
        <v>-0.00001533292074</v>
      </c>
      <c r="K87" s="839">
        <f t="shared" si="52"/>
        <v>-0.00001533292074</v>
      </c>
      <c r="L87" s="839">
        <f t="shared" si="52"/>
        <v>-0.00001533292074</v>
      </c>
    </row>
    <row r="88" outlineLevel="1">
      <c r="A88" s="836"/>
      <c r="B88" s="825"/>
      <c r="C88" s="837"/>
      <c r="D88" s="445"/>
      <c r="E88" s="445"/>
      <c r="F88" s="445"/>
      <c r="G88" s="445"/>
      <c r="H88" s="445"/>
      <c r="I88" s="445"/>
      <c r="J88" s="445"/>
      <c r="K88" s="445"/>
      <c r="L88" s="445"/>
    </row>
    <row r="89" outlineLevel="1">
      <c r="A89" s="838" t="s">
        <v>378</v>
      </c>
      <c r="B89" s="825"/>
      <c r="C89" s="837"/>
      <c r="D89" s="445"/>
      <c r="E89" s="445"/>
      <c r="F89" s="445"/>
      <c r="G89" s="445"/>
      <c r="H89" s="445"/>
      <c r="I89" s="445"/>
      <c r="J89" s="445"/>
      <c r="K89" s="445"/>
      <c r="L89" s="445"/>
    </row>
    <row r="90" outlineLevel="1">
      <c r="A90" s="599" t="s">
        <v>368</v>
      </c>
      <c r="B90" s="833">
        <f t="shared" ref="B90:B92" si="54">index(A90:L90,,match($A$3,$A$1:$L$1,0))</f>
        <v>-3281.461215</v>
      </c>
      <c r="C90" s="834">
        <f t="shared" ref="C90:C92" si="55">sum(D90:L90)</f>
        <v>-3281.461215</v>
      </c>
      <c r="D90" s="839">
        <f t="shared" ref="D90:L90" si="53">D80+D85</f>
        <v>-0.0006624723343</v>
      </c>
      <c r="E90" s="839">
        <f t="shared" si="53"/>
        <v>-2022.230714</v>
      </c>
      <c r="F90" s="839">
        <f t="shared" si="53"/>
        <v>-0.0004659589535</v>
      </c>
      <c r="G90" s="839">
        <f t="shared" si="53"/>
        <v>-0.0006164116977</v>
      </c>
      <c r="H90" s="839">
        <f t="shared" si="53"/>
        <v>-0.0004298846287</v>
      </c>
      <c r="I90" s="839">
        <f t="shared" si="53"/>
        <v>-1259.225995</v>
      </c>
      <c r="J90" s="839">
        <f t="shared" si="53"/>
        <v>-0.0008849398906</v>
      </c>
      <c r="K90" s="839">
        <f t="shared" si="53"/>
        <v>-0.0008875619783</v>
      </c>
      <c r="L90" s="839">
        <f t="shared" si="53"/>
        <v>-0.0005591630407</v>
      </c>
    </row>
    <row r="91" outlineLevel="1">
      <c r="A91" s="599" t="s">
        <v>518</v>
      </c>
      <c r="B91" s="833">
        <f t="shared" si="54"/>
        <v>0</v>
      </c>
      <c r="C91" s="834">
        <f t="shared" si="55"/>
        <v>0</v>
      </c>
      <c r="D91" s="839">
        <f t="shared" ref="D91:L91" si="56">D81+D86</f>
        <v>0</v>
      </c>
      <c r="E91" s="839">
        <f t="shared" si="56"/>
        <v>0</v>
      </c>
      <c r="F91" s="839">
        <f t="shared" si="56"/>
        <v>0</v>
      </c>
      <c r="G91" s="839">
        <f t="shared" si="56"/>
        <v>0</v>
      </c>
      <c r="H91" s="839">
        <f t="shared" si="56"/>
        <v>0</v>
      </c>
      <c r="I91" s="839">
        <f t="shared" si="56"/>
        <v>0</v>
      </c>
      <c r="J91" s="839">
        <f t="shared" si="56"/>
        <v>0</v>
      </c>
      <c r="K91" s="839">
        <f t="shared" si="56"/>
        <v>0</v>
      </c>
      <c r="L91" s="839">
        <f t="shared" si="56"/>
        <v>0</v>
      </c>
    </row>
    <row r="92" outlineLevel="1">
      <c r="A92" s="599" t="s">
        <v>519</v>
      </c>
      <c r="B92" s="833">
        <f t="shared" si="54"/>
        <v>1406.340628</v>
      </c>
      <c r="C92" s="834">
        <f t="shared" si="55"/>
        <v>1406.340628</v>
      </c>
      <c r="D92" s="839">
        <f t="shared" ref="D92:L92" si="57">D82+D87</f>
        <v>0.0003913756177</v>
      </c>
      <c r="E92" s="839">
        <f t="shared" si="57"/>
        <v>866.6703061</v>
      </c>
      <c r="F92" s="839">
        <f t="shared" si="57"/>
        <v>0.0001996966943</v>
      </c>
      <c r="G92" s="839">
        <f t="shared" si="57"/>
        <v>0.0002641764419</v>
      </c>
      <c r="H92" s="839">
        <f t="shared" si="57"/>
        <v>0.0001842362694</v>
      </c>
      <c r="I92" s="839">
        <f t="shared" si="57"/>
        <v>539.6682834</v>
      </c>
      <c r="J92" s="839">
        <f t="shared" si="57"/>
        <v>0.0003792599531</v>
      </c>
      <c r="K92" s="839">
        <f t="shared" si="57"/>
        <v>0.000380383705</v>
      </c>
      <c r="L92" s="839">
        <f t="shared" si="57"/>
        <v>0.0002396413032</v>
      </c>
    </row>
    <row r="93" outlineLevel="1">
      <c r="A93" s="836"/>
      <c r="B93" s="825"/>
      <c r="C93" s="837"/>
    </row>
    <row r="94" outlineLevel="1">
      <c r="A94" s="838" t="s">
        <v>379</v>
      </c>
      <c r="B94" s="825"/>
      <c r="C94" s="837"/>
      <c r="D94" s="837"/>
      <c r="E94" s="837"/>
      <c r="F94" s="837"/>
      <c r="G94" s="837"/>
      <c r="H94" s="837"/>
      <c r="I94" s="837"/>
      <c r="J94" s="837"/>
      <c r="K94" s="837"/>
      <c r="L94" s="837"/>
    </row>
    <row r="95" outlineLevel="1">
      <c r="A95" s="599" t="s">
        <v>368</v>
      </c>
      <c r="B95" s="833">
        <f t="shared" ref="B95:B98" si="59">index(A95:L95,,match($A$3,$A$1:$L$1,0))</f>
        <v>357.7684011</v>
      </c>
      <c r="C95" s="834">
        <f t="shared" ref="C95:C97" si="60">sum(D95:L95)</f>
        <v>357.7684011</v>
      </c>
      <c r="D95" s="839">
        <f t="shared" ref="D95:L95" si="58">D48+D90</f>
        <v>0.00003577681507</v>
      </c>
      <c r="E95" s="839">
        <f t="shared" si="58"/>
        <v>195.146264</v>
      </c>
      <c r="F95" s="839">
        <f t="shared" si="58"/>
        <v>0.00003577681507</v>
      </c>
      <c r="G95" s="839">
        <f t="shared" si="58"/>
        <v>0.00003577681507</v>
      </c>
      <c r="H95" s="839">
        <f t="shared" si="58"/>
        <v>0.00003577681507</v>
      </c>
      <c r="I95" s="839">
        <f t="shared" si="58"/>
        <v>162.6218867</v>
      </c>
      <c r="J95" s="839">
        <f t="shared" si="58"/>
        <v>0.00003577681507</v>
      </c>
      <c r="K95" s="839">
        <f t="shared" si="58"/>
        <v>0.00003577681507</v>
      </c>
      <c r="L95" s="839">
        <f t="shared" si="58"/>
        <v>0.00003577681507</v>
      </c>
    </row>
    <row r="96" outlineLevel="1">
      <c r="A96" s="599" t="s">
        <v>518</v>
      </c>
      <c r="B96" s="833">
        <f t="shared" si="59"/>
        <v>3639.229616</v>
      </c>
      <c r="C96" s="834">
        <f t="shared" si="60"/>
        <v>3639.229616</v>
      </c>
      <c r="D96" s="839">
        <f t="shared" ref="D96:L96" si="61">D48+D91</f>
        <v>0.0006982491493</v>
      </c>
      <c r="E96" s="839">
        <f t="shared" si="61"/>
        <v>2217.376978</v>
      </c>
      <c r="F96" s="839">
        <f t="shared" si="61"/>
        <v>0.0005017357685</v>
      </c>
      <c r="G96" s="839">
        <f t="shared" si="61"/>
        <v>0.0006521885127</v>
      </c>
      <c r="H96" s="839">
        <f t="shared" si="61"/>
        <v>0.0004656614438</v>
      </c>
      <c r="I96" s="839">
        <f t="shared" si="61"/>
        <v>1421.847881</v>
      </c>
      <c r="J96" s="839">
        <f t="shared" si="61"/>
        <v>0.0009207167057</v>
      </c>
      <c r="K96" s="839">
        <f t="shared" si="61"/>
        <v>0.0009233387934</v>
      </c>
      <c r="L96" s="839">
        <f t="shared" si="61"/>
        <v>0.0005949398558</v>
      </c>
    </row>
    <row r="97" outlineLevel="1">
      <c r="A97" s="599" t="s">
        <v>519</v>
      </c>
      <c r="B97" s="833">
        <f t="shared" si="59"/>
        <v>5045.570245</v>
      </c>
      <c r="C97" s="834">
        <f t="shared" si="60"/>
        <v>5045.570245</v>
      </c>
      <c r="D97" s="839">
        <f t="shared" ref="D97:L97" si="62">D48+D92</f>
        <v>0.001089624767</v>
      </c>
      <c r="E97" s="839">
        <f t="shared" si="62"/>
        <v>3084.047284</v>
      </c>
      <c r="F97" s="839">
        <f t="shared" si="62"/>
        <v>0.0007014324629</v>
      </c>
      <c r="G97" s="839">
        <f t="shared" si="62"/>
        <v>0.0009163649546</v>
      </c>
      <c r="H97" s="839">
        <f t="shared" si="62"/>
        <v>0.0006498977132</v>
      </c>
      <c r="I97" s="839">
        <f t="shared" si="62"/>
        <v>1961.516165</v>
      </c>
      <c r="J97" s="839">
        <f t="shared" si="62"/>
        <v>0.001299976659</v>
      </c>
      <c r="K97" s="839">
        <f t="shared" si="62"/>
        <v>0.001303722498</v>
      </c>
      <c r="L97" s="839">
        <f t="shared" si="62"/>
        <v>0.0008345811589</v>
      </c>
    </row>
    <row r="98" outlineLevel="1">
      <c r="A98" s="828" t="s">
        <v>96</v>
      </c>
      <c r="B98" s="840">
        <f t="shared" si="59"/>
        <v>4342.399968</v>
      </c>
      <c r="C98" s="841">
        <f t="shared" ref="C98:L98" si="63">SUMPRODUCT(C95:C97,C70:C72)</f>
        <v>4342.399968</v>
      </c>
      <c r="D98" s="841">
        <f t="shared" si="63"/>
        <v>0.0009315475742</v>
      </c>
      <c r="E98" s="841">
        <f t="shared" si="63"/>
        <v>2650.712131</v>
      </c>
      <c r="F98" s="841">
        <f t="shared" si="63"/>
        <v>0.0006015841157</v>
      </c>
      <c r="G98" s="841">
        <f t="shared" si="63"/>
        <v>0.0007842767337</v>
      </c>
      <c r="H98" s="841">
        <f t="shared" si="63"/>
        <v>0.0005577795785</v>
      </c>
      <c r="I98" s="841">
        <f t="shared" si="63"/>
        <v>1691.682023</v>
      </c>
      <c r="J98" s="841">
        <f t="shared" si="63"/>
        <v>0.001110346682</v>
      </c>
      <c r="K98" s="841">
        <f t="shared" si="63"/>
        <v>0.001113530646</v>
      </c>
      <c r="L98" s="841">
        <f t="shared" si="63"/>
        <v>0.0007147605073</v>
      </c>
    </row>
    <row r="99" outlineLevel="1">
      <c r="A99" s="599"/>
      <c r="B99" s="640"/>
      <c r="C99" s="329"/>
      <c r="D99" s="329"/>
      <c r="E99" s="329"/>
      <c r="F99" s="329"/>
      <c r="G99" s="329"/>
      <c r="H99" s="329"/>
      <c r="I99" s="329"/>
      <c r="J99" s="329"/>
      <c r="K99" s="329"/>
      <c r="L99" s="329"/>
    </row>
    <row r="100">
      <c r="A100" s="599" t="s">
        <v>555</v>
      </c>
      <c r="B100" s="640">
        <f t="array" ref="B100">index(A100:L100,,match($A$3,$A$1:$L$1,0))</f>
        <v>0.1932195618</v>
      </c>
      <c r="C100" s="329">
        <f t="shared" ref="C100:L100" si="64">C98/C48-1</f>
        <v>0.1932195618</v>
      </c>
      <c r="D100" s="329">
        <f t="shared" si="64"/>
        <v>0.3341191681</v>
      </c>
      <c r="E100" s="329">
        <f t="shared" si="64"/>
        <v>0.1954269199</v>
      </c>
      <c r="F100" s="329">
        <f t="shared" si="64"/>
        <v>0.1990058382</v>
      </c>
      <c r="G100" s="329">
        <f t="shared" si="64"/>
        <v>0.2025307382</v>
      </c>
      <c r="H100" s="329">
        <f t="shared" si="64"/>
        <v>0.1978221215</v>
      </c>
      <c r="I100" s="329">
        <f t="shared" si="64"/>
        <v>0.1897770818</v>
      </c>
      <c r="J100" s="329">
        <f t="shared" si="64"/>
        <v>0.2059590919</v>
      </c>
      <c r="K100" s="329">
        <f t="shared" si="64"/>
        <v>0.2059827377</v>
      </c>
      <c r="L100" s="329">
        <f t="shared" si="64"/>
        <v>0.2013996044</v>
      </c>
    </row>
    <row r="101">
      <c r="A101" s="599"/>
      <c r="B101" s="640"/>
      <c r="C101" s="329"/>
      <c r="D101" s="329"/>
      <c r="E101" s="329"/>
      <c r="F101" s="329"/>
      <c r="G101" s="329"/>
      <c r="H101" s="329"/>
      <c r="I101" s="329"/>
      <c r="J101" s="329"/>
      <c r="K101" s="329"/>
      <c r="L101" s="329"/>
    </row>
    <row r="102">
      <c r="A102" s="654" t="s">
        <v>381</v>
      </c>
      <c r="B102" s="842"/>
      <c r="C102" s="654"/>
      <c r="D102" s="654"/>
      <c r="E102" s="654"/>
      <c r="F102" s="654"/>
      <c r="G102" s="654"/>
      <c r="H102" s="654"/>
      <c r="I102" s="654"/>
      <c r="J102" s="654"/>
      <c r="K102" s="654"/>
      <c r="L102" s="654"/>
    </row>
    <row r="103">
      <c r="A103" s="327"/>
      <c r="B103" s="640"/>
      <c r="C103" s="329"/>
      <c r="D103" s="329"/>
      <c r="E103" s="329"/>
      <c r="F103" s="329"/>
      <c r="G103" s="329"/>
      <c r="H103" s="329"/>
      <c r="I103" s="329"/>
      <c r="J103" s="329"/>
      <c r="K103" s="329"/>
      <c r="L103" s="329"/>
    </row>
    <row r="104">
      <c r="A104" s="599" t="s">
        <v>250</v>
      </c>
      <c r="B104" s="556">
        <f t="shared" ref="B104:B106" si="66">index(A104:L104,,match($A$3,$A$1:$L$1,0))</f>
        <v>4342.399968</v>
      </c>
      <c r="C104" s="548">
        <f t="shared" ref="C104:L104" si="65">C48*(1+C$100)</f>
        <v>4342.399968</v>
      </c>
      <c r="D104" s="548">
        <f t="shared" si="65"/>
        <v>0.0009315475742</v>
      </c>
      <c r="E104" s="548">
        <f t="shared" si="65"/>
        <v>2650.712131</v>
      </c>
      <c r="F104" s="548">
        <f t="shared" si="65"/>
        <v>0.0006015841157</v>
      </c>
      <c r="G104" s="548">
        <f t="shared" si="65"/>
        <v>0.0007842767337</v>
      </c>
      <c r="H104" s="548">
        <f t="shared" si="65"/>
        <v>0.0005577795785</v>
      </c>
      <c r="I104" s="548">
        <f t="shared" si="65"/>
        <v>1691.682023</v>
      </c>
      <c r="J104" s="548">
        <f t="shared" si="65"/>
        <v>0.001110346682</v>
      </c>
      <c r="K104" s="548">
        <f t="shared" si="65"/>
        <v>0.001113530646</v>
      </c>
      <c r="L104" s="548">
        <f t="shared" si="65"/>
        <v>0.0007147605073</v>
      </c>
    </row>
    <row r="105">
      <c r="A105" s="599" t="s">
        <v>251</v>
      </c>
      <c r="B105" s="556">
        <f t="shared" si="66"/>
        <v>4342.399968</v>
      </c>
      <c r="C105" s="548">
        <f t="shared" ref="C105:L105" si="67">C104*$C11/C11</f>
        <v>4342.399968</v>
      </c>
      <c r="D105" s="548">
        <f t="shared" si="67"/>
        <v>9315.475742</v>
      </c>
      <c r="E105" s="548">
        <f t="shared" si="67"/>
        <v>4859.638908</v>
      </c>
      <c r="F105" s="548">
        <f t="shared" si="67"/>
        <v>6015.841157</v>
      </c>
      <c r="G105" s="548">
        <f t="shared" si="67"/>
        <v>7842.767337</v>
      </c>
      <c r="H105" s="548">
        <f t="shared" si="67"/>
        <v>5577.795785</v>
      </c>
      <c r="I105" s="548">
        <f t="shared" si="67"/>
        <v>3721.70045</v>
      </c>
      <c r="J105" s="548">
        <f t="shared" si="67"/>
        <v>11103.46682</v>
      </c>
      <c r="K105" s="548">
        <f t="shared" si="67"/>
        <v>11135.30646</v>
      </c>
      <c r="L105" s="548">
        <f t="shared" si="67"/>
        <v>7147.605073</v>
      </c>
    </row>
    <row r="106">
      <c r="A106" s="460" t="s">
        <v>117</v>
      </c>
      <c r="B106" s="520">
        <f t="shared" si="66"/>
        <v>2302.874004</v>
      </c>
      <c r="C106" s="674">
        <f t="array" ref="C106">if(C11&lt;&gt;0,C11/C104*index('Moral weights'!$A$1:$ZG$33,match("Value assigned to averting the death of an individual under 5 — AMF",'Moral weights'!$A$1:$A$33,0),match($B1,'Moral weights'!$A$1:$ZG1,0)),"Donation size is 0")</f>
        <v>2302.874004</v>
      </c>
      <c r="D106" s="674">
        <f t="array" ref="D106">if(D11&lt;&gt;0,D11/D104*index('Moral weights'!$A$1:$ZG$33,match("Value assigned to averting the death of an individual under 5 — AMF",'Moral weights'!$A$1:$A$33,0),match($B1,'Moral weights'!$A$1:$ZG1,0)),"Donation size is 0")</f>
        <v>1073.48248</v>
      </c>
      <c r="E106" s="674">
        <f t="array" ref="E106">if(E11&lt;&gt;0,E11/E104*index('Moral weights'!$A$1:$ZG$33,match("Value assigned to averting the death of an individual under 5 — AMF",'Moral weights'!$A$1:$A$33,0),match($B1,'Moral weights'!$A$1:$ZG1,0)),"Donation size is 0")</f>
        <v>2057.766058</v>
      </c>
      <c r="F106" s="674">
        <f t="array" ref="F106">if(F11&lt;&gt;0,F11/F104*index('Moral weights'!$A$1:$ZG$33,match("Value assigned to averting the death of an individual under 5 — AMF",'Moral weights'!$A$1:$A$33,0),match($B1,'Moral weights'!$A$1:$ZG1,0)),"Donation size is 0")</f>
        <v>1662.277932</v>
      </c>
      <c r="G106" s="674">
        <f t="array" ref="G106">if(G11&lt;&gt;0,G11/G104*index('Moral weights'!$A$1:$ZG$33,match("Value assigned to averting the death of an individual under 5 — AMF",'Moral weights'!$A$1:$A$33,0),match($B1,'Moral weights'!$A$1:$ZG1,0)),"Donation size is 0")</f>
        <v>1275.060138</v>
      </c>
      <c r="H106" s="674">
        <f t="array" ref="H106">if(H11&lt;&gt;0,H11/H104*index('Moral weights'!$A$1:$ZG$33,match("Value assigned to averting the death of an individual under 5 — AMF",'Moral weights'!$A$1:$A$33,0),match($B1,'Moral weights'!$A$1:$ZG1,0)),"Donation size is 0")</f>
        <v>1792.822897</v>
      </c>
      <c r="I106" s="674">
        <f t="array" ref="I106">if(I11&lt;&gt;0,I11/I104*index('Moral weights'!$A$1:$ZG$33,match("Value assigned to averting the death of an individual under 5 — AMF",'Moral weights'!$A$1:$A$33,0),match($B1,'Moral weights'!$A$1:$ZG1,0)),"Donation size is 0")</f>
        <v>2686.943813</v>
      </c>
      <c r="J106" s="674">
        <f t="array" ref="J106">if(J11&lt;&gt;0,J11/J104*index('Moral weights'!$A$1:$ZG$33,match("Value assigned to averting the death of an individual under 5 — AMF",'Moral weights'!$A$1:$A$33,0),match($B1,'Moral weights'!$A$1:$ZG1,0)),"Donation size is 0")</f>
        <v>900.6196136</v>
      </c>
      <c r="K106" s="674">
        <f t="array" ref="K106">if(K11&lt;&gt;0,K11/K104*index('Moral weights'!$A$1:$ZG$33,match("Value assigned to averting the death of an individual under 5 — AMF",'Moral weights'!$A$1:$A$33,0),match($B1,'Moral weights'!$A$1:$ZG1,0)),"Donation size is 0")</f>
        <v>898.0444352</v>
      </c>
      <c r="L106" s="674">
        <f t="array" ref="L106">if(L11&lt;&gt;0,L11/L104*index('Moral weights'!$A$1:$ZG$33,match("Value assigned to averting the death of an individual under 5 — AMF",'Moral weights'!$A$1:$A$33,0),match($B1,'Moral weights'!$A$1:$ZG1,0)),"Donation size is 0")</f>
        <v>1399.070024</v>
      </c>
    </row>
    <row r="107">
      <c r="A107" s="599"/>
      <c r="B107" s="826"/>
      <c r="C107" s="843"/>
      <c r="D107" s="843"/>
      <c r="E107" s="843"/>
      <c r="F107" s="843"/>
      <c r="G107" s="843"/>
      <c r="H107" s="843"/>
      <c r="I107" s="843"/>
      <c r="J107" s="843"/>
      <c r="K107" s="843"/>
      <c r="L107" s="843"/>
    </row>
    <row r="108">
      <c r="A108" s="325" t="s">
        <v>257</v>
      </c>
      <c r="B108" s="676">
        <f t="array" ref="B108">index(C108:F108,,match($A$3,$C$1:$F$1,0))</f>
        <v>12.62235239</v>
      </c>
      <c r="C108" s="349">
        <f t="array" ref="C108">C105/index(Cash!B:B,match("Total units of value generated with hypothetical donation ($100,000)",Cash!A:A,0))</f>
        <v>12.62235239</v>
      </c>
      <c r="D108" s="349">
        <f t="array" ref="D108">D105/index(Cash!B:B,match("Total units of value generated with hypothetical donation ($100,000)",Cash!A:A,0))</f>
        <v>27.07793348</v>
      </c>
      <c r="E108" s="349">
        <f t="array" ref="E108">E105/index(Cash!B:B,match("Total units of value generated with hypothetical donation ($100,000)",Cash!A:A,0))</f>
        <v>14.12584636</v>
      </c>
      <c r="F108" s="349">
        <f t="array" ref="F108">F105/index(Cash!B:B,match("Total units of value generated with hypothetical donation ($100,000)",Cash!A:A,0))</f>
        <v>17.48665889</v>
      </c>
      <c r="G108" s="349">
        <f t="array" ref="G108">G105/index(Cash!B:B,match("Total units of value generated with hypothetical donation ($100,000)",Cash!A:A,0))</f>
        <v>22.79711076</v>
      </c>
      <c r="H108" s="349">
        <f t="array" ref="H108">H105/index(Cash!B:B,match("Total units of value generated with hypothetical donation ($100,000)",Cash!A:A,0))</f>
        <v>16.2133623</v>
      </c>
      <c r="I108" s="349">
        <f t="array" ref="I108">I105/index(Cash!B:B,match("Total units of value generated with hypothetical donation ($100,000)",Cash!A:A,0))</f>
        <v>10.81812245</v>
      </c>
      <c r="J108" s="349">
        <f t="array" ref="J108">J105/index(Cash!B:B,match("Total units of value generated with hypothetical donation ($100,000)",Cash!A:A,0))</f>
        <v>32.27521002</v>
      </c>
      <c r="K108" s="349">
        <f t="array" ref="K108">K105/index(Cash!B:B,match("Total units of value generated with hypothetical donation ($100,000)",Cash!A:A,0))</f>
        <v>32.36776048</v>
      </c>
      <c r="L108" s="349">
        <f t="array" ref="L108">L105/index(Cash!B:B,match("Total units of value generated with hypothetical donation ($100,000)",Cash!A:A,0))</f>
        <v>20.77643484</v>
      </c>
    </row>
    <row r="109">
      <c r="A109" s="599"/>
      <c r="B109" s="640"/>
      <c r="C109" s="329"/>
      <c r="D109" s="329"/>
      <c r="E109" s="329"/>
      <c r="F109" s="329"/>
      <c r="G109" s="329"/>
      <c r="H109" s="329"/>
      <c r="I109" s="329"/>
      <c r="J109" s="329"/>
      <c r="K109" s="329"/>
      <c r="L109" s="329"/>
    </row>
    <row r="110">
      <c r="A110" s="350" t="s">
        <v>556</v>
      </c>
      <c r="B110" s="350"/>
      <c r="C110" s="350"/>
      <c r="D110" s="350"/>
      <c r="E110" s="350"/>
      <c r="F110" s="350"/>
      <c r="G110" s="350"/>
      <c r="H110" s="350"/>
      <c r="I110" s="350"/>
      <c r="J110" s="350"/>
      <c r="K110" s="350"/>
      <c r="L110" s="350"/>
    </row>
    <row r="111" outlineLevel="1">
      <c r="A111" s="352"/>
      <c r="D111" s="415"/>
      <c r="E111" s="415"/>
      <c r="F111" s="415"/>
      <c r="G111" s="415"/>
      <c r="H111" s="415"/>
      <c r="I111" s="415"/>
      <c r="J111" s="415"/>
      <c r="K111" s="415"/>
      <c r="L111" s="415"/>
    </row>
    <row r="112" outlineLevel="1">
      <c r="A112" s="62" t="s">
        <v>259</v>
      </c>
      <c r="B112" s="353"/>
      <c r="C112" s="110"/>
      <c r="D112" s="415"/>
      <c r="E112" s="415"/>
      <c r="F112" s="415"/>
      <c r="G112" s="415"/>
      <c r="H112" s="415"/>
      <c r="I112" s="415"/>
      <c r="J112" s="415"/>
      <c r="K112" s="415"/>
      <c r="L112" s="415"/>
    </row>
    <row r="113" outlineLevel="1">
      <c r="A113" s="40" t="s">
        <v>260</v>
      </c>
      <c r="B113" s="640">
        <f t="shared" ref="B113:B116" si="69">index(C113:Z113,,match($A$3,$C$1:$Z$1,0))</f>
        <v>0.05</v>
      </c>
      <c r="C113" s="47">
        <v>0.05</v>
      </c>
      <c r="D113" s="357">
        <f t="shared" ref="D113:L113" si="68">$C113</f>
        <v>0.05</v>
      </c>
      <c r="E113" s="357">
        <f t="shared" si="68"/>
        <v>0.05</v>
      </c>
      <c r="F113" s="357">
        <f t="shared" si="68"/>
        <v>0.05</v>
      </c>
      <c r="G113" s="357">
        <f t="shared" si="68"/>
        <v>0.05</v>
      </c>
      <c r="H113" s="357">
        <f t="shared" si="68"/>
        <v>0.05</v>
      </c>
      <c r="I113" s="357">
        <f t="shared" si="68"/>
        <v>0.05</v>
      </c>
      <c r="J113" s="357">
        <f t="shared" si="68"/>
        <v>0.05</v>
      </c>
      <c r="K113" s="357">
        <f t="shared" si="68"/>
        <v>0.05</v>
      </c>
      <c r="L113" s="357">
        <f t="shared" si="68"/>
        <v>0.05</v>
      </c>
    </row>
    <row r="114" outlineLevel="1">
      <c r="A114" s="40" t="s">
        <v>261</v>
      </c>
      <c r="B114" s="640">
        <f t="shared" si="69"/>
        <v>0</v>
      </c>
      <c r="C114" s="47">
        <v>0.0</v>
      </c>
      <c r="D114" s="357">
        <f t="shared" ref="D114:L114" si="70">$C114</f>
        <v>0</v>
      </c>
      <c r="E114" s="357">
        <f t="shared" si="70"/>
        <v>0</v>
      </c>
      <c r="F114" s="357">
        <f t="shared" si="70"/>
        <v>0</v>
      </c>
      <c r="G114" s="357">
        <f t="shared" si="70"/>
        <v>0</v>
      </c>
      <c r="H114" s="357">
        <f t="shared" si="70"/>
        <v>0</v>
      </c>
      <c r="I114" s="357">
        <f t="shared" si="70"/>
        <v>0</v>
      </c>
      <c r="J114" s="357">
        <f t="shared" si="70"/>
        <v>0</v>
      </c>
      <c r="K114" s="357">
        <f t="shared" si="70"/>
        <v>0</v>
      </c>
      <c r="L114" s="357">
        <f t="shared" si="70"/>
        <v>0</v>
      </c>
    </row>
    <row r="115" outlineLevel="1">
      <c r="A115" s="40" t="s">
        <v>262</v>
      </c>
      <c r="B115" s="640">
        <f t="shared" si="69"/>
        <v>0</v>
      </c>
      <c r="C115" s="543">
        <v>0.0</v>
      </c>
      <c r="D115" s="357">
        <f t="shared" ref="D115:L115" si="71">$C115</f>
        <v>0</v>
      </c>
      <c r="E115" s="357">
        <f t="shared" si="71"/>
        <v>0</v>
      </c>
      <c r="F115" s="357">
        <f t="shared" si="71"/>
        <v>0</v>
      </c>
      <c r="G115" s="357">
        <f t="shared" si="71"/>
        <v>0</v>
      </c>
      <c r="H115" s="357">
        <f t="shared" si="71"/>
        <v>0</v>
      </c>
      <c r="I115" s="357">
        <f t="shared" si="71"/>
        <v>0</v>
      </c>
      <c r="J115" s="357">
        <f t="shared" si="71"/>
        <v>0</v>
      </c>
      <c r="K115" s="357">
        <f t="shared" si="71"/>
        <v>0</v>
      </c>
      <c r="L115" s="357">
        <f t="shared" si="71"/>
        <v>0</v>
      </c>
    </row>
    <row r="116" outlineLevel="1">
      <c r="A116" s="358" t="s">
        <v>263</v>
      </c>
      <c r="B116" s="641">
        <f t="shared" si="69"/>
        <v>0.05</v>
      </c>
      <c r="C116" s="360">
        <f t="shared" ref="C116:L116" si="72">SUM(C113:C115)</f>
        <v>0.05</v>
      </c>
      <c r="D116" s="360">
        <f t="shared" si="72"/>
        <v>0.05</v>
      </c>
      <c r="E116" s="360">
        <f t="shared" si="72"/>
        <v>0.05</v>
      </c>
      <c r="F116" s="360">
        <f t="shared" si="72"/>
        <v>0.05</v>
      </c>
      <c r="G116" s="360">
        <f t="shared" si="72"/>
        <v>0.05</v>
      </c>
      <c r="H116" s="360">
        <f t="shared" si="72"/>
        <v>0.05</v>
      </c>
      <c r="I116" s="360">
        <f t="shared" si="72"/>
        <v>0.05</v>
      </c>
      <c r="J116" s="360">
        <f t="shared" si="72"/>
        <v>0.05</v>
      </c>
      <c r="K116" s="360">
        <f t="shared" si="72"/>
        <v>0.05</v>
      </c>
      <c r="L116" s="360">
        <f t="shared" si="72"/>
        <v>0.05</v>
      </c>
    </row>
    <row r="117" outlineLevel="1">
      <c r="A117" s="40"/>
      <c r="B117" s="353"/>
      <c r="C117" s="39"/>
      <c r="D117" s="353"/>
      <c r="E117" s="353"/>
      <c r="F117" s="353"/>
      <c r="G117" s="353"/>
      <c r="H117" s="353"/>
      <c r="I117" s="353"/>
      <c r="J117" s="353"/>
      <c r="K117" s="353"/>
      <c r="L117" s="353"/>
    </row>
    <row r="118" outlineLevel="1">
      <c r="A118" s="62" t="s">
        <v>310</v>
      </c>
      <c r="B118" s="640" t="str">
        <f t="shared" ref="B118:B121" si="73">index(C118:Z118,,match($A$3,$C$1:$Z$1,0))</f>
        <v/>
      </c>
      <c r="C118" s="39"/>
      <c r="D118" s="353"/>
      <c r="E118" s="353"/>
      <c r="F118" s="353"/>
      <c r="G118" s="353"/>
      <c r="H118" s="353"/>
      <c r="I118" s="353"/>
      <c r="J118" s="353"/>
      <c r="K118" s="353"/>
      <c r="L118" s="353"/>
    </row>
    <row r="119" outlineLevel="1">
      <c r="A119" s="40" t="s">
        <v>264</v>
      </c>
      <c r="B119" s="640">
        <f t="shared" si="73"/>
        <v>0.08</v>
      </c>
      <c r="C119" s="47">
        <v>0.08</v>
      </c>
      <c r="D119" s="357">
        <f t="shared" ref="D119:L119" si="74">$C119</f>
        <v>0.08</v>
      </c>
      <c r="E119" s="357">
        <f t="shared" si="74"/>
        <v>0.08</v>
      </c>
      <c r="F119" s="357">
        <f t="shared" si="74"/>
        <v>0.08</v>
      </c>
      <c r="G119" s="357">
        <f t="shared" si="74"/>
        <v>0.08</v>
      </c>
      <c r="H119" s="357">
        <f t="shared" si="74"/>
        <v>0.08</v>
      </c>
      <c r="I119" s="357">
        <f t="shared" si="74"/>
        <v>0.08</v>
      </c>
      <c r="J119" s="357">
        <f t="shared" si="74"/>
        <v>0.08</v>
      </c>
      <c r="K119" s="357">
        <f t="shared" si="74"/>
        <v>0.08</v>
      </c>
      <c r="L119" s="357">
        <f t="shared" si="74"/>
        <v>0.08</v>
      </c>
    </row>
    <row r="120" outlineLevel="1">
      <c r="A120" s="40" t="s">
        <v>265</v>
      </c>
      <c r="B120" s="640">
        <f t="shared" si="73"/>
        <v>0.03</v>
      </c>
      <c r="C120" s="543">
        <v>0.03</v>
      </c>
      <c r="D120" s="357">
        <f t="shared" ref="D120:L120" si="75">$C120</f>
        <v>0.03</v>
      </c>
      <c r="E120" s="357">
        <f t="shared" si="75"/>
        <v>0.03</v>
      </c>
      <c r="F120" s="357">
        <f t="shared" si="75"/>
        <v>0.03</v>
      </c>
      <c r="G120" s="357">
        <f t="shared" si="75"/>
        <v>0.03</v>
      </c>
      <c r="H120" s="357">
        <f t="shared" si="75"/>
        <v>0.03</v>
      </c>
      <c r="I120" s="357">
        <f t="shared" si="75"/>
        <v>0.03</v>
      </c>
      <c r="J120" s="357">
        <f t="shared" si="75"/>
        <v>0.03</v>
      </c>
      <c r="K120" s="357">
        <f t="shared" si="75"/>
        <v>0.03</v>
      </c>
      <c r="L120" s="357">
        <f t="shared" si="75"/>
        <v>0.03</v>
      </c>
    </row>
    <row r="121" outlineLevel="1">
      <c r="A121" s="358" t="s">
        <v>266</v>
      </c>
      <c r="B121" s="641">
        <f t="shared" si="73"/>
        <v>0.11</v>
      </c>
      <c r="C121" s="360">
        <f t="shared" ref="C121:L121" si="76">sum(C118:C120)</f>
        <v>0.11</v>
      </c>
      <c r="D121" s="360">
        <f t="shared" si="76"/>
        <v>0.11</v>
      </c>
      <c r="E121" s="360">
        <f t="shared" si="76"/>
        <v>0.11</v>
      </c>
      <c r="F121" s="360">
        <f t="shared" si="76"/>
        <v>0.11</v>
      </c>
      <c r="G121" s="360">
        <f t="shared" si="76"/>
        <v>0.11</v>
      </c>
      <c r="H121" s="360">
        <f t="shared" si="76"/>
        <v>0.11</v>
      </c>
      <c r="I121" s="360">
        <f t="shared" si="76"/>
        <v>0.11</v>
      </c>
      <c r="J121" s="360">
        <f t="shared" si="76"/>
        <v>0.11</v>
      </c>
      <c r="K121" s="360">
        <f t="shared" si="76"/>
        <v>0.11</v>
      </c>
      <c r="L121" s="360">
        <f t="shared" si="76"/>
        <v>0.11</v>
      </c>
    </row>
    <row r="122" outlineLevel="1">
      <c r="A122" s="40"/>
      <c r="B122" s="353"/>
      <c r="C122" s="39"/>
      <c r="D122" s="353"/>
      <c r="E122" s="353"/>
      <c r="F122" s="353"/>
      <c r="G122" s="353"/>
      <c r="H122" s="353"/>
      <c r="I122" s="353"/>
      <c r="J122" s="353"/>
      <c r="K122" s="353"/>
      <c r="L122" s="353"/>
    </row>
    <row r="123" outlineLevel="1">
      <c r="A123" s="62" t="s">
        <v>267</v>
      </c>
      <c r="B123" s="353"/>
      <c r="C123" s="39"/>
      <c r="D123" s="353"/>
      <c r="E123" s="353"/>
      <c r="F123" s="353"/>
      <c r="G123" s="353"/>
      <c r="H123" s="353"/>
      <c r="I123" s="353"/>
      <c r="J123" s="353"/>
      <c r="K123" s="353"/>
      <c r="L123" s="353"/>
    </row>
    <row r="124" outlineLevel="1">
      <c r="A124" s="40" t="s">
        <v>268</v>
      </c>
      <c r="B124" s="640">
        <f t="shared" ref="B124:B127" si="78">index(C124:Z124,,match($A$3,$C$1:$Z$1,0))</f>
        <v>0.03</v>
      </c>
      <c r="C124" s="47">
        <v>0.03</v>
      </c>
      <c r="D124" s="357">
        <f t="shared" ref="D124:L124" si="77">$C124</f>
        <v>0.03</v>
      </c>
      <c r="E124" s="357">
        <f t="shared" si="77"/>
        <v>0.03</v>
      </c>
      <c r="F124" s="357">
        <f t="shared" si="77"/>
        <v>0.03</v>
      </c>
      <c r="G124" s="357">
        <f t="shared" si="77"/>
        <v>0.03</v>
      </c>
      <c r="H124" s="357">
        <f t="shared" si="77"/>
        <v>0.03</v>
      </c>
      <c r="I124" s="357">
        <f t="shared" si="77"/>
        <v>0.03</v>
      </c>
      <c r="J124" s="357">
        <f t="shared" si="77"/>
        <v>0.03</v>
      </c>
      <c r="K124" s="357">
        <f t="shared" si="77"/>
        <v>0.03</v>
      </c>
      <c r="L124" s="357">
        <f t="shared" si="77"/>
        <v>0.03</v>
      </c>
    </row>
    <row r="125" outlineLevel="1">
      <c r="A125" s="40" t="s">
        <v>269</v>
      </c>
      <c r="B125" s="640">
        <f t="shared" si="78"/>
        <v>0</v>
      </c>
      <c r="C125" s="47">
        <v>0.0</v>
      </c>
      <c r="D125" s="357">
        <f t="shared" ref="D125:L125" si="79">$C125</f>
        <v>0</v>
      </c>
      <c r="E125" s="357">
        <f t="shared" si="79"/>
        <v>0</v>
      </c>
      <c r="F125" s="357">
        <f t="shared" si="79"/>
        <v>0</v>
      </c>
      <c r="G125" s="357">
        <f t="shared" si="79"/>
        <v>0</v>
      </c>
      <c r="H125" s="357">
        <f t="shared" si="79"/>
        <v>0</v>
      </c>
      <c r="I125" s="357">
        <f t="shared" si="79"/>
        <v>0</v>
      </c>
      <c r="J125" s="357">
        <f t="shared" si="79"/>
        <v>0</v>
      </c>
      <c r="K125" s="357">
        <f t="shared" si="79"/>
        <v>0</v>
      </c>
      <c r="L125" s="357">
        <f t="shared" si="79"/>
        <v>0</v>
      </c>
    </row>
    <row r="126" outlineLevel="1">
      <c r="A126" s="40" t="s">
        <v>270</v>
      </c>
      <c r="B126" s="640">
        <f t="shared" si="78"/>
        <v>0.05</v>
      </c>
      <c r="C126" s="543">
        <v>0.05</v>
      </c>
      <c r="D126" s="357">
        <f t="shared" ref="D126:L126" si="80">$C126</f>
        <v>0.05</v>
      </c>
      <c r="E126" s="357">
        <f t="shared" si="80"/>
        <v>0.05</v>
      </c>
      <c r="F126" s="357">
        <f t="shared" si="80"/>
        <v>0.05</v>
      </c>
      <c r="G126" s="357">
        <f t="shared" si="80"/>
        <v>0.05</v>
      </c>
      <c r="H126" s="357">
        <f t="shared" si="80"/>
        <v>0.05</v>
      </c>
      <c r="I126" s="357">
        <f t="shared" si="80"/>
        <v>0.05</v>
      </c>
      <c r="J126" s="357">
        <f t="shared" si="80"/>
        <v>0.05</v>
      </c>
      <c r="K126" s="357">
        <f t="shared" si="80"/>
        <v>0.05</v>
      </c>
      <c r="L126" s="357">
        <f t="shared" si="80"/>
        <v>0.05</v>
      </c>
    </row>
    <row r="127" outlineLevel="1">
      <c r="A127" s="362" t="s">
        <v>271</v>
      </c>
      <c r="B127" s="641">
        <f t="shared" si="78"/>
        <v>0.08</v>
      </c>
      <c r="C127" s="360">
        <f t="shared" ref="C127:L127" si="81">sum(C124:C126)</f>
        <v>0.08</v>
      </c>
      <c r="D127" s="360">
        <f t="shared" si="81"/>
        <v>0.08</v>
      </c>
      <c r="E127" s="360">
        <f t="shared" si="81"/>
        <v>0.08</v>
      </c>
      <c r="F127" s="360">
        <f t="shared" si="81"/>
        <v>0.08</v>
      </c>
      <c r="G127" s="360">
        <f t="shared" si="81"/>
        <v>0.08</v>
      </c>
      <c r="H127" s="360">
        <f t="shared" si="81"/>
        <v>0.08</v>
      </c>
      <c r="I127" s="360">
        <f t="shared" si="81"/>
        <v>0.08</v>
      </c>
      <c r="J127" s="360">
        <f t="shared" si="81"/>
        <v>0.08</v>
      </c>
      <c r="K127" s="360">
        <f t="shared" si="81"/>
        <v>0.08</v>
      </c>
      <c r="L127" s="360">
        <f t="shared" si="81"/>
        <v>0.08</v>
      </c>
    </row>
    <row r="128" outlineLevel="1">
      <c r="A128" s="40"/>
      <c r="B128" s="353"/>
      <c r="C128" s="39"/>
      <c r="D128" s="353"/>
      <c r="E128" s="353"/>
      <c r="F128" s="353"/>
      <c r="G128" s="353"/>
      <c r="H128" s="353"/>
      <c r="I128" s="353"/>
      <c r="J128" s="353"/>
      <c r="K128" s="353"/>
      <c r="L128" s="353"/>
    </row>
    <row r="129">
      <c r="A129" s="109" t="s">
        <v>272</v>
      </c>
      <c r="B129" s="640">
        <f t="array" ref="B129">index(C129:Z129,,match($A$3,$C$1:$Z$1,0))</f>
        <v>0.76</v>
      </c>
      <c r="C129" s="361">
        <f t="shared" ref="C129:L129" si="82">1-sum(C116,C121,C127)</f>
        <v>0.76</v>
      </c>
      <c r="D129" s="361">
        <f t="shared" si="82"/>
        <v>0.76</v>
      </c>
      <c r="E129" s="361">
        <f t="shared" si="82"/>
        <v>0.76</v>
      </c>
      <c r="F129" s="361">
        <f t="shared" si="82"/>
        <v>0.76</v>
      </c>
      <c r="G129" s="361">
        <f t="shared" si="82"/>
        <v>0.76</v>
      </c>
      <c r="H129" s="361">
        <f t="shared" si="82"/>
        <v>0.76</v>
      </c>
      <c r="I129" s="361">
        <f t="shared" si="82"/>
        <v>0.76</v>
      </c>
      <c r="J129" s="361">
        <f t="shared" si="82"/>
        <v>0.76</v>
      </c>
      <c r="K129" s="361">
        <f t="shared" si="82"/>
        <v>0.76</v>
      </c>
      <c r="L129" s="361">
        <f t="shared" si="82"/>
        <v>0.76</v>
      </c>
    </row>
    <row r="130">
      <c r="A130" s="551"/>
      <c r="B130" s="643"/>
      <c r="C130" s="364"/>
      <c r="D130" s="364"/>
      <c r="E130" s="364"/>
      <c r="F130" s="364"/>
      <c r="G130" s="364"/>
      <c r="H130" s="364"/>
      <c r="I130" s="364"/>
      <c r="J130" s="364"/>
      <c r="K130" s="364"/>
      <c r="L130" s="364"/>
    </row>
    <row r="131">
      <c r="A131" s="350" t="s">
        <v>557</v>
      </c>
      <c r="B131" s="351"/>
      <c r="C131" s="350"/>
      <c r="D131" s="350"/>
      <c r="E131" s="350"/>
      <c r="F131" s="350"/>
      <c r="G131" s="350"/>
      <c r="H131" s="350"/>
      <c r="I131" s="350"/>
      <c r="J131" s="350"/>
      <c r="K131" s="350"/>
      <c r="L131" s="350"/>
    </row>
    <row r="132" outlineLevel="1">
      <c r="A132" s="352" t="s">
        <v>274</v>
      </c>
      <c r="B132" s="363"/>
      <c r="C132" s="364"/>
      <c r="D132" s="364"/>
      <c r="E132" s="364"/>
      <c r="F132" s="364"/>
      <c r="G132" s="364"/>
      <c r="H132" s="364"/>
      <c r="I132" s="364"/>
      <c r="J132" s="364"/>
      <c r="K132" s="364"/>
      <c r="L132" s="364"/>
    </row>
    <row r="133" outlineLevel="1">
      <c r="A133" s="35" t="str">
        <f>IFERROR(__xludf.DUMMYFUNCTION("filter(InclusionExclusion!B:B,InclusionExclusion!A:A=""HKI"",InclusionExclusion!C:C=""Included"")"),"Mortality effects")</f>
        <v>Mortality effects</v>
      </c>
      <c r="B133" s="363"/>
      <c r="C133" s="364"/>
      <c r="D133" s="364"/>
      <c r="E133" s="364"/>
      <c r="F133" s="364"/>
      <c r="G133" s="364"/>
      <c r="H133" s="364"/>
      <c r="I133" s="364"/>
      <c r="J133" s="364"/>
      <c r="K133" s="364"/>
      <c r="L133" s="364"/>
    </row>
    <row r="134" outlineLevel="1">
      <c r="A134" s="109" t="str">
        <f>IFERROR(__xludf.DUMMYFUNCTION("""COMPUTED_VALUE"""),"Development effects")</f>
        <v>Development effects</v>
      </c>
      <c r="B134" s="363"/>
      <c r="C134" s="364"/>
      <c r="D134" s="364"/>
      <c r="E134" s="364"/>
      <c r="F134" s="364"/>
      <c r="G134" s="364"/>
      <c r="H134" s="364"/>
      <c r="I134" s="364"/>
      <c r="J134" s="364"/>
      <c r="K134" s="364"/>
      <c r="L134" s="364"/>
    </row>
    <row r="135" outlineLevel="1">
      <c r="A135" s="352"/>
      <c r="B135" s="363"/>
      <c r="C135" s="364"/>
      <c r="D135" s="364"/>
      <c r="E135" s="364"/>
      <c r="F135" s="364"/>
      <c r="G135" s="364"/>
      <c r="H135" s="364"/>
      <c r="I135" s="364"/>
      <c r="J135" s="364"/>
      <c r="K135" s="364"/>
      <c r="L135" s="364"/>
    </row>
    <row r="136" outlineLevel="1">
      <c r="A136" s="352" t="s">
        <v>275</v>
      </c>
      <c r="B136" s="363"/>
      <c r="C136" s="364"/>
      <c r="D136" s="364"/>
      <c r="E136" s="364"/>
      <c r="F136" s="364"/>
      <c r="G136" s="364"/>
      <c r="H136" s="364"/>
      <c r="I136" s="364"/>
      <c r="J136" s="364"/>
      <c r="K136" s="364"/>
      <c r="L136" s="364"/>
    </row>
    <row r="137" outlineLevel="1">
      <c r="A137" s="35" t="str">
        <f>IFERROR(__xludf.DUMMYFUNCTION("filter(InclusionExclusion!B:B,InclusionExclusion!A:A=""HKI"",InclusionExclusion!C:C=""Excluded"")"),"Short-term consequences of reduced infectious disease morbidity")</f>
        <v>Short-term consequences of reduced infectious disease morbidity</v>
      </c>
      <c r="B137" s="354">
        <f t="shared" ref="B137:B147" si="84">index(C137:Y137,,match($A$3,$C$1:$Y$1,0))</f>
        <v>0.14</v>
      </c>
      <c r="C137" s="110">
        <f t="array" ref="C137">iferror(if(isblank(A137),"",index(InclusionExclusion!$L:L,match(1,(InclusionExclusion!B:B=A137)*(InclusionExclusion!A:A="HKI"),0))),"Not specified")</f>
        <v>0.14</v>
      </c>
      <c r="D137" s="365">
        <f t="shared" ref="D137:L137" si="83">$C137</f>
        <v>0.14</v>
      </c>
      <c r="E137" s="365">
        <f t="shared" si="83"/>
        <v>0.14</v>
      </c>
      <c r="F137" s="365">
        <f t="shared" si="83"/>
        <v>0.14</v>
      </c>
      <c r="G137" s="365">
        <f t="shared" si="83"/>
        <v>0.14</v>
      </c>
      <c r="H137" s="365">
        <f t="shared" si="83"/>
        <v>0.14</v>
      </c>
      <c r="I137" s="365">
        <f t="shared" si="83"/>
        <v>0.14</v>
      </c>
      <c r="J137" s="365">
        <f t="shared" si="83"/>
        <v>0.14</v>
      </c>
      <c r="K137" s="365">
        <f t="shared" si="83"/>
        <v>0.14</v>
      </c>
      <c r="L137" s="365">
        <f t="shared" si="83"/>
        <v>0.14</v>
      </c>
    </row>
    <row r="138" outlineLevel="1">
      <c r="A138" s="200" t="str">
        <f>IFERROR(__xludf.DUMMYFUNCTION("""COMPUTED_VALUE"""),"Short-term anemia effects")</f>
        <v>Short-term anemia effects</v>
      </c>
      <c r="B138" s="354">
        <f t="shared" si="84"/>
        <v>0.09</v>
      </c>
      <c r="C138" s="110">
        <f t="array" ref="C138">iferror(if(isblank(A138),"",index(InclusionExclusion!$L:L,match(1,(InclusionExclusion!B:B=A138)*(InclusionExclusion!A:A="HKI"),0))),"Not specified")</f>
        <v>0.09</v>
      </c>
      <c r="D138" s="365">
        <f t="shared" ref="D138:L138" si="85">$C138</f>
        <v>0.09</v>
      </c>
      <c r="E138" s="365">
        <f t="shared" si="85"/>
        <v>0.09</v>
      </c>
      <c r="F138" s="365">
        <f t="shared" si="85"/>
        <v>0.09</v>
      </c>
      <c r="G138" s="365">
        <f t="shared" si="85"/>
        <v>0.09</v>
      </c>
      <c r="H138" s="365">
        <f t="shared" si="85"/>
        <v>0.09</v>
      </c>
      <c r="I138" s="365">
        <f t="shared" si="85"/>
        <v>0.09</v>
      </c>
      <c r="J138" s="365">
        <f t="shared" si="85"/>
        <v>0.09</v>
      </c>
      <c r="K138" s="365">
        <f t="shared" si="85"/>
        <v>0.09</v>
      </c>
      <c r="L138" s="365">
        <f t="shared" si="85"/>
        <v>0.09</v>
      </c>
    </row>
    <row r="139" outlineLevel="1">
      <c r="A139" s="200" t="str">
        <f>IFERROR(__xludf.DUMMYFUNCTION("""COMPUTED_VALUE"""),"Vision benefits")</f>
        <v>Vision benefits</v>
      </c>
      <c r="B139" s="354">
        <f t="shared" si="84"/>
        <v>0.075</v>
      </c>
      <c r="C139" s="110">
        <f t="array" ref="C139">iferror(if(isblank(A139),"",index(InclusionExclusion!$L:L,match(1,(InclusionExclusion!B:B=A139)*(InclusionExclusion!A:A="HKI"),0))),"Not specified")</f>
        <v>0.075</v>
      </c>
      <c r="D139" s="365">
        <f t="shared" ref="D139:L139" si="86">$C139</f>
        <v>0.075</v>
      </c>
      <c r="E139" s="365">
        <f t="shared" si="86"/>
        <v>0.075</v>
      </c>
      <c r="F139" s="365">
        <f t="shared" si="86"/>
        <v>0.075</v>
      </c>
      <c r="G139" s="365">
        <f t="shared" si="86"/>
        <v>0.075</v>
      </c>
      <c r="H139" s="365">
        <f t="shared" si="86"/>
        <v>0.075</v>
      </c>
      <c r="I139" s="365">
        <f t="shared" si="86"/>
        <v>0.075</v>
      </c>
      <c r="J139" s="365">
        <f t="shared" si="86"/>
        <v>0.075</v>
      </c>
      <c r="K139" s="365">
        <f t="shared" si="86"/>
        <v>0.075</v>
      </c>
      <c r="L139" s="365">
        <f t="shared" si="86"/>
        <v>0.075</v>
      </c>
    </row>
    <row r="140" outlineLevel="1">
      <c r="A140" s="200" t="str">
        <f>IFERROR(__xludf.DUMMYFUNCTION("""COMPUTED_VALUE"""),"Benefits from other programs supported by our funding (e.g. deworming, immunizations)")</f>
        <v>Benefits from other programs supported by our funding (e.g. deworming, immunizations)</v>
      </c>
      <c r="B140" s="354">
        <f t="shared" si="84"/>
        <v>0.18</v>
      </c>
      <c r="C140" s="110">
        <f t="array" ref="C140">iferror(if(isblank(A140),"",index(InclusionExclusion!$L:L,match(1,(InclusionExclusion!B:B=A140)*(InclusionExclusion!A:A="HKI"),0))),"Not specified")</f>
        <v>0.18</v>
      </c>
      <c r="D140" s="365">
        <f t="shared" ref="D140:L140" si="87">$C140</f>
        <v>0.18</v>
      </c>
      <c r="E140" s="365">
        <f t="shared" si="87"/>
        <v>0.18</v>
      </c>
      <c r="F140" s="365">
        <f t="shared" si="87"/>
        <v>0.18</v>
      </c>
      <c r="G140" s="365">
        <f t="shared" si="87"/>
        <v>0.18</v>
      </c>
      <c r="H140" s="365">
        <f t="shared" si="87"/>
        <v>0.18</v>
      </c>
      <c r="I140" s="365">
        <f t="shared" si="87"/>
        <v>0.18</v>
      </c>
      <c r="J140" s="365">
        <f t="shared" si="87"/>
        <v>0.18</v>
      </c>
      <c r="K140" s="365">
        <f t="shared" si="87"/>
        <v>0.18</v>
      </c>
      <c r="L140" s="365">
        <f t="shared" si="87"/>
        <v>0.18</v>
      </c>
    </row>
    <row r="141" outlineLevel="1">
      <c r="A141" s="200" t="str">
        <f>IFERROR(__xludf.DUMMYFUNCTION("""COMPUTED_VALUE"""),"Interaction between VAS and vaccines")</f>
        <v>Interaction between VAS and vaccines</v>
      </c>
      <c r="B141" s="354">
        <f t="shared" si="84"/>
        <v>0.015</v>
      </c>
      <c r="C141" s="110">
        <f t="array" ref="C141">iferror(if(isblank(A141),"",index(InclusionExclusion!$L:L,match(1,(InclusionExclusion!B:B=A141)*(InclusionExclusion!A:A="HKI"),0))),"Not specified")</f>
        <v>0.015</v>
      </c>
      <c r="D141" s="365">
        <f t="shared" ref="D141:L141" si="88">$C141</f>
        <v>0.015</v>
      </c>
      <c r="E141" s="365">
        <f t="shared" si="88"/>
        <v>0.015</v>
      </c>
      <c r="F141" s="365">
        <f t="shared" si="88"/>
        <v>0.015</v>
      </c>
      <c r="G141" s="365">
        <f t="shared" si="88"/>
        <v>0.015</v>
      </c>
      <c r="H141" s="365">
        <f t="shared" si="88"/>
        <v>0.015</v>
      </c>
      <c r="I141" s="365">
        <f t="shared" si="88"/>
        <v>0.015</v>
      </c>
      <c r="J141" s="365">
        <f t="shared" si="88"/>
        <v>0.015</v>
      </c>
      <c r="K141" s="365">
        <f t="shared" si="88"/>
        <v>0.015</v>
      </c>
      <c r="L141" s="365">
        <f t="shared" si="88"/>
        <v>0.015</v>
      </c>
    </row>
    <row r="142" outlineLevel="1">
      <c r="A142" s="94" t="str">
        <f>IFERROR(__xludf.DUMMYFUNCTION("""COMPUTED_VALUE"""),"Effect on fertility")</f>
        <v>Effect on fertility</v>
      </c>
      <c r="B142" s="354" t="str">
        <f t="shared" si="84"/>
        <v>Not specified</v>
      </c>
      <c r="C142" s="110" t="str">
        <f t="array" ref="C142">iferror(if(isblank(A142),"",index(InclusionExclusion!$L:L,match(1,(InclusionExclusion!B:B=A142)*(InclusionExclusion!A:A="HKI"),0))),"Not specified")</f>
        <v>Not specified</v>
      </c>
      <c r="D142" s="365" t="str">
        <f t="shared" ref="D142:L142" si="89">$C142</f>
        <v>Not specified</v>
      </c>
      <c r="E142" s="365" t="str">
        <f t="shared" si="89"/>
        <v>Not specified</v>
      </c>
      <c r="F142" s="365" t="str">
        <f t="shared" si="89"/>
        <v>Not specified</v>
      </c>
      <c r="G142" s="365" t="str">
        <f t="shared" si="89"/>
        <v>Not specified</v>
      </c>
      <c r="H142" s="365" t="str">
        <f t="shared" si="89"/>
        <v>Not specified</v>
      </c>
      <c r="I142" s="365" t="str">
        <f t="shared" si="89"/>
        <v>Not specified</v>
      </c>
      <c r="J142" s="365" t="str">
        <f t="shared" si="89"/>
        <v>Not specified</v>
      </c>
      <c r="K142" s="365" t="str">
        <f t="shared" si="89"/>
        <v>Not specified</v>
      </c>
      <c r="L142" s="365" t="str">
        <f t="shared" si="89"/>
        <v>Not specified</v>
      </c>
    </row>
    <row r="143" outlineLevel="1">
      <c r="A143" s="200" t="str">
        <f>IFERROR(__xludf.DUMMYFUNCTION("""COMPUTED_VALUE"""),"Treatment costs averted from prevention")</f>
        <v>Treatment costs averted from prevention</v>
      </c>
      <c r="B143" s="354">
        <f t="shared" si="84"/>
        <v>0.06</v>
      </c>
      <c r="C143" s="110">
        <f t="array" ref="C143">iferror(if(isblank(A143),"",index(InclusionExclusion!$L:L,match(1,(InclusionExclusion!B:B=A143)*(InclusionExclusion!A:A="HKI"),0))),"Not specified")</f>
        <v>0.06</v>
      </c>
      <c r="D143" s="365">
        <f t="shared" ref="D143:L143" si="90">$C143</f>
        <v>0.06</v>
      </c>
      <c r="E143" s="365">
        <f t="shared" si="90"/>
        <v>0.06</v>
      </c>
      <c r="F143" s="365">
        <f t="shared" si="90"/>
        <v>0.06</v>
      </c>
      <c r="G143" s="365">
        <f t="shared" si="90"/>
        <v>0.06</v>
      </c>
      <c r="H143" s="365">
        <f t="shared" si="90"/>
        <v>0.06</v>
      </c>
      <c r="I143" s="365">
        <f t="shared" si="90"/>
        <v>0.06</v>
      </c>
      <c r="J143" s="365">
        <f t="shared" si="90"/>
        <v>0.06</v>
      </c>
      <c r="K143" s="365">
        <f t="shared" si="90"/>
        <v>0.06</v>
      </c>
      <c r="L143" s="365">
        <f t="shared" si="90"/>
        <v>0.06</v>
      </c>
    </row>
    <row r="144" outlineLevel="1">
      <c r="A144" s="200" t="str">
        <f>IFERROR(__xludf.DUMMYFUNCTION("""COMPUTED_VALUE"""),"Marginal funding goes to lower priority areas")</f>
        <v>Marginal funding goes to lower priority areas</v>
      </c>
      <c r="B144" s="354">
        <f t="shared" si="84"/>
        <v>0</v>
      </c>
      <c r="C144" s="110">
        <f t="array" ref="C144">iferror(if(isblank(A144),"",index(InclusionExclusion!$L:L,match(1,(InclusionExclusion!B:B=A144)*(InclusionExclusion!A:A="HKI"),0))),"Not specified")</f>
        <v>0</v>
      </c>
      <c r="D144" s="365">
        <f t="shared" ref="D144:L144" si="91">$C144</f>
        <v>0</v>
      </c>
      <c r="E144" s="365">
        <f t="shared" si="91"/>
        <v>0</v>
      </c>
      <c r="F144" s="365">
        <f t="shared" si="91"/>
        <v>0</v>
      </c>
      <c r="G144" s="365">
        <f t="shared" si="91"/>
        <v>0</v>
      </c>
      <c r="H144" s="365">
        <f t="shared" si="91"/>
        <v>0</v>
      </c>
      <c r="I144" s="365">
        <f t="shared" si="91"/>
        <v>0</v>
      </c>
      <c r="J144" s="365">
        <f t="shared" si="91"/>
        <v>0</v>
      </c>
      <c r="K144" s="365">
        <f t="shared" si="91"/>
        <v>0</v>
      </c>
      <c r="L144" s="365">
        <f t="shared" si="91"/>
        <v>0</v>
      </c>
    </row>
    <row r="145" outlineLevel="1">
      <c r="A145" s="200"/>
      <c r="B145" s="354" t="str">
        <f t="shared" si="84"/>
        <v/>
      </c>
      <c r="C145" s="110" t="str">
        <f t="array" ref="C145">iferror(if(isblank(A145),"",index(InclusionExclusion!$L:L,match(1,(InclusionExclusion!B:B=A145)*(InclusionExclusion!A:A="HKI"),0))),"Not specified")</f>
        <v/>
      </c>
      <c r="D145" s="365" t="str">
        <f t="shared" ref="D145:L145" si="92">$C145</f>
        <v/>
      </c>
      <c r="E145" s="365" t="str">
        <f t="shared" si="92"/>
        <v/>
      </c>
      <c r="F145" s="365" t="str">
        <f t="shared" si="92"/>
        <v/>
      </c>
      <c r="G145" s="365" t="str">
        <f t="shared" si="92"/>
        <v/>
      </c>
      <c r="H145" s="365" t="str">
        <f t="shared" si="92"/>
        <v/>
      </c>
      <c r="I145" s="365" t="str">
        <f t="shared" si="92"/>
        <v/>
      </c>
      <c r="J145" s="365" t="str">
        <f t="shared" si="92"/>
        <v/>
      </c>
      <c r="K145" s="365" t="str">
        <f t="shared" si="92"/>
        <v/>
      </c>
      <c r="L145" s="365" t="str">
        <f t="shared" si="92"/>
        <v/>
      </c>
    </row>
    <row r="146">
      <c r="A146" s="366" t="s">
        <v>276</v>
      </c>
      <c r="B146" s="355">
        <f t="shared" si="84"/>
        <v>1.56</v>
      </c>
      <c r="C146" s="361">
        <f t="shared" ref="C146:L146" si="93">1+sum(C136:C145)</f>
        <v>1.56</v>
      </c>
      <c r="D146" s="361">
        <f t="shared" si="93"/>
        <v>1.56</v>
      </c>
      <c r="E146" s="361">
        <f t="shared" si="93"/>
        <v>1.56</v>
      </c>
      <c r="F146" s="361">
        <f t="shared" si="93"/>
        <v>1.56</v>
      </c>
      <c r="G146" s="361">
        <f t="shared" si="93"/>
        <v>1.56</v>
      </c>
      <c r="H146" s="361">
        <f t="shared" si="93"/>
        <v>1.56</v>
      </c>
      <c r="I146" s="361">
        <f t="shared" si="93"/>
        <v>1.56</v>
      </c>
      <c r="J146" s="361">
        <f t="shared" si="93"/>
        <v>1.56</v>
      </c>
      <c r="K146" s="361">
        <f t="shared" si="93"/>
        <v>1.56</v>
      </c>
      <c r="L146" s="361">
        <f t="shared" si="93"/>
        <v>1.56</v>
      </c>
    </row>
    <row r="147">
      <c r="A147" s="367" t="s">
        <v>277</v>
      </c>
      <c r="B147" s="642" t="str">
        <f t="shared" si="84"/>
        <v>OK</v>
      </c>
      <c r="C147" s="368" t="str">
        <f t="array" ref="C147">if(C146=index(InclusionExclusion!$L:$L,match("HKI adjustment factor",InclusionExclusion!$J:$J,0)),"OK","Error")</f>
        <v>OK</v>
      </c>
      <c r="D147" s="368" t="str">
        <f t="array" ref="D147">if(D146=index(InclusionExclusion!$L:$L,match("HKI adjustment factor",InclusionExclusion!$J:$J,0)),"OK","Error")</f>
        <v>OK</v>
      </c>
      <c r="E147" s="368" t="str">
        <f t="array" ref="E147">if(E146=index(InclusionExclusion!$L:$L,match("HKI adjustment factor",InclusionExclusion!$J:$J,0)),"OK","Error")</f>
        <v>OK</v>
      </c>
      <c r="F147" s="368" t="str">
        <f t="array" ref="F147">if(F146=index(InclusionExclusion!$L:$L,match("HKI adjustment factor",InclusionExclusion!$J:$J,0)),"OK","Error")</f>
        <v>OK</v>
      </c>
      <c r="G147" s="368" t="str">
        <f t="array" ref="G147">if(G146=index(InclusionExclusion!$L:$L,match("HKI adjustment factor",InclusionExclusion!$J:$J,0)),"OK","Error")</f>
        <v>OK</v>
      </c>
      <c r="H147" s="368" t="str">
        <f t="array" ref="H147">if(H146=index(InclusionExclusion!$L:$L,match("HKI adjustment factor",InclusionExclusion!$J:$J,0)),"OK","Error")</f>
        <v>OK</v>
      </c>
      <c r="I147" s="368" t="str">
        <f t="array" ref="I147">if(I146=index(InclusionExclusion!$L:$L,match("HKI adjustment factor",InclusionExclusion!$J:$J,0)),"OK","Error")</f>
        <v>OK</v>
      </c>
      <c r="J147" s="368" t="str">
        <f t="array" ref="J147">if(J146=index(InclusionExclusion!$L:$L,match("HKI adjustment factor",InclusionExclusion!$J:$J,0)),"OK","Error")</f>
        <v>OK</v>
      </c>
      <c r="K147" s="368" t="str">
        <f t="array" ref="K147">if(K146=index(InclusionExclusion!$L:$L,match("HKI adjustment factor",InclusionExclusion!$J:$J,0)),"OK","Error")</f>
        <v>OK</v>
      </c>
      <c r="L147" s="368" t="str">
        <f t="array" ref="L147">if(L146=index(InclusionExclusion!$L:$L,match("HKI adjustment factor",InclusionExclusion!$J:$J,0)),"OK","Error")</f>
        <v>OK</v>
      </c>
    </row>
    <row r="148">
      <c r="A148" s="167"/>
      <c r="B148" s="363"/>
      <c r="C148" s="364"/>
      <c r="D148" s="364"/>
      <c r="E148" s="364"/>
      <c r="F148" s="364"/>
      <c r="G148" s="364"/>
      <c r="H148" s="364"/>
      <c r="I148" s="364"/>
      <c r="J148" s="364"/>
      <c r="K148" s="364"/>
      <c r="L148" s="364"/>
    </row>
    <row r="149">
      <c r="A149" s="350" t="s">
        <v>278</v>
      </c>
      <c r="B149" s="350"/>
      <c r="C149" s="350"/>
      <c r="D149" s="350"/>
      <c r="E149" s="350"/>
      <c r="F149" s="350"/>
      <c r="G149" s="350"/>
      <c r="H149" s="350"/>
      <c r="I149" s="350"/>
      <c r="J149" s="350"/>
      <c r="K149" s="350"/>
      <c r="L149" s="350"/>
    </row>
    <row r="150">
      <c r="A150" s="167" t="s">
        <v>279</v>
      </c>
      <c r="B150" s="363">
        <f t="array" ref="B150">index(C150:Y150,,match($A$3,$C$1:$Y$1,0))</f>
        <v>5148.349402</v>
      </c>
      <c r="C150" s="364">
        <f t="shared" ref="C150:L150" si="94">C105*(C129)*C146</f>
        <v>5148.349402</v>
      </c>
      <c r="D150" s="364">
        <f t="shared" si="94"/>
        <v>11044.42804</v>
      </c>
      <c r="E150" s="364">
        <f t="shared" si="94"/>
        <v>5761.587889</v>
      </c>
      <c r="F150" s="364">
        <f t="shared" si="94"/>
        <v>7132.381276</v>
      </c>
      <c r="G150" s="364">
        <f t="shared" si="94"/>
        <v>9298.384954</v>
      </c>
      <c r="H150" s="364">
        <f t="shared" si="94"/>
        <v>6613.034683</v>
      </c>
      <c r="I150" s="364">
        <f t="shared" si="94"/>
        <v>4412.448054</v>
      </c>
      <c r="J150" s="364">
        <f t="shared" si="94"/>
        <v>13164.27026</v>
      </c>
      <c r="K150" s="364">
        <f t="shared" si="94"/>
        <v>13202.01934</v>
      </c>
      <c r="L150" s="364">
        <f t="shared" si="94"/>
        <v>8474.200575</v>
      </c>
    </row>
    <row r="151">
      <c r="A151" s="369"/>
      <c r="B151" s="643"/>
      <c r="C151" s="364"/>
      <c r="D151" s="364"/>
      <c r="E151" s="364"/>
      <c r="F151" s="364"/>
      <c r="G151" s="364"/>
      <c r="H151" s="364"/>
      <c r="I151" s="364"/>
      <c r="J151" s="364"/>
      <c r="K151" s="364"/>
      <c r="L151" s="364"/>
    </row>
    <row r="152">
      <c r="A152" s="545" t="s">
        <v>280</v>
      </c>
      <c r="B152" s="370">
        <f t="array" ref="B152">index(C152:Y152,,match($A$3,$C$1:$Y$1,0))</f>
        <v>14.96506099</v>
      </c>
      <c r="C152" s="371">
        <f t="array" ref="C152">C150/index(Cash!$B:$B,match("Total units of value generated with hypothetical donation ($100,000)",Cash!$A:$A,0))</f>
        <v>14.96506099</v>
      </c>
      <c r="D152" s="371">
        <f t="array" ref="D152">D150/index(Cash!$B:$B,match("Total units of value generated with hypothetical donation ($100,000)",Cash!$A:$A,0))</f>
        <v>32.10359794</v>
      </c>
      <c r="E152" s="371">
        <f t="array" ref="E152">E150/index(Cash!$B:$B,match("Total units of value generated with hypothetical donation ($100,000)",Cash!$A:$A,0))</f>
        <v>16.74760344</v>
      </c>
      <c r="F152" s="371">
        <f t="array" ref="F152">F150/index(Cash!$B:$B,match("Total units of value generated with hypothetical donation ($100,000)",Cash!$A:$A,0))</f>
        <v>20.73218278</v>
      </c>
      <c r="G152" s="371">
        <f t="array" ref="G152">G150/index(Cash!$B:$B,match("Total units of value generated with hypothetical donation ($100,000)",Cash!$A:$A,0))</f>
        <v>27.02825451</v>
      </c>
      <c r="H152" s="371">
        <f t="array" ref="H152">H150/index(Cash!$B:$B,match("Total units of value generated with hypothetical donation ($100,000)",Cash!$A:$A,0))</f>
        <v>19.22256235</v>
      </c>
      <c r="I152" s="371">
        <f t="array" ref="I152">I150/index(Cash!$B:$B,match("Total units of value generated with hypothetical donation ($100,000)",Cash!$A:$A,0))</f>
        <v>12.82596597</v>
      </c>
      <c r="J152" s="371">
        <f t="array" ref="J152">J150/index(Cash!$B:$B,match("Total units of value generated with hypothetical donation ($100,000)",Cash!$A:$A,0))</f>
        <v>38.265489</v>
      </c>
      <c r="K152" s="371">
        <f t="array" ref="K152">K150/index(Cash!$B:$B,match("Total units of value generated with hypothetical donation ($100,000)",Cash!$A:$A,0))</f>
        <v>38.37521683</v>
      </c>
      <c r="L152" s="371">
        <f t="array" ref="L152">L150/index(Cash!$B:$B,match("Total units of value generated with hypothetical donation ($100,000)",Cash!$A:$A,0))</f>
        <v>24.63254114</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86.43"/>
    <col customWidth="1" min="4" max="4" width="117.0"/>
  </cols>
  <sheetData>
    <row r="1">
      <c r="A1" s="844"/>
      <c r="B1" s="845"/>
      <c r="C1" s="846"/>
      <c r="D1" s="847"/>
    </row>
    <row r="2">
      <c r="A2" s="848" t="s">
        <v>558</v>
      </c>
      <c r="B2" s="849"/>
      <c r="C2" s="850"/>
      <c r="D2" s="851"/>
    </row>
    <row r="3">
      <c r="A3" s="852" t="s">
        <v>559</v>
      </c>
      <c r="B3" s="853" t="s">
        <v>560</v>
      </c>
      <c r="C3" s="854">
        <v>0.454</v>
      </c>
      <c r="D3" s="855">
        <f t="shared" ref="D3:D4" si="1">$C3</f>
        <v>0.454</v>
      </c>
    </row>
    <row r="4">
      <c r="A4" s="856" t="s">
        <v>561</v>
      </c>
      <c r="B4" s="853" t="s">
        <v>562</v>
      </c>
      <c r="C4" s="857">
        <v>12254.19241</v>
      </c>
      <c r="D4" s="858">
        <f t="shared" si="1"/>
        <v>12254.19241</v>
      </c>
    </row>
    <row r="5">
      <c r="A5" s="852" t="s">
        <v>563</v>
      </c>
      <c r="B5" s="853"/>
      <c r="C5" s="859"/>
      <c r="D5" s="860">
        <f>10000*D3/D4</f>
        <v>0.3704854509</v>
      </c>
    </row>
    <row r="6">
      <c r="A6" s="856" t="s">
        <v>564</v>
      </c>
      <c r="B6" s="853" t="s">
        <v>565</v>
      </c>
      <c r="C6" s="854">
        <v>0.546</v>
      </c>
      <c r="D6" s="855">
        <f t="shared" ref="D6:D7" si="2">$C6</f>
        <v>0.546</v>
      </c>
    </row>
    <row r="7">
      <c r="A7" s="856" t="s">
        <v>566</v>
      </c>
      <c r="B7" s="853" t="s">
        <v>567</v>
      </c>
      <c r="C7" s="861">
        <v>30000.0</v>
      </c>
      <c r="D7" s="858">
        <f t="shared" si="2"/>
        <v>30000</v>
      </c>
    </row>
    <row r="8">
      <c r="A8" s="852" t="s">
        <v>568</v>
      </c>
      <c r="B8" s="853"/>
      <c r="C8" s="859"/>
      <c r="D8" s="860">
        <f>10000*D6/D7</f>
        <v>0.182</v>
      </c>
    </row>
    <row r="9">
      <c r="A9" s="862"/>
      <c r="B9" s="849"/>
      <c r="C9" s="850"/>
      <c r="D9" s="851"/>
    </row>
    <row r="10">
      <c r="A10" s="848" t="s">
        <v>569</v>
      </c>
      <c r="B10" s="849"/>
      <c r="C10" s="850"/>
      <c r="D10" s="851"/>
    </row>
    <row r="11">
      <c r="A11" s="852" t="s">
        <v>570</v>
      </c>
      <c r="B11" s="853" t="s">
        <v>571</v>
      </c>
      <c r="C11" s="863">
        <v>448.2386391</v>
      </c>
      <c r="D11" s="864">
        <f>$C11</f>
        <v>448.2386391</v>
      </c>
    </row>
    <row r="12">
      <c r="A12" s="852" t="s">
        <v>572</v>
      </c>
      <c r="B12" s="853"/>
      <c r="C12" s="865"/>
      <c r="D12" s="866">
        <f>10000/D11</f>
        <v>22.3095448</v>
      </c>
    </row>
    <row r="13">
      <c r="A13" s="867"/>
      <c r="B13" s="868"/>
      <c r="C13" s="869"/>
      <c r="D13" s="869"/>
    </row>
    <row r="14">
      <c r="A14" s="848" t="s">
        <v>573</v>
      </c>
      <c r="B14" s="868"/>
      <c r="C14" s="869"/>
      <c r="D14" s="869"/>
    </row>
    <row r="15">
      <c r="A15" s="852" t="s">
        <v>574</v>
      </c>
      <c r="B15" s="853" t="s">
        <v>575</v>
      </c>
      <c r="C15" s="863">
        <v>483.9901982</v>
      </c>
      <c r="D15" s="864">
        <f>$C15</f>
        <v>483.9901982</v>
      </c>
    </row>
    <row r="16">
      <c r="A16" s="852" t="s">
        <v>572</v>
      </c>
      <c r="B16" s="853"/>
      <c r="C16" s="865"/>
      <c r="D16" s="866">
        <f>10000/D15</f>
        <v>20.66157546</v>
      </c>
    </row>
    <row r="17">
      <c r="B17" s="868"/>
      <c r="C17" s="869"/>
      <c r="D17" s="869"/>
    </row>
    <row r="18">
      <c r="A18" s="848" t="s">
        <v>10</v>
      </c>
      <c r="B18" s="868"/>
      <c r="C18" s="869"/>
      <c r="D18" s="869"/>
    </row>
    <row r="19">
      <c r="A19" s="870" t="s">
        <v>75</v>
      </c>
      <c r="B19" s="871"/>
      <c r="C19" s="872" t="s">
        <v>576</v>
      </c>
      <c r="D19" s="873">
        <f t="array" ref="D19">index('Moral weights'!$A$1:$E$21,match($A19,'Moral weights'!$A$1:$A$21,0),match("Active",'Moral weights'!$A$1:$E$1,0))</f>
        <v>100</v>
      </c>
    </row>
    <row r="20">
      <c r="A20" s="870" t="s">
        <v>76</v>
      </c>
      <c r="B20" s="871"/>
      <c r="C20" s="872" t="s">
        <v>576</v>
      </c>
      <c r="D20" s="873">
        <f t="array" ref="D20">index('Moral weights'!$A$1:$E$21,match($A20,'Moral weights'!$A$1:$A$21,0),match("Active",'Moral weights'!$A$1:$E$1,0))</f>
        <v>100</v>
      </c>
    </row>
    <row r="21">
      <c r="A21" s="870" t="s">
        <v>84</v>
      </c>
      <c r="B21" s="871"/>
      <c r="C21" s="872" t="s">
        <v>576</v>
      </c>
      <c r="D21" s="874">
        <f t="array" ref="D21">index('Moral weights'!$A$1:$E$21,match($A21,'Moral weights'!$A$1:$A$21,0),match("Active",'Moral weights'!$A$1:$E$1,0))</f>
        <v>1.442695041</v>
      </c>
    </row>
    <row r="22">
      <c r="A22" s="875" t="s">
        <v>577</v>
      </c>
      <c r="B22" s="876"/>
      <c r="C22" s="876"/>
      <c r="D22" s="855">
        <f t="shared" ref="D22:D24" si="3">D19/D$19</f>
        <v>1</v>
      </c>
    </row>
    <row r="23">
      <c r="A23" s="877" t="s">
        <v>578</v>
      </c>
      <c r="B23" s="876"/>
      <c r="C23" s="876"/>
      <c r="D23" s="855">
        <f t="shared" si="3"/>
        <v>1</v>
      </c>
    </row>
    <row r="24">
      <c r="A24" s="875" t="s">
        <v>579</v>
      </c>
      <c r="B24" s="876"/>
      <c r="C24" s="876"/>
      <c r="D24" s="855">
        <f t="shared" si="3"/>
        <v>0.01442695041</v>
      </c>
    </row>
    <row r="25">
      <c r="A25" s="867"/>
      <c r="B25" s="849"/>
      <c r="C25" s="878"/>
      <c r="D25" s="851"/>
    </row>
    <row r="26">
      <c r="A26" s="848" t="s">
        <v>580</v>
      </c>
      <c r="B26" s="848"/>
      <c r="C26" s="848"/>
      <c r="D26" s="848"/>
    </row>
    <row r="27">
      <c r="A27" s="852" t="s">
        <v>581</v>
      </c>
      <c r="B27" s="853" t="s">
        <v>582</v>
      </c>
      <c r="C27" s="879" t="s">
        <v>583</v>
      </c>
      <c r="D27" s="880">
        <f>10000/((D5*D22)+(D8*D23))</f>
        <v>18100.02414</v>
      </c>
    </row>
    <row r="28">
      <c r="A28" s="856" t="s">
        <v>584</v>
      </c>
      <c r="B28" s="853" t="s">
        <v>585</v>
      </c>
      <c r="C28" s="879" t="s">
        <v>583</v>
      </c>
      <c r="D28" s="880">
        <f>10000/(D12*D24)</f>
        <v>31069.53489</v>
      </c>
    </row>
    <row r="29">
      <c r="A29" s="852" t="s">
        <v>586</v>
      </c>
      <c r="B29" s="853" t="s">
        <v>587</v>
      </c>
      <c r="C29" s="879" t="s">
        <v>583</v>
      </c>
      <c r="D29" s="880">
        <f>10000/(D16*D24)</f>
        <v>33547.64413</v>
      </c>
    </row>
    <row r="30">
      <c r="A30" s="862"/>
      <c r="B30" s="849"/>
      <c r="C30" s="878"/>
      <c r="D30" s="881"/>
    </row>
    <row r="31">
      <c r="A31" s="848" t="s">
        <v>588</v>
      </c>
      <c r="B31" s="849"/>
      <c r="C31" s="878"/>
      <c r="D31" s="881"/>
    </row>
    <row r="32">
      <c r="A32" s="852" t="s">
        <v>589</v>
      </c>
      <c r="B32" s="853" t="s">
        <v>590</v>
      </c>
      <c r="C32" s="882" t="s">
        <v>591</v>
      </c>
      <c r="D32" s="864">
        <f>25%*D27+70%*D28+5%*D29</f>
        <v>27951.06267</v>
      </c>
    </row>
    <row r="33">
      <c r="A33" s="852" t="s">
        <v>592</v>
      </c>
      <c r="B33" s="853" t="s">
        <v>593</v>
      </c>
      <c r="C33" s="882" t="s">
        <v>594</v>
      </c>
      <c r="D33" s="864">
        <f>80%*D27+10%*D28+10%*D29</f>
        <v>20941.73722</v>
      </c>
    </row>
    <row r="34">
      <c r="A34" s="856" t="s">
        <v>595</v>
      </c>
      <c r="B34" s="883" t="s">
        <v>596</v>
      </c>
      <c r="C34" s="882" t="s">
        <v>597</v>
      </c>
      <c r="D34" s="864">
        <f>('Moral weights'!B6/Bednets!C132)*100000/0.1</f>
        <v>15165.0044</v>
      </c>
    </row>
    <row r="35">
      <c r="A35" s="856" t="s">
        <v>598</v>
      </c>
      <c r="B35" s="853" t="s">
        <v>599</v>
      </c>
      <c r="C35" s="884" t="s">
        <v>600</v>
      </c>
      <c r="D35" s="864">
        <f>('Moral weights'!B6/Bednets!C132)*100000/0.6</f>
        <v>2527.500734</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0" outlineLevelRow="1"/>
  <cols>
    <col customWidth="1" min="1" max="1" width="5.71"/>
    <col customWidth="1" min="2" max="2" width="64.86"/>
    <col customWidth="1" min="3" max="3" width="12.86"/>
    <col customWidth="1" min="4" max="4" width="27.71"/>
    <col customWidth="1" min="5" max="5" width="27.57"/>
    <col customWidth="1" min="6" max="6" width="23.0"/>
    <col customWidth="1" min="7" max="7" width="25.43"/>
    <col customWidth="1" min="8" max="8" width="38.14"/>
  </cols>
  <sheetData>
    <row r="1" collapsed="1">
      <c r="A1" s="885" t="s">
        <v>601</v>
      </c>
      <c r="B1" s="886" t="s">
        <v>602</v>
      </c>
      <c r="C1" s="885" t="s">
        <v>603</v>
      </c>
      <c r="D1" s="887" t="s">
        <v>604</v>
      </c>
      <c r="E1" s="885" t="s">
        <v>605</v>
      </c>
      <c r="F1" s="888" t="s">
        <v>606</v>
      </c>
      <c r="G1" s="885" t="s">
        <v>607</v>
      </c>
      <c r="H1" s="885" t="s">
        <v>71</v>
      </c>
      <c r="I1" s="885"/>
      <c r="J1" s="885"/>
      <c r="K1" s="885"/>
      <c r="L1" s="885"/>
    </row>
    <row r="2" hidden="1" outlineLevel="1">
      <c r="A2" s="68"/>
      <c r="B2" s="68"/>
      <c r="C2" s="889"/>
      <c r="D2" s="889"/>
      <c r="E2" s="889"/>
      <c r="F2" s="889"/>
      <c r="G2" s="889"/>
      <c r="H2" s="890"/>
      <c r="I2" s="68"/>
      <c r="J2" s="891" t="s">
        <v>608</v>
      </c>
      <c r="K2" s="892" t="s">
        <v>609</v>
      </c>
      <c r="L2" s="120"/>
    </row>
    <row r="3" hidden="1" outlineLevel="1">
      <c r="A3" s="68"/>
      <c r="B3" s="68"/>
      <c r="C3" s="889"/>
      <c r="D3" s="889"/>
      <c r="E3" s="889"/>
      <c r="F3" s="889"/>
      <c r="G3" s="889"/>
      <c r="H3" s="890"/>
      <c r="I3" s="68"/>
      <c r="J3" s="893">
        <v>1.0</v>
      </c>
      <c r="K3" s="894">
        <v>0.1</v>
      </c>
      <c r="L3" s="120"/>
    </row>
    <row r="4" hidden="1" outlineLevel="1">
      <c r="A4" s="68"/>
      <c r="B4" s="68"/>
      <c r="C4" s="889"/>
      <c r="D4" s="889"/>
      <c r="E4" s="889"/>
      <c r="F4" s="889"/>
      <c r="G4" s="889"/>
      <c r="H4" s="890"/>
      <c r="I4" s="68"/>
      <c r="J4" s="893">
        <v>2.0</v>
      </c>
      <c r="K4" s="894">
        <f t="shared" ref="K4:K11" si="1">K3+10%</f>
        <v>0.2</v>
      </c>
      <c r="L4" s="120"/>
    </row>
    <row r="5" hidden="1" outlineLevel="1">
      <c r="A5" s="68"/>
      <c r="B5" s="68"/>
      <c r="C5" s="889"/>
      <c r="D5" s="889"/>
      <c r="E5" s="889"/>
      <c r="F5" s="889"/>
      <c r="G5" s="889"/>
      <c r="H5" s="890"/>
      <c r="I5" s="68"/>
      <c r="J5" s="893">
        <v>3.0</v>
      </c>
      <c r="K5" s="894">
        <f t="shared" si="1"/>
        <v>0.3</v>
      </c>
      <c r="L5" s="120"/>
    </row>
    <row r="6" hidden="1" outlineLevel="1">
      <c r="A6" s="68"/>
      <c r="B6" s="68"/>
      <c r="C6" s="889"/>
      <c r="D6" s="889"/>
      <c r="E6" s="889"/>
      <c r="F6" s="889"/>
      <c r="G6" s="889"/>
      <c r="H6" s="890"/>
      <c r="I6" s="68"/>
      <c r="J6" s="893">
        <v>4.0</v>
      </c>
      <c r="K6" s="894">
        <f t="shared" si="1"/>
        <v>0.4</v>
      </c>
      <c r="L6" s="120"/>
    </row>
    <row r="7" hidden="1" outlineLevel="1">
      <c r="A7" s="68"/>
      <c r="B7" s="68"/>
      <c r="C7" s="889"/>
      <c r="D7" s="889"/>
      <c r="E7" s="889"/>
      <c r="F7" s="889"/>
      <c r="G7" s="889"/>
      <c r="H7" s="890"/>
      <c r="I7" s="68"/>
      <c r="J7" s="893">
        <v>5.0</v>
      </c>
      <c r="K7" s="894">
        <f t="shared" si="1"/>
        <v>0.5</v>
      </c>
      <c r="L7" s="120"/>
    </row>
    <row r="8" hidden="1" outlineLevel="1">
      <c r="A8" s="68"/>
      <c r="B8" s="68"/>
      <c r="C8" s="889"/>
      <c r="D8" s="889"/>
      <c r="E8" s="889"/>
      <c r="F8" s="889"/>
      <c r="G8" s="889"/>
      <c r="H8" s="890"/>
      <c r="I8" s="68"/>
      <c r="J8" s="893">
        <v>6.0</v>
      </c>
      <c r="K8" s="894">
        <f t="shared" si="1"/>
        <v>0.6</v>
      </c>
      <c r="L8" s="120"/>
    </row>
    <row r="9" hidden="1" outlineLevel="1">
      <c r="A9" s="68"/>
      <c r="B9" s="68"/>
      <c r="C9" s="889"/>
      <c r="D9" s="889"/>
      <c r="E9" s="889"/>
      <c r="F9" s="889"/>
      <c r="G9" s="889"/>
      <c r="H9" s="890"/>
      <c r="I9" s="68"/>
      <c r="J9" s="893">
        <v>7.0</v>
      </c>
      <c r="K9" s="894">
        <f t="shared" si="1"/>
        <v>0.7</v>
      </c>
      <c r="L9" s="120"/>
    </row>
    <row r="10" hidden="1" outlineLevel="1">
      <c r="A10" s="68"/>
      <c r="B10" s="68"/>
      <c r="C10" s="889"/>
      <c r="D10" s="889"/>
      <c r="E10" s="889"/>
      <c r="F10" s="889"/>
      <c r="G10" s="889"/>
      <c r="H10" s="890"/>
      <c r="I10" s="68"/>
      <c r="J10" s="893">
        <v>8.0</v>
      </c>
      <c r="K10" s="894">
        <f t="shared" si="1"/>
        <v>0.8</v>
      </c>
      <c r="L10" s="120"/>
    </row>
    <row r="11" hidden="1" outlineLevel="1">
      <c r="A11" s="68"/>
      <c r="B11" s="68"/>
      <c r="C11" s="889"/>
      <c r="D11" s="889"/>
      <c r="E11" s="889"/>
      <c r="F11" s="889"/>
      <c r="G11" s="889"/>
      <c r="H11" s="890"/>
      <c r="I11" s="68"/>
      <c r="J11" s="895">
        <v>9.0</v>
      </c>
      <c r="K11" s="896">
        <f t="shared" si="1"/>
        <v>0.9</v>
      </c>
      <c r="L11" s="120"/>
    </row>
    <row r="12" hidden="1" outlineLevel="1">
      <c r="A12" s="68"/>
      <c r="B12" s="68"/>
      <c r="C12" s="889"/>
      <c r="D12" s="889"/>
      <c r="E12" s="889"/>
      <c r="F12" s="889"/>
      <c r="G12" s="889"/>
      <c r="H12" s="890"/>
      <c r="I12" s="68"/>
      <c r="J12" s="120"/>
      <c r="K12" s="120"/>
      <c r="L12" s="120"/>
    </row>
    <row r="13">
      <c r="A13" s="68"/>
      <c r="B13" s="68"/>
      <c r="C13" s="889" t="s">
        <v>610</v>
      </c>
      <c r="D13" s="897" t="s">
        <v>611</v>
      </c>
      <c r="E13" s="897" t="s">
        <v>612</v>
      </c>
      <c r="F13" s="897" t="s">
        <v>613</v>
      </c>
      <c r="G13" s="897"/>
      <c r="H13" s="890"/>
      <c r="I13" s="68"/>
      <c r="L13" s="120"/>
    </row>
    <row r="14">
      <c r="A14" s="898"/>
      <c r="B14" s="898"/>
      <c r="D14" s="899" t="s">
        <v>614</v>
      </c>
      <c r="E14" s="899" t="s">
        <v>615</v>
      </c>
      <c r="F14" s="899" t="s">
        <v>616</v>
      </c>
      <c r="G14" s="899" t="s">
        <v>617</v>
      </c>
      <c r="H14" s="890"/>
      <c r="I14" s="68"/>
      <c r="L14" s="120"/>
    </row>
    <row r="15">
      <c r="A15" s="898"/>
      <c r="B15" s="898"/>
      <c r="D15" s="900" t="s">
        <v>618</v>
      </c>
      <c r="E15" s="900" t="s">
        <v>619</v>
      </c>
      <c r="F15" s="900" t="s">
        <v>620</v>
      </c>
      <c r="G15" s="900" t="s">
        <v>621</v>
      </c>
      <c r="H15" s="68"/>
      <c r="I15" s="68"/>
      <c r="L15" s="120"/>
    </row>
    <row r="16">
      <c r="A16" s="898"/>
      <c r="B16" s="898"/>
      <c r="D16" s="901" t="s">
        <v>622</v>
      </c>
      <c r="E16" s="901" t="s">
        <v>623</v>
      </c>
      <c r="F16" s="901" t="s">
        <v>624</v>
      </c>
      <c r="G16" s="901" t="s">
        <v>625</v>
      </c>
      <c r="H16" s="890"/>
      <c r="I16" s="68"/>
      <c r="L16" s="120"/>
    </row>
    <row r="17">
      <c r="A17" s="68"/>
      <c r="B17" s="68"/>
      <c r="C17" s="68"/>
      <c r="D17" s="902"/>
      <c r="E17" s="902"/>
      <c r="F17" s="902"/>
      <c r="G17" s="902"/>
      <c r="H17" s="890"/>
      <c r="I17" s="68"/>
      <c r="L17" s="120"/>
    </row>
    <row r="18">
      <c r="A18" s="333"/>
      <c r="B18" s="333" t="s">
        <v>74</v>
      </c>
      <c r="C18" s="35"/>
      <c r="D18" s="35"/>
      <c r="E18" s="35"/>
      <c r="F18" s="35"/>
      <c r="G18" s="35"/>
      <c r="H18" s="902"/>
      <c r="I18" s="68"/>
      <c r="J18" s="903" t="s">
        <v>626</v>
      </c>
      <c r="K18" s="903" t="s">
        <v>609</v>
      </c>
      <c r="L18" s="903" t="s">
        <v>627</v>
      </c>
    </row>
    <row r="19">
      <c r="A19" s="35" t="s">
        <v>74</v>
      </c>
      <c r="B19" s="35" t="s">
        <v>628</v>
      </c>
      <c r="C19" s="35" t="s">
        <v>629</v>
      </c>
      <c r="D19" s="35"/>
      <c r="E19" s="35">
        <v>3.0</v>
      </c>
      <c r="F19" s="35">
        <v>3.0</v>
      </c>
      <c r="G19" s="35">
        <v>3.0</v>
      </c>
      <c r="H19" s="902" t="s">
        <v>630</v>
      </c>
      <c r="I19" s="68"/>
      <c r="J19" s="120">
        <f t="shared" ref="J19:J34" si="2">sum(E19:G19)</f>
        <v>9</v>
      </c>
      <c r="K19" s="180">
        <f t="shared" ref="K19:K34" si="3">index($K$3:$K$11,MATCH(J19,$J$3:$J$11,0))</f>
        <v>0.9</v>
      </c>
      <c r="L19" s="493">
        <f t="shared" ref="L19:L34" si="4">iferror(if(C19="Excluded",K19*D19,0),"Not specified")</f>
        <v>0</v>
      </c>
    </row>
    <row r="20">
      <c r="A20" s="35" t="s">
        <v>74</v>
      </c>
      <c r="B20" s="109" t="s">
        <v>631</v>
      </c>
      <c r="C20" s="35" t="s">
        <v>629</v>
      </c>
      <c r="D20" s="904"/>
      <c r="E20" s="35">
        <v>2.0</v>
      </c>
      <c r="F20" s="35">
        <v>3.0</v>
      </c>
      <c r="G20" s="35">
        <v>2.0</v>
      </c>
      <c r="H20" s="902" t="s">
        <v>632</v>
      </c>
      <c r="I20" s="68"/>
      <c r="J20" s="120">
        <f t="shared" si="2"/>
        <v>7</v>
      </c>
      <c r="K20" s="180">
        <f t="shared" si="3"/>
        <v>0.7</v>
      </c>
      <c r="L20" s="493">
        <f t="shared" si="4"/>
        <v>0</v>
      </c>
    </row>
    <row r="21">
      <c r="A21" s="35" t="s">
        <v>74</v>
      </c>
      <c r="B21" s="109" t="s">
        <v>633</v>
      </c>
      <c r="C21" s="35" t="s">
        <v>629</v>
      </c>
      <c r="D21" s="35" t="s">
        <v>634</v>
      </c>
      <c r="E21" s="35">
        <v>2.0</v>
      </c>
      <c r="F21" s="35">
        <v>1.0</v>
      </c>
      <c r="G21" s="35">
        <v>3.0</v>
      </c>
      <c r="H21" s="902" t="s">
        <v>635</v>
      </c>
      <c r="I21" s="68"/>
      <c r="J21" s="120">
        <f t="shared" si="2"/>
        <v>6</v>
      </c>
      <c r="K21" s="180">
        <f t="shared" si="3"/>
        <v>0.6</v>
      </c>
      <c r="L21" s="493">
        <f t="shared" si="4"/>
        <v>0</v>
      </c>
    </row>
    <row r="22">
      <c r="A22" s="35" t="s">
        <v>74</v>
      </c>
      <c r="B22" s="109" t="s">
        <v>636</v>
      </c>
      <c r="C22" s="905" t="s">
        <v>637</v>
      </c>
      <c r="D22" s="904">
        <v>0.15</v>
      </c>
      <c r="E22" s="35">
        <v>3.0</v>
      </c>
      <c r="F22" s="35">
        <v>2.0</v>
      </c>
      <c r="G22" s="35">
        <v>1.0</v>
      </c>
      <c r="H22" s="902" t="s">
        <v>638</v>
      </c>
      <c r="I22" s="68"/>
      <c r="J22" s="120">
        <f t="shared" si="2"/>
        <v>6</v>
      </c>
      <c r="K22" s="180">
        <f t="shared" si="3"/>
        <v>0.6</v>
      </c>
      <c r="L22" s="493">
        <f t="shared" si="4"/>
        <v>0.09</v>
      </c>
    </row>
    <row r="23">
      <c r="A23" s="35" t="s">
        <v>74</v>
      </c>
      <c r="B23" s="109" t="s">
        <v>639</v>
      </c>
      <c r="C23" s="905" t="s">
        <v>637</v>
      </c>
      <c r="D23" s="904">
        <v>0.15</v>
      </c>
      <c r="E23" s="35">
        <v>3.0</v>
      </c>
      <c r="F23" s="35">
        <v>2.0</v>
      </c>
      <c r="G23" s="35">
        <v>1.0</v>
      </c>
      <c r="H23" s="902" t="s">
        <v>640</v>
      </c>
      <c r="I23" s="68"/>
      <c r="J23" s="120">
        <f t="shared" si="2"/>
        <v>6</v>
      </c>
      <c r="K23" s="180">
        <f t="shared" si="3"/>
        <v>0.6</v>
      </c>
      <c r="L23" s="493">
        <f t="shared" si="4"/>
        <v>0.09</v>
      </c>
    </row>
    <row r="24">
      <c r="A24" s="35" t="s">
        <v>74</v>
      </c>
      <c r="B24" s="35" t="s">
        <v>641</v>
      </c>
      <c r="C24" s="905" t="s">
        <v>637</v>
      </c>
      <c r="D24" s="904">
        <v>0.05</v>
      </c>
      <c r="E24" s="35">
        <v>2.0</v>
      </c>
      <c r="F24" s="35">
        <v>1.0</v>
      </c>
      <c r="G24" s="35">
        <v>1.0</v>
      </c>
      <c r="H24" s="902" t="s">
        <v>642</v>
      </c>
      <c r="I24" s="68"/>
      <c r="J24" s="120">
        <f t="shared" si="2"/>
        <v>4</v>
      </c>
      <c r="K24" s="180">
        <f t="shared" si="3"/>
        <v>0.4</v>
      </c>
      <c r="L24" s="493">
        <f t="shared" si="4"/>
        <v>0.02</v>
      </c>
    </row>
    <row r="25">
      <c r="A25" s="35" t="s">
        <v>74</v>
      </c>
      <c r="B25" s="35" t="s">
        <v>643</v>
      </c>
      <c r="C25" s="905" t="s">
        <v>637</v>
      </c>
      <c r="D25" s="904">
        <v>0.1</v>
      </c>
      <c r="E25" s="35">
        <v>3.0</v>
      </c>
      <c r="F25" s="35">
        <v>3.0</v>
      </c>
      <c r="G25" s="35">
        <v>3.0</v>
      </c>
      <c r="H25" s="902" t="s">
        <v>644</v>
      </c>
      <c r="I25" s="68"/>
      <c r="J25" s="120">
        <f t="shared" si="2"/>
        <v>9</v>
      </c>
      <c r="K25" s="180">
        <f t="shared" si="3"/>
        <v>0.9</v>
      </c>
      <c r="L25" s="493">
        <f t="shared" si="4"/>
        <v>0.09</v>
      </c>
    </row>
    <row r="26">
      <c r="A26" s="35" t="s">
        <v>74</v>
      </c>
      <c r="B26" s="109" t="s">
        <v>645</v>
      </c>
      <c r="C26" s="905" t="s">
        <v>637</v>
      </c>
      <c r="D26" s="904">
        <v>0.05</v>
      </c>
      <c r="E26" s="35">
        <v>1.0</v>
      </c>
      <c r="F26" s="35">
        <v>2.0</v>
      </c>
      <c r="G26" s="35">
        <v>2.0</v>
      </c>
      <c r="H26" s="902" t="s">
        <v>646</v>
      </c>
      <c r="I26" s="68"/>
      <c r="J26" s="120">
        <f t="shared" si="2"/>
        <v>5</v>
      </c>
      <c r="K26" s="180">
        <f t="shared" si="3"/>
        <v>0.5</v>
      </c>
      <c r="L26" s="493">
        <f t="shared" si="4"/>
        <v>0.025</v>
      </c>
    </row>
    <row r="27">
      <c r="A27" s="35" t="s">
        <v>74</v>
      </c>
      <c r="B27" s="109" t="s">
        <v>647</v>
      </c>
      <c r="C27" s="905" t="s">
        <v>637</v>
      </c>
      <c r="D27" s="904">
        <v>-0.1</v>
      </c>
      <c r="E27" s="35">
        <v>2.0</v>
      </c>
      <c r="F27" s="35">
        <v>1.0</v>
      </c>
      <c r="G27" s="35">
        <v>1.0</v>
      </c>
      <c r="H27" s="902" t="s">
        <v>648</v>
      </c>
      <c r="I27" s="68"/>
      <c r="J27" s="120">
        <f t="shared" si="2"/>
        <v>4</v>
      </c>
      <c r="K27" s="180">
        <f t="shared" si="3"/>
        <v>0.4</v>
      </c>
      <c r="L27" s="493">
        <f t="shared" si="4"/>
        <v>-0.04</v>
      </c>
    </row>
    <row r="28">
      <c r="A28" s="35" t="s">
        <v>74</v>
      </c>
      <c r="B28" s="109" t="s">
        <v>649</v>
      </c>
      <c r="C28" s="905" t="s">
        <v>637</v>
      </c>
      <c r="D28" s="35" t="s">
        <v>650</v>
      </c>
      <c r="E28" s="906">
        <v>1.0</v>
      </c>
      <c r="F28" s="906">
        <v>1.0</v>
      </c>
      <c r="G28" s="906">
        <v>1.0</v>
      </c>
      <c r="H28" s="902" t="s">
        <v>651</v>
      </c>
      <c r="I28" s="68"/>
      <c r="J28" s="120">
        <f t="shared" si="2"/>
        <v>3</v>
      </c>
      <c r="K28" s="180">
        <f t="shared" si="3"/>
        <v>0.3</v>
      </c>
      <c r="L28" s="493" t="str">
        <f t="shared" si="4"/>
        <v>Not specified</v>
      </c>
    </row>
    <row r="29">
      <c r="A29" s="35" t="s">
        <v>74</v>
      </c>
      <c r="B29" s="109" t="s">
        <v>652</v>
      </c>
      <c r="C29" s="905" t="s">
        <v>637</v>
      </c>
      <c r="D29" s="904">
        <v>0.1</v>
      </c>
      <c r="E29" s="35">
        <v>3.0</v>
      </c>
      <c r="F29" s="35">
        <v>2.0</v>
      </c>
      <c r="G29" s="35">
        <v>1.0</v>
      </c>
      <c r="H29" s="902" t="s">
        <v>653</v>
      </c>
      <c r="I29" s="68"/>
      <c r="J29" s="120">
        <f t="shared" si="2"/>
        <v>6</v>
      </c>
      <c r="K29" s="180">
        <f t="shared" si="3"/>
        <v>0.6</v>
      </c>
      <c r="L29" s="493">
        <f t="shared" si="4"/>
        <v>0.06</v>
      </c>
    </row>
    <row r="30">
      <c r="A30" s="35" t="s">
        <v>74</v>
      </c>
      <c r="B30" s="427" t="s">
        <v>654</v>
      </c>
      <c r="C30" s="94" t="s">
        <v>637</v>
      </c>
      <c r="D30" s="907">
        <v>0.03</v>
      </c>
      <c r="E30" s="908">
        <v>3.0</v>
      </c>
      <c r="F30" s="908">
        <v>3.0</v>
      </c>
      <c r="G30" s="909">
        <v>2.0</v>
      </c>
      <c r="H30" s="910" t="s">
        <v>655</v>
      </c>
      <c r="I30" s="68"/>
      <c r="J30" s="120">
        <f t="shared" si="2"/>
        <v>8</v>
      </c>
      <c r="K30" s="180">
        <f t="shared" si="3"/>
        <v>0.8</v>
      </c>
      <c r="L30" s="493">
        <f t="shared" si="4"/>
        <v>0.024</v>
      </c>
    </row>
    <row r="31">
      <c r="A31" s="35" t="s">
        <v>74</v>
      </c>
      <c r="B31" s="427" t="s">
        <v>656</v>
      </c>
      <c r="C31" s="94" t="s">
        <v>637</v>
      </c>
      <c r="D31" s="911">
        <v>-0.3</v>
      </c>
      <c r="E31" s="909">
        <v>2.0</v>
      </c>
      <c r="F31" s="912">
        <v>1.0</v>
      </c>
      <c r="G31" s="909">
        <v>2.0</v>
      </c>
      <c r="H31" s="910" t="s">
        <v>657</v>
      </c>
      <c r="I31" s="120"/>
      <c r="J31" s="120">
        <f t="shared" si="2"/>
        <v>5</v>
      </c>
      <c r="K31" s="180">
        <f t="shared" si="3"/>
        <v>0.5</v>
      </c>
      <c r="L31" s="493">
        <f t="shared" si="4"/>
        <v>-0.15</v>
      </c>
    </row>
    <row r="32">
      <c r="A32" s="35" t="s">
        <v>74</v>
      </c>
      <c r="B32" s="427" t="s">
        <v>658</v>
      </c>
      <c r="C32" s="94" t="s">
        <v>637</v>
      </c>
      <c r="D32" s="907">
        <v>0.1</v>
      </c>
      <c r="E32" s="909">
        <v>2.0</v>
      </c>
      <c r="F32" s="909">
        <v>2.0</v>
      </c>
      <c r="G32" s="912">
        <v>1.0</v>
      </c>
      <c r="H32" s="913" t="s">
        <v>659</v>
      </c>
      <c r="I32" s="120"/>
      <c r="J32" s="120">
        <f t="shared" si="2"/>
        <v>5</v>
      </c>
      <c r="K32" s="180">
        <f t="shared" si="3"/>
        <v>0.5</v>
      </c>
      <c r="L32" s="493">
        <f t="shared" si="4"/>
        <v>0.05</v>
      </c>
    </row>
    <row r="33">
      <c r="A33" s="35" t="s">
        <v>74</v>
      </c>
      <c r="B33" s="427" t="s">
        <v>660</v>
      </c>
      <c r="C33" s="94" t="s">
        <v>637</v>
      </c>
      <c r="D33" s="907">
        <v>0.05</v>
      </c>
      <c r="E33" s="912">
        <v>1.0</v>
      </c>
      <c r="F33" s="909">
        <v>2.0</v>
      </c>
      <c r="G33" s="912">
        <v>1.0</v>
      </c>
      <c r="H33" s="913" t="s">
        <v>661</v>
      </c>
      <c r="I33" s="120"/>
      <c r="J33" s="120">
        <f t="shared" si="2"/>
        <v>4</v>
      </c>
      <c r="K33" s="180">
        <f t="shared" si="3"/>
        <v>0.4</v>
      </c>
      <c r="L33" s="493">
        <f t="shared" si="4"/>
        <v>0.02</v>
      </c>
    </row>
    <row r="34">
      <c r="A34" s="35" t="s">
        <v>74</v>
      </c>
      <c r="B34" s="427" t="s">
        <v>662</v>
      </c>
      <c r="C34" s="94" t="s">
        <v>637</v>
      </c>
      <c r="D34" s="907">
        <v>-0.05</v>
      </c>
      <c r="E34" s="912">
        <v>1.0</v>
      </c>
      <c r="F34" s="909">
        <v>2.0</v>
      </c>
      <c r="G34" s="912">
        <v>1.0</v>
      </c>
      <c r="H34" s="913" t="s">
        <v>663</v>
      </c>
      <c r="I34" s="120"/>
      <c r="J34" s="120">
        <f t="shared" si="2"/>
        <v>4</v>
      </c>
      <c r="K34" s="180">
        <f t="shared" si="3"/>
        <v>0.4</v>
      </c>
      <c r="L34" s="493">
        <f t="shared" si="4"/>
        <v>-0.02</v>
      </c>
    </row>
    <row r="35">
      <c r="A35" s="109"/>
      <c r="B35" s="109"/>
      <c r="C35" s="35"/>
      <c r="D35" s="35"/>
      <c r="E35" s="35"/>
      <c r="F35" s="35"/>
      <c r="G35" s="35"/>
      <c r="H35" s="902"/>
      <c r="I35" s="68"/>
      <c r="J35" s="914" t="s">
        <v>664</v>
      </c>
      <c r="K35" s="915"/>
      <c r="L35" s="916">
        <f>1+sum(iferror(L19:L34,0))</f>
        <v>1.259</v>
      </c>
    </row>
    <row r="36">
      <c r="A36" s="333"/>
      <c r="B36" s="333" t="s">
        <v>665</v>
      </c>
      <c r="C36" s="905"/>
      <c r="D36" s="35"/>
      <c r="E36" s="35"/>
      <c r="F36" s="35"/>
      <c r="G36" s="35"/>
      <c r="H36" s="902"/>
      <c r="I36" s="68"/>
    </row>
    <row r="37">
      <c r="A37" s="109" t="s">
        <v>665</v>
      </c>
      <c r="B37" s="109" t="s">
        <v>633</v>
      </c>
      <c r="C37" s="35" t="s">
        <v>629</v>
      </c>
      <c r="D37" s="904"/>
      <c r="E37" s="35">
        <v>2.0</v>
      </c>
      <c r="F37" s="35">
        <v>1.0</v>
      </c>
      <c r="G37" s="35">
        <v>3.0</v>
      </c>
      <c r="H37" s="902" t="s">
        <v>666</v>
      </c>
      <c r="I37" s="68"/>
      <c r="J37" s="120">
        <f t="shared" ref="J37:J49" si="5">sum(E37:G37)</f>
        <v>6</v>
      </c>
      <c r="K37" s="180">
        <f t="shared" ref="K37:K49" si="6">index($K$3:$K$11,MATCH(J37,$J$3:$J$11,0))</f>
        <v>0.6</v>
      </c>
      <c r="L37" s="493">
        <f t="shared" ref="L37:L49" si="7">iferror(if(C37="Excluded",K37*D37,0),"Not specified")</f>
        <v>0</v>
      </c>
    </row>
    <row r="38">
      <c r="A38" s="109" t="s">
        <v>665</v>
      </c>
      <c r="B38" s="109" t="s">
        <v>667</v>
      </c>
      <c r="C38" s="35" t="s">
        <v>637</v>
      </c>
      <c r="D38" s="904">
        <v>0.02</v>
      </c>
      <c r="E38" s="35">
        <v>2.0</v>
      </c>
      <c r="F38" s="35">
        <v>1.0</v>
      </c>
      <c r="G38" s="35">
        <v>1.0</v>
      </c>
      <c r="H38" s="902" t="s">
        <v>668</v>
      </c>
      <c r="I38" s="68"/>
      <c r="J38" s="120">
        <f t="shared" si="5"/>
        <v>4</v>
      </c>
      <c r="K38" s="180">
        <f t="shared" si="6"/>
        <v>0.4</v>
      </c>
      <c r="L38" s="493">
        <f t="shared" si="7"/>
        <v>0.008</v>
      </c>
    </row>
    <row r="39">
      <c r="A39" s="109" t="s">
        <v>665</v>
      </c>
      <c r="B39" s="109" t="s">
        <v>669</v>
      </c>
      <c r="C39" s="35" t="s">
        <v>637</v>
      </c>
      <c r="D39" s="904">
        <v>0.1</v>
      </c>
      <c r="E39" s="35">
        <v>2.0</v>
      </c>
      <c r="F39" s="35">
        <v>2.0</v>
      </c>
      <c r="G39" s="35">
        <v>2.0</v>
      </c>
      <c r="H39" s="902" t="s">
        <v>670</v>
      </c>
      <c r="I39" s="68"/>
      <c r="J39" s="120">
        <f t="shared" si="5"/>
        <v>6</v>
      </c>
      <c r="K39" s="180">
        <f t="shared" si="6"/>
        <v>0.6</v>
      </c>
      <c r="L39" s="493">
        <f t="shared" si="7"/>
        <v>0.06</v>
      </c>
    </row>
    <row r="40">
      <c r="A40" s="109" t="s">
        <v>665</v>
      </c>
      <c r="B40" s="35" t="s">
        <v>671</v>
      </c>
      <c r="C40" s="35" t="s">
        <v>637</v>
      </c>
      <c r="D40" s="904">
        <v>-0.05</v>
      </c>
      <c r="E40" s="35">
        <v>2.0</v>
      </c>
      <c r="F40" s="35">
        <v>1.0</v>
      </c>
      <c r="G40" s="35">
        <v>2.0</v>
      </c>
      <c r="H40" s="902" t="s">
        <v>672</v>
      </c>
      <c r="I40" s="68"/>
      <c r="J40" s="120">
        <f t="shared" si="5"/>
        <v>5</v>
      </c>
      <c r="K40" s="180">
        <f t="shared" si="6"/>
        <v>0.5</v>
      </c>
      <c r="L40" s="493">
        <f t="shared" si="7"/>
        <v>-0.025</v>
      </c>
    </row>
    <row r="41">
      <c r="A41" s="109" t="s">
        <v>665</v>
      </c>
      <c r="B41" s="35" t="s">
        <v>673</v>
      </c>
      <c r="C41" s="35" t="s">
        <v>637</v>
      </c>
      <c r="D41" s="904">
        <v>0.05</v>
      </c>
      <c r="E41" s="35">
        <v>1.0</v>
      </c>
      <c r="F41" s="35">
        <v>3.0</v>
      </c>
      <c r="G41" s="35">
        <v>3.0</v>
      </c>
      <c r="H41" s="902" t="s">
        <v>674</v>
      </c>
      <c r="I41" s="68"/>
      <c r="J41" s="120">
        <f t="shared" si="5"/>
        <v>7</v>
      </c>
      <c r="K41" s="180">
        <f t="shared" si="6"/>
        <v>0.7</v>
      </c>
      <c r="L41" s="493">
        <f t="shared" si="7"/>
        <v>0.035</v>
      </c>
    </row>
    <row r="42">
      <c r="A42" s="109" t="s">
        <v>665</v>
      </c>
      <c r="B42" s="109" t="s">
        <v>639</v>
      </c>
      <c r="C42" s="905" t="s">
        <v>637</v>
      </c>
      <c r="D42" s="904">
        <v>0.15</v>
      </c>
      <c r="E42" s="35">
        <v>3.0</v>
      </c>
      <c r="F42" s="35">
        <v>2.0</v>
      </c>
      <c r="G42" s="35">
        <v>1.0</v>
      </c>
      <c r="H42" s="902" t="s">
        <v>640</v>
      </c>
      <c r="I42" s="68"/>
      <c r="J42" s="120">
        <f t="shared" si="5"/>
        <v>6</v>
      </c>
      <c r="K42" s="180">
        <f t="shared" si="6"/>
        <v>0.6</v>
      </c>
      <c r="L42" s="493">
        <f t="shared" si="7"/>
        <v>0.09</v>
      </c>
    </row>
    <row r="43">
      <c r="A43" s="109" t="s">
        <v>665</v>
      </c>
      <c r="B43" s="35" t="s">
        <v>645</v>
      </c>
      <c r="C43" s="35" t="s">
        <v>637</v>
      </c>
      <c r="D43" s="904">
        <v>0.2</v>
      </c>
      <c r="E43" s="35">
        <v>1.0</v>
      </c>
      <c r="F43" s="35">
        <v>2.0</v>
      </c>
      <c r="G43" s="35">
        <v>2.0</v>
      </c>
      <c r="H43" s="902" t="s">
        <v>675</v>
      </c>
      <c r="I43" s="68"/>
      <c r="J43" s="120">
        <f t="shared" si="5"/>
        <v>5</v>
      </c>
      <c r="K43" s="180">
        <f t="shared" si="6"/>
        <v>0.5</v>
      </c>
      <c r="L43" s="493">
        <f t="shared" si="7"/>
        <v>0.1</v>
      </c>
    </row>
    <row r="44">
      <c r="A44" s="109" t="s">
        <v>665</v>
      </c>
      <c r="B44" s="35" t="s">
        <v>676</v>
      </c>
      <c r="C44" s="35" t="s">
        <v>637</v>
      </c>
      <c r="D44" s="904">
        <v>0.4</v>
      </c>
      <c r="E44" s="35">
        <v>0.0</v>
      </c>
      <c r="F44" s="35">
        <v>0.0</v>
      </c>
      <c r="G44" s="35">
        <v>1.0</v>
      </c>
      <c r="H44" s="902" t="s">
        <v>677</v>
      </c>
      <c r="I44" s="68"/>
      <c r="J44" s="120">
        <f t="shared" si="5"/>
        <v>1</v>
      </c>
      <c r="K44" s="180">
        <f t="shared" si="6"/>
        <v>0.1</v>
      </c>
      <c r="L44" s="493">
        <f t="shared" si="7"/>
        <v>0.04</v>
      </c>
    </row>
    <row r="45">
      <c r="A45" s="109" t="s">
        <v>665</v>
      </c>
      <c r="B45" s="35" t="s">
        <v>678</v>
      </c>
      <c r="C45" s="35" t="s">
        <v>637</v>
      </c>
      <c r="D45" s="904">
        <v>0.2</v>
      </c>
      <c r="E45" s="35">
        <v>3.0</v>
      </c>
      <c r="F45" s="35">
        <v>2.0</v>
      </c>
      <c r="G45" s="35">
        <v>2.0</v>
      </c>
      <c r="H45" s="902" t="s">
        <v>679</v>
      </c>
      <c r="I45" s="68"/>
      <c r="J45" s="120">
        <f t="shared" si="5"/>
        <v>7</v>
      </c>
      <c r="K45" s="180">
        <f t="shared" si="6"/>
        <v>0.7</v>
      </c>
      <c r="L45" s="493">
        <f t="shared" si="7"/>
        <v>0.14</v>
      </c>
    </row>
    <row r="46">
      <c r="A46" s="109" t="s">
        <v>665</v>
      </c>
      <c r="B46" s="35" t="s">
        <v>680</v>
      </c>
      <c r="C46" s="35" t="s">
        <v>637</v>
      </c>
      <c r="D46" s="904">
        <v>-0.1</v>
      </c>
      <c r="E46" s="35">
        <v>1.0</v>
      </c>
      <c r="F46" s="35">
        <v>1.0</v>
      </c>
      <c r="G46" s="35">
        <v>2.0</v>
      </c>
      <c r="H46" s="902" t="s">
        <v>681</v>
      </c>
      <c r="I46" s="68"/>
      <c r="J46" s="120">
        <f t="shared" si="5"/>
        <v>4</v>
      </c>
      <c r="K46" s="180">
        <f t="shared" si="6"/>
        <v>0.4</v>
      </c>
      <c r="L46" s="493">
        <f t="shared" si="7"/>
        <v>-0.04</v>
      </c>
    </row>
    <row r="47">
      <c r="A47" s="109" t="s">
        <v>665</v>
      </c>
      <c r="B47" s="35" t="s">
        <v>682</v>
      </c>
      <c r="C47" s="35" t="s">
        <v>637</v>
      </c>
      <c r="D47" s="904">
        <v>-0.35</v>
      </c>
      <c r="E47" s="35">
        <v>1.0</v>
      </c>
      <c r="F47" s="35">
        <v>1.0</v>
      </c>
      <c r="G47" s="35">
        <v>2.0</v>
      </c>
      <c r="H47" s="902" t="s">
        <v>683</v>
      </c>
      <c r="I47" s="68"/>
      <c r="J47" s="120">
        <f t="shared" si="5"/>
        <v>4</v>
      </c>
      <c r="K47" s="180">
        <f t="shared" si="6"/>
        <v>0.4</v>
      </c>
      <c r="L47" s="493">
        <f t="shared" si="7"/>
        <v>-0.14</v>
      </c>
    </row>
    <row r="48">
      <c r="A48" s="109" t="s">
        <v>665</v>
      </c>
      <c r="B48" s="427" t="s">
        <v>656</v>
      </c>
      <c r="C48" s="120" t="s">
        <v>637</v>
      </c>
      <c r="D48" s="907">
        <v>-0.05</v>
      </c>
      <c r="E48" s="917">
        <v>2.0</v>
      </c>
      <c r="F48" s="918">
        <v>1.0</v>
      </c>
      <c r="G48" s="917">
        <v>2.0</v>
      </c>
      <c r="H48" s="910" t="s">
        <v>684</v>
      </c>
      <c r="I48" s="68"/>
      <c r="J48" s="120">
        <f t="shared" si="5"/>
        <v>5</v>
      </c>
      <c r="K48" s="180">
        <f t="shared" si="6"/>
        <v>0.5</v>
      </c>
      <c r="L48" s="493">
        <f t="shared" si="7"/>
        <v>-0.025</v>
      </c>
    </row>
    <row r="49">
      <c r="A49" s="109" t="s">
        <v>665</v>
      </c>
      <c r="B49" s="35" t="s">
        <v>685</v>
      </c>
      <c r="C49" s="35" t="s">
        <v>637</v>
      </c>
      <c r="D49" s="904">
        <v>-0.1</v>
      </c>
      <c r="E49" s="35">
        <v>1.0</v>
      </c>
      <c r="F49" s="35">
        <v>1.0</v>
      </c>
      <c r="G49" s="35">
        <v>1.0</v>
      </c>
      <c r="H49" s="902" t="s">
        <v>686</v>
      </c>
      <c r="I49" s="68"/>
      <c r="J49" s="120">
        <f t="shared" si="5"/>
        <v>3</v>
      </c>
      <c r="K49" s="180">
        <f t="shared" si="6"/>
        <v>0.3</v>
      </c>
      <c r="L49" s="493">
        <f t="shared" si="7"/>
        <v>-0.03</v>
      </c>
    </row>
    <row r="50">
      <c r="A50" s="68"/>
      <c r="B50" s="68"/>
      <c r="C50" s="68"/>
      <c r="D50" s="68"/>
      <c r="E50" s="68"/>
      <c r="F50" s="68"/>
      <c r="G50" s="68"/>
      <c r="H50" s="902"/>
      <c r="I50" s="68"/>
      <c r="J50" s="914" t="s">
        <v>687</v>
      </c>
      <c r="K50" s="915"/>
      <c r="L50" s="916">
        <f>1+sum(iferror(L37:L49,0))</f>
        <v>1.213</v>
      </c>
    </row>
    <row r="51">
      <c r="A51" s="333"/>
      <c r="B51" s="333" t="s">
        <v>26</v>
      </c>
      <c r="C51" s="35"/>
      <c r="D51" s="35"/>
      <c r="E51" s="35"/>
      <c r="F51" s="35"/>
      <c r="G51" s="35"/>
      <c r="H51" s="902"/>
      <c r="I51" s="68"/>
    </row>
    <row r="52">
      <c r="A52" s="35" t="s">
        <v>26</v>
      </c>
      <c r="B52" s="35" t="s">
        <v>628</v>
      </c>
      <c r="C52" s="35" t="s">
        <v>629</v>
      </c>
      <c r="D52" s="904"/>
      <c r="E52" s="35">
        <v>3.0</v>
      </c>
      <c r="F52" s="35">
        <v>3.0</v>
      </c>
      <c r="G52" s="35">
        <v>3.0</v>
      </c>
      <c r="H52" s="902" t="s">
        <v>688</v>
      </c>
      <c r="I52" s="68"/>
      <c r="J52" s="120">
        <f t="shared" ref="J52:J66" si="8">sum(E52:G52)</f>
        <v>9</v>
      </c>
      <c r="K52" s="180">
        <f t="shared" ref="K52:K66" si="9">index($K$3:$K$11,MATCH(J52,$J$3:$J$11,0))</f>
        <v>0.9</v>
      </c>
      <c r="L52" s="493">
        <f t="shared" ref="L52:L66" si="10">iferror(if(C52="Excluded",K52*D52,0),"Not specified")</f>
        <v>0</v>
      </c>
    </row>
    <row r="53">
      <c r="A53" s="35" t="s">
        <v>26</v>
      </c>
      <c r="B53" s="109" t="s">
        <v>633</v>
      </c>
      <c r="C53" s="35" t="s">
        <v>629</v>
      </c>
      <c r="D53" s="904"/>
      <c r="E53" s="35">
        <v>2.0</v>
      </c>
      <c r="F53" s="35">
        <v>1.0</v>
      </c>
      <c r="G53" s="35">
        <v>3.0</v>
      </c>
      <c r="H53" s="902" t="s">
        <v>635</v>
      </c>
      <c r="I53" s="68"/>
      <c r="J53" s="120">
        <f t="shared" si="8"/>
        <v>6</v>
      </c>
      <c r="K53" s="180">
        <f t="shared" si="9"/>
        <v>0.6</v>
      </c>
      <c r="L53" s="493">
        <f t="shared" si="10"/>
        <v>0</v>
      </c>
    </row>
    <row r="54">
      <c r="A54" s="35" t="s">
        <v>26</v>
      </c>
      <c r="B54" s="109" t="s">
        <v>631</v>
      </c>
      <c r="C54" s="35" t="s">
        <v>629</v>
      </c>
      <c r="D54" s="904">
        <v>0.05</v>
      </c>
      <c r="E54" s="35">
        <v>3.0</v>
      </c>
      <c r="F54" s="35">
        <v>3.0</v>
      </c>
      <c r="G54" s="35">
        <v>3.0</v>
      </c>
      <c r="H54" s="902" t="s">
        <v>689</v>
      </c>
      <c r="I54" s="68"/>
      <c r="J54" s="120">
        <f t="shared" si="8"/>
        <v>9</v>
      </c>
      <c r="K54" s="180">
        <f t="shared" si="9"/>
        <v>0.9</v>
      </c>
      <c r="L54" s="493">
        <f t="shared" si="10"/>
        <v>0</v>
      </c>
    </row>
    <row r="55">
      <c r="A55" s="35" t="s">
        <v>26</v>
      </c>
      <c r="B55" s="109" t="s">
        <v>636</v>
      </c>
      <c r="C55" s="905" t="s">
        <v>637</v>
      </c>
      <c r="D55" s="904">
        <v>0.15</v>
      </c>
      <c r="E55" s="35">
        <v>3.0</v>
      </c>
      <c r="F55" s="35">
        <v>2.0</v>
      </c>
      <c r="G55" s="35">
        <v>1.0</v>
      </c>
      <c r="H55" s="902" t="s">
        <v>638</v>
      </c>
      <c r="I55" s="68"/>
      <c r="J55" s="120">
        <f t="shared" si="8"/>
        <v>6</v>
      </c>
      <c r="K55" s="180">
        <f t="shared" si="9"/>
        <v>0.6</v>
      </c>
      <c r="L55" s="493">
        <f t="shared" si="10"/>
        <v>0.09</v>
      </c>
    </row>
    <row r="56">
      <c r="A56" s="35" t="s">
        <v>26</v>
      </c>
      <c r="B56" s="109" t="s">
        <v>639</v>
      </c>
      <c r="C56" s="905" t="s">
        <v>637</v>
      </c>
      <c r="D56" s="904">
        <v>0.15</v>
      </c>
      <c r="E56" s="35">
        <v>3.0</v>
      </c>
      <c r="F56" s="35">
        <v>2.0</v>
      </c>
      <c r="G56" s="35">
        <v>1.0</v>
      </c>
      <c r="H56" s="902" t="s">
        <v>640</v>
      </c>
      <c r="I56" s="68"/>
      <c r="J56" s="120">
        <f t="shared" si="8"/>
        <v>6</v>
      </c>
      <c r="K56" s="180">
        <f t="shared" si="9"/>
        <v>0.6</v>
      </c>
      <c r="L56" s="493">
        <f t="shared" si="10"/>
        <v>0.09</v>
      </c>
    </row>
    <row r="57">
      <c r="A57" s="35" t="s">
        <v>26</v>
      </c>
      <c r="B57" s="109" t="s">
        <v>645</v>
      </c>
      <c r="C57" s="905" t="s">
        <v>637</v>
      </c>
      <c r="D57" s="904">
        <v>0.1</v>
      </c>
      <c r="E57" s="35">
        <v>1.0</v>
      </c>
      <c r="F57" s="35">
        <v>2.0</v>
      </c>
      <c r="G57" s="35">
        <v>3.0</v>
      </c>
      <c r="H57" s="902" t="s">
        <v>690</v>
      </c>
      <c r="I57" s="68"/>
      <c r="J57" s="120">
        <f t="shared" si="8"/>
        <v>6</v>
      </c>
      <c r="K57" s="180">
        <f t="shared" si="9"/>
        <v>0.6</v>
      </c>
      <c r="L57" s="493">
        <f t="shared" si="10"/>
        <v>0.06</v>
      </c>
    </row>
    <row r="58">
      <c r="A58" s="35" t="s">
        <v>26</v>
      </c>
      <c r="B58" s="109" t="s">
        <v>647</v>
      </c>
      <c r="C58" s="905" t="s">
        <v>637</v>
      </c>
      <c r="D58" s="904">
        <v>-0.1</v>
      </c>
      <c r="E58" s="35">
        <v>2.0</v>
      </c>
      <c r="F58" s="35">
        <v>1.0</v>
      </c>
      <c r="G58" s="35">
        <v>1.0</v>
      </c>
      <c r="H58" s="902" t="s">
        <v>691</v>
      </c>
      <c r="I58" s="68"/>
      <c r="J58" s="120">
        <f t="shared" si="8"/>
        <v>4</v>
      </c>
      <c r="K58" s="180">
        <f t="shared" si="9"/>
        <v>0.4</v>
      </c>
      <c r="L58" s="493">
        <f t="shared" si="10"/>
        <v>-0.04</v>
      </c>
    </row>
    <row r="59">
      <c r="A59" s="35" t="s">
        <v>26</v>
      </c>
      <c r="B59" s="35" t="s">
        <v>680</v>
      </c>
      <c r="C59" s="35" t="s">
        <v>637</v>
      </c>
      <c r="D59" s="904">
        <v>-0.1</v>
      </c>
      <c r="E59" s="35">
        <v>1.0</v>
      </c>
      <c r="F59" s="35">
        <v>1.0</v>
      </c>
      <c r="G59" s="35">
        <v>2.0</v>
      </c>
      <c r="H59" s="902" t="s">
        <v>692</v>
      </c>
      <c r="I59" s="68"/>
      <c r="J59" s="120">
        <f t="shared" si="8"/>
        <v>4</v>
      </c>
      <c r="K59" s="180">
        <f t="shared" si="9"/>
        <v>0.4</v>
      </c>
      <c r="L59" s="493">
        <f t="shared" si="10"/>
        <v>-0.04</v>
      </c>
    </row>
    <row r="60">
      <c r="A60" s="35" t="s">
        <v>26</v>
      </c>
      <c r="B60" s="109" t="s">
        <v>649</v>
      </c>
      <c r="C60" s="905" t="s">
        <v>637</v>
      </c>
      <c r="D60" s="35" t="s">
        <v>650</v>
      </c>
      <c r="E60" s="906">
        <v>1.0</v>
      </c>
      <c r="F60" s="906">
        <v>1.0</v>
      </c>
      <c r="G60" s="906">
        <v>1.0</v>
      </c>
      <c r="H60" s="902" t="s">
        <v>651</v>
      </c>
      <c r="I60" s="68"/>
      <c r="J60" s="120">
        <f t="shared" si="8"/>
        <v>3</v>
      </c>
      <c r="K60" s="180">
        <f t="shared" si="9"/>
        <v>0.3</v>
      </c>
      <c r="L60" s="493" t="str">
        <f t="shared" si="10"/>
        <v>Not specified</v>
      </c>
    </row>
    <row r="61">
      <c r="A61" s="35" t="s">
        <v>26</v>
      </c>
      <c r="B61" s="109" t="s">
        <v>652</v>
      </c>
      <c r="C61" s="905" t="s">
        <v>637</v>
      </c>
      <c r="D61" s="904">
        <v>0.1</v>
      </c>
      <c r="E61" s="35">
        <v>3.0</v>
      </c>
      <c r="F61" s="35">
        <v>2.0</v>
      </c>
      <c r="G61" s="35">
        <v>1.0</v>
      </c>
      <c r="H61" s="902" t="s">
        <v>693</v>
      </c>
      <c r="I61" s="68"/>
      <c r="J61" s="120">
        <f t="shared" si="8"/>
        <v>6</v>
      </c>
      <c r="K61" s="180">
        <f t="shared" si="9"/>
        <v>0.6</v>
      </c>
      <c r="L61" s="493">
        <f t="shared" si="10"/>
        <v>0.06</v>
      </c>
    </row>
    <row r="62">
      <c r="A62" s="35" t="s">
        <v>26</v>
      </c>
      <c r="B62" s="427" t="s">
        <v>654</v>
      </c>
      <c r="C62" s="94" t="s">
        <v>637</v>
      </c>
      <c r="D62" s="907">
        <v>0.04</v>
      </c>
      <c r="E62" s="908">
        <v>3.0</v>
      </c>
      <c r="F62" s="908">
        <v>3.0</v>
      </c>
      <c r="G62" s="909">
        <v>2.0</v>
      </c>
      <c r="H62" s="910" t="s">
        <v>655</v>
      </c>
      <c r="I62" s="68"/>
      <c r="J62" s="120">
        <f t="shared" si="8"/>
        <v>8</v>
      </c>
      <c r="K62" s="180">
        <f t="shared" si="9"/>
        <v>0.8</v>
      </c>
      <c r="L62" s="493">
        <f t="shared" si="10"/>
        <v>0.032</v>
      </c>
    </row>
    <row r="63">
      <c r="A63" s="35" t="s">
        <v>26</v>
      </c>
      <c r="B63" s="427" t="s">
        <v>656</v>
      </c>
      <c r="C63" s="120" t="s">
        <v>637</v>
      </c>
      <c r="D63" s="907">
        <v>-0.05</v>
      </c>
      <c r="E63" s="917">
        <v>2.0</v>
      </c>
      <c r="F63" s="918">
        <v>1.0</v>
      </c>
      <c r="G63" s="917">
        <v>2.0</v>
      </c>
      <c r="H63" s="910" t="s">
        <v>694</v>
      </c>
      <c r="I63" s="68"/>
      <c r="J63" s="120">
        <f t="shared" si="8"/>
        <v>5</v>
      </c>
      <c r="K63" s="180">
        <f t="shared" si="9"/>
        <v>0.5</v>
      </c>
      <c r="L63" s="493">
        <f t="shared" si="10"/>
        <v>-0.025</v>
      </c>
    </row>
    <row r="64">
      <c r="A64" s="35" t="s">
        <v>26</v>
      </c>
      <c r="B64" s="165" t="s">
        <v>695</v>
      </c>
      <c r="C64" s="120" t="s">
        <v>637</v>
      </c>
      <c r="D64" s="907">
        <v>-0.005</v>
      </c>
      <c r="E64" s="919">
        <v>3.0</v>
      </c>
      <c r="F64" s="919">
        <v>3.0</v>
      </c>
      <c r="G64" s="919">
        <v>3.0</v>
      </c>
      <c r="H64" s="913" t="s">
        <v>696</v>
      </c>
      <c r="I64" s="68"/>
      <c r="J64" s="120">
        <f t="shared" si="8"/>
        <v>9</v>
      </c>
      <c r="K64" s="180">
        <f t="shared" si="9"/>
        <v>0.9</v>
      </c>
      <c r="L64" s="493">
        <f t="shared" si="10"/>
        <v>-0.0045</v>
      </c>
    </row>
    <row r="65">
      <c r="A65" s="35" t="s">
        <v>26</v>
      </c>
      <c r="B65" s="165" t="s">
        <v>697</v>
      </c>
      <c r="C65" s="165" t="s">
        <v>637</v>
      </c>
      <c r="D65" s="920">
        <v>-0.02</v>
      </c>
      <c r="E65" s="921">
        <v>2.0</v>
      </c>
      <c r="F65" s="921">
        <v>3.0</v>
      </c>
      <c r="G65" s="921">
        <v>3.0</v>
      </c>
      <c r="H65" s="910" t="s">
        <v>698</v>
      </c>
      <c r="I65" s="68"/>
      <c r="J65" s="120">
        <f t="shared" si="8"/>
        <v>8</v>
      </c>
      <c r="K65" s="180">
        <f t="shared" si="9"/>
        <v>0.8</v>
      </c>
      <c r="L65" s="493">
        <f t="shared" si="10"/>
        <v>-0.016</v>
      </c>
    </row>
    <row r="66">
      <c r="A66" s="35" t="s">
        <v>26</v>
      </c>
      <c r="B66" s="165" t="s">
        <v>699</v>
      </c>
      <c r="C66" s="120" t="s">
        <v>637</v>
      </c>
      <c r="D66" s="907">
        <v>-0.01</v>
      </c>
      <c r="E66" s="922">
        <v>3.0</v>
      </c>
      <c r="F66" s="917">
        <v>2.0</v>
      </c>
      <c r="G66" s="918">
        <v>1.0</v>
      </c>
      <c r="H66" s="913" t="s">
        <v>700</v>
      </c>
      <c r="I66" s="68"/>
      <c r="J66" s="120">
        <f t="shared" si="8"/>
        <v>6</v>
      </c>
      <c r="K66" s="180">
        <f t="shared" si="9"/>
        <v>0.6</v>
      </c>
      <c r="L66" s="493">
        <f t="shared" si="10"/>
        <v>-0.006</v>
      </c>
    </row>
    <row r="67">
      <c r="A67" s="68"/>
      <c r="B67" s="68"/>
      <c r="C67" s="68"/>
      <c r="D67" s="68"/>
      <c r="E67" s="68"/>
      <c r="F67" s="68"/>
      <c r="G67" s="68"/>
      <c r="H67" s="902"/>
      <c r="I67" s="68"/>
      <c r="J67" s="914" t="s">
        <v>701</v>
      </c>
      <c r="K67" s="915"/>
      <c r="L67" s="916">
        <f>1+sum(iferror(L53:L66,0))</f>
        <v>1.2005</v>
      </c>
    </row>
    <row r="68">
      <c r="A68" s="428"/>
      <c r="B68" s="428" t="s">
        <v>702</v>
      </c>
      <c r="C68" s="120"/>
      <c r="D68" s="120"/>
      <c r="E68" s="120"/>
      <c r="F68" s="120"/>
      <c r="G68" s="120"/>
      <c r="H68" s="120"/>
      <c r="I68" s="120"/>
      <c r="J68" s="120"/>
      <c r="K68" s="120"/>
      <c r="L68" s="120"/>
    </row>
    <row r="69">
      <c r="A69" s="165" t="s">
        <v>702</v>
      </c>
      <c r="B69" s="165" t="s">
        <v>703</v>
      </c>
      <c r="C69" s="94" t="s">
        <v>629</v>
      </c>
      <c r="D69" s="904"/>
      <c r="E69" s="923">
        <v>3.0</v>
      </c>
      <c r="F69" s="923">
        <v>3.0</v>
      </c>
      <c r="G69" s="923">
        <v>3.0</v>
      </c>
      <c r="H69" s="913" t="s">
        <v>704</v>
      </c>
      <c r="I69" s="120"/>
      <c r="J69" s="120">
        <f t="shared" ref="J69:J78" si="11">sum(E69:G69)</f>
        <v>9</v>
      </c>
      <c r="K69" s="180">
        <f t="shared" ref="K69:K78" si="12">index($K$3:$K$11,MATCH(J69,$J$3:$J$11,0))</f>
        <v>0.9</v>
      </c>
      <c r="L69" s="493">
        <f t="shared" ref="L69:L78" si="13">iferror(if(C69="Excluded",K69*D69,0),"Not specified")</f>
        <v>0</v>
      </c>
    </row>
    <row r="70">
      <c r="A70" s="165" t="s">
        <v>702</v>
      </c>
      <c r="B70" s="165" t="s">
        <v>705</v>
      </c>
      <c r="C70" s="165" t="s">
        <v>629</v>
      </c>
      <c r="D70" s="904"/>
      <c r="E70" s="912">
        <v>1.0</v>
      </c>
      <c r="F70" s="912">
        <v>1.0</v>
      </c>
      <c r="G70" s="923">
        <v>3.0</v>
      </c>
      <c r="H70" s="913" t="s">
        <v>706</v>
      </c>
      <c r="I70" s="120"/>
      <c r="J70" s="120">
        <f t="shared" si="11"/>
        <v>5</v>
      </c>
      <c r="K70" s="180">
        <f t="shared" si="12"/>
        <v>0.5</v>
      </c>
      <c r="L70" s="493">
        <f t="shared" si="13"/>
        <v>0</v>
      </c>
    </row>
    <row r="71">
      <c r="A71" s="165" t="s">
        <v>702</v>
      </c>
      <c r="B71" s="165" t="s">
        <v>707</v>
      </c>
      <c r="C71" s="94" t="s">
        <v>637</v>
      </c>
      <c r="D71" s="911">
        <v>0.35</v>
      </c>
      <c r="E71" s="924">
        <v>2.0</v>
      </c>
      <c r="F71" s="912">
        <v>1.0</v>
      </c>
      <c r="G71" s="912">
        <v>1.0</v>
      </c>
      <c r="H71" s="913" t="s">
        <v>708</v>
      </c>
      <c r="I71" s="120"/>
      <c r="J71" s="120">
        <f t="shared" si="11"/>
        <v>4</v>
      </c>
      <c r="K71" s="180">
        <f t="shared" si="12"/>
        <v>0.4</v>
      </c>
      <c r="L71" s="493">
        <f t="shared" si="13"/>
        <v>0.14</v>
      </c>
    </row>
    <row r="72">
      <c r="A72" s="165" t="s">
        <v>702</v>
      </c>
      <c r="B72" s="165" t="s">
        <v>639</v>
      </c>
      <c r="C72" s="94" t="s">
        <v>637</v>
      </c>
      <c r="D72" s="925">
        <v>0.15</v>
      </c>
      <c r="E72" s="923">
        <v>3.0</v>
      </c>
      <c r="F72" s="909">
        <v>2.0</v>
      </c>
      <c r="G72" s="912">
        <v>1.0</v>
      </c>
      <c r="H72" s="913" t="s">
        <v>640</v>
      </c>
      <c r="I72" s="120"/>
      <c r="J72" s="120">
        <f t="shared" si="11"/>
        <v>6</v>
      </c>
      <c r="K72" s="180">
        <f t="shared" si="12"/>
        <v>0.6</v>
      </c>
      <c r="L72" s="493">
        <f t="shared" si="13"/>
        <v>0.09</v>
      </c>
    </row>
    <row r="73">
      <c r="A73" s="165" t="s">
        <v>702</v>
      </c>
      <c r="B73" s="165" t="s">
        <v>709</v>
      </c>
      <c r="C73" s="94" t="s">
        <v>637</v>
      </c>
      <c r="D73" s="925">
        <v>0.15</v>
      </c>
      <c r="E73" s="912">
        <v>1.0</v>
      </c>
      <c r="F73" s="909">
        <v>2.0</v>
      </c>
      <c r="G73" s="165">
        <v>2.0</v>
      </c>
      <c r="H73" s="913" t="s">
        <v>710</v>
      </c>
      <c r="I73" s="120"/>
      <c r="J73" s="120">
        <f t="shared" si="11"/>
        <v>5</v>
      </c>
      <c r="K73" s="180">
        <f t="shared" si="12"/>
        <v>0.5</v>
      </c>
      <c r="L73" s="493">
        <f t="shared" si="13"/>
        <v>0.075</v>
      </c>
    </row>
    <row r="74">
      <c r="A74" s="165" t="s">
        <v>702</v>
      </c>
      <c r="B74" s="165" t="s">
        <v>711</v>
      </c>
      <c r="C74" s="94" t="s">
        <v>637</v>
      </c>
      <c r="D74" s="911">
        <v>0.3</v>
      </c>
      <c r="E74" s="909">
        <v>2.0</v>
      </c>
      <c r="F74" s="909">
        <v>2.0</v>
      </c>
      <c r="G74" s="909">
        <v>2.0</v>
      </c>
      <c r="H74" s="913" t="s">
        <v>712</v>
      </c>
      <c r="I74" s="120"/>
      <c r="J74" s="120">
        <f t="shared" si="11"/>
        <v>6</v>
      </c>
      <c r="K74" s="180">
        <f t="shared" si="12"/>
        <v>0.6</v>
      </c>
      <c r="L74" s="493">
        <f t="shared" si="13"/>
        <v>0.18</v>
      </c>
    </row>
    <row r="75">
      <c r="A75" s="165" t="s">
        <v>702</v>
      </c>
      <c r="B75" s="165" t="s">
        <v>713</v>
      </c>
      <c r="C75" s="94" t="s">
        <v>637</v>
      </c>
      <c r="D75" s="907">
        <v>0.05</v>
      </c>
      <c r="E75" s="165">
        <v>1.0</v>
      </c>
      <c r="F75" s="165">
        <v>1.0</v>
      </c>
      <c r="G75" s="165">
        <v>1.0</v>
      </c>
      <c r="H75" s="913" t="s">
        <v>714</v>
      </c>
      <c r="I75" s="120"/>
      <c r="J75" s="120">
        <f t="shared" si="11"/>
        <v>3</v>
      </c>
      <c r="K75" s="180">
        <f t="shared" si="12"/>
        <v>0.3</v>
      </c>
      <c r="L75" s="493">
        <f t="shared" si="13"/>
        <v>0.015</v>
      </c>
    </row>
    <row r="76">
      <c r="A76" s="165" t="s">
        <v>702</v>
      </c>
      <c r="B76" s="427" t="s">
        <v>649</v>
      </c>
      <c r="C76" s="120" t="s">
        <v>637</v>
      </c>
      <c r="D76" s="39" t="s">
        <v>650</v>
      </c>
      <c r="E76" s="926">
        <v>1.0</v>
      </c>
      <c r="F76" s="926">
        <v>1.0</v>
      </c>
      <c r="G76" s="926">
        <v>1.0</v>
      </c>
      <c r="H76" s="913" t="s">
        <v>651</v>
      </c>
      <c r="I76" s="120"/>
      <c r="J76" s="120">
        <f t="shared" si="11"/>
        <v>3</v>
      </c>
      <c r="K76" s="180">
        <f t="shared" si="12"/>
        <v>0.3</v>
      </c>
      <c r="L76" s="493" t="str">
        <f t="shared" si="13"/>
        <v>Not specified</v>
      </c>
    </row>
    <row r="77">
      <c r="A77" s="165" t="s">
        <v>702</v>
      </c>
      <c r="B77" s="427" t="s">
        <v>652</v>
      </c>
      <c r="C77" s="290" t="s">
        <v>637</v>
      </c>
      <c r="D77" s="907">
        <v>0.1</v>
      </c>
      <c r="E77" s="922">
        <v>3.0</v>
      </c>
      <c r="F77" s="917">
        <v>2.0</v>
      </c>
      <c r="G77" s="918">
        <v>1.0</v>
      </c>
      <c r="H77" s="927" t="s">
        <v>693</v>
      </c>
      <c r="I77" s="120"/>
      <c r="J77" s="120">
        <f t="shared" si="11"/>
        <v>6</v>
      </c>
      <c r="K77" s="180">
        <f t="shared" si="12"/>
        <v>0.6</v>
      </c>
      <c r="L77" s="493">
        <f t="shared" si="13"/>
        <v>0.06</v>
      </c>
    </row>
    <row r="78">
      <c r="A78" s="165" t="s">
        <v>702</v>
      </c>
      <c r="B78" s="427" t="s">
        <v>656</v>
      </c>
      <c r="C78" s="120" t="s">
        <v>637</v>
      </c>
      <c r="D78" s="907">
        <v>0.0</v>
      </c>
      <c r="E78" s="917">
        <v>2.0</v>
      </c>
      <c r="F78" s="918">
        <v>1.0</v>
      </c>
      <c r="G78" s="917">
        <v>2.0</v>
      </c>
      <c r="H78" s="928" t="s">
        <v>715</v>
      </c>
      <c r="I78" s="120"/>
      <c r="J78" s="120">
        <f t="shared" si="11"/>
        <v>5</v>
      </c>
      <c r="K78" s="180">
        <f t="shared" si="12"/>
        <v>0.5</v>
      </c>
      <c r="L78" s="493">
        <f t="shared" si="13"/>
        <v>0</v>
      </c>
    </row>
    <row r="79">
      <c r="A79" s="68"/>
      <c r="B79" s="68"/>
      <c r="C79" s="68"/>
      <c r="D79" s="68"/>
      <c r="E79" s="68"/>
      <c r="F79" s="68"/>
      <c r="G79" s="68"/>
      <c r="H79" s="929"/>
      <c r="I79" s="68"/>
      <c r="J79" s="914" t="s">
        <v>716</v>
      </c>
      <c r="K79" s="915"/>
      <c r="L79" s="916">
        <f>1+sum(iferror(L69:L78,0))</f>
        <v>1.56</v>
      </c>
    </row>
    <row r="80">
      <c r="A80" s="333"/>
      <c r="B80" s="333" t="s">
        <v>16</v>
      </c>
      <c r="C80" s="68"/>
      <c r="D80" s="68"/>
      <c r="E80" s="68"/>
      <c r="F80" s="68"/>
      <c r="G80" s="68"/>
      <c r="H80" s="929"/>
      <c r="I80" s="68"/>
      <c r="J80" s="120"/>
      <c r="K80" s="120"/>
      <c r="L80" s="120"/>
    </row>
    <row r="81">
      <c r="A81" s="109" t="s">
        <v>16</v>
      </c>
      <c r="B81" s="109" t="s">
        <v>717</v>
      </c>
      <c r="C81" s="35" t="s">
        <v>629</v>
      </c>
      <c r="D81" s="904"/>
      <c r="E81" s="35">
        <v>3.0</v>
      </c>
      <c r="F81" s="35">
        <v>3.0</v>
      </c>
      <c r="G81" s="35">
        <v>3.0</v>
      </c>
      <c r="H81" s="902" t="s">
        <v>704</v>
      </c>
      <c r="I81" s="68"/>
      <c r="J81" s="120">
        <f t="shared" ref="J81:J86" si="14">sum(E81:G81)</f>
        <v>9</v>
      </c>
      <c r="K81" s="180">
        <f t="shared" ref="K81:K86" si="15">index($K$3:$K$11,MATCH(J81,$J$3:$J$11,0))</f>
        <v>0.9</v>
      </c>
      <c r="L81" s="493">
        <f t="shared" ref="L81:L86" si="16">iferror(if(C81="Excluded",K81*D81,0),"Not specified")</f>
        <v>0</v>
      </c>
    </row>
    <row r="82">
      <c r="A82" s="109" t="s">
        <v>16</v>
      </c>
      <c r="B82" s="109" t="s">
        <v>645</v>
      </c>
      <c r="C82" s="35" t="s">
        <v>629</v>
      </c>
      <c r="D82" s="904"/>
      <c r="E82" s="35">
        <v>2.0</v>
      </c>
      <c r="F82" s="35">
        <v>2.0</v>
      </c>
      <c r="G82" s="35">
        <v>1.0</v>
      </c>
      <c r="H82" s="902" t="s">
        <v>718</v>
      </c>
      <c r="I82" s="68"/>
      <c r="J82" s="120">
        <f t="shared" si="14"/>
        <v>5</v>
      </c>
      <c r="K82" s="180">
        <f t="shared" si="15"/>
        <v>0.5</v>
      </c>
      <c r="L82" s="493">
        <f t="shared" si="16"/>
        <v>0</v>
      </c>
    </row>
    <row r="83">
      <c r="A83" s="109" t="s">
        <v>16</v>
      </c>
      <c r="B83" s="35" t="s">
        <v>719</v>
      </c>
      <c r="C83" s="35" t="s">
        <v>637</v>
      </c>
      <c r="D83" s="904">
        <v>-0.1</v>
      </c>
      <c r="E83" s="35">
        <v>3.0</v>
      </c>
      <c r="F83" s="35">
        <v>2.0</v>
      </c>
      <c r="G83" s="35">
        <v>2.0</v>
      </c>
      <c r="H83" s="902" t="s">
        <v>720</v>
      </c>
      <c r="I83" s="68"/>
      <c r="J83" s="120">
        <f t="shared" si="14"/>
        <v>7</v>
      </c>
      <c r="K83" s="180">
        <f t="shared" si="15"/>
        <v>0.7</v>
      </c>
      <c r="L83" s="493">
        <f t="shared" si="16"/>
        <v>-0.07</v>
      </c>
    </row>
    <row r="84">
      <c r="A84" s="109" t="s">
        <v>16</v>
      </c>
      <c r="B84" s="35" t="s">
        <v>633</v>
      </c>
      <c r="C84" s="35" t="s">
        <v>637</v>
      </c>
      <c r="D84" s="904">
        <v>0.1</v>
      </c>
      <c r="E84" s="35">
        <v>1.0</v>
      </c>
      <c r="F84" s="35">
        <v>2.0</v>
      </c>
      <c r="G84" s="35">
        <v>2.0</v>
      </c>
      <c r="H84" s="902" t="s">
        <v>721</v>
      </c>
      <c r="I84" s="68"/>
      <c r="J84" s="120">
        <f t="shared" si="14"/>
        <v>5</v>
      </c>
      <c r="K84" s="180">
        <f t="shared" si="15"/>
        <v>0.5</v>
      </c>
      <c r="L84" s="493">
        <f t="shared" si="16"/>
        <v>0.05</v>
      </c>
    </row>
    <row r="85">
      <c r="A85" s="109" t="s">
        <v>16</v>
      </c>
      <c r="B85" s="35" t="s">
        <v>722</v>
      </c>
      <c r="C85" s="35" t="s">
        <v>637</v>
      </c>
      <c r="D85" s="904">
        <v>0.1</v>
      </c>
      <c r="E85" s="35">
        <v>1.0</v>
      </c>
      <c r="F85" s="35">
        <v>2.0</v>
      </c>
      <c r="G85" s="35">
        <v>1.0</v>
      </c>
      <c r="H85" s="902" t="s">
        <v>723</v>
      </c>
      <c r="I85" s="68"/>
      <c r="J85" s="120">
        <f t="shared" si="14"/>
        <v>4</v>
      </c>
      <c r="K85" s="180">
        <f t="shared" si="15"/>
        <v>0.4</v>
      </c>
      <c r="L85" s="493">
        <f t="shared" si="16"/>
        <v>0.04</v>
      </c>
    </row>
    <row r="86">
      <c r="A86" s="109" t="s">
        <v>16</v>
      </c>
      <c r="B86" s="35" t="s">
        <v>724</v>
      </c>
      <c r="C86" s="35" t="s">
        <v>637</v>
      </c>
      <c r="D86" s="904">
        <v>0.1</v>
      </c>
      <c r="E86" s="35">
        <v>1.0</v>
      </c>
      <c r="F86" s="35">
        <v>2.0</v>
      </c>
      <c r="G86" s="35">
        <v>1.0</v>
      </c>
      <c r="H86" s="902" t="s">
        <v>721</v>
      </c>
      <c r="I86" s="68"/>
      <c r="J86" s="120">
        <f t="shared" si="14"/>
        <v>4</v>
      </c>
      <c r="K86" s="180">
        <f t="shared" si="15"/>
        <v>0.4</v>
      </c>
      <c r="L86" s="493">
        <f t="shared" si="16"/>
        <v>0.04</v>
      </c>
    </row>
    <row r="87">
      <c r="A87" s="68"/>
      <c r="B87" s="68"/>
      <c r="C87" s="68"/>
      <c r="D87" s="68"/>
      <c r="E87" s="68"/>
      <c r="F87" s="68"/>
      <c r="G87" s="68"/>
      <c r="H87" s="929"/>
      <c r="I87" s="68"/>
      <c r="J87" s="914" t="s">
        <v>725</v>
      </c>
      <c r="K87" s="915"/>
      <c r="L87" s="916">
        <f>1+sum(iferror(L81:L86,0))</f>
        <v>1.06</v>
      </c>
    </row>
    <row r="88">
      <c r="A88" s="333"/>
      <c r="B88" s="333" t="s">
        <v>726</v>
      </c>
      <c r="C88" s="68"/>
      <c r="D88" s="68"/>
      <c r="E88" s="68"/>
      <c r="F88" s="68"/>
      <c r="G88" s="68"/>
      <c r="H88" s="929"/>
      <c r="I88" s="68"/>
    </row>
    <row r="89">
      <c r="A89" s="35"/>
      <c r="B89" s="35" t="s">
        <v>727</v>
      </c>
      <c r="C89" s="35" t="s">
        <v>629</v>
      </c>
      <c r="D89" s="35"/>
      <c r="E89" s="35">
        <v>1.0</v>
      </c>
      <c r="F89" s="35">
        <v>2.0</v>
      </c>
      <c r="G89" s="35">
        <v>3.0</v>
      </c>
      <c r="H89" s="902" t="s">
        <v>728</v>
      </c>
      <c r="I89" s="68"/>
    </row>
    <row r="90">
      <c r="A90" s="35"/>
      <c r="B90" s="35" t="s">
        <v>729</v>
      </c>
      <c r="C90" s="35" t="s">
        <v>637</v>
      </c>
      <c r="D90" s="35" t="s">
        <v>650</v>
      </c>
      <c r="E90" s="35">
        <v>0.0</v>
      </c>
      <c r="F90" s="35">
        <v>0.0</v>
      </c>
      <c r="G90" s="35">
        <v>1.0</v>
      </c>
      <c r="H90" s="902" t="s">
        <v>730</v>
      </c>
      <c r="I90" s="68"/>
    </row>
    <row r="91">
      <c r="A91" s="35"/>
      <c r="B91" s="35" t="s">
        <v>731</v>
      </c>
      <c r="C91" s="35" t="s">
        <v>637</v>
      </c>
      <c r="D91" s="35" t="s">
        <v>650</v>
      </c>
      <c r="E91" s="35">
        <v>0.0</v>
      </c>
      <c r="F91" s="35">
        <v>0.0</v>
      </c>
      <c r="G91" s="35">
        <v>1.0</v>
      </c>
      <c r="H91" s="902" t="s">
        <v>730</v>
      </c>
      <c r="I91" s="68"/>
    </row>
    <row r="92">
      <c r="A92" s="35"/>
      <c r="B92" s="35" t="s">
        <v>732</v>
      </c>
      <c r="C92" s="35" t="s">
        <v>637</v>
      </c>
      <c r="D92" s="35" t="s">
        <v>650</v>
      </c>
      <c r="E92" s="35">
        <v>1.0</v>
      </c>
      <c r="F92" s="35">
        <v>0.0</v>
      </c>
      <c r="G92" s="35">
        <v>1.0</v>
      </c>
      <c r="H92" s="902" t="s">
        <v>733</v>
      </c>
      <c r="I92" s="68"/>
    </row>
    <row r="93">
      <c r="A93" s="120"/>
      <c r="B93" s="120" t="s">
        <v>734</v>
      </c>
      <c r="C93" s="120" t="s">
        <v>637</v>
      </c>
      <c r="D93" s="120" t="s">
        <v>650</v>
      </c>
      <c r="E93" s="918">
        <v>1.0</v>
      </c>
      <c r="F93" s="917">
        <v>2.0</v>
      </c>
      <c r="G93" s="918">
        <v>1.0</v>
      </c>
      <c r="H93" s="910" t="s">
        <v>735</v>
      </c>
      <c r="I93" s="68"/>
    </row>
    <row r="94">
      <c r="A94" s="68"/>
      <c r="B94" s="68"/>
      <c r="C94" s="68"/>
      <c r="D94" s="68"/>
      <c r="E94" s="68"/>
      <c r="F94" s="68"/>
      <c r="G94" s="68"/>
      <c r="H94" s="929"/>
      <c r="I94" s="68"/>
    </row>
    <row r="95">
      <c r="A95" s="68"/>
      <c r="B95" s="68"/>
      <c r="C95" s="68"/>
      <c r="D95" s="68"/>
      <c r="E95" s="68"/>
      <c r="F95" s="68"/>
      <c r="G95" s="68"/>
      <c r="H95" s="929"/>
      <c r="I95" s="68"/>
      <c r="J95" s="120"/>
      <c r="K95" s="120"/>
      <c r="L95" s="120"/>
    </row>
    <row r="96">
      <c r="A96" s="68"/>
      <c r="B96" s="68"/>
      <c r="C96" s="68"/>
      <c r="D96" s="68"/>
      <c r="E96" s="68"/>
      <c r="F96" s="68"/>
      <c r="G96" s="68"/>
      <c r="H96" s="929"/>
      <c r="I96" s="68"/>
      <c r="J96" s="68"/>
      <c r="K96" s="68"/>
      <c r="L96" s="68"/>
    </row>
    <row r="97">
      <c r="A97" s="68"/>
      <c r="B97" s="68"/>
      <c r="C97" s="68"/>
      <c r="D97" s="68"/>
      <c r="E97" s="68"/>
      <c r="F97" s="68"/>
      <c r="G97" s="68"/>
      <c r="H97" s="929"/>
      <c r="I97" s="68"/>
      <c r="J97" s="68"/>
      <c r="K97" s="68"/>
      <c r="L97" s="68"/>
    </row>
    <row r="98">
      <c r="A98" s="68"/>
      <c r="B98" s="68"/>
      <c r="C98" s="68"/>
      <c r="D98" s="68"/>
      <c r="E98" s="68"/>
      <c r="F98" s="68"/>
      <c r="G98" s="68"/>
      <c r="H98" s="929"/>
      <c r="I98" s="68"/>
      <c r="J98" s="68"/>
      <c r="K98" s="68"/>
      <c r="L98" s="68"/>
    </row>
    <row r="99">
      <c r="A99" s="68"/>
      <c r="B99" s="68"/>
      <c r="C99" s="68"/>
      <c r="D99" s="68"/>
      <c r="E99" s="68"/>
      <c r="F99" s="68"/>
      <c r="G99" s="68"/>
      <c r="H99" s="929"/>
      <c r="I99" s="68"/>
      <c r="J99" s="68"/>
      <c r="K99" s="68"/>
      <c r="L99" s="68"/>
    </row>
    <row r="100">
      <c r="A100" s="68"/>
      <c r="B100" s="68"/>
      <c r="C100" s="68"/>
      <c r="D100" s="68"/>
      <c r="E100" s="68"/>
      <c r="F100" s="68"/>
      <c r="G100" s="68"/>
      <c r="H100" s="929"/>
      <c r="I100" s="68"/>
      <c r="J100" s="68"/>
      <c r="K100" s="68"/>
      <c r="L100" s="68"/>
    </row>
    <row r="101">
      <c r="A101" s="68"/>
      <c r="B101" s="68"/>
      <c r="C101" s="68"/>
      <c r="D101" s="68"/>
      <c r="E101" s="68"/>
      <c r="F101" s="68"/>
      <c r="G101" s="68"/>
      <c r="H101" s="929"/>
      <c r="I101" s="68"/>
      <c r="J101" s="68"/>
      <c r="K101" s="68"/>
      <c r="L101" s="68"/>
    </row>
    <row r="102">
      <c r="A102" s="68"/>
      <c r="B102" s="68"/>
      <c r="C102" s="68"/>
      <c r="D102" s="68"/>
      <c r="E102" s="68"/>
      <c r="F102" s="68"/>
      <c r="G102" s="68"/>
      <c r="H102" s="929"/>
      <c r="I102" s="68"/>
      <c r="J102" s="68"/>
      <c r="K102" s="68"/>
      <c r="L102" s="68"/>
    </row>
    <row r="103">
      <c r="A103" s="68"/>
      <c r="B103" s="68"/>
      <c r="C103" s="68"/>
      <c r="D103" s="68"/>
      <c r="E103" s="68"/>
      <c r="F103" s="68"/>
      <c r="G103" s="68"/>
      <c r="H103" s="929"/>
      <c r="I103" s="68"/>
      <c r="J103" s="68"/>
      <c r="K103" s="68"/>
      <c r="L103" s="68"/>
    </row>
    <row r="104">
      <c r="A104" s="68"/>
      <c r="B104" s="68"/>
      <c r="C104" s="68"/>
      <c r="D104" s="68"/>
      <c r="E104" s="68"/>
      <c r="F104" s="68"/>
      <c r="G104" s="68"/>
      <c r="H104" s="929"/>
      <c r="I104" s="68"/>
      <c r="J104" s="68"/>
      <c r="K104" s="68"/>
      <c r="L104" s="68"/>
    </row>
    <row r="105">
      <c r="A105" s="68"/>
      <c r="B105" s="68"/>
      <c r="C105" s="68"/>
      <c r="D105" s="68"/>
      <c r="E105" s="68"/>
      <c r="F105" s="68"/>
      <c r="G105" s="68"/>
      <c r="H105" s="929"/>
      <c r="I105" s="68"/>
      <c r="J105" s="68"/>
      <c r="K105" s="68"/>
      <c r="L105" s="68"/>
    </row>
    <row r="106">
      <c r="A106" s="68"/>
      <c r="B106" s="68"/>
      <c r="C106" s="68"/>
      <c r="D106" s="68"/>
      <c r="E106" s="68"/>
      <c r="F106" s="68"/>
      <c r="G106" s="68"/>
      <c r="H106" s="929"/>
      <c r="I106" s="68"/>
      <c r="J106" s="68"/>
      <c r="K106" s="68"/>
      <c r="L106" s="68"/>
    </row>
    <row r="107">
      <c r="A107" s="68"/>
      <c r="B107" s="68"/>
      <c r="C107" s="68"/>
      <c r="D107" s="68"/>
      <c r="E107" s="68"/>
      <c r="F107" s="68"/>
      <c r="G107" s="68"/>
      <c r="H107" s="929"/>
      <c r="I107" s="68"/>
      <c r="J107" s="68"/>
      <c r="K107" s="68"/>
      <c r="L107" s="68"/>
    </row>
    <row r="108">
      <c r="A108" s="68"/>
      <c r="B108" s="68"/>
      <c r="C108" s="68"/>
      <c r="D108" s="68"/>
      <c r="E108" s="68"/>
      <c r="F108" s="68"/>
      <c r="G108" s="68"/>
      <c r="H108" s="929"/>
      <c r="I108" s="68"/>
      <c r="J108" s="68"/>
      <c r="K108" s="68"/>
      <c r="L108" s="68"/>
    </row>
    <row r="109">
      <c r="A109" s="68"/>
      <c r="B109" s="68"/>
      <c r="C109" s="68"/>
      <c r="D109" s="68"/>
      <c r="E109" s="68"/>
      <c r="F109" s="68"/>
      <c r="G109" s="68"/>
      <c r="H109" s="929"/>
      <c r="I109" s="68"/>
      <c r="J109" s="68"/>
      <c r="K109" s="68"/>
      <c r="L109" s="68"/>
    </row>
    <row r="110">
      <c r="A110" s="68"/>
      <c r="B110" s="68"/>
      <c r="C110" s="68"/>
      <c r="D110" s="68"/>
      <c r="E110" s="68"/>
      <c r="F110" s="68"/>
      <c r="G110" s="68"/>
      <c r="H110" s="929"/>
      <c r="I110" s="68"/>
      <c r="J110" s="68"/>
      <c r="K110" s="68"/>
      <c r="L110" s="68"/>
    </row>
    <row r="111">
      <c r="A111" s="68"/>
      <c r="B111" s="68"/>
      <c r="C111" s="68"/>
      <c r="D111" s="68"/>
      <c r="E111" s="68"/>
      <c r="F111" s="68"/>
      <c r="G111" s="68"/>
      <c r="H111" s="929"/>
      <c r="I111" s="68"/>
      <c r="J111" s="68"/>
      <c r="K111" s="68"/>
      <c r="L111" s="68"/>
    </row>
    <row r="112">
      <c r="A112" s="68"/>
      <c r="B112" s="68"/>
      <c r="C112" s="68"/>
      <c r="D112" s="68"/>
      <c r="E112" s="68"/>
      <c r="F112" s="68"/>
      <c r="G112" s="68"/>
      <c r="H112" s="929"/>
      <c r="I112" s="68"/>
      <c r="J112" s="68"/>
      <c r="K112" s="68"/>
      <c r="L112" s="68"/>
    </row>
    <row r="113">
      <c r="A113" s="68"/>
      <c r="B113" s="68"/>
      <c r="C113" s="68"/>
      <c r="D113" s="68"/>
      <c r="E113" s="68"/>
      <c r="F113" s="68"/>
      <c r="G113" s="68"/>
      <c r="H113" s="929"/>
      <c r="I113" s="68"/>
      <c r="J113" s="68"/>
      <c r="K113" s="68"/>
      <c r="L113" s="68"/>
    </row>
    <row r="114">
      <c r="A114" s="68"/>
      <c r="B114" s="68"/>
      <c r="C114" s="68"/>
      <c r="D114" s="68"/>
      <c r="E114" s="68"/>
      <c r="F114" s="68"/>
      <c r="G114" s="68"/>
      <c r="H114" s="929"/>
      <c r="I114" s="68"/>
      <c r="J114" s="68"/>
      <c r="K114" s="68"/>
      <c r="L114" s="68"/>
    </row>
  </sheetData>
  <mergeCells count="1">
    <mergeCell ref="C13:C16"/>
  </mergeCells>
  <conditionalFormatting sqref="D19:D86 D89">
    <cfRule type="cellIs" dxfId="1" priority="1" operator="between">
      <formula>"14.90%"</formula>
      <formula>"-14.90%"</formula>
    </cfRule>
  </conditionalFormatting>
  <conditionalFormatting sqref="D19:D86 D89">
    <cfRule type="cellIs" dxfId="2" priority="2" operator="between">
      <formula>"15%"</formula>
      <formula>"25%"</formula>
    </cfRule>
  </conditionalFormatting>
  <conditionalFormatting sqref="D19:D86 D89">
    <cfRule type="cellIs" dxfId="3" priority="3" operator="between">
      <formula>"25%"</formula>
      <formula>"50%"</formula>
    </cfRule>
  </conditionalFormatting>
  <conditionalFormatting sqref="D19:D86 D89">
    <cfRule type="cellIs" dxfId="4" priority="4" operator="greaterThan">
      <formula>"50%"</formula>
    </cfRule>
  </conditionalFormatting>
  <conditionalFormatting sqref="E19:G86 E89:G92">
    <cfRule type="cellIs" dxfId="1" priority="5" operator="equal">
      <formula>0</formula>
    </cfRule>
  </conditionalFormatting>
  <conditionalFormatting sqref="E19:G86 E89:G92">
    <cfRule type="cellIs" dxfId="2" priority="6" operator="equal">
      <formula>1</formula>
    </cfRule>
  </conditionalFormatting>
  <conditionalFormatting sqref="E19:G86 E89:G92">
    <cfRule type="cellIs" dxfId="3" priority="7" operator="equal">
      <formula>2</formula>
    </cfRule>
  </conditionalFormatting>
  <conditionalFormatting sqref="E19:G86 E89:G92">
    <cfRule type="cellIs" dxfId="4" priority="8" operator="equal">
      <formula>3</formula>
    </cfRule>
  </conditionalFormatting>
  <conditionalFormatting sqref="E19:G86 E89:G92">
    <cfRule type="cellIs" dxfId="5" priority="9" operator="equal">
      <formula>"?"</formula>
    </cfRule>
  </conditionalFormatting>
  <conditionalFormatting sqref="D19:D86 D89">
    <cfRule type="cellIs" dxfId="2" priority="10" operator="between">
      <formula>"-15%"</formula>
      <formula>"-25%"</formula>
    </cfRule>
  </conditionalFormatting>
  <conditionalFormatting sqref="D19:D86 D89">
    <cfRule type="cellIs" dxfId="4" priority="11" operator="lessThan">
      <formula>"-50%"</formula>
    </cfRule>
  </conditionalFormatting>
  <conditionalFormatting sqref="D19:D86 D89">
    <cfRule type="cellIs" dxfId="3" priority="12" operator="between">
      <formula>"-25%"</formula>
      <formula>"-50%"</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3.0" topLeftCell="A4" activePane="bottomLeft" state="frozen"/>
      <selection activeCell="B5" sqref="B5" pane="bottomLeft"/>
    </sheetView>
  </sheetViews>
  <sheetFormatPr customHeight="1" defaultColWidth="17.29" defaultRowHeight="15.0"/>
  <cols>
    <col customWidth="1" min="1" max="1" width="78.86"/>
    <col customWidth="1" min="2" max="2" width="109.14"/>
    <col customWidth="1" min="3" max="3" width="94.86"/>
    <col customWidth="1" min="4" max="5" width="17.29"/>
  </cols>
  <sheetData>
    <row r="1" ht="13.5" customHeight="1">
      <c r="A1" s="11" t="s">
        <v>34</v>
      </c>
      <c r="B1" s="120"/>
      <c r="C1" s="75"/>
      <c r="D1" s="75"/>
      <c r="E1" s="75"/>
    </row>
    <row r="2" ht="13.5" customHeight="1">
      <c r="A2" s="3" t="s">
        <v>736</v>
      </c>
      <c r="B2" s="930"/>
      <c r="C2" s="930"/>
      <c r="D2" s="75"/>
      <c r="E2" s="75"/>
    </row>
    <row r="3" ht="13.5" customHeight="1">
      <c r="A3" s="931" t="s">
        <v>737</v>
      </c>
      <c r="B3" s="932" t="s">
        <v>738</v>
      </c>
      <c r="C3" s="930" t="s">
        <v>71</v>
      </c>
      <c r="D3" s="75"/>
      <c r="E3" s="75"/>
    </row>
    <row r="4" ht="13.5" customHeight="1">
      <c r="A4" s="203" t="s">
        <v>739</v>
      </c>
      <c r="B4" s="933" t="s">
        <v>740</v>
      </c>
      <c r="C4" s="75"/>
      <c r="D4" s="75"/>
      <c r="E4" s="75"/>
    </row>
    <row r="5" ht="13.5" customHeight="1">
      <c r="A5" s="934" t="s">
        <v>741</v>
      </c>
      <c r="B5" s="933" t="str">
        <f>HYPERLINK("https://www.againstmalaria.com/Distributions.aspx","https://www.againstmalaria.com/Distributions.aspx")</f>
        <v>https://www.againstmalaria.com/Distributions.aspx</v>
      </c>
      <c r="C5" s="935" t="s">
        <v>742</v>
      </c>
      <c r="D5" s="75"/>
      <c r="E5" s="75"/>
    </row>
    <row r="6" ht="13.5" customHeight="1">
      <c r="A6" s="934" t="s">
        <v>743</v>
      </c>
      <c r="B6" s="936" t="str">
        <f>HYPERLINK("http://www.givewell.org/international/top-charities/AMF","http://www.givewell.org/international/top-charities/AMF")</f>
        <v>http://www.givewell.org/international/top-charities/AMF</v>
      </c>
      <c r="C6" s="75"/>
      <c r="D6" s="75"/>
      <c r="E6" s="75"/>
    </row>
    <row r="7" ht="14.25" customHeight="1">
      <c r="A7" s="203" t="s">
        <v>744</v>
      </c>
      <c r="B7" s="937" t="s">
        <v>745</v>
      </c>
      <c r="C7" s="938"/>
      <c r="D7" s="75"/>
      <c r="E7" s="75"/>
    </row>
    <row r="8" ht="13.5" customHeight="1">
      <c r="A8" s="934" t="s">
        <v>746</v>
      </c>
      <c r="B8" s="936"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8" s="75"/>
      <c r="D8" s="75"/>
      <c r="E8" s="75"/>
    </row>
    <row r="9" ht="14.25" customHeight="1">
      <c r="A9" s="934" t="s">
        <v>747</v>
      </c>
      <c r="B9" s="936" t="str">
        <f>HYPERLINK("http://papers.ssrn.com/sol3/papers.cfm?abstract_id=2268552","http://papers.ssrn.com/sol3/papers.cfm?abstract_id=2268552")</f>
        <v>http://papers.ssrn.com/sol3/papers.cfm?abstract_id=2268552</v>
      </c>
      <c r="C9" s="75"/>
      <c r="D9" s="75"/>
      <c r="E9" s="75"/>
    </row>
    <row r="10" ht="13.5" customHeight="1">
      <c r="A10" s="203" t="s">
        <v>748</v>
      </c>
      <c r="B10" s="937" t="s">
        <v>749</v>
      </c>
      <c r="C10" s="75"/>
      <c r="D10" s="75"/>
      <c r="E10" s="75"/>
    </row>
    <row r="11" ht="13.5" customHeight="1">
      <c r="A11" s="203" t="s">
        <v>750</v>
      </c>
      <c r="B11" s="939" t="s">
        <v>751</v>
      </c>
      <c r="C11" s="75"/>
      <c r="D11" s="75"/>
      <c r="E11" s="75"/>
    </row>
    <row r="12" ht="13.5" customHeight="1">
      <c r="A12" s="203" t="s">
        <v>752</v>
      </c>
      <c r="B12" s="939" t="s">
        <v>753</v>
      </c>
      <c r="C12" s="75"/>
      <c r="D12" s="75"/>
      <c r="E12" s="75"/>
    </row>
    <row r="13" ht="13.5" customHeight="1">
      <c r="A13" s="203" t="s">
        <v>754</v>
      </c>
      <c r="B13" s="939" t="s">
        <v>755</v>
      </c>
      <c r="C13" s="75"/>
      <c r="D13" s="75"/>
      <c r="E13" s="75"/>
    </row>
    <row r="14" ht="13.5" customHeight="1">
      <c r="A14" s="934" t="s">
        <v>756</v>
      </c>
      <c r="B14" s="933" t="s">
        <v>757</v>
      </c>
      <c r="C14" s="75"/>
      <c r="D14" s="75"/>
      <c r="E14" s="75"/>
    </row>
    <row r="15" ht="13.5" customHeight="1">
      <c r="A15" s="203" t="s">
        <v>758</v>
      </c>
      <c r="B15" s="939" t="s">
        <v>759</v>
      </c>
      <c r="C15" s="75"/>
      <c r="D15" s="75"/>
      <c r="E15" s="75"/>
    </row>
    <row r="16" ht="9.75" customHeight="1">
      <c r="A16" s="203" t="s">
        <v>760</v>
      </c>
      <c r="B16" s="937" t="s">
        <v>761</v>
      </c>
      <c r="C16" s="75"/>
      <c r="D16" s="75"/>
      <c r="E16" s="75"/>
    </row>
    <row r="17" ht="9.75" customHeight="1">
      <c r="A17" s="203" t="s">
        <v>762</v>
      </c>
      <c r="B17" s="937" t="s">
        <v>763</v>
      </c>
      <c r="C17" s="75"/>
      <c r="D17" s="75"/>
      <c r="E17" s="75"/>
    </row>
    <row r="18" ht="14.25" customHeight="1">
      <c r="A18" s="934" t="s">
        <v>764</v>
      </c>
      <c r="B18" s="933" t="str">
        <f>HYPERLINK("http://www.givewell.org/files/DWDA%202009/Interventions/Deworming/Cost-effectiveness_for_deworming.xls","http://www.givewell.org/files/DWDA 2009/Interventions/Deworming/Cost-effectiveness_for_deworming.xls")</f>
        <v>http://www.givewell.org/files/DWDA 2009/Interventions/Deworming/Cost-effectiveness_for_deworming.xls</v>
      </c>
      <c r="C18" s="75"/>
      <c r="D18" s="75"/>
      <c r="E18" s="75"/>
    </row>
    <row r="19" ht="14.25" customHeight="1">
      <c r="A19" s="934" t="s">
        <v>765</v>
      </c>
      <c r="B19" s="936" t="str">
        <f>HYPERLINK("http://qje.oxfordjournals.org/content/123/4/1329.short","http://qje.oxfordjournals.org/content/123/4/1329.short")</f>
        <v>http://qje.oxfordjournals.org/content/123/4/1329.short</v>
      </c>
      <c r="C19" s="75"/>
      <c r="D19" s="75"/>
      <c r="E19" s="75"/>
    </row>
    <row r="20" ht="14.25" customHeight="1">
      <c r="A20" s="934" t="s">
        <v>766</v>
      </c>
      <c r="B20" s="936" t="str">
        <f>HYPERLINK("http://www.givewell.org/international/top-charities/deworm-world-initiative","http://www.givewell.org/international/top-charities/deworm-world-initiative")</f>
        <v>http://www.givewell.org/international/top-charities/deworm-world-initiative</v>
      </c>
      <c r="C20" s="75"/>
      <c r="D20" s="75"/>
      <c r="E20" s="75"/>
    </row>
    <row r="21" ht="14.25" customHeight="1">
      <c r="A21" s="934" t="s">
        <v>767</v>
      </c>
      <c r="B21" s="933" t="str">
        <f>HYPERLINK("http://blog.givewell.org/2014/10/03/a-promising-study-on-the-long-term-effects-of-deworming/","http://blog.givewell.org/2014/10/03/a-promising-study-on-the-long-term-effects-of-deworming/")</f>
        <v>http://blog.givewell.org/2014/10/03/a-promising-study-on-the-long-term-effects-of-deworming/</v>
      </c>
      <c r="C21" s="75"/>
      <c r="D21" s="75"/>
      <c r="E21" s="75"/>
    </row>
    <row r="22" ht="14.25" customHeight="1">
      <c r="A22" s="203" t="s">
        <v>768</v>
      </c>
      <c r="B22" s="939" t="s">
        <v>769</v>
      </c>
      <c r="C22" s="75"/>
      <c r="D22" s="75"/>
      <c r="E22" s="75"/>
    </row>
    <row r="23" ht="14.25" customHeight="1">
      <c r="A23" s="203" t="s">
        <v>770</v>
      </c>
      <c r="B23" s="939" t="s">
        <v>771</v>
      </c>
      <c r="C23" s="75"/>
      <c r="D23" s="75"/>
      <c r="E23" s="75"/>
    </row>
    <row r="24" ht="14.25" customHeight="1">
      <c r="A24" s="203" t="s">
        <v>772</v>
      </c>
      <c r="B24" s="936" t="s">
        <v>773</v>
      </c>
      <c r="C24" s="75"/>
      <c r="D24" s="75"/>
      <c r="E24" s="75"/>
    </row>
    <row r="25" ht="14.25" customHeight="1">
      <c r="A25" s="934" t="s">
        <v>774</v>
      </c>
      <c r="B25" s="936" t="str">
        <f>HYPERLINK("http://www.ipc.umich.edu/mckenzie-ghana-edts-11-18-2010.pdf","http://www.ipc.umich.edu/mckenzie-ghana-edts-11-18-2010.pdf")</f>
        <v>http://www.ipc.umich.edu/mckenzie-ghana-edts-11-18-2010.pdf</v>
      </c>
      <c r="C25" s="75"/>
      <c r="D25" s="75"/>
      <c r="E25" s="75"/>
    </row>
    <row r="26" ht="14.25" customHeight="1">
      <c r="A26" s="203" t="s">
        <v>775</v>
      </c>
      <c r="B26" s="940" t="s">
        <v>776</v>
      </c>
      <c r="C26" s="75"/>
      <c r="D26" s="75"/>
      <c r="E26" s="75"/>
    </row>
    <row r="27" ht="14.25" customHeight="1">
      <c r="A27" s="934" t="s">
        <v>777</v>
      </c>
      <c r="B27" s="940" t="s">
        <v>776</v>
      </c>
      <c r="C27" s="75"/>
      <c r="D27" s="75"/>
      <c r="E27" s="75"/>
    </row>
    <row r="28" ht="14.25" customHeight="1">
      <c r="A28" s="203" t="s">
        <v>778</v>
      </c>
      <c r="B28" s="937" t="s">
        <v>779</v>
      </c>
      <c r="C28" s="75"/>
      <c r="D28" s="75"/>
      <c r="E28" s="75"/>
    </row>
    <row r="29" ht="14.25" customHeight="1">
      <c r="A29" s="203" t="s">
        <v>780</v>
      </c>
      <c r="B29" s="937" t="s">
        <v>781</v>
      </c>
      <c r="C29" s="75"/>
      <c r="D29" s="75"/>
      <c r="E29" s="75"/>
    </row>
    <row r="30" ht="14.25" customHeight="1">
      <c r="A30" s="203" t="s">
        <v>782</v>
      </c>
      <c r="B30" s="937" t="s">
        <v>783</v>
      </c>
      <c r="C30" s="75"/>
      <c r="D30" s="75"/>
      <c r="E30" s="75"/>
    </row>
    <row r="31" ht="14.25" customHeight="1">
      <c r="A31" s="934" t="s">
        <v>784</v>
      </c>
      <c r="B31" s="937" t="s">
        <v>785</v>
      </c>
      <c r="C31" s="75"/>
      <c r="D31" s="75"/>
      <c r="E31" s="75"/>
    </row>
    <row r="32" ht="14.25" customHeight="1">
      <c r="A32" s="934" t="s">
        <v>786</v>
      </c>
      <c r="B32" s="936" t="str">
        <f>HYPERLINK("https://docs.google.com/spreadsheets/d/1ER-tHrewjZ-JFJnI7Urg1hJBP2XwcnQ4mt_ZKvb9ZHM/edit#gid=0","https://docs.google.com/spreadsheets/d/1ER-tHrewjZ-JFJnI7Urg1hJBP2XwcnQ4mt_ZKvb9ZHM/edit#gid=0")</f>
        <v>https://docs.google.com/spreadsheets/d/1ER-tHrewjZ-JFJnI7Urg1hJBP2XwcnQ4mt_ZKvb9ZHM/edit#gid=0</v>
      </c>
      <c r="C32" s="75"/>
      <c r="D32" s="75"/>
      <c r="E32" s="75"/>
    </row>
    <row r="33" ht="14.25" customHeight="1">
      <c r="A33" s="203" t="s">
        <v>787</v>
      </c>
      <c r="B33" s="937" t="s">
        <v>788</v>
      </c>
      <c r="C33" s="206"/>
      <c r="D33" s="75"/>
      <c r="E33" s="75"/>
    </row>
    <row r="34" ht="14.25" customHeight="1">
      <c r="A34" s="203" t="s">
        <v>789</v>
      </c>
      <c r="B34" s="937" t="s">
        <v>790</v>
      </c>
      <c r="C34" s="206"/>
      <c r="D34" s="75"/>
      <c r="E34" s="75"/>
    </row>
    <row r="35" ht="14.25" customHeight="1">
      <c r="A35" s="203" t="s">
        <v>791</v>
      </c>
      <c r="B35" s="936" t="str">
        <f>HYPERLINK("http://www.givewell.org/files/DWDA%202009/GiveDirectly/household%20size%20analysis.xls","http://www.givewell.org/files/DWDA%202009/GiveDirectly/household%20size%20analysis.xls")</f>
        <v>http://www.givewell.org/files/DWDA%202009/GiveDirectly/household%20size%20analysis.xls</v>
      </c>
      <c r="C35" s="75"/>
      <c r="D35" s="75"/>
      <c r="E35" s="75"/>
    </row>
    <row r="36" ht="14.25" customHeight="1">
      <c r="A36" s="934" t="s">
        <v>792</v>
      </c>
      <c r="B36" s="936" t="str">
        <f>HYPERLINK("http://www.givewell.org/files/DWDA%202009/Interventions/Nets/Summary%20of%20ITN%20RCTs.xls","http://www.givewell.org/files/DWDA%202009/Interventions/Nets/Summary%20of%20ITN%20RCTs.xls")</f>
        <v>http://www.givewell.org/files/DWDA%202009/Interventions/Nets/Summary%20of%20ITN%20RCTs.xls</v>
      </c>
      <c r="C36" s="75"/>
      <c r="D36" s="75"/>
      <c r="E36" s="75"/>
    </row>
    <row r="37" ht="14.25" customHeight="1">
      <c r="A37" s="203" t="s">
        <v>793</v>
      </c>
      <c r="B37" s="937" t="s">
        <v>794</v>
      </c>
      <c r="C37" s="75"/>
      <c r="D37" s="75"/>
      <c r="E37" s="75"/>
    </row>
    <row r="38" ht="14.25" customHeight="1">
      <c r="A38" s="203" t="s">
        <v>795</v>
      </c>
      <c r="B38" s="937" t="s">
        <v>796</v>
      </c>
      <c r="C38" s="75"/>
      <c r="D38" s="75"/>
      <c r="E38" s="75"/>
    </row>
    <row r="39" ht="14.25" customHeight="1">
      <c r="A39" s="934" t="s">
        <v>797</v>
      </c>
      <c r="B39" s="936" t="str">
        <f>HYPERLINK("http://files.givewell.org/files/DWDA%202009/Interventions/Cash%20Transfers/haushofer_shapiro_uct_2013.11.16.pdf","http://files.givewell.org/files/DWDA%202009/Interventions/Cash%20Transfers/haushofer_shapiro_uct_2013.11.16.pdf")</f>
        <v>http://files.givewell.org/files/DWDA%202009/Interventions/Cash%20Transfers/haushofer_shapiro_uct_2013.11.16.pdf</v>
      </c>
      <c r="C39" s="75"/>
      <c r="D39" s="75"/>
      <c r="E39" s="75"/>
    </row>
    <row r="40" ht="14.25" customHeight="1">
      <c r="A40" s="203" t="s">
        <v>798</v>
      </c>
      <c r="B40" s="937" t="s">
        <v>799</v>
      </c>
      <c r="C40" s="75"/>
      <c r="D40" s="75"/>
      <c r="E40" s="75"/>
    </row>
    <row r="41" ht="14.25" customHeight="1">
      <c r="A41" s="934" t="s">
        <v>800</v>
      </c>
      <c r="B41" s="936" t="str">
        <f>HYPERLINK("http://files.givewell.org/files/DWDA%202009/Interventions/Cash%20Transfers/Haushofer_Shapiro_UCT_Online_Appendix_2013.11.15.pdf","http://files.givewell.org/files/DWDA%202009/Interventions/Cash%20Transfers/Haushofer_Shapiro_UCT_Online_Appendix_2013.11.15.pdf")</f>
        <v>http://files.givewell.org/files/DWDA%202009/Interventions/Cash%20Transfers/Haushofer_Shapiro_UCT_Online_Appendix_2013.11.15.pdf</v>
      </c>
      <c r="C41" s="75"/>
      <c r="D41" s="75"/>
      <c r="E41" s="75"/>
    </row>
    <row r="42" ht="14.25" customHeight="1">
      <c r="A42" s="934" t="s">
        <v>801</v>
      </c>
      <c r="B42" s="936" t="str">
        <f>HYPERLINK("http://files.givewell.org/files/DWDA%202009/Interventions/Cash%20Transfers/Haushofer%20and%20Shapiro%202013.pdf","http://files.givewell.org/files/DWDA%202009/Interventions/Cash%20Transfers/Haushofer%20and%20Shapiro%202013.pdf")</f>
        <v>http://files.givewell.org/files/DWDA%202009/Interventions/Cash%20Transfers/Haushofer%20and%20Shapiro%202013.pdf</v>
      </c>
      <c r="C42" s="75"/>
      <c r="D42" s="75"/>
      <c r="E42" s="75"/>
    </row>
    <row r="43" ht="14.25" customHeight="1">
      <c r="A43" s="934" t="s">
        <v>802</v>
      </c>
      <c r="B43" s="936" t="str">
        <f>HYPERLINK("http://files.givewell.org/files/DWDA%202009/Interventions/Iodine/Horton,%20Mannar%20and%20Wesley%202008.pdf","http://files.givewell.org/files/DWDA%202009/Interventions/Iodine/Horton,%20Mannar%20and%20Wesley%202008.pdf")</f>
        <v>http://files.givewell.org/files/DWDA%202009/Interventions/Iodine/Horton,%20Mannar%20and%20Wesley%202008.pdf</v>
      </c>
      <c r="C43" s="75"/>
      <c r="D43" s="75"/>
      <c r="E43" s="75"/>
    </row>
    <row r="44" ht="13.5" customHeight="1">
      <c r="A44" s="934" t="s">
        <v>803</v>
      </c>
      <c r="B44" s="933" t="str">
        <f>HYPERLINK("http://www.plosmedicine.org/article/info:doi/10.1371/journal.pmed.0020124","http://www.plosmedicine.org/article/info:doi/10.1371/journal.pmed.0020124")</f>
        <v>http://www.plosmedicine.org/article/info:doi/10.1371/journal.pmed.0020124</v>
      </c>
      <c r="C44" s="75"/>
      <c r="D44" s="75"/>
      <c r="E44" s="75"/>
    </row>
    <row r="45" ht="14.25" customHeight="1">
      <c r="A45" s="934" t="s">
        <v>804</v>
      </c>
      <c r="B45" s="941" t="s">
        <v>805</v>
      </c>
      <c r="C45" s="75"/>
      <c r="D45" s="75"/>
      <c r="E45" s="75"/>
    </row>
    <row r="46" ht="13.5" customHeight="1">
      <c r="A46" s="934" t="s">
        <v>806</v>
      </c>
      <c r="B46" s="933" t="str">
        <f>HYPERLINK("http://www.givewell.org/files/DWDA%202009/Interventions/Global%20Burden%20of%20Disease%20and%20Risk%20Factors.pdf","http://www.givewell.org/files/DWDA%202009/Interventions/Global%20Burden%20of%20Disease%20and%20Risk%20Factors.pdf")</f>
        <v>http://www.givewell.org/files/DWDA%202009/Interventions/Global%20Burden%20of%20Disease%20and%20Risk%20Factors.pdf</v>
      </c>
      <c r="C46" s="75"/>
      <c r="D46" s="75"/>
      <c r="E46" s="75"/>
    </row>
    <row r="47" ht="13.5" customHeight="1">
      <c r="A47" s="934" t="s">
        <v>807</v>
      </c>
      <c r="B47" s="936" t="str">
        <f>HYPERLINK("http://siteresources.worldbank.org/DEC/Resources/Experimental_Evidence_on_Returns_to_Capital_and_Access_to_Finance_in-Mexico.pdf","http://siteresources.worldbank.org/DEC/Resources/Experimental_Evidence_on_Returns_to_Capital_and_Access_to_Finance_in-Mexico.pdf")</f>
        <v>http://siteresources.worldbank.org/DEC/Resources/Experimental_Evidence_on_Returns_to_Capital_and_Access_to_Finance_in-Mexico.pdf</v>
      </c>
      <c r="C47" s="75"/>
      <c r="D47" s="75"/>
      <c r="E47" s="75"/>
    </row>
    <row r="48" ht="13.5" customHeight="1">
      <c r="A48" s="934" t="s">
        <v>808</v>
      </c>
      <c r="B48" s="942" t="str">
        <f>HYPERLINK("http://www.givewell.org/files/DWDA%202009/Interventions/Deworming/Miguel%20Kremer%20Worms%20-%20Identifying%20Impacts%20on%20Education%20and%20Health%20in%20the%20Presence%20of%20Treatment%20Externalities.pdf","http://www.givewell.org/files/DWDA%202009/Interventions/Deworming/Miguel%20Kremer%20Worms%20-%20Identifying%20Impacts%20on%20Education%20and%20Health%20in%20the%20Presence%20of%20Treatment%20Externalities.pdf")</f>
        <v>http://www.givewell.org/files/DWDA%202009/Interventions/Deworming/Miguel%20Kremer%20Worms%20-%20Identifying%20Impacts%20on%20Education%20and%20Health%20in%20the%20Presence%20of%20Treatment%20Externalities.pdf</v>
      </c>
      <c r="C48" s="75"/>
      <c r="D48" s="75"/>
      <c r="E48" s="75"/>
    </row>
    <row r="49" ht="13.5" customHeight="1">
      <c r="A49" s="934" t="s">
        <v>809</v>
      </c>
      <c r="B49" s="933" t="str">
        <f>HYPERLINK("http://www.givewell.org/files/DWDA%202009/Interventions/Nets/GiveWell%20net%20cost%20estimates%202013.xls","http://www.givewell.org/files/DWDA%202009/Interventions/Nets/GiveWell%20net%20cost%20estimates%202013.xls")</f>
        <v>http://www.givewell.org/files/DWDA%202009/Interventions/Nets/GiveWell%20net%20cost%20estimates%202013.xls</v>
      </c>
      <c r="C49" s="938" t="s">
        <v>810</v>
      </c>
      <c r="D49" s="75"/>
      <c r="E49" s="75"/>
    </row>
    <row r="50" ht="13.5" customHeight="1">
      <c r="A50" s="934" t="s">
        <v>811</v>
      </c>
      <c r="B50" s="936" t="str">
        <f>HYPERLINK("http://www.givewell.org/international/top-charities/schistosomiasis-control-initiative","http://www.givewell.org/international/top-charities/schistosomiasis-control-initiative")</f>
        <v>http://www.givewell.org/international/top-charities/schistosomiasis-control-initiative</v>
      </c>
      <c r="C50" s="75"/>
      <c r="D50" s="75"/>
      <c r="E50" s="75"/>
    </row>
    <row r="51" ht="13.5" customHeight="1">
      <c r="A51" s="934" t="s">
        <v>812</v>
      </c>
      <c r="B51" s="933" t="str">
        <f>HYPERLINK("http://www.givewell.org/files/DWDA%202009/SCI/SCI%20treatment%20numbers%20(October%202014).xlsx","http://www.givewell.org/files/DWDA%202009/SCI/SCI%20treatment%20numbers%20(October%202014).xlsx")</f>
        <v>http://www.givewell.org/files/DWDA%202009/SCI/SCI%20treatment%20numbers%20(October%202014).xlsx</v>
      </c>
      <c r="C51" s="75"/>
      <c r="D51" s="75"/>
      <c r="E51" s="75"/>
    </row>
    <row r="52" ht="13.5" customHeight="1">
      <c r="A52" s="934" t="s">
        <v>813</v>
      </c>
      <c r="B52" s="936"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52" s="75"/>
      <c r="D52" s="75"/>
      <c r="E52" s="75"/>
    </row>
    <row r="53" ht="13.5" customHeight="1">
      <c r="A53" s="203" t="s">
        <v>814</v>
      </c>
      <c r="B53" s="937" t="s">
        <v>815</v>
      </c>
      <c r="C53" s="75"/>
      <c r="D53" s="75"/>
      <c r="E53" s="75"/>
    </row>
    <row r="54" ht="13.5" customHeight="1">
      <c r="A54" s="203" t="s">
        <v>816</v>
      </c>
      <c r="B54" s="937" t="s">
        <v>817</v>
      </c>
      <c r="C54" s="75"/>
      <c r="D54" s="75"/>
      <c r="E54" s="75"/>
    </row>
    <row r="55" ht="13.5" customHeight="1">
      <c r="A55" s="203" t="s">
        <v>818</v>
      </c>
      <c r="B55" s="937" t="s">
        <v>819</v>
      </c>
      <c r="C55" s="75"/>
      <c r="D55" s="75"/>
      <c r="E55" s="75"/>
    </row>
    <row r="56" ht="13.5" customHeight="1">
      <c r="A56" s="934" t="s">
        <v>820</v>
      </c>
      <c r="B56" s="933" t="str">
        <f>HYPERLINK("http://www.givewell.org/files/DWDA%202009/GiveDirectly/household%20size%20analysis.xls","http://www.givewell.org/files/DWDA%202009/GiveDirectly/household%20size%20analysis.xls")</f>
        <v>http://www.givewell.org/files/DWDA%202009/GiveDirectly/household%20size%20analysis.xls</v>
      </c>
      <c r="C56" s="75"/>
      <c r="D56" s="75"/>
      <c r="E56" s="75"/>
    </row>
    <row r="57" ht="13.5" customHeight="1">
      <c r="A57" s="75"/>
      <c r="B57" s="75"/>
      <c r="C57" s="75"/>
      <c r="D57" s="75"/>
      <c r="E57" s="75"/>
    </row>
    <row r="58" ht="13.5" customHeight="1">
      <c r="A58" s="75"/>
      <c r="B58" s="75"/>
      <c r="C58" s="75"/>
      <c r="D58" s="75"/>
      <c r="E58" s="75"/>
    </row>
    <row r="59" ht="13.5" customHeight="1">
      <c r="A59" s="11" t="s">
        <v>821</v>
      </c>
      <c r="B59" s="943" t="s">
        <v>822</v>
      </c>
      <c r="C59" s="75"/>
      <c r="D59" s="75"/>
      <c r="E59" s="75"/>
    </row>
    <row r="60">
      <c r="A60" s="206" t="s">
        <v>823</v>
      </c>
      <c r="B60" s="944" t="s">
        <v>824</v>
      </c>
      <c r="C60" s="75"/>
      <c r="D60" s="75"/>
      <c r="E60" s="75"/>
    </row>
    <row r="61">
      <c r="A61" s="206" t="s">
        <v>825</v>
      </c>
      <c r="B61" s="945" t="s">
        <v>826</v>
      </c>
      <c r="C61" s="75"/>
      <c r="D61" s="75"/>
      <c r="E61" s="75"/>
    </row>
    <row r="62">
      <c r="A62" s="35" t="s">
        <v>827</v>
      </c>
      <c r="B62" s="946" t="s">
        <v>828</v>
      </c>
      <c r="C62" s="68"/>
      <c r="D62" s="68"/>
      <c r="E62" s="68"/>
    </row>
    <row r="63">
      <c r="A63" s="206" t="s">
        <v>829</v>
      </c>
      <c r="B63" s="947" t="s">
        <v>830</v>
      </c>
      <c r="C63" s="75"/>
      <c r="D63" s="75"/>
      <c r="E63" s="75"/>
    </row>
    <row r="64">
      <c r="A64" s="206" t="s">
        <v>831</v>
      </c>
      <c r="B64" s="945" t="s">
        <v>832</v>
      </c>
      <c r="C64" s="206" t="s">
        <v>833</v>
      </c>
      <c r="D64" s="75"/>
      <c r="E64" s="75"/>
    </row>
    <row r="65">
      <c r="A65" s="206" t="s">
        <v>834</v>
      </c>
      <c r="B65" s="945" t="s">
        <v>835</v>
      </c>
      <c r="C65" s="75"/>
      <c r="D65" s="75"/>
      <c r="E65" s="75"/>
    </row>
    <row r="66">
      <c r="A66" s="75"/>
      <c r="B66" s="75"/>
      <c r="C66" s="75"/>
      <c r="D66" s="75"/>
      <c r="E66" s="75"/>
    </row>
    <row r="67">
      <c r="A67" s="75"/>
      <c r="B67" s="75"/>
      <c r="C67" s="75"/>
      <c r="D67" s="75"/>
      <c r="E67" s="75"/>
    </row>
    <row r="68">
      <c r="A68" s="75"/>
      <c r="B68" s="75"/>
      <c r="C68" s="75"/>
      <c r="D68" s="75"/>
      <c r="E68" s="75"/>
    </row>
    <row r="69">
      <c r="A69" s="75"/>
      <c r="B69" s="75"/>
      <c r="C69" s="75"/>
      <c r="D69" s="75"/>
      <c r="E69" s="75"/>
    </row>
    <row r="70">
      <c r="A70" s="75"/>
      <c r="B70" s="75"/>
      <c r="C70" s="75"/>
      <c r="D70" s="75"/>
      <c r="E70" s="75"/>
    </row>
    <row r="71">
      <c r="A71" s="75"/>
      <c r="B71" s="75"/>
      <c r="C71" s="75"/>
      <c r="D71" s="75"/>
      <c r="E71" s="75"/>
    </row>
    <row r="72">
      <c r="A72" s="75"/>
      <c r="B72" s="75"/>
      <c r="C72" s="75"/>
      <c r="D72" s="75"/>
      <c r="E72" s="75"/>
    </row>
    <row r="73">
      <c r="A73" s="75"/>
      <c r="B73" s="75"/>
      <c r="C73" s="75"/>
      <c r="D73" s="75"/>
      <c r="E73" s="75"/>
    </row>
    <row r="74">
      <c r="A74" s="75"/>
      <c r="B74" s="75"/>
      <c r="C74" s="75"/>
      <c r="D74" s="75"/>
      <c r="E74" s="75"/>
    </row>
    <row r="75">
      <c r="A75" s="75"/>
      <c r="B75" s="75"/>
      <c r="C75" s="75"/>
      <c r="D75" s="75"/>
      <c r="E75" s="75"/>
    </row>
    <row r="76">
      <c r="A76" s="75"/>
      <c r="B76" s="75"/>
      <c r="C76" s="75"/>
      <c r="D76" s="75"/>
      <c r="E76" s="75"/>
    </row>
    <row r="77">
      <c r="A77" s="75"/>
      <c r="B77" s="75"/>
      <c r="C77" s="75"/>
      <c r="D77" s="75"/>
      <c r="E77" s="75"/>
    </row>
    <row r="78">
      <c r="A78" s="75"/>
      <c r="B78" s="75"/>
      <c r="C78" s="75"/>
      <c r="D78" s="75"/>
      <c r="E78" s="75"/>
    </row>
    <row r="79">
      <c r="A79" s="75"/>
      <c r="B79" s="75"/>
      <c r="C79" s="75"/>
      <c r="D79" s="75"/>
      <c r="E79" s="75"/>
    </row>
    <row r="80">
      <c r="A80" s="75"/>
      <c r="B80" s="75"/>
      <c r="C80" s="75"/>
      <c r="D80" s="75"/>
      <c r="E80" s="75"/>
    </row>
    <row r="81">
      <c r="A81" s="75"/>
      <c r="B81" s="75"/>
      <c r="C81" s="75"/>
      <c r="D81" s="75"/>
      <c r="E81" s="75"/>
    </row>
    <row r="82">
      <c r="A82" s="75"/>
      <c r="B82" s="75"/>
      <c r="C82" s="75"/>
      <c r="D82" s="75"/>
      <c r="E82" s="75"/>
    </row>
  </sheetData>
  <hyperlinks>
    <hyperlink r:id="rId2" ref="B4"/>
    <hyperlink r:id="rId3" ref="B7"/>
    <hyperlink r:id="rId4" ref="B10"/>
    <hyperlink r:id="rId5" ref="B11"/>
    <hyperlink r:id="rId6" ref="B12"/>
    <hyperlink r:id="rId7" ref="B13"/>
    <hyperlink r:id="rId8" ref="B15"/>
    <hyperlink r:id="rId9" ref="B16"/>
    <hyperlink r:id="rId10" ref="B17"/>
    <hyperlink r:id="rId11" ref="B22"/>
    <hyperlink r:id="rId12" ref="B23"/>
    <hyperlink r:id="rId13" ref="B24"/>
    <hyperlink r:id="rId14" ref="B28"/>
    <hyperlink r:id="rId15" ref="B29"/>
    <hyperlink r:id="rId16" ref="B30"/>
    <hyperlink r:id="rId17" location="gid=0" ref="B31"/>
    <hyperlink r:id="rId18" ref="B33"/>
    <hyperlink r:id="rId19" ref="B34"/>
    <hyperlink r:id="rId20" ref="B37"/>
    <hyperlink r:id="rId21" ref="B38"/>
    <hyperlink r:id="rId22" ref="B40"/>
    <hyperlink r:id="rId23" ref="B45"/>
    <hyperlink r:id="rId24" ref="B53"/>
    <hyperlink r:id="rId25" ref="B54"/>
    <hyperlink r:id="rId26" ref="B55"/>
    <hyperlink r:id="rId27" ref="B60"/>
    <hyperlink r:id="rId28" ref="B61"/>
    <hyperlink r:id="rId29" ref="B62"/>
    <hyperlink r:id="rId30" ref="B63"/>
    <hyperlink r:id="rId31" ref="B64"/>
    <hyperlink r:id="rId32" ref="B65"/>
  </hyperlinks>
  <drawing r:id="rId33"/>
  <legacyDrawing r:id="rId3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5.43"/>
    <col customWidth="1" min="2" max="2" width="81.0"/>
    <col customWidth="1" min="3" max="3" width="25.57"/>
  </cols>
  <sheetData>
    <row r="1">
      <c r="A1" s="948" t="s">
        <v>836</v>
      </c>
      <c r="B1" s="949" t="s">
        <v>837</v>
      </c>
      <c r="C1" s="950"/>
      <c r="D1" s="951"/>
      <c r="E1" s="951"/>
      <c r="F1" s="951"/>
      <c r="G1" s="951"/>
      <c r="H1" s="951"/>
    </row>
    <row r="2">
      <c r="A2" s="952" t="s">
        <v>838</v>
      </c>
      <c r="B2" s="953" t="str">
        <f t="shared" ref="B2:B9" si="1">if(A2="","","Cost per outcome as good as: "&amp;A2)</f>
        <v>Cost per outcome as good as: averting the death of an individual under 5 — AMF</v>
      </c>
      <c r="C2" s="167"/>
    </row>
    <row r="3">
      <c r="A3" s="952" t="s">
        <v>839</v>
      </c>
      <c r="B3" s="953" t="str">
        <f t="shared" si="1"/>
        <v>Cost per outcome as good as: averting the death of an individual 5 or older</v>
      </c>
      <c r="C3" s="165"/>
    </row>
    <row r="4">
      <c r="A4" s="952" t="s">
        <v>840</v>
      </c>
      <c r="B4" s="953" t="str">
        <f t="shared" si="1"/>
        <v>Cost per outcome as good as: averting the death of a 3- to 59-month old child— SMC</v>
      </c>
      <c r="C4" s="167"/>
    </row>
    <row r="5">
      <c r="A5" s="954" t="s">
        <v>841</v>
      </c>
      <c r="B5" s="953" t="str">
        <f t="shared" si="1"/>
        <v>Cost per outcome as good as: averting the death of a 6- to 59-month old child — HKI</v>
      </c>
    </row>
    <row r="6">
      <c r="A6" s="955" t="s">
        <v>842</v>
      </c>
      <c r="B6" s="953" t="str">
        <f t="shared" si="1"/>
        <v>Cost per outcome as good as: doubling consumption for one person for one year</v>
      </c>
    </row>
    <row r="7">
      <c r="A7" s="956" t="s">
        <v>843</v>
      </c>
      <c r="B7" s="953" t="str">
        <f t="shared" si="1"/>
        <v>Cost per outcome as good as: increasing ln(consumption) by one unit for one person for one year</v>
      </c>
    </row>
    <row r="8">
      <c r="A8" s="957" t="s">
        <v>844</v>
      </c>
      <c r="B8" s="953" t="str">
        <f t="shared" si="1"/>
        <v>Cost per outcome as good as: increasing consumption by 10% for 100 people for one year</v>
      </c>
    </row>
    <row r="9">
      <c r="A9" s="957" t="s">
        <v>845</v>
      </c>
      <c r="B9" s="953" t="str">
        <f t="shared" si="1"/>
        <v>Cost per outcome as good as: increasing consumption by 25% for 100 people for one year</v>
      </c>
    </row>
    <row r="10">
      <c r="A10" s="956"/>
      <c r="B10" s="953"/>
    </row>
    <row r="11">
      <c r="A11" s="957"/>
      <c r="B11" s="953"/>
    </row>
    <row r="12">
      <c r="A12" s="957"/>
      <c r="B12" s="953" t="str">
        <f t="shared" ref="B12:B35" si="2">if(A12="","","Cost per outcome as good as: "&amp;A12)</f>
        <v/>
      </c>
    </row>
    <row r="13">
      <c r="A13" s="958"/>
      <c r="B13" s="953" t="str">
        <f t="shared" si="2"/>
        <v/>
      </c>
      <c r="C13" s="959"/>
    </row>
    <row r="14">
      <c r="A14" s="958"/>
      <c r="B14" s="953" t="str">
        <f t="shared" si="2"/>
        <v/>
      </c>
    </row>
    <row r="15">
      <c r="A15" s="958"/>
      <c r="B15" s="953" t="str">
        <f t="shared" si="2"/>
        <v/>
      </c>
    </row>
    <row r="16">
      <c r="A16" s="9"/>
      <c r="B16" s="953" t="str">
        <f t="shared" si="2"/>
        <v/>
      </c>
    </row>
    <row r="17">
      <c r="A17" s="958"/>
      <c r="B17" s="953" t="str">
        <f t="shared" si="2"/>
        <v/>
      </c>
    </row>
    <row r="18">
      <c r="A18" s="9"/>
      <c r="B18" s="953" t="str">
        <f t="shared" si="2"/>
        <v/>
      </c>
    </row>
    <row r="19">
      <c r="A19" s="9"/>
      <c r="B19" s="953" t="str">
        <f t="shared" si="2"/>
        <v/>
      </c>
    </row>
    <row r="20">
      <c r="A20" s="9"/>
      <c r="B20" s="953" t="str">
        <f t="shared" si="2"/>
        <v/>
      </c>
    </row>
    <row r="21">
      <c r="A21" s="9"/>
      <c r="B21" s="953" t="str">
        <f t="shared" si="2"/>
        <v/>
      </c>
    </row>
    <row r="22">
      <c r="A22" s="9"/>
      <c r="B22" s="953" t="str">
        <f t="shared" si="2"/>
        <v/>
      </c>
    </row>
    <row r="23">
      <c r="A23" s="9"/>
      <c r="B23" s="953" t="str">
        <f t="shared" si="2"/>
        <v/>
      </c>
    </row>
    <row r="24">
      <c r="B24" s="960" t="str">
        <f t="shared" si="2"/>
        <v/>
      </c>
    </row>
    <row r="25">
      <c r="B25" s="960" t="str">
        <f t="shared" si="2"/>
        <v/>
      </c>
    </row>
    <row r="26">
      <c r="B26" s="960" t="str">
        <f t="shared" si="2"/>
        <v/>
      </c>
    </row>
    <row r="27">
      <c r="B27" s="960" t="str">
        <f t="shared" si="2"/>
        <v/>
      </c>
    </row>
    <row r="28">
      <c r="B28" s="960" t="str">
        <f t="shared" si="2"/>
        <v/>
      </c>
    </row>
    <row r="29">
      <c r="B29" s="961" t="str">
        <f t="shared" si="2"/>
        <v/>
      </c>
    </row>
    <row r="30">
      <c r="B30" s="961" t="str">
        <f t="shared" si="2"/>
        <v/>
      </c>
    </row>
    <row r="31">
      <c r="B31" s="961" t="str">
        <f t="shared" si="2"/>
        <v/>
      </c>
    </row>
    <row r="32">
      <c r="B32" s="961" t="str">
        <f t="shared" si="2"/>
        <v/>
      </c>
    </row>
    <row r="33">
      <c r="B33" s="961" t="str">
        <f t="shared" si="2"/>
        <v/>
      </c>
    </row>
    <row r="34">
      <c r="B34" s="961" t="str">
        <f t="shared" si="2"/>
        <v/>
      </c>
    </row>
    <row r="35">
      <c r="B35" s="961" t="str">
        <f t="shared" si="2"/>
        <v/>
      </c>
    </row>
  </sheetData>
  <drawing r:id="rId1"/>
</worksheet>
</file>