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List of funding gaps" sheetId="2" r:id="rId4"/>
    <sheet state="visible" name="Moral weights and discount rate" sheetId="3" r:id="rId5"/>
    <sheet state="visible" name="Results" sheetId="4" r:id="rId6"/>
    <sheet state="visible" name="AMF" sheetId="5" r:id="rId7"/>
    <sheet state="visible" name="GiveDirectly" sheetId="6" r:id="rId8"/>
    <sheet state="visible" name="Deworm the World" sheetId="7" r:id="rId9"/>
    <sheet state="visible" name="END Fund" sheetId="8" r:id="rId10"/>
    <sheet state="visible" name="SCI Foundation" sheetId="9" r:id="rId11"/>
    <sheet state="visible" name="Sightsavers" sheetId="10" r:id="rId12"/>
    <sheet state="visible" name="Malaria Consortium" sheetId="11" r:id="rId13"/>
    <sheet state="visible" name="Helen Keller International" sheetId="12" r:id="rId14"/>
    <sheet state="visible" name="Counterfactual non-philanthropi" sheetId="13" r:id="rId15"/>
    <sheet state="visible" name="InclusionExclusion" sheetId="14" r:id="rId16"/>
    <sheet state="visible" name="RFMF_AMF" sheetId="15" r:id="rId17"/>
    <sheet state="visible" name="RFMF_GD" sheetId="16" r:id="rId18"/>
    <sheet state="visible" name="RFMF_DtW" sheetId="17" r:id="rId19"/>
    <sheet state="visible" name="RFMF_SCI" sheetId="18" r:id="rId20"/>
    <sheet state="visible" name="RFMF_Sightsavers" sheetId="19" r:id="rId21"/>
    <sheet state="visible" name="RFMF_MC" sheetId="20" r:id="rId22"/>
    <sheet state="visible" name="RFMF_HKI" sheetId="21" r:id="rId23"/>
    <sheet state="visible" name="RFMF_NI" sheetId="22" r:id="rId24"/>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 hidden="1" localSheetId="1" name="_xlnm._FilterDatabase">'List of funding gaps'!$G$2:$P$31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You need to specify the exact name of the sheet from which cost-effectiveness estimates are to be pulled in.</t>
      </text>
    </comment>
    <comment authorId="0" ref="C2">
      <text>
        <t xml:space="preserve">You need to specify the exact name of the sheet from which RFMF estimates are to be pulled in.</t>
      </text>
    </comment>
    <comment authorId="0" ref="D2">
      <text>
        <t xml:space="preserve">This is necessary to distinguish different funding gaps that have exactly the same name. For each charity, if it has N funding gaps, make sure every integer from 1 to N is included in this column.</t>
      </text>
    </comment>
    <comment authorId="0" ref="E2">
      <text>
        <t xml:space="preserve">You need to specify the exact name of the column (i.e. country or region or 'overall') from which cost-effectiveness estimates are to be pulled in for a particular funding gap.</t>
      </text>
    </comment>
    <comment authorId="0" ref="G2">
      <text>
        <t xml:space="preserve">This sheet lists our top charities' remaining funding gaps after taking our November 2020 recommendations to Open Philanthropy into account. Our recommendations to Open Philanthropy are available here: https://docs.google.com/spreadsheets/d/1XtT37sNho5PQql-nhmEYmS2dZPM8qX6HEI_kKh1dTqE/edit#gid=81756163</t>
      </text>
    </comment>
    <comment authorId="0" ref="N2">
      <text>
        <t xml:space="preserve">Extension: Extending the funding runway for a current program
Expansion: Expanding a program to a new area</t>
      </text>
    </comment>
    <comment authorId="0" ref="O22">
      <text>
        <t xml:space="preserve">Our cost-effectiveness analysis for New Incentives is not yet incorporated in this workbook. Our CEA for New Incentives is available here: https://www.givewell.org/international/technical/programs/new-incentives#How_cost-effective_is_it</t>
      </text>
    </comment>
    <comment authorId="0" ref="G43">
      <text>
        <t xml:space="preserve">We did not conduct a room for more funding analysis for the END Fund in 2020. See this section of our review of the END Fund for more details: https://www.givewell.org/charities/end-fund/November-2020-version#funding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program participants of our top charities about the relative value they place on different good outcomes. (https://www.givewell.org/research/incubation-grants/IDinsight-beneficiary-preferences-march-2019)
We discuss the results of the survey on this page: https://www.givewell.org/how-we-work/our-criteria/cost-effectiveness/2019-moral-weights-research
Additional information on our moral weights in 2020 is available in this document: https://docs.google.com/document/d/1hOQf6Ug1WpoicMyFDGoqH7tmf3Njjc15Z1DGERaTbnI/edit#heading=h.4ezmgjboichq</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
      </text>
    </comment>
    <comment authorId="0" ref="F1">
      <text>
        <t xml:space="preserve">I have not had time to engage on these parameters sufficiently to be able to come up with my own estimates. As a result, I have deferred to user input owners in all cases. (See Natalie's column.)</t>
      </text>
    </comment>
    <comment authorId="0" ref="I1">
      <text>
        <t xml:space="preserve">Explanation for my choices is in this document: https://docs.google.com/document/d/10IHht0DzsEyMZBTC5LQX57_U_lCDjzo6uQo12Sg6a9M/edit#heading=h.wpx6subbl8j5</t>
      </text>
    </comment>
    <comment authorId="0" ref="S1">
      <text>
        <t xml:space="preserve">Defer to Josh.</t>
      </text>
    </comment>
    <comment authorId="0" ref="A5">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5">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8">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E8">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E9">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T10">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2">
      <text>
        <t xml:space="preserve">Toggle the dropdown menu in the "Results" tab to change which staff inputs are used</t>
      </text>
    </comment>
    <comment authorId="0" ref="A27">
      <text>
        <t xml:space="preserve">See this document for details: https://docs.google.com/document/d/1g2tf7Fu8-iG_8TgnJkEx9G5TlEyrcv7PXPokmPZaUMc/edit?usp=sharing</t>
      </text>
    </comment>
    <comment authorId="0" ref="E33">
      <text>
        <t xml:space="preserve">We summed the components of the discount rate to get a recommendation of 4%. This is broadly consistent with recommendations we have seen in the academic literature. For example, see: https://academic.oup.com/heapol/article/35/1/107/5591528</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Toggle the dropdown menu at the right to select which data is pulled.</t>
      </text>
    </comment>
    <comment authorId="0" ref="A16">
      <text>
        <t xml:space="preserve">Downside adjustments: It's often difficult to account for different kinds of wastage directly in our cost-effectiveness analysis. These adjustments take into account our best guess of how different factors related to our top charities affect our best guess of true cost-effectiveness. It is separate from the inclusion/exclusion sheet because it reflects organization-level, rather than intervention-level factors.
Adjustments for excluded effects: These adjustments account for our best guesses about the impact of intervention-level factors excluded from our core CEA model. See the "Inclusion/exclusion" sheet for more details.  
Leverage and funging adjustments: "Leverage" refers to our charities causing other entities to spend more on the program than they otherwise would have; "Funging" refers to our charities causing other entities to spend less on the program than they otherwise would have.  For more discussion, see https://blog.givewell.org/2018/02/13/revisiting-leverage/</t>
      </text>
    </comment>
    <comment authorId="0" ref="A18">
      <text>
        <t xml:space="preserve">These metrics compare the expected cost-effectiveness of each charity to GiveDirectly's expected cost-effectiveness.</t>
      </text>
    </comment>
    <comment authorId="0" ref="A29">
      <text>
        <t xml:space="preserve">Note that "Cost per life saved" estimates can only be calculated for "core model only" and "include downside adjustments" adjustment options. </t>
      </text>
    </comment>
  </commentList>
</comments>
</file>

<file path=xl/comments4.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Since we don't have a strong prediction for where AMF will spend marginal funding, we use estimates of the amounts of funding AMF would require to continue supporting LLIN distributions in its current countries of operation over the next three years.
Source: GiveWell's 2020 room for more funding analysis of AMF, "Maintenance level (2021-23)" sheet: https://docs.google.com/spreadsheets/d/1N3pTk0ZveM6bRUGJPwOO8gFAaULokFWweSPTigrC9DE/edit?usp=sharing</t>
      </text>
    </comment>
    <comment authorId="0" ref="A8">
      <text>
        <t xml:space="preserve">See GiveWell's 2020 analysis of AMF's cost per net, only accessible to GiveWell staff: https://docs.google.com/spreadsheets/d/1nIQxKWiBxiLuKsROcyWUbmHPDVpydgJaABIEaEbShE0/edit?usp=sharing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9">
      <text>
        <t xml:space="preserve">See GiveWell's 2020 analysis of AMF's cost per net, only accessible to GiveWell staff: https://docs.google.com/spreadsheets/d/1nIQxKWiBxiLuKsROcyWUbmHPDVpydgJaABIEaEbShE0/edit?usp=sharing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13">
      <text>
        <t xml:space="preserve">This row includes our estimates of how AMF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AMF's spending of a donation of an arbitrary size (see row above).</t>
      </text>
    </comment>
    <comment authorId="0" ref="A15">
      <text>
        <t xml:space="preserve">See GiveWell's 2020 analysis of AMF's cost per net, only accessible to GiveWell staff: https://docs.google.com/spreadsheets/d/1nIQxKWiBxiLuKsROcyWUbmHPDVpydgJaABIEaEbShE0/edit?usp=sharing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16">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footnote 8 here: http://www.givewell.org/international/technical/programs/insecticide-treated-nets/</t>
      </text>
    </comment>
    <comment authorId="0" ref="A23">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24">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25">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26">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30">
      <text>
        <t xml:space="preserve">"Effective coverage years" refers to the average duration for which we estimate an LLIN from an AMF distribution offers protection equivalent to conventionally-treated nets (CTNs) re-treated every 6 mos as used in RCTs, over the 36-month interval between net distributions. See this page for more information: https://www.givewell.org/international/technical/programs/insecticide-treated-nets/estimating-equivalent-coverage-years-for-LLINs
For all countries except DRC, the default value of 2.11 comes from this calculation: https://docs.google.com/spreadsheets/d/1OzTick_Ua6KS8WM0ftLTRzGZd6tGePvUndCVX2tOx7M/edit#gid=1898050927&amp;range=A11:B11
In our review of AMF, we note that "the data we have seen from AMF's distributions in DRC provide some evidence that LLINs decayed considerably more quickly than expected." (https://www.givewell.org/charities/amf#Results). We roughly adjust our LLIN lifespan estimate for DRC downwards by 10% to account for this difference. </t>
      </text>
    </comment>
    <comment authorId="0" ref="A38">
      <text>
        <t xml:space="preserve">"Insecticide-treated nets reduce child mortality from all causes by 17% compared to no nets (rate ratio 0.83, 95% CI 0.77 to 0.89; 5 trials, 200,833 participants, high-certainty evidence)." Pryce et al. 2018, Pg 4. https://www.ncbi.nlm.nih.gov/pmc/articles/PMC6418392/ 
Author has confirmed that "protection" means "has received an ITN", not "has been confirmed to be using an ITN."</t>
      </text>
    </comment>
    <comment authorId="0" ref="A41">
      <text>
        <t xml:space="preserve">Based on estimates for 2004 mortality from IHME's GBD 2017. The calculation behind this figure can be seen in the section of our supplementary calculations labeled "GBD 2004 - Calculation for baseline all-cause mortality in 1-59 month olds" at https://docs.google.com/spreadsheets/d/1KaGaiteexAut6OTpDZ4YF6CzTWXPrCwQJbAQy8MGoJg/edit?usp=sharing</t>
      </text>
    </comment>
    <comment authorId="0" ref="A42">
      <text>
        <t xml:space="preserve">We have calculated these estimates on a separate spreadsheet in the section of our supplementary calculations labeled "GBD 2017 - Calculation for baseline all-cause mortality in 1-59 month olds" : https://docs.google.com/spreadsheets/d/1KaGaiteexAut6OTpDZ4YF6CzTWXPrCwQJbAQy8MGoJg/edit?usp=sharing</t>
      </text>
    </comment>
    <comment authorId="0" ref="A44">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See Eisele et al. 2012 (https://malariajournal.biomedcentral.com/articles/10.1186/1475-2875-11-93) for more information about the role ITNs have played in mortality declines.</t>
      </text>
    </comment>
    <comment authorId="0" ref="A45">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8">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The value here is a guess and is based on the average lifespan of nets, the interval between campaigns (generally 3 or more years), and AMF data from Malawi where data on existing nets was collected.</t>
      </text>
    </comment>
    <comment authorId="0" ref="A49">
      <text>
        <t xml:space="preserve">When a net is distributed to an individual who already has a usable net, the new net may eventually be used. 
This input accounts for the average proportion of the lifespan of a LLIN that extra nets are eventually used for.
The value we use here is a guess; the true value of this input is highly uncertain.</t>
      </text>
    </comment>
    <comment authorId="0" ref="A53">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4">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5">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6">
      <text>
        <t xml:space="preserve">See our calculations at 
https://docs.google.com/spreadsheets/d/1oJ2WH9-25TFE7orL6-UAw0cLhjA9esaeSRVFmAW3L14/edit?usp=sharing
Our estimate of how effectively ITNs avert deaths is based on the summary effect from Pryce et al. 2018 (https://www.ncbi.nlm.nih.gov/pmc/articles/PMC6418392/),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7">
      <text>
        <t xml:space="preserve">The adjustments listed here reflect our views on insecticide resistance as of October 2020. 
See GiveWell's analysis of the efficacy reduction due to insecticide resistance: https://docs.google.com/spreadsheets/d/1xcjiexpkrrVr9YM1SWjg_8EnmUDTeBn78fXMcznBtCE/edit?usp=sharing
Further discussion is at https://www.givewell.org/international/technical/programs/insecticide-treated-nets/insecticide-resistance-malaria-control#How_does_insecticide_resistance_affect_the_expected_cost-effectiveness_of_donations_to_AMF.
</t>
      </text>
    </comment>
    <comment authorId="0" ref="A70">
      <text>
        <t xml:space="preserve">We have stored this data at https://givewell.box.com/s/rt4ghbax0ofa610piifrkecfivjuks5f
The original source of the data is the GBD Results Tool at http://ghdx.healthdata.org/gbd-results-tool</t>
      </text>
    </comment>
    <comment authorId="0" ref="A71">
      <text>
        <t xml:space="preserve">We have stored this data at https://givewell.box.com/s/rt4ghbax0ofa610piifrkecfivjuks5f
The original source of the data is the GBD Results Tool at http://ghdx.healthdata.org/gbd-results-tool</t>
      </text>
    </comment>
    <comment authorId="0" ref="A74">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to account for this factor.
3) Final discount: 100% - 15% - 15% + 10% = 80%</t>
      </text>
    </comment>
    <comment authorId="0" ref="A89">
      <text>
        <t xml:space="preserve">Estimate of the reduction in incidence for plasmodium falciparum malaria for nets vs. no nets from the Cochrane 2018 review of ITNs. We decided to use the input for p. falciparum malaria over p. vivax malaria because GBD 2017 estimates suggests that p. vivax malaria cases are a negligible proportion of total malaria cases in Africa, where we expect AMF to fund net distributions. 
"Insecticide‐treated nets also reduce the incidence of uncomplicated episodes of Plasmodium falciparum malaria by almost a half (rate ratio 0.55, 95% CI 0.48 to 0.64; 5 trials, 35,551 participants, high‐certainty evidence) and probably reduce the incidence of uncomplicated episodes of Plasmodium vivax malaria (risk ratio (RR) 0.61, 95% CI 0.48 to 0.77; 2 trials, 10,967 participants, moderate‐certainty evidence).
Insecticide‐treated nets were also shown to reduce the prevalence of P falciparum malaria by 17% compared to no nets (RR 0.83, 95% CI 0.71 to 0.98; 6 trials, 18,809 participants, high‐certainty evidence) but may have little or no effect on the prevalence of P vivax malaria (RR 1.00, 95% CI 0.75 to 1.34; 2 trials, 10,967 participants, low‐certainty evidence)." Pryce et al. 2018, P. 2. 
Estimated case numbers of Plasmodium vivax, Regional Office for Africa, 2017: 0.67 million. Battle et al. 2019, Table 1. (https://www.thelancet.com/journals/lancet/article/PIIS0140-6736(19)31096-7/fulltext). 
Estimated case incidence count of Plasmodium falciparum, Sub-Saharan Africa, 2017: 182.7 million. Weiss et al. 2019 (https://www.thelancet.com/journals/lancet/article/PIIS0140-6736(19)31097-9/fulltext). 
We also considered using the relative reduction from analyses of (i) parasite prevalence, and (ii) splenomegaly.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90">
      <text>
        <t xml:space="preserve">We assume a reduction in incidence will have a similar effect on reduction in prevalence.</t>
      </text>
    </comment>
    <comment authorId="0" ref="A93">
      <text>
        <t xml:space="preserve">We have stored this data at https://givewell.box.com/s/9gos9tvubkxihbj27ypm5ovv768h7tws
The original source of the data is the GBD Results Tool at http://ghdx.healthdata.org/gbd-results-tool</t>
      </text>
    </comment>
    <comment authorId="0" ref="A94">
      <text>
        <t xml:space="preserve">We have stored this data at https://givewell.box.com/s/9gos9tvubkxihbj27ypm5ovv768h7tws
The original source of the data is the GBD Results Tool at http://ghdx.healthdata.org/gbd-results-tool</t>
      </text>
    </comment>
    <comment authorId="0" ref="A95">
      <text>
        <t xml:space="preserve">We have stored this data at https://givewell.box.com/s/9gos9tvubkxihbj27ypm5ovv768h7tws
The original source of the data is the GBD Results Tool at http://ghdx.healthdata.org/gbd-results-tool</t>
      </text>
    </comment>
    <comment authorId="0" ref="A97">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8">
      <text>
        <t xml:space="preserve">How many fewer children under the age of 5 do we expect to be infected with malaria at a given point in time for the arbitrary donation size given above?</t>
      </text>
    </comment>
    <comment authorId="0" ref="A109">
      <text>
        <t xml:space="preserve">How many fewer children between the ages of 5 and 14 do we expect to be infected with malaria at a given point in time for the arbitrary donation size given above?</t>
      </text>
    </comment>
    <comment authorId="0" ref="A112">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3">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7">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20">
      <text>
        <t xml:space="preserve">For consistency, we use the same figure here as we do for our deworming CEA. This is our estimate of the length of an adult's career.</t>
      </text>
    </comment>
    <comment authorId="0" ref="A122">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4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45">
      <text>
        <t xml:space="preserve">Scenario: The program is delivered to people who don't benefit or minimally benefit because they have received the program from another source.</t>
      </text>
    </comment>
    <comment authorId="0" ref="C145">
      <text>
        <t xml:space="preserve">This possibility is captured elsewhere in the cost-effectiveness model.</t>
      </text>
    </comment>
    <comment authorId="0" ref="A146">
      <text>
        <t xml:space="preserve">Scenario: Pills, LLINs, etc. are poorly made, counterfeit, or otherwise largely or fully ineffective at achieving the expected outcome. </t>
      </text>
    </comment>
    <comment authorId="0" ref="C146">
      <text>
        <t xml:space="preserve">We looked into it this year and now know what brands of nets AMF is buying and in what quantities. The difference in effectiveness of brands is incorporated into the adjustment for effective coverage years.</t>
      </text>
    </comment>
    <comment authorId="0" ref="C147">
      <text>
        <t xml:space="preserve">Our cost per net analysis does not adjust for nets that are purchased and do not reach households, so we adjust for that here.</t>
      </text>
    </comment>
    <comment authorId="0" ref="A151">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C151">
      <text>
        <t xml:space="preserve">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A152">
      <text>
        <t xml:space="preserve">Scenario: The monitoring results that we've received are partially or fully fabricated or significantly biased in some way we are unaware of, leading us to believe that results are better than they actually were.</t>
      </text>
    </comment>
    <comment authorId="0" ref="C152">
      <text>
        <t xml:space="preserve">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A1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156">
      <text>
        <t xml:space="preserve">We have enough experience with AMF that our cost per LLIN analysis is capturing our best guess of the proportion of funds we expect AMF to use for other purposes in the future.</t>
      </text>
    </comment>
    <comment authorId="0" ref="A1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157">
      <text>
        <t xml:space="preserve">AMF has often been slower to spend funding than it has projected, but overall has spent funding within a few years of receiving it.</t>
      </text>
    </comment>
    <comment authorId="0" ref="A158">
      <text>
        <t xml:space="preserve">Scenario: Charity runs multiple programs and shifts funds from non-GiveWell sources or fundraising effort out of the program that we want to fund as a result of receiving GiveWell-directed funding.</t>
      </text>
    </comment>
    <comment authorId="0" ref="C158">
      <text>
        <t xml:space="preserve">Not applicable: single program organization.</t>
      </text>
    </comment>
    <comment authorId="0" ref="A172">
      <text>
        <t xml:space="preserve">We only model some of the possible effects of the intervention. Many effects are excluded to keep the model tractable.
This section shows the speculative guesses we use to estimate the impact of excluded effects on the cost-effectiveness of our charities. The 'Inclusion/Exclusion' tab of this spreadsheet includes more details on how these adjustments are calculated and some brief justifications.</t>
      </text>
    </comment>
    <comment authorId="0" ref="A201">
      <text>
        <t xml:space="preserve">We cannot share the fraction of costs paid by the Global Fund. Therefore, the full calculations for the AMF leverage/funging adjustment is on a separate workbook, accessible only to GiveWell staff: https://docs.google.com/spreadsheets/d/1U9n5FNxeyO-WkTVVckLCL9hGJSuLEH2jDMiSe8ovjV8/edit?usp=sharing
"Leverage" refers to our charities causing other entities to spend more on the program than they otherwise would have; "Funging" refers to our charities causing other entities to spend less on the program than they otherwise would have. 
See this blog post for a description of our approach to leverage and funging: https://blog.givewell.org/2018/02/13/revisiting-leverage/
All costs which are incurred by philanthropic entities (e.g. other charities, non-government donors, but not the global fund) are counted the same way as costs to our charities (i.e. we include them in our costs and assume they are not leveraged or funged).
We calculate leverage/funging for three other types of entities: (i) national governments (ii) The Global Fund (iii) pharmaceutical companies donating drugs.
Another input into our leverage and funging adjustment are the probabilities of four possible scenarios for what would happen in the absence of philanthropic funding. We are able to share these probabilities:
1) Government costs would replace philanthropic costs: 10%
2) Global Fund costs would replace philanthropic costs: 20%
3) Government financial costs would stay the same: 0%
4) Distributions would go unfunded: 70%
</t>
      </text>
    </comment>
    <comment authorId="0" ref="A204">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05">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A206">
      <text>
        <t xml:space="preserve">The government would continue funding the program at the same level as it currently does. Government financial costs are neither leveraged nor funged.</t>
      </text>
    </comment>
    <comment authorId="0" ref="A207">
      <text>
        <t xml:space="preserve">The program would not happen without the donation. So the philanthropic funding leverages government costs.
See this document for more details: https://docs.google.com/document/d/1uiT6New2aXRB9qyrcQODhflnRR8QOZk-g1_9qaRRqjo/edit?usp=sharing</t>
      </text>
    </comment>
    <comment authorId="0" ref="A209">
      <text>
        <t xml:space="preserve">We cannot share the fraction of costs paid by the Global Fund. Therefore, estimates on this row are imported from a separate workbook, accessible only to GiveWell staff: https://docs.google.com/spreadsheets/d/1U9n5FNxeyO-WkTVVckLCL9hGJSuLEH2jDMiSe8ovjV8/edit?usp=sharing</t>
      </text>
    </comment>
    <comment authorId="0" ref="A211">
      <text>
        <t xml:space="preserve">How much more cost-effective do we estimate this funding gap to be relative to GiveDirectly cash transfers?</t>
      </text>
    </comment>
  </commentList>
</comments>
</file>

<file path=xl/comments5.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2">
      <text>
        <t xml:space="preserve">"Households invest part of the transfers: the value of non-land assets increased by USD 279 on average; this represents 58 percent of the control group mean USD 478, and 39 percent of the average transfer." Haushofer &amp; Shapiro 2013, Pg 20.
https://files.givewell.org/files/DWDA%202009/Interventions/Cash%20Transfers/haushofer_shapiro_uct_2013.11.16.pdf</t>
      </text>
    </comment>
    <comment authorId="0" ref="A15">
      <text>
        <t xml:space="preserve">http://www.givewell.org/international/technical/programs/cash-transfers#What_return_on_investment_do_cash-transfer_recipients_earn
Notes from former GiveWell Research Analyst Chris Smith: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
Notes from GiveWell Senior Fellow Caitlin McGugan: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https://files.givewell.org/files/DWDA%202009/Interventions/Cash%20Transfers/haushofer_shapiro_uct_2013.11.16.pdf)</t>
      </text>
    </comment>
    <comment authorId="0" ref="A23">
      <text>
        <t xml:space="preserve">Notes on this input from GiveWell Senior Fellow Caitlin McGugan: 
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Notes on this input from GiveWell Senior Advisor Michael Eddy:
Recent evidence (from Uganda, Ethiopia &amp; Nairobi) makes me generally pessimistic on the long-term (&gt; 5 year) impacts of GiveDirectly-style cash transfers.
My write-up here: https://docs.google.com/document/d/1-EIu9b7VKS-krLAoBAmIIFlttqku0E0UKFHwyWeKcDE/edit#
</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5">
      <text>
        <t xml:space="preserve">How much more cost-effective do we estimate this funding gap to be relative to GiveDirectly cash transfers?</t>
      </text>
    </comment>
    <comment authorId="0" ref="A4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50">
      <text>
        <t xml:space="preserve">Scenario: The program is delivered to people who don't benefit or minimally benefit because they have received the program from another source.</t>
      </text>
    </comment>
    <comment authorId="0" ref="B50">
      <text>
        <t xml:space="preserve">Not applicable.</t>
      </text>
    </comment>
    <comment authorId="0" ref="A51">
      <text>
        <t xml:space="preserve">Scenario: Pills, LLINs, etc. are poorly made, counterfeit, or otherwise largely or fully ineffective at achieving the expected outcome. </t>
      </text>
    </comment>
    <comment authorId="0" ref="B51">
      <text>
        <t xml:space="preserve">Not applicable</t>
      </text>
    </comment>
    <comment authorId="0" ref="B52">
      <text>
        <t xml:space="preserve">In our analysis of cost per dollar delivered, we use the amount that GiveDirectly sends to recipients, not adjusted for cash that doesn't ultimately reach recipients through bribery/theft or cases of staff fraud.</t>
      </text>
    </comment>
    <comment authorId="0" ref="A56">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56">
      <text>
        <t xml:space="preserve">We've consistently received comprehensive monitoring results from GiveDirectly. (We chose not to revisit the GiveDirectly's monitoring in 2019 and therefore have not updated this.)</t>
      </text>
    </comment>
    <comment authorId="0" ref="A57">
      <text>
        <t xml:space="preserve">Scenario: The monitoring results that we've received are partially or fully fabricated or significantly biased in some way we are unaware of, leading us to believe that results are better than they actually were.</t>
      </text>
    </comment>
    <comment authorId="0" ref="B57">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A6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61">
      <text>
        <t xml:space="preserve">Our cost per dollar delivered calculation captures spending on priorities other than delivery of cash transfers.</t>
      </text>
    </comment>
    <comment authorId="0" ref="A6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62">
      <text>
        <t xml:space="preserve">Has been able to spend funding quickly.</t>
      </text>
    </comment>
    <comment authorId="0" ref="A63">
      <text>
        <t xml:space="preserve">Scenario: Charity runs multiple programs and shifts funds from non-GiveWell sources or fundraising effort out of the program that we want to fund as a result of receiving GiveWell-directed funding.</t>
      </text>
    </comment>
    <comment authorId="0" ref="B63">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6.xml><?xml version="1.0" encoding="utf-8"?>
<comments xmlns:r="http://schemas.openxmlformats.org/officeDocument/2006/relationships" xmlns="http://schemas.openxmlformats.org/spreadsheetml/2006/main">
  <authors>
    <author/>
  </authors>
  <commentLis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t>
      </text>
    </comment>
    <comment authorId="0" ref="A9">
      <text>
        <t xml:space="preserve">In Baird et al. 2016, the authors state, "Take-up rates were approximately 75% in the treatment group and 5% in the control group." (p. 8).
</t>
      </text>
    </comment>
    <comment authorId="0" ref="A10">
      <text>
        <t xml:space="preserve">This calculation estimates the effect of deworming on treated individuals assuming there were no positive spillovers.
</t>
      </text>
    </comment>
    <comment authorId="0" ref="A11">
      <text>
        <t xml:space="preserve">The consumption increase found by Baird et al. may not accurately represent the true impact deworming had on the population being studied.
Additional details on our adjustment are in this document: https://docs.google.com/document/d/1PZfYXegWco0qrmQnQBjclZeq4uUdWfpE5xdBYx0cAEU/edit?usp=sharing
Further context is available in this document: https://docs.google.com/document/d/1-F5sZBq6FD6E73SWkKFhwMR9gCdKUCTfp9dOe0I-1vw/edit?usp=sharing
</t>
      </text>
    </comment>
    <comment authorId="0" ref="A13">
      <text>
        <t xml:space="preserve">Baird et al. 2016 reports that those in its treatment group were assigned 2.41 additional years of deworming on average. </t>
      </text>
    </comment>
    <comment authorId="0" ref="A17">
      <text>
        <t xml:space="preserve">Information about the default value used for this input can be found at https://docs.google.com/document/d/1NxN6SO8GNv1AhpHMy1-IGu-tStT7py29W8AFU0u_bLw/edit?ts=599b4840</t>
      </text>
    </comment>
    <comment authorId="0" ref="A19">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3">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29">
      <text>
        <t xml:space="preserve">See GiveWell's room for more funding analysis for Deworm the World [2020], "Calculation: Marginal spending by country" sheet. https://docs.google.com/spreadsheets/d/1wLHNu0tbHiupXDCPCNrRHyYBPY3qLT0KGGj2NEghB6Y/edit?usp=sharing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Deworm the World are currently based on the percentage of funding allocated to each country (calculated based on the cost per person dewormed per year and the percentage of children dewormed in each country). </t>
      </text>
    </comment>
    <comment authorId="0" ref="A30">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F30">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1">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F31">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2">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F32">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3">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F33">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4">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F34">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8">
      <text>
        <t xml:space="preserve">This row includes our estimates of how Deworm the World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39">
      <text>
        <t xml:space="preserve">Spending by other contributors is proportional to Deworm the World's spending of a donation of an arbitrary size (see row above).</t>
      </text>
    </comment>
    <comment authorId="0" ref="A40">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41">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45">
      <text>
        <t xml:space="preserve">Values are drawn from GiveWell's 2020 analysis of Deworm the World's cost per treatment.
See 
https://docs.google.com/spreadsheets/d/12C6jPuPuTiq2U8pWCBoT9Az2kunEXGkm_k7cqSIKm_8/edit?usp=sharing</t>
      </text>
    </comment>
    <comment authorId="0" ref="F45">
      <text>
        <t xml:space="preserve">We have not seen cost and treatment data from Lagos, Nigeria, so we use our overall cost per treatement estimate for this input, based on other states in Nigeria where Deworm the World works. 
GiveWell's estimates of Deworm the World's cost per child dewormed per year [2020], "Summary" sheet: https://docs.google.com/spreadsheets/d/12C6jPuPuTiq2U8pWCBoT9Az2kunEXGkm_k7cqSIKm_8/edit?usp=sharing</t>
      </text>
    </comment>
    <comment authorId="0" ref="A6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6">
      <text>
        <t xml:space="preserve">Scenario: The program is delivered to people who don't benefit or minimally benefit because they have received the program from another source.</t>
      </text>
    </comment>
    <comment authorId="0" ref="C66">
      <text>
        <t xml:space="preserve">This possibility is captured in the exclusion list of our cost-effectiveness model.</t>
      </text>
    </comment>
    <comment authorId="0" ref="A67">
      <text>
        <t xml:space="preserve">Scenario: Pills, LLINs, etc. are poorly made, counterfeit, or otherwise largely or fully ineffective at achieving the expected outcome. </t>
      </text>
    </comment>
    <comment authorId="0" ref="C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C68">
      <text>
        <t xml:space="preserve">Not applicable. Our cost/child-treated estimate uses total costs and estimates of children reached.</t>
      </text>
    </comment>
    <comment authorId="0" ref="A72">
      <text>
        <t xml:space="preserve">Scenario: The monitoring results that we've received are partially or fully fabricated or significantly biased in some way we are unaware of, leading us to believe that results are better than they actually were.</t>
      </text>
    </comment>
    <comment authorId="0" ref="C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A73">
      <text>
        <t xml:space="preserve">Scenario: The monitoring results that we've received are partially or fully fabricated or significantly biased in some way we are unaware of, leading us to believe that results are better than they actually were.</t>
      </text>
    </comment>
    <comment authorId="0" ref="C73">
      <text>
        <t xml:space="preserve">There are multiple ways in which Deworm the World checks for program coverage, using independent monitors. We haven't analyzed in depth how consistent these results are.</t>
      </text>
    </comment>
    <comment authorId="0" ref="A7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A7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78">
      <text>
        <t xml:space="preserve">Has at times been slow to spend GiveWell-directed funding, though less so in the last couple of years.</t>
      </text>
    </comment>
    <comment authorId="0" ref="A79">
      <text>
        <t xml:space="preserve">Scenario: Charity runs multiple programs and shifts funds from non-GiveWell sources or fundraising effort out of the program that we want to fund as a result of receiving GiveWell-directed funding.</t>
      </text>
    </comment>
    <comment authorId="0" ref="C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A116">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For more details on our approach to leverage and funging, see this blog post: https://blog.givewell.org/2018/02/13/revisiting-leverage/</t>
      </text>
    </comment>
    <comment authorId="0" ref="A118">
      <text>
        <t xml:space="preserve">Values are drawn from GiveWell's 2019 analysis of Deworm the World's cost per treatment.
See 
https://docs.google.com/spreadsheets/d/1Usb4HxLTYaxUq77OAJU5NJHKhiIhau8r4GDCBkXKOmQ/edit#gid=1422275365</t>
      </text>
    </comment>
    <comment authorId="0" ref="A136">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7">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44">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145">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146">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47">
      <text>
        <t xml:space="preserve">The program would not happen without the donation. So the philanthropic funding leverages government costs. </t>
      </text>
    </comment>
    <comment authorId="0" ref="A162">
      <text>
        <t xml:space="preserve">Assumes government staff costs are given as a constant proportion of upstream costs.</t>
      </text>
    </comment>
    <comment authorId="0" ref="A163">
      <text>
        <t xml:space="preserve">Assumes donated drugs are given as a constant proportion of upstream costs</t>
      </text>
    </comment>
    <comment authorId="0" ref="A167">
      <text>
        <t xml:space="preserve">Assumes government staff costs are given as a constant proportion of philanthropic costs (rather than upstream costs).</t>
      </text>
    </comment>
    <comment authorId="0" ref="A168">
      <text>
        <t xml:space="preserve">Assumes donated drugs costs are given as a constant proportion of philanthropic costs (rather than upstream costs).</t>
      </text>
    </comment>
    <comment authorId="0" ref="A220">
      <text>
        <t xml:space="preserve">How much more cost-effective do we estimate this funding gap to be relative to GiveDirectly cash transfers?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are our best guesses based on conversations with the charity.
Since we don't have a strong prediction for where this charity will spend marginal funding, we use past spending here.
Source: https://docs.google.com/spreadsheets/d/1ehv3obVRXZQcI3W_7g-7Lhrld2_zKmFjx5_ecU3x1X4/edit#gid=962198646</t>
      </text>
    </comment>
    <comment authorId="0" ref="A8">
      <text>
        <t xml:space="preserve">From GiveWell's 2017 cost per child dewormed per year estimate for END Fund: https://docs.google.com/spreadsheets/d/1Zlw1ljkp151-81q_MY2moGHUPse_HlkUQtOwqnMntgk/edit#gid=1292813484&amp;range=24:28</t>
      </text>
    </comment>
    <comment authorId="0" ref="A9">
      <text>
        <t xml:space="preserve">From GiveWell's 2017 cost per child dewormed per year estimate for END Fund: https://docs.google.com/spreadsheets/d/1Zlw1ljkp151-81q_MY2moGHUPse_HlkUQtOwqnMntgk/edit#gid=1292813484&amp;range=24:28</t>
      </text>
    </comment>
    <comment authorId="0" ref="A10">
      <text>
        <t xml:space="preserve">From GiveWell's 2017 cost per child dewormed per year estimate for END Fund: https://docs.google.com/spreadsheets/d/1Zlw1ljkp151-81q_MY2moGHUPse_HlkUQtOwqnMntgk/edit#gid=1292813484&amp;range=24:28</t>
      </text>
    </comment>
    <comment authorId="0" ref="A11">
      <text>
        <t xml:space="preserve">From GiveWell's 2017 cost per child dewormed per year estimate for END Fund: https://docs.google.com/spreadsheets/d/1Zlw1ljkp151-81q_MY2moGHUPse_HlkUQtOwqnMntgk/edit#gid=1292813484&amp;range=24:28
This 30% cost estimate is an estimate of in-kind costs, based on a study of SCI Foundation's programs. We use this estimate for other charities for which we lack information about government in-kind costs. See this section of our review of SCI Foundation for more details: https://www.givewell.org/charities/sci-foundation#Shortcomings_of_our_analysis</t>
      </text>
    </comment>
    <comment authorId="0" ref="A12">
      <text>
        <t xml:space="preserve">From GiveWell's 2017 cost per child dewormed per year estimate for END Fund: https://docs.google.com/spreadsheets/d/1Zlw1ljkp151-81q_MY2moGHUPse_HlkUQtOwqnMntgk/edit#gid=1292813484&amp;range=24:28</t>
      </text>
    </comment>
    <comment authorId="0" ref="A16">
      <text>
        <t xml:space="preserve">This row includes our estimates of how The END Fund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The END Fund's spending of a donation of an arbitrary size (see row above).</t>
      </text>
    </comment>
    <comment authorId="0" ref="A18">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9">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4">
      <text>
        <t xml:space="preserve">The default value of $0.81 comes from GiveWell's 2017 analysis of the END Fund's cost per treatment. See https://docs.google.com/spreadsheets/d/1Zlw1ljkp151-81q_MY2moGHUPse_HlkUQtOwqnMntgk/edit#gid=1292813484.</t>
      </text>
    </comment>
    <comment authorId="0" ref="A38">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1">
      <text>
        <t xml:space="preserve">Scenario: The program is delivered to people who don't benefit or minimally benefit because they have received the program from another source.</t>
      </text>
    </comment>
    <comment authorId="0" ref="C41">
      <text>
        <t xml:space="preserve">This possibility is captured in the exclusion list of our cost-effectiveness model.</t>
      </text>
    </comment>
    <comment authorId="0" ref="A42">
      <text>
        <t xml:space="preserve">Scenario: Pills, LLINs, etc. are poorly made, counterfeit, or otherwise largely or fully ineffective at achieving the expected outcome. </t>
      </text>
    </comment>
    <comment authorId="0" ref="C42">
      <text>
        <t xml:space="preserve">Drugs are donated by manufacturers in developed countries. Seems very unlikely that drugs are lower quality than in the research studies we have relied on in our cost-effectiveness analysis.</t>
      </text>
    </comment>
    <comment authorId="0" ref="C43">
      <text>
        <t xml:space="preserve">Not applicable. Our cost/child-treated estimate uses total costs and estimates of children reached.</t>
      </text>
    </comment>
    <comment authorId="0" ref="A47">
      <text>
        <t xml:space="preserve">Scenario: The monitoring results that we've received are partially or fully fabricated or significantly biased in some way we are unaware of, leading us to believe that results are better than they actually were.</t>
      </text>
    </comment>
    <comment authorId="0" ref="C47">
      <text>
        <t xml:space="preserve">We have seen monitoring for (a non-random sample of) about 70% of the END Fund's relevant work. (We chose not to revisit the END Fund's monitoring in 2019 and therefore have not updated this.)</t>
      </text>
    </comment>
    <comment authorId="0" ref="A48">
      <text>
        <t xml:space="preserve">Scenario: The monitoring results that we've received are partially or fully fabricated or significantly biased in some way we are unaware of, leading us to believe that results are better than they actually were.</t>
      </text>
    </comment>
    <comment authorId="0" ref="C48">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A52">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52">
      <text>
        <t xml:space="preserve">We have adjusted for fungibility in our cost/child-treated analysis.</t>
      </text>
    </comment>
    <comment authorId="0" ref="A53">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53">
      <text>
        <t xml:space="preserve">Has been able to spend funding quickly.</t>
      </text>
    </comment>
    <comment authorId="0" ref="A54">
      <text>
        <t xml:space="preserve">Scenario: Charity runs multiple programs and shifts funds from non-GiveWell sources or fundraising effort out of the program that we want to fund as a result of receiving GiveWell-directed funding.</t>
      </text>
    </comment>
    <comment authorId="0" ref="C54">
      <text>
        <t xml:space="preserve">We have adjusted for fungibility in our cost/child-treated analysis.</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See more details on our approach to leverage and funging in this blog post: https://blog.givewell.org/2018/02/13/revisiting-leverage/</t>
      </text>
    </comment>
    <comment authorId="0" ref="A93">
      <text>
        <t xml:space="preserve">See GiveWell's estimates of END fund's cost per treatment [2017]
https://docs.google.com/spreadsheets/d/1Zlw1ljkp151-81q_MY2moGHUPse_HlkUQtOwqnMntgk/edit#gid=1292813484</t>
      </text>
    </comment>
    <comment authorId="0" ref="A111">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2">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0">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1">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2">
      <text>
        <t xml:space="preserve">The program would not happen without the donation. So the philanthropic funding leverages government costs. </t>
      </text>
    </comment>
    <comment authorId="0" ref="A137">
      <text>
        <t xml:space="preserve">Assumes government staff costs are given as a constant proportion of upstream costs.</t>
      </text>
    </comment>
    <comment authorId="0" ref="A138">
      <text>
        <t xml:space="preserve">Assumes donated drugs are given as a constant proportion of upstream costs</t>
      </text>
    </comment>
    <comment authorId="0" ref="A142">
      <text>
        <t xml:space="preserve">Assumes government staff costs are given as a constant proportion of philanthropic costs (rather than upstream costs).</t>
      </text>
    </comment>
    <comment authorId="0" ref="A143">
      <text>
        <t xml:space="preserve">Assumes donated drugs costs are given as a constant proportion of philanthropic costs (rather than upstream costs).</t>
      </text>
    </comment>
    <comment authorId="0" ref="A194">
      <text>
        <t xml:space="preserve">How much more cost-effective do we estimate this funding gap to be relative to GiveDirectly cash transfers?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See GiveWell's room for more funding analysis for SCI (2020), "Calculation: Marginal spending" sheet, cells J31:J50. 
https://docs.google.com/spreadsheets/d/18qmm7Lj1J8-AM6fe8b55tzVhxRCRDS5JtoptCwY7XFo/edit?usp=sharing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SCI are currently based on the percentage of funding allocated to each country (calculated based on the cost per person dewormed per year and the percentage of children dewormed in each country).</t>
      </text>
    </comment>
    <comment authorId="0" ref="A8">
      <text>
        <t xml:space="preserve">From GiveWell's 2020 analysis of SCI's cost per child dewormed per year: https://docs.google.com/spreadsheets/d/11qABbPZYnPH5NZlngj81sYct_-nS90M5tnkDJVy3w10/edit?usp=sharing</t>
      </text>
    </comment>
    <comment authorId="0" ref="A9">
      <text>
        <t xml:space="preserve">From GiveWell's 2020 analysis of SCI's cost per child dewormed per year: https://docs.google.com/spreadsheets/d/11qABbPZYnPH5NZlngj81sYct_-nS90M5tnkDJVy3w10/edit?usp=sharing</t>
      </text>
    </comment>
    <comment authorId="0" ref="A10">
      <text>
        <t xml:space="preserve">From GiveWell's 2020 analysis of SCI's cost per child dewormed per year: https://docs.google.com/spreadsheets/d/11qABbPZYnPH5NZlngj81sYct_-nS90M5tnkDJVy3w10/edit?usp=sharing</t>
      </text>
    </comment>
    <comment authorId="0" ref="A11">
      <text>
        <t xml:space="preserve">From GiveWell's 2020 analysis of SCI's cost per child dewormed per year: https://docs.google.com/spreadsheets/d/11qABbPZYnPH5NZlngj81sYct_-nS90M5tnkDJVy3w10/edit?usp=sharing</t>
      </text>
    </comment>
    <comment authorId="0" ref="A15">
      <text>
        <t xml:space="preserve">This row includes our estimates of how SCI Foundation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6">
      <text>
        <t xml:space="preserve">Spending by other contributors is proportional to SCI Foundation's spending of a donation of an arbitrary size (see row above).</t>
      </text>
    </comment>
    <comment authorId="0" ref="A17">
      <text>
        <t xml:space="preserve">See this spreadsheet for more detail: 
https://docs.google.com/spreadsheets/d/1SUXY9ocyO5WE_SXqilVavHWEZOxUx93X4sUbqfiVzCc/edit#gid=176755548</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From GiveWell's 2020 analysis of SCI's cost per child dewormed per year: https://docs.google.com/spreadsheets/d/11qABbPZYnPH5NZlngj81sYct_-nS90M5tnkDJVy3w10/edit?usp=sharing</t>
      </text>
    </comment>
    <comment authorId="0" ref="A4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5">
      <text>
        <t xml:space="preserve">Scenario: The program is delivered to people who don't benefit or minimally benefit because they have received the program from another source.</t>
      </text>
    </comment>
    <comment authorId="0" ref="C45">
      <text>
        <t xml:space="preserve">This possibility is captured in the exclusion list of our cost-effectiveness model.</t>
      </text>
    </comment>
    <comment authorId="0" ref="A46">
      <text>
        <t xml:space="preserve">Scenario: Pills, LLINs, etc. are poorly made, counterfeit, or otherwise largely or fully ineffective at achieving the expected outcome. </t>
      </text>
    </comment>
    <comment authorId="0" ref="C46">
      <text>
        <t xml:space="preserve">Drugs are donated by manufacturers in developed countries. Seems very unlikely that drugs are lower quality than in the  research studies we have relied on in our cost-effectiveness analysis.</t>
      </text>
    </comment>
    <comment authorId="0" ref="C47">
      <text>
        <t xml:space="preserve">Not applicable. Our cost/child-treated estimate uses total costs and estimates of children reached.</t>
      </text>
    </comment>
    <comment authorId="0" ref="A51">
      <text>
        <t xml:space="preserve">Scenario: The monitoring results that we've received are partially or fully fabricated or significantly biased in some way we are unaware of, leading us to believe that results are better than they actually were.</t>
      </text>
    </comment>
    <comment authorId="0" ref="C51">
      <text>
        <t xml:space="preserve">We have received monitoring results from a non-random half of SCI-supported programs over the last few years.</t>
      </text>
    </comment>
    <comment authorId="0" ref="A52">
      <text>
        <t xml:space="preserve">Scenario: The monitoring results that we've received are partially or fully fabricated or significantly biased in some way we are unaware of, leading us to believe that results are better than they actually were.</t>
      </text>
    </comment>
    <comment authorId="0" ref="C52">
      <text>
        <t xml:space="preserve">SCI has limited oversight of surveyors or ways to triangulate results. We have some concerns about respondent recall.</t>
      </text>
    </comment>
    <comment authorId="0" ref="A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56">
      <text>
        <t xml:space="preserve">SCI has consistently used funds for deworming MDA over a long period. We have incorporated other uses of funds (e.g. research spending) in our cost/child-treated analysis.</t>
      </text>
    </comment>
    <comment authorId="0" ref="A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57">
      <text>
        <t xml:space="preserve">Has been able to spend funding quickly.</t>
      </text>
    </comment>
    <comment authorId="0" ref="A58">
      <text>
        <t xml:space="preserve">Scenario: Charity runs multiple programs and shifts funds from non-GiveWell sources or fundraising effort out of the program that we want to fund as a result of receiving GiveWell-directed funding.</t>
      </text>
    </comment>
    <comment authorId="0" ref="C58">
      <text>
        <t xml:space="preserve">Not applicable: single program organization.</t>
      </text>
    </comment>
    <comment authorId="0" ref="A95">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1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4">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2">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3">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4">
      <text>
        <t xml:space="preserve">The program would not happen without the donation. So the philanthropic funding leverages government costs. </t>
      </text>
    </comment>
    <comment authorId="0" ref="A139">
      <text>
        <t xml:space="preserve">Assumes government staff costs are given as a constant proportion of upstream costs.</t>
      </text>
    </comment>
    <comment authorId="0" ref="A140">
      <text>
        <t xml:space="preserve">Assumes donated drugs are given as a constant proportion of upstream costs</t>
      </text>
    </comment>
    <comment authorId="0" ref="A144">
      <text>
        <t xml:space="preserve">Assumes government staff costs are given as a constant proportion of philanthropic costs (rather than upstream costs).</t>
      </text>
    </comment>
    <comment authorId="0" ref="A145">
      <text>
        <t xml:space="preserve">Assumes donated drugs costs are given as a constant proportion of philanthropic costs (rather than upstream costs).</t>
      </text>
    </comment>
    <comment authorId="0" ref="A198">
      <text>
        <t xml:space="preserve">How much more cost-effective do we estimate this funding gap to be relative to GiveDirectly cash transfers?</t>
      </text>
    </comment>
  </commentList>
</comments>
</file>

<file path=xl/comments9.xml><?xml version="1.0" encoding="utf-8"?>
<comments xmlns:r="http://schemas.openxmlformats.org/officeDocument/2006/relationships" xmlns="http://schemas.openxmlformats.org/spreadsheetml/2006/main">
  <authors>
    <author/>
  </authors>
  <commentLis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P1">
      <text>
        <t xml:space="preserve">Nigeria</t>
      </text>
    </comment>
    <comment authorId="0" ref="Q1">
      <text>
        <t xml:space="preserve">Nigeria</t>
      </text>
    </comment>
    <comment authorId="0" ref="A7">
      <text>
        <t xml:space="preserve">See our room for more funding analysis for Sightsavers (2020), "Spending opportunities" sheet: https://docs.google.com/spreadsheets/d/1xZG-dWGMvka2to3S7C8jxGJxCIeOVfwxRMLgAhMZxHs/edit?usp=sharing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Sightsavers are currently based on the percentage of funding allocated to each country (calculated based on the cost per person dewormed per year and the percentage of children dewormed in each country). </t>
      </text>
    </comment>
    <comment authorId="0" ref="A8">
      <text>
        <t xml:space="preserve">From GiveWell's 2020 analysis of Sightsavers' cost per treatment. 
https://docs.google.com/spreadsheets/d/1ZHsF0_F0FHc_grlz7CtfOqfSAa7YhiUr8HlCDz5MMBg/edit?usp=sharing</t>
      </text>
    </comment>
    <comment authorId="0" ref="A9">
      <text>
        <t xml:space="preserve">From GiveWell's 2020 analysis of Sightsavers' cost per treatment. 
https://docs.google.com/spreadsheets/d/1ZHsF0_F0FHc_grlz7CtfOqfSAa7YhiUr8HlCDz5MMBg/edit?usp=sharing</t>
      </text>
    </comment>
    <comment authorId="0" ref="A10">
      <text>
        <t xml:space="preserve">From GiveWell's 2020 analysis of Sightsavers' cost per treatment. 
https://docs.google.com/spreadsheets/d/1ZHsF0_F0FHc_grlz7CtfOqfSAa7YhiUr8HlCDz5MMBg/edit?usp=sharing</t>
      </text>
    </comment>
    <comment authorId="0" ref="A14">
      <text>
        <t xml:space="preserve">This row includes our estimates of how Sightsavers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5">
      <text>
        <t xml:space="preserve">Spending by other contributors is proportional to Sightsavers' spending of a donation of an arbitrary size (see row above).</t>
      </text>
    </comment>
    <comment authorId="0" ref="A16">
      <text>
        <t xml:space="preserve">We believe that treatments going to adults have been excluded from our cost per treatment analysis. Accordingly, we assume 100% of Sightsavers treatments go to children.</t>
      </text>
    </comment>
    <comment authorId="0" ref="A17">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2">
      <text>
        <t xml:space="preserve">From GiveWell's 2020 analysis of Sightsavers' cost per treatment. 
https://docs.google.com/spreadsheets/d/1ZHsF0_F0FHc_grlz7CtfOqfSAa7YhiUr8HlCDz5MMBg/edit?usp=sharing</t>
      </text>
    </comment>
    <comment authorId="0" ref="A24">
      <text>
        <t xml:space="preserve">These values are calculated using data on the proportion of treatments delivered by country from our worm intensity workbook: https://docs.google.com/spreadsheets/d/1uArEn2C1obwTGBi2nf42Xxns8MaiCk6Zu4nbHhLs60k/edit#gid=2041655207&amp;range=C38:C50
In this row, our calculations normalize the proportions of treatments delivered by country to 100% overall.
</t>
      </text>
    </comment>
    <comment authorId="0" ref="A4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3">
      <text>
        <t xml:space="preserve">Scenario: The program is delivered to people who don't benefit or minimally benefit because they have received the program from another source.</t>
      </text>
    </comment>
    <comment authorId="0" ref="C43">
      <text>
        <t xml:space="preserve">This possibility is captured in the exclusion list of our cost-effectiveness model.</t>
      </text>
    </comment>
    <comment authorId="0" ref="A44">
      <text>
        <t xml:space="preserve">Scenario: Pills, LLINs, etc. are poorly made, counterfeit, or otherwise largely or fully ineffective at achieving the expected outcome. </t>
      </text>
    </comment>
    <comment authorId="0" ref="C44">
      <text>
        <t xml:space="preserve">Drugs are donated by manufacturers in developed countries. Seems very unlikely that drugs are lower quality than in the research studies we have relied on in our cost-effectiveness analysis.</t>
      </text>
    </comment>
    <comment authorId="0" ref="C45">
      <text>
        <t xml:space="preserve">Not applicable. Our cost/child-treated estimate uses total costs and estimates of children reached.</t>
      </text>
    </comment>
    <comment authorId="0" ref="A49">
      <text>
        <t xml:space="preserve">Scenario: The monitoring results that we've received are partially or fully fabricated or significantly biased in some way we are unaware of, leading us to believe that results are better than they actually were.</t>
      </text>
    </comment>
    <comment authorId="0" ref="C49">
      <text>
        <t xml:space="preserve">In 2018, we saw monitoring from a high percentage of Sightsavers' relevant work (80%). In 2019, we received monitoring from 1 of the 5 of the relevant countries, covering less than 20% of Sightsavers work.</t>
      </text>
    </comment>
    <comment authorId="0" ref="A50">
      <text>
        <t xml:space="preserve">Scenario: The monitoring results that we've received are partially or fully fabricated or significantly biased in some way we are unaware of, leading us to believe that results are better than they actually were.</t>
      </text>
    </comment>
    <comment authorId="0" ref="C50">
      <text>
        <t xml:space="preserve">Sightsavers has limited oversight of surveyors or ways to triangulate results. We have some concerns about respondent recall.</t>
      </text>
    </comment>
    <comment authorId="0" ref="A54">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54">
      <text>
        <t xml:space="preserve">Sightsavers has used funding in the way we expected it to be used, but we have a somewhat limited understanding of how Sightsavers might choose to use funding.</t>
      </text>
    </comment>
    <comment authorId="0" ref="A55">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55">
      <text>
        <t xml:space="preserve">Has been able to spend funding quickly.</t>
      </text>
    </comment>
    <comment authorId="0" ref="A56">
      <text>
        <t xml:space="preserve">Scenario: Charity runs multiple programs and shifts funds from non-GiveWell sources or fundraising effort out of the program that we want to fund as a result of receiving GiveWell-directed funding.</t>
      </text>
    </comment>
    <comment authorId="0" ref="C56">
      <text>
        <t xml:space="preserve">Sightsavers has limited unrestricted funding relative to the size of this program. Fundraising efforts may be redirected to other programs as a result of more funding being available for this program.</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09">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0">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8">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19">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0">
      <text>
        <t xml:space="preserve">The program would not happen without the donation. So the philanthropic funding leverages government costs. </t>
      </text>
    </comment>
    <comment authorId="0" ref="A135">
      <text>
        <t xml:space="preserve">Assumes government staff costs are given as a constant proportion of upstream costs.</t>
      </text>
    </comment>
    <comment authorId="0" ref="A136">
      <text>
        <t xml:space="preserve">Assumes donated drugs are given as a constant proportion of upstream costs</t>
      </text>
    </comment>
    <comment authorId="0" ref="A140">
      <text>
        <t xml:space="preserve">Assumes government staff costs are given as a constant proportion of philanthropic costs (rather than upstream costs).</t>
      </text>
    </comment>
    <comment authorId="0" ref="A141">
      <text>
        <t xml:space="preserve">Assumes donated drugs costs are given as a constant proportion of philanthropic costs (rather than upstream costs).</t>
      </text>
    </comment>
  </commentList>
</comments>
</file>

<file path=xl/comments10.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our 2020 room for more funding analysis. See https://docs.google.com/spreadsheets/d/1nOu0vtopnixaCNtjDNlLmCROvu4V9xWUa8fINdH-X1s/edit#gid=478466386&amp;range=N56:N59</t>
      </text>
    </comment>
    <comment authorId="0" ref="A8">
      <text>
        <t xml:space="preserve">GiveWell's 2020 estimate of MC's cost per treatment, "Summary" sheet. https://docs.google.com/spreadsheets/d/1rTmOgxHMFTnjvrtcf5rTkrkJhxwk96iAANLRlg9jDs8/edit?usp=sharing
Note that Malaria Consortium is the only "philanthropic actor" supporting its SMC programs. See "2015 ACCESS-SMC costs", "2016 ACCESS-SMC costs", "2017 ACCESS-SMC and GiveWell costs", "2018 costs," and "2019 costs" sheets for details.</t>
      </text>
    </comment>
    <comment authorId="0" ref="G8">
      <text>
        <t xml:space="preserve">Overall figure from "Summary" sheet, GiveWell's 2020 estimate of MC's cost per treatment. https://docs.google.com/spreadsheets/d/1rTmOgxHMFTnjvrtcf5rTkrkJhxwk96iAANLRlg9jDs8/edit?usp=sharing
</t>
      </text>
    </comment>
    <comment authorId="0" ref="A9">
      <text>
        <t xml:space="preserve">GiveWell's 2020 estimate of MC's cost per treatment, "Summary" sheet. https://docs.google.com/spreadsheets/d/1rTmOgxHMFTnjvrtcf5rTkrkJhxwk96iAANLRlg9jDs8/edit?usp=sharing</t>
      </text>
    </comment>
    <comment authorId="0" ref="G9">
      <text>
        <t xml:space="preserve">Overall figure from "Summary" sheet, GiveWell's 2020 estimate of MC's cost per treatment. https://docs.google.com/spreadsheets/d/1rTmOgxHMFTnjvrtcf5rTkrkJhxwk96iAANLRlg9jDs8/edit?usp=sharing
</t>
      </text>
    </comment>
    <comment authorId="0" ref="A13">
      <text>
        <t xml:space="preserve">This row includes our estimates of how Malaria Consortium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Malaria Consortium's spending of a donation of an arbitrary size (see row above).</t>
      </text>
    </comment>
    <comment authorId="0" ref="A16">
      <text>
        <t xml:space="preserve">GiveWell's 2020 estimate of MC's cost per treatment, "Summary" sheet. https://docs.google.com/spreadsheets/d/1rTmOgxHMFTnjvrtcf5rTkrkJhxwk96iAANLRlg9jDs8/edit?usp=sharing
</t>
      </text>
    </comment>
    <comment authorId="0" ref="G16">
      <text>
        <t xml:space="preserve">Overall figure from "Summary" sheet, GiveWell's 2020 estimate of MC's cost per treatment. https://docs.google.com/spreadsheets/d/1rTmOgxHMFTnjvrtcf5rTkrkJhxwk96iAANLRlg9jDs8/edit?usp=sharing</t>
      </text>
    </comment>
    <comment authorId="0" ref="A22">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24">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5">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6">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4">
      <text>
        <t xml:space="preserve">These figures are available through the GBD Results Tool at http://ghdx.healthdata.org/gbd-results-tool?params=gbd-api-2017-permalink/1af51d596c2755d0bd4e63e7828725b2</t>
      </text>
    </comment>
    <comment authorId="0" ref="A35">
      <text>
        <t xml:space="preserve">These figures are available through the GBD Results Tool at http://ghdx.healthdata.org/gbd-results-tool?params=gbd-api-2017-permalink/1af51d596c2755d0bd4e63e7828725b2</t>
      </text>
    </comment>
    <comment authorId="0" ref="A36">
      <text>
        <t xml:space="preserve">These figures are available through the GBD Results Tool at http://ghdx.healthdata.org/gbd-results-tool?params=gbd-api-2017-permalink/1af51d596c2755d0bd4e63e7828725b2</t>
      </text>
    </comment>
    <comment authorId="0" ref="A37">
      <text>
        <t xml:space="preserve">These figures are available through the GBD Results Tool at http://ghdx.healthdata.org/gbd-results-tool?params=gbd-api-2017-permalink/1af51d596c2755d0bd4e63e7828725b2</t>
      </text>
    </comment>
    <comment authorId="0" ref="A38">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9">
      <text>
        <t xml:space="preserve">This calculation assumes that malaria deaths are spread evenly across the 11-month post neonatal period. </t>
      </text>
    </comment>
    <comment authorId="0" ref="A40">
      <text>
        <t xml:space="preserve">This calculation is based on an arbitrary assumption about the portion of post-neonatal deaths that occur in 1-2 month-olds. We recommend trying different values.</t>
      </text>
    </comment>
    <comment authorId="0" ref="A41">
      <text>
        <t xml:space="preserve">This calculation is based on an arbitrary assumption about the portion of post-neonatal deaths that occur in 1-2 month-olds. We recommend trying different values.
</t>
      </text>
    </comment>
    <comment authorId="0" ref="A44">
      <text>
        <t xml:space="preserve">These figures are available through the GBD Results Tool at http://ghdx.healthdata.org/gbd-results-tool?params=gbd-api-2017-permalink/93e9a75c2db602bc86b768cc7b35ac57</t>
      </text>
    </comment>
    <comment authorId="0" ref="A45">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9">
      <text>
        <t xml:space="preserve">Copied from above.</t>
      </text>
    </comment>
    <comment authorId="0" ref="A50">
      <text>
        <t xml:space="preserve">These figures are available through the GBD Results Tool at http://ghdx.healthdata.org/gbd-results-tool?params=gbd-api-2017-permalink/f19b6d940262aa4cb9e59bc55318bba2</t>
      </text>
    </comment>
    <comment authorId="0" ref="A55">
      <text>
        <t xml:space="preserve">We use prevalence estimates for children ages 1-4 from the Global Burden of Disease Project as a proxy for prevalence in children 3-59 months old. See http://ghdx.healthdata.org/gbd-results-tool?params=gbd-api-2016-permalink/cb948c2caebce626343c134334343dfb</t>
      </text>
    </comment>
    <comment authorId="0" ref="A56">
      <text>
        <t xml:space="preserve">We use prevalence estimates from the Global Burden of Disease Project. See http://ghdx.healthdata.org/gbd-results-tool?params=gbd-api-2016-permalink/43ce9772f8b382b800f58622d9bacdcc
</t>
      </text>
    </comment>
    <comment authorId="0" ref="A57">
      <text>
        <t xml:space="preserve">We use prevalence estimates from the Global Burden of Disease Project. See http://ghdx.healthdata.org/gbd-results-tool?params=gbd-api-2016-permalink/fc8d25e15b74d4ac0b6aa6ccff89771a</t>
      </text>
    </comment>
    <comment authorId="0" ref="A6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4">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5">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67">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9">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70">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2">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4">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6">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7">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8">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9">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82">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4">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6">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3">
      <text>
        <t xml:space="preserve">We use prevalence estimates for children ages 1-4 from the Global Burden of Disease Project as a proxy for prevalence in children 3-59 months old. See the "Country selection" tab for calculations and a source link.</t>
      </text>
    </comment>
    <comment authorId="0" ref="A94">
      <text>
        <t xml:space="preserve">We use prevalence estimates from the Global Burden of Disease Project. See the "Country selection" tab for calculations and a source link.</t>
      </text>
    </comment>
    <comment authorId="0" ref="A95">
      <text>
        <t xml:space="preserve">We assume that the reduction in prevalence from SMC is roughly equal to the reduction in incidence</t>
      </text>
    </comment>
    <comment authorId="0" ref="A96">
      <text>
        <t xml:space="preserve">We assume that the reduction in prevalence from SMC is roughly equal to the reduction in incidence</t>
      </text>
    </comment>
    <comment authorId="0" ref="A97">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98">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103">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4">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6">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11">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18">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t>
      </text>
    </comment>
    <comment authorId="0" ref="A119">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t>
      </text>
    </comment>
    <comment authorId="0" ref="A12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3">
      <text>
        <t xml:space="preserve">Scenario: The program is delivered to people who don't benefit or minimally benefit because they have received the program from another source.</t>
      </text>
    </comment>
    <comment authorId="0" ref="C133">
      <text>
        <t xml:space="preserve">Intuitively seems unlikely that children are getting preventative treatment from another source.</t>
      </text>
    </comment>
    <comment authorId="0" ref="A134">
      <text>
        <t xml:space="preserve">Scenario: Pills, LLINs, etc. are poorly made, counterfeit, or otherwise largely or fully ineffective at achieving the expected outcome. </t>
      </text>
    </comment>
    <comment authorId="0" ref="C134">
      <text>
        <t xml:space="preserve">Drugs are purchased from World Health Organization-qualified manufacturers.</t>
      </text>
    </comment>
    <comment authorId="0" ref="C135">
      <text>
        <t xml:space="preserve">Not applicable. Our cost/child-treated estimate uses total costs and estimates of children reached.</t>
      </text>
    </comment>
    <comment authorId="0" ref="A139">
      <text>
        <t xml:space="preserve">Scenario: The monitoring results that we've received are partially or fully fabricated or significantly biased in some way we are unaware of, leading us to believe that results are better than they actually were.</t>
      </text>
    </comment>
    <comment authorId="0" ref="C139">
      <text>
        <t xml:space="preserve">We've received coverage survey results from all locations and all years.</t>
      </text>
    </comment>
    <comment authorId="0" ref="A140">
      <text>
        <t xml:space="preserve">Scenario: The monitoring results that we've received are partially or fully fabricated or significantly biased in some way we are unaware of, leading us to believe that results are better than they actually were.</t>
      </text>
    </comment>
    <comment authorId="0" ref="C140">
      <text>
        <t xml:space="preserve">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A144">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144">
      <text>
        <t xml:space="preserve">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A145">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145">
      <text>
        <t xml:space="preserve">Has been able to spend funding quickly.</t>
      </text>
    </comment>
    <comment authorId="0" ref="A146">
      <text>
        <t xml:space="preserve">Scenario: Charity runs multiple programs and shifts funds from non-GiveWell sources or fundraising effort out of the program that we want to fund as a result of receiving GiveWell-directed funding.</t>
      </text>
    </comment>
    <comment authorId="0" ref="C146">
      <text>
        <t xml:space="preserve">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A183">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88">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91">
      <text>
        <t xml:space="preserve">GiveWell's 2020 estimate of MC's cost per treatment, "Summary" sheet. https://docs.google.com/spreadsheets/d/1rTmOgxHMFTnjvrtcf5rTkrkJhxwk96iAANLRlg9jDs8/edit?usp=sharing
</t>
      </text>
    </comment>
    <comment authorId="0" ref="A192">
      <text>
        <t xml:space="preserve">GiveWell's 2020 estimate of MC's cost per treatment, "Summary" sheet. https://docs.google.com/spreadsheets/d/1rTmOgxHMFTnjvrtcf5rTkrkJhxwk96iAANLRlg9jDs8/edit?usp=sharing
</t>
      </text>
    </comment>
    <comment authorId="0" ref="A206">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07">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A208">
      <text>
        <t xml:space="preserve">The government would continue funding the program at the same level as it currently does. Government financial costs are neither leveraged nor funged.</t>
      </text>
    </comment>
    <comment authorId="0" ref="A209">
      <text>
        <t xml:space="preserve">The program would not happen without the donation. So the philanthropic funding leverages government costs.
See this document for more details: https://docs.google.com/document/d/1uiT6New2aXRB9qyrcQODhflnRR8QOZk-g1_9qaRRqjo/edit?usp=sharing</t>
      </text>
    </comment>
    <comment authorId="0" ref="A249">
      <text>
        <t xml:space="preserve">How much more cost-effective do we estimate this funding gap to be relative to GiveDirectly cash transfers?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our 2020 room for more funding analysis. See https://docs.google.com/spreadsheets/d/1xg4f7-7GzxRESQDuXBJ2NSnOmn81-ZDb9bunjfdR6w8/edit#gid=1769209437&amp;range=A81:B89</t>
      </text>
    </comment>
    <comment authorId="0" ref="A8">
      <text>
        <t xml:space="preserve">From GiveWell's 2020 cost per supplement analysis: https://docs.google.com/spreadsheets/d/1wJaWPx1wpseVbqkNYapIdc3V2plHjLy-8RhU78053lg/edit?usp=sharing</t>
      </text>
    </comment>
    <comment authorId="0" ref="A9">
      <text>
        <t xml:space="preserve">From GiveWell's 2020 cost per supplement analysis: https://docs.google.com/spreadsheets/d/1wJaWPx1wpseVbqkNYapIdc3V2plHjLy-8RhU78053lg/edit?usp=sharing</t>
      </text>
    </comment>
    <comment authorId="0" ref="A10">
      <text>
        <t xml:space="preserve">From GiveWell's 2020 cost per supplement analysis: https://docs.google.com/spreadsheets/d/1wJaWPx1wpseVbqkNYapIdc3V2plHjLy-8RhU78053lg/edit?usp=sharing</t>
      </text>
    </comment>
    <comment authorId="0" ref="A11">
      <text>
        <t xml:space="preserve">From GiveWell's 2020 cost per supplement analysis: https://docs.google.com/spreadsheets/d/1wJaWPx1wpseVbqkNYapIdc3V2plHjLy-8RhU78053lg/edit?usp=sharing</t>
      </text>
    </comment>
    <comment authorId="0" ref="A12">
      <text>
        <t xml:space="preserve">From GiveWell's 2020 cost per supplement analysis: https://docs.google.com/spreadsheets/d/1wJaWPx1wpseVbqkNYapIdc3V2plHjLy-8RhU78053lg/edit?usp=sharing</t>
      </text>
    </comment>
    <comment authorId="0" ref="A16">
      <text>
        <t xml:space="preserve">This row includes our estimates of how HKI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HKI's spending of a donation of an arbitrary size (see row above).</t>
      </text>
    </comment>
    <comment authorId="0" ref="A18">
      <text>
        <t xml:space="preserve">From GiveWell's 2020 cost per supplement analysis: https://docs.google.com/spreadsheets/d/1wJaWPx1wpseVbqkNYapIdc3V2plHjLy-8RhU78053lg/edit?usp=sharing</t>
      </text>
    </comment>
    <comment authorId="0" ref="A19">
      <text>
        <t xml:space="preserve">HKI plans to support two rounds of VAS distribution per year.</t>
      </text>
    </comment>
    <comment authorId="0" ref="A26">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8">
      <text>
        <t xml:space="preserve">Coverage estimates from RCTs of vitamin A supplementation included in Imdad et al 2017 meta-analysis https://docs.google.com/spreadsheets/d/1J997Om048dWrI-H9QskHeCkcgq8FA6xff6MNlhYS6TA/edit?usp=sharing</t>
      </text>
    </comment>
    <comment authorId="0" ref="A33">
      <text>
        <t xml:space="preserve">Global Burden of Disease study 2017.
The calculations behind this figure can be found in a workbook at https://docs.google.com/spreadsheets/d/1CRb5nNd_1eO59KUjI-Q3Xef4sY5bEMjOGxTPVaCHCXs/edit#gid=0</t>
      </text>
    </comment>
    <comment authorId="0" ref="A36">
      <text>
        <t xml:space="preserve">We think the confidence we have in the point estimate for VAS from the meta-analysis is meaningfully but not hugely lower than for nets or SMC. This is mainly because there is a question of whether we should use the fixed effects or random effects estimate. Fixed effects is half the size of the random effects. We use random effects. So we adjust somewhat toward fixed effects by lowering the internal validity adjustment.</t>
      </text>
    </comment>
    <comment authorId="0" ref="A37">
      <text>
        <t xml:space="preserve">The calculations behind this figure can be found in a workbook at https://docs.google.com/spreadsheets/d/1KBLL5GS4wBgItBLbe3sgDb8OV3tOmXyuU9BZolM8iB8/edit?usp=sharing
Our external validity adjustment for HKI takes changes in the prevalence of VAD between the VAS trials and areas where HKI works today and changes in the composition of causes of child mortality into account.
For more discussion, see the following two sections of our review of HKI:
https://www.givewell.org/charities/helen-keller-international#How_prevalent_is_vitamin_A_deficiency_in_areas_where_HKI_works
https://www.givewell.org/charities/helen-keller-international#How_prevalent_is_vitamin_A_deficiency_in_areas_where_HKI_works</t>
      </text>
    </comment>
    <comment authorId="0" ref="A38">
      <text>
        <t xml:space="preserve">See this document for an explanation for this adjustment: https://docs.google.com/document/d/1NPvXGKANhUZ7brQRKj-84OyaDpEDt3CiNLFqDYV6kFE/edit?usp=sharing</t>
      </text>
    </comment>
    <comment authorId="0" ref="A4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2">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46">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5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0">
      <text>
        <t xml:space="preserve">Scenario: The program is delivered to people who don't benefit or minimally benefit because they have received the program from another source.</t>
      </text>
    </comment>
    <comment authorId="0" ref="C60">
      <text>
        <t xml:space="preserve">Vitamin A supplementation may be delivered through both routine (facility-based) systems and mass campaigns.</t>
      </text>
    </comment>
    <comment authorId="0" ref="A61">
      <text>
        <t xml:space="preserve">Scenario: Pills, LLINs, etc. are poorly made, counterfeit, or otherwise largely or fully ineffective at achieving the expected outcome. </t>
      </text>
    </comment>
    <comment authorId="0" ref="C61">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C62">
      <text>
        <t xml:space="preserve">Not applicable. Our cost/child-treated estimate uses total costs and estimates of children reached.</t>
      </text>
    </comment>
    <comment authorId="0" ref="A66">
      <text>
        <t xml:space="preserve">Scenario: The monitoring results that we've received are partially or fully fabricated or significantly biased in some way we are unaware of, leading us to believe that results are better than they actually were.</t>
      </text>
    </comment>
    <comment authorId="0" ref="C66">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A67">
      <text>
        <t xml:space="preserve">Scenario: The monitoring results that we've received are partially or fully fabricated or significantly biased in some way we are unaware of, leading us to believe that results are better than they actually were.</t>
      </text>
    </comment>
    <comment authorId="0" ref="C67">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A7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C71">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A7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C72">
      <text>
        <t xml:space="preserve">Has been able to spend funding quickly.</t>
      </text>
    </comment>
    <comment authorId="0" ref="A73">
      <text>
        <t xml:space="preserve">Scenario: Charity runs multiple programs and shifts funds from non-GiveWell sources or fundraising effort out of the program that we want to fund as a result of receiving GiveWell-directed funding.</t>
      </text>
    </comment>
    <comment authorId="0" ref="C73">
      <text>
        <t xml:space="preserve">HKI has limited unrestricted funding relative to the size of this program. Fundraising efforts may be redirected to other programs as a result of more funding being available for this program.</t>
      </text>
    </comment>
    <comment authorId="0" ref="A110">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0">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1">
      <text>
        <t xml:space="preserve">Upstream costs cause downstream costs. Assumes government staff costs and procured vitamin A capsules are "downstream". The implication of these costs being "downstream" is if the program shrinks (i.e. we make a smaller donation), less of these costs will go to the intervention. So they are leveraged</t>
      </text>
    </comment>
    <comment authorId="0" ref="A140">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https://docs.google.com/document/d/13w8HxvcXkSQf6DQZ9GBJLK9FHi92cC1_v4uybh6rnbc/edit?usp=sharing
</t>
      </text>
    </comment>
    <comment authorId="0" ref="A141">
      <text>
        <t xml:space="preserve">Other philanthropic actors would provide additional funding to fully cover the intervention. A donation to HKI therefore funges with other philanthropic actors and the value of donating is equivalent to the marginal value of funding contributed by other philanthropic actors.
See this document for more details: https://docs.google.com/document/d/13w8HxvcXkSQf6DQZ9GBJLK9FHi92cC1_v4uybh6rnbc/edit?usp=sharing</t>
      </text>
    </comment>
    <comment authorId="0" ref="A142">
      <text>
        <t xml:space="preserve">The government (financial costs) and other philanthropic actors would continue funding the program at the same level they currently do. Government financial costs and other philanthropic actors are neither leveraged nor funged.  Vitamin A capsule procurement and in-kind government costs are partially leveraged because the program gets smaller in the absence of HKI's funding.
See this document for more details: https://docs.google.com/document/d/13w8HxvcXkSQf6DQZ9GBJLK9FHi92cC1_v4uybh6rnbc/edit?usp=sharing</t>
      </text>
    </comment>
    <comment authorId="0" ref="A143">
      <text>
        <t xml:space="preserve">The program would not happen without the donation. So HKI's funding leverages all other actors' funding. 
See this document for more details: https://docs.google.com/document/d/13w8HxvcXkSQf6DQZ9GBJLK9FHi92cC1_v4uybh6rnbc/edit?usp=sharing</t>
      </text>
    </comment>
  </commentList>
</comments>
</file>

<file path=xl/comments12.xml><?xml version="1.0" encoding="utf-8"?>
<comments xmlns:r="http://schemas.openxmlformats.org/officeDocument/2006/relationships" xmlns="http://schemas.openxmlformats.org/spreadsheetml/2006/main">
  <authors>
    <author/>
  </authors>
  <commentList>
    <comment authorId="0" ref="C3">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4">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6">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7">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11">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15">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32">
      <text>
        <t xml:space="preserve">We expect the majority of government costs spent on deworming would otherwise have been spent on education because teachers are used to deliver the drugs.</t>
      </text>
    </comment>
    <comment authorId="0" ref="C33">
      <text>
        <t xml:space="preserve">We expect the majority of government costs spent on malaria and vitamin A would have otherwise been spent on other health programs, as they are spent on ministry of health staff.</t>
      </text>
    </comment>
    <comment authorId="0" ref="C34">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t>
      </text>
    </comment>
    <comment authorId="0" ref="C35">
      <text>
        <t xml:space="preserve">Our estimate is based on data the Global Fund shared with us from its unfilled quality demand (UQD) registry, which is a list of programming that it would like to fund, but does not have the resources to when it makes its initial allocations. We do not have permission to make the data the Global Fund shared with us public, but our calculations based on that data are available in: https://docs.google.com/spreadsheets/d/1Ybv7Nzo_-gkIe_y52wW2QiBpqxGZ28pf6D8kgRHdjoQ/edit?usp=sharing</t>
      </text>
    </comment>
    <comment authorId="0" ref="D35">
      <text>
        <t xml:space="preserve">The value hard-coded into this calculation is calculated here: https://docs.google.com/spreadsheets/d/1Ybv7Nzo_-gkIe_y52wW2QiBpqxGZ28pf6D8kgRHdjoQ/edit#gid=1529752333&amp;range=B5</t>
      </text>
    </comment>
  </commentList>
</comments>
</file>

<file path=xl/comments13.xml><?xml version="1.0" encoding="utf-8"?>
<comments xmlns:r="http://schemas.openxmlformats.org/officeDocument/2006/relationships" xmlns="http://schemas.openxmlformats.org/spreadsheetml/2006/main">
  <authors>
    <author/>
  </authors>
  <commentList>
    <comment authorId="0" ref="D1">
      <text>
        <t xml:space="preserve">This column indicates whether an item is explicitly included in the CEA. Some items that are not explicitly included may be accounted for indirectly through the parameter values individuals use.</t>
      </text>
    </comment>
    <comment authorId="0" ref="E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K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List>
</comments>
</file>

<file path=xl/comments14.xml><?xml version="1.0" encoding="utf-8"?>
<comments xmlns:r="http://schemas.openxmlformats.org/officeDocument/2006/relationships" xmlns="http://schemas.openxmlformats.org/spreadsheetml/2006/main">
  <authors>
    <author/>
  </authors>
  <commentList>
    <comment authorId="0" ref="A8">
      <text>
        <t xml:space="preserve">Source: GiveWell's 2020 RFMF analysis of AMF: https://docs.google.com/spreadsheets/d/1N3pTk0ZveM6bRUGJPwOO8gFAaULokFWweSPTigrC9DE/edit?usp=sharing</t>
      </text>
    </comment>
  </commentList>
</comments>
</file>

<file path=xl/comments15.xml><?xml version="1.0" encoding="utf-8"?>
<comments xmlns:r="http://schemas.openxmlformats.org/officeDocument/2006/relationships" xmlns="http://schemas.openxmlformats.org/spreadsheetml/2006/main">
  <authors>
    <author/>
  </authors>
  <commentList>
    <comment authorId="0" ref="A7">
      <text>
        <t xml:space="preserve">Source: GiveWell's 2020 room for more funding analysis for GiveDirectly https://docs.google.com/spreadsheets/d/1OZUYo6Zm2a6JpncXnJkOdc_rNvVqp9jV1Mlt7yAFzO4/edit?usp=sharing</t>
      </text>
    </comment>
  </commentList>
</comments>
</file>

<file path=xl/comments16.xml><?xml version="1.0" encoding="utf-8"?>
<comments xmlns:r="http://schemas.openxmlformats.org/officeDocument/2006/relationships" xmlns="http://schemas.openxmlformats.org/spreadsheetml/2006/main">
  <authors>
    <author/>
  </authors>
  <commentList>
    <comment authorId="0" ref="A7">
      <text>
        <t xml:space="preserve">Source: GiveWell's room for more funding analysis for Deworm the World [2020] https://docs.google.com/spreadsheets/d/1Kh5k99REsPsauPbdIlwiR1yL4C54-Wz7wluvFqMsIAs/edit?usp=sharing</t>
      </text>
    </comment>
    <comment authorId="0" ref="G9">
      <text>
        <t xml:space="preserve">We have not asked Deworm the World to submit a prioritization of these opportunities.</t>
      </text>
    </comment>
  </commentList>
</comments>
</file>

<file path=xl/comments17.xml><?xml version="1.0" encoding="utf-8"?>
<comments xmlns:r="http://schemas.openxmlformats.org/officeDocument/2006/relationships" xmlns="http://schemas.openxmlformats.org/spreadsheetml/2006/main">
  <authors>
    <author/>
  </authors>
  <commentList>
    <comment authorId="0" ref="A7">
      <text>
        <t xml:space="preserve">Source: GiveWell's room for more funding analysis for Sightsaver's deworming program [2020] https://docs.google.com/spreadsheets/d/1xZG-dWGMvka2to3S7C8jxGJxCIeOVfwxRMLgAhMZxHs/edit?usp=sharing</t>
      </text>
    </comment>
    <comment authorId="0" ref="H9">
      <text>
        <t xml:space="preserve">"The list below outlines all current funding opportunities for Sightsavers to deliver GiveWell funded deworming programs in 2020 in order of priority for Sightsavers:
Priority 1:
Support for Senegal, a new country for a Sightsavers deworming program and for a GiveWell funded deworming program, for three years
Priority 2:
Extension of support in existing project areas, in 6 states in Nigeria, (ideally with the inclusion of an impact assessment survey), for one year.
Priority 3:
Extension of support in existing project areas, in 5 regions in Cameroon, for one year.
Priority 4:
Extension of support in existing project areas in Ituri Nord, DRC, for one year.
Priority 5:
Support for Chad, a new country for a GiveWell deworming program, for areas where Ascend is funding other NTDs, over three years.
Priority 6:
Support for Chad in new areas for a Sightsavers deworming program and a GiveWell funded deworming program." Pg. 1, Sightsavers, Wishlist 5 summary cover note.</t>
      </text>
    </comment>
  </commentList>
</comments>
</file>

<file path=xl/comments18.xml><?xml version="1.0" encoding="utf-8"?>
<comments xmlns:r="http://schemas.openxmlformats.org/officeDocument/2006/relationships" xmlns="http://schemas.openxmlformats.org/spreadsheetml/2006/main">
  <authors>
    <author/>
  </authors>
  <commentList>
    <comment authorId="0" ref="B9">
      <text>
        <t xml:space="preserve">Malaria Consortium told us that it would use all available funding to fund its 2021 budget (Malaria Consortium, email to GiveWell, July 23, 2020).</t>
      </text>
    </comment>
    <comment authorId="0" ref="G9">
      <text>
        <t xml:space="preserve">Malaria Consortium told us that it would use all available funding to fund its 2021 budget (Malaria Consortium, email to GiveWell, July 23, 2020). We thus assume that Malaria Consortium will prioritize the upcoming year versus spreading funding across multiple years.
Within years, we expect Malaria Consortium to prioritize maintaining the previous year's scale over expanding. This is based on our interpretation of Malaria Consortium, Ranking of spending opportunities, 2020.</t>
      </text>
    </comment>
  </commentList>
</comments>
</file>

<file path=xl/sharedStrings.xml><?xml version="1.0" encoding="utf-8"?>
<sst xmlns="http://schemas.openxmlformats.org/spreadsheetml/2006/main" count="2161" uniqueCount="867">
  <si>
    <t>Notes on how to engage with our cost-effectiveness analysis</t>
  </si>
  <si>
    <t>Published: November 14, 2020</t>
  </si>
  <si>
    <t>This workbook contains our cost-effectiveness analyses.
On the "Moral weights and discount rate" tab, we've included GiveWell and conventional estimates for a few parameters. If you'd like to see how our results would change based on different inputs for these parameters, you can enter your own values in the "Anyone" column of this sheet, the select "Anyone" from the dropdown menu in the "Results" tab. To see the results for programs in specific countries, select a country from the dropdown menus in the "Results" tab.
Expanding the formula bar at the top of the page (by clicking and dragging the bottom boundary) may make it easier to read the contents of explanatory cells.</t>
  </si>
  <si>
    <t>Click here to make an editable copy of this document. This is necessary to be able to interact with drop-downs and other interactive features.</t>
  </si>
  <si>
    <t>Notes on text color coding</t>
  </si>
  <si>
    <t>Blue text: direct input</t>
  </si>
  <si>
    <t>Green text: pulling from another cell in this workbook</t>
  </si>
  <si>
    <t>Black text: calculation</t>
  </si>
  <si>
    <t>Index</t>
  </si>
  <si>
    <t>List of funding gaps</t>
  </si>
  <si>
    <t>Estimates of the size and cost-effectiveness of top charities' current funding gaps</t>
  </si>
  <si>
    <t>Moral weights and discount rate</t>
  </si>
  <si>
    <t>Allows staff members or anyone else to supply discount rates and numbers used to trade off different good outcomes</t>
  </si>
  <si>
    <t>Results</t>
  </si>
  <si>
    <t>Shows cost-effectiveness estimates for each top charity</t>
  </si>
  <si>
    <t>AMF</t>
  </si>
  <si>
    <t>Cost-effectiveness analysis for long-lasting insecticide-treated net distributions by the Against Malaria Foundation.</t>
  </si>
  <si>
    <t>GiveDirectly</t>
  </si>
  <si>
    <t>Cost-effectiveness analysis for uncondtional cash transfers by GiveDirectly.</t>
  </si>
  <si>
    <t>Deworm the World</t>
  </si>
  <si>
    <t>Cost-effectiveness analysis for deworming by Deworm the World</t>
  </si>
  <si>
    <t>END Fund</t>
  </si>
  <si>
    <t>Cost-effectiveness analysis for deworming by The END Fund</t>
  </si>
  <si>
    <t>SCI Foundation</t>
  </si>
  <si>
    <t>Cost-effectiveness analysis for deworming by SCI Foundation</t>
  </si>
  <si>
    <t>Sightsavers</t>
  </si>
  <si>
    <t>Cost-effectiveness analysis for deworming by Sightsavers</t>
  </si>
  <si>
    <t>Malaria Consortium</t>
  </si>
  <si>
    <t>Cost-effectiveness analysis for seasonal malaria chemoprevention by Malaria Consortium</t>
  </si>
  <si>
    <t>Helen Keller International</t>
  </si>
  <si>
    <t>Cost-effectiveness analysis for vitamin A supplementation by Helen Keller International</t>
  </si>
  <si>
    <t>Counterfactual non-philanthropic</t>
  </si>
  <si>
    <t>Used in the leverage and funging adjustment to our cost-effectiveness analyses</t>
  </si>
  <si>
    <t>Inclusion/Exclusion</t>
  </si>
  <si>
    <t>Used in the adjustment for excluded effects of our cost-effectivenes analyses</t>
  </si>
  <si>
    <t>RFMF_AMF</t>
  </si>
  <si>
    <t>Room for more funding projections for the Against Malaria Foundation</t>
  </si>
  <si>
    <t>RFMF_GD</t>
  </si>
  <si>
    <t>Room for more funding projections for GiveDirectly</t>
  </si>
  <si>
    <t>RFMF_DtW</t>
  </si>
  <si>
    <t>Room for more funding projections for Deworm the World</t>
  </si>
  <si>
    <t>RFMF_END</t>
  </si>
  <si>
    <t>Room for more funding projections for The END Fund</t>
  </si>
  <si>
    <t>RFMF_SCI</t>
  </si>
  <si>
    <t>Room for more funding projections for SCI Foundation</t>
  </si>
  <si>
    <t>RFMF_Sightsavers</t>
  </si>
  <si>
    <t>Room for more funding projections for Sightsavers</t>
  </si>
  <si>
    <t>RFMF_MC</t>
  </si>
  <si>
    <t>Room for more funding projections for Malaria Consortium</t>
  </si>
  <si>
    <t>RFMF_HKI</t>
  </si>
  <si>
    <t>Room for more funding projections for Helen Keller International</t>
  </si>
  <si>
    <t>Helpful GiveWell references</t>
  </si>
  <si>
    <t>Funding gaps</t>
  </si>
  <si>
    <t>Size of gap (USD Millions)</t>
  </si>
  <si>
    <t>Criteria for prioritization</t>
  </si>
  <si>
    <t>Charity name</t>
  </si>
  <si>
    <t>CEA sheet name</t>
  </si>
  <si>
    <t>Charity RFMF sheet name</t>
  </si>
  <si>
    <t>Funding gap RFMF ID</t>
  </si>
  <si>
    <t>Funding gap CEA column name</t>
  </si>
  <si>
    <t>Funding gap RFMF name (not used in size of gap)</t>
  </si>
  <si>
    <t>Top charity funding gaps (following our November 2020 recommendations to Open Philanthropy)</t>
  </si>
  <si>
    <t>Duplicate funding gap check</t>
  </si>
  <si>
    <t>Total</t>
  </si>
  <si>
    <t>Checksum</t>
  </si>
  <si>
    <t>Expansion or extension?</t>
  </si>
  <si>
    <t>Cost-effectiveness in multiples of cash, including all adjustments</t>
  </si>
  <si>
    <t>Notes on prioritization</t>
  </si>
  <si>
    <t>Cameroon</t>
  </si>
  <si>
    <t>Consider for January</t>
  </si>
  <si>
    <t>Chad</t>
  </si>
  <si>
    <t>Against Malaria Foundation</t>
  </si>
  <si>
    <t>Overall</t>
  </si>
  <si>
    <t>Kenya</t>
  </si>
  <si>
    <t>Burkina Faso</t>
  </si>
  <si>
    <t>Nigeria</t>
  </si>
  <si>
    <t>Togo</t>
  </si>
  <si>
    <t>Senegal</t>
  </si>
  <si>
    <t>assess qualitatively</t>
  </si>
  <si>
    <t>Not time-sensitive–maintain option value</t>
  </si>
  <si>
    <t>New Incentives</t>
  </si>
  <si>
    <t>N/A</t>
  </si>
  <si>
    <t>RFMF_NI</t>
  </si>
  <si>
    <t>Scale up in Northern Nigeria</t>
  </si>
  <si>
    <t>Lower cost-effectiveness–work out next steps</t>
  </si>
  <si>
    <t>Lagos, Nigeria</t>
  </si>
  <si>
    <t>Pakistan</t>
  </si>
  <si>
    <t>Active</t>
  </si>
  <si>
    <t>Lower cost-effectiveness</t>
  </si>
  <si>
    <t>Summary by charity</t>
  </si>
  <si>
    <t>Standout charities</t>
  </si>
  <si>
    <t>GiveWell 2020</t>
  </si>
  <si>
    <t>Anyone</t>
  </si>
  <si>
    <t>Conventional</t>
  </si>
  <si>
    <t>Alex</t>
  </si>
  <si>
    <t>Andrew</t>
  </si>
  <si>
    <t>Caitlin</t>
  </si>
  <si>
    <t>Dan</t>
  </si>
  <si>
    <t>Isabel</t>
  </si>
  <si>
    <t>James</t>
  </si>
  <si>
    <t>Josh</t>
  </si>
  <si>
    <t>Marinella</t>
  </si>
  <si>
    <t>Michael</t>
  </si>
  <si>
    <t>Natalie</t>
  </si>
  <si>
    <t>Nicole</t>
  </si>
  <si>
    <t>Olivia</t>
  </si>
  <si>
    <t>Stephan</t>
  </si>
  <si>
    <t>Tom</t>
  </si>
  <si>
    <t>Notes</t>
  </si>
  <si>
    <t>Moral weights</t>
  </si>
  <si>
    <t>Consumption Increases</t>
  </si>
  <si>
    <t>Value assigned to doubling consumption for one person for one year</t>
  </si>
  <si>
    <t>Averting deaths</t>
  </si>
  <si>
    <t>Value assigned to averting the death of an individual under 5 from malaria</t>
  </si>
  <si>
    <t>Value assigned to averting the death of an individual 5 or older from malaria</t>
  </si>
  <si>
    <t>Value assigned to averting the death of a 6- to 59-month-old child (VAS)</t>
  </si>
  <si>
    <t>Lopez et al. 2006</t>
  </si>
  <si>
    <t>Active column pulls from:</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</si>
  <si>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</si>
  <si>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</si>
  <si>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</si>
  <si>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</si>
  <si>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</si>
  <si>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</si>
  <si>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</si>
  <si>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relative to an under-5 life saved</t>
  </si>
  <si>
    <t>Value of doubling consumption for one person for one year relative to saving the life of a child under-5 (AMF)</t>
  </si>
  <si>
    <t>Discount rate</t>
  </si>
  <si>
    <t>Improving circumstances over time</t>
  </si>
  <si>
    <t>Compounding non-monetary benefits</t>
  </si>
  <si>
    <t>Temporal uncertainty</t>
  </si>
  <si>
    <t>Pure time preference (donors)</t>
  </si>
  <si>
    <t>Pure time preference (program participants)</t>
  </si>
  <si>
    <t>Overall discount rate</t>
  </si>
  <si>
    <r>
      <rPr>
        <rFont val="Calibri"/>
        <b/>
        <i/>
        <color rgb="FF000000"/>
        <sz val="11.0"/>
      </rPr>
      <t>To engage with this sheet</t>
    </r>
    <r>
      <rPr>
        <rFont val="Calibri"/>
        <i/>
        <color rgb="FF000000"/>
        <sz val="11.0"/>
      </rPr>
      <t>: Make a copy of the CEA using File --&gt; Make a copy. Rows 6 - 16 will populate with dropdown menus that can be used to change which values are used for moral weights and discount rates (in the "Moral weights and discount rate" sheet) and country programs (in all of the other sheets listed here).</t>
    </r>
  </si>
  <si>
    <t>Drop-down settings</t>
  </si>
  <si>
    <t>Country for bednets: Against Malaria Foundation</t>
  </si>
  <si>
    <t>Country for deworming: Deworm the World</t>
  </si>
  <si>
    <t>Country for deworming: The END Fund</t>
  </si>
  <si>
    <t>Country for deworming: SCI Foundation</t>
  </si>
  <si>
    <t>Country for deworming: Sightsavers</t>
  </si>
  <si>
    <t>Country for seasonal malaria chemoprevention: Malaria Consortium</t>
  </si>
  <si>
    <t>Country for vitamin A supplementation: Helen Keller International</t>
  </si>
  <si>
    <t>Adjustments</t>
  </si>
  <si>
    <t>Include leverage/funging and all other adjustments</t>
  </si>
  <si>
    <t>Charity vs. cash</t>
  </si>
  <si>
    <t>Against Malaria Foundation vs Cash</t>
  </si>
  <si>
    <t>GiveDirectly vs Cash</t>
  </si>
  <si>
    <t>Deworm the World vs Cash</t>
  </si>
  <si>
    <t>The END Fund vs Cash</t>
  </si>
  <si>
    <t>SCI Foundation vs Cash</t>
  </si>
  <si>
    <t>Sightsavers vs Cash</t>
  </si>
  <si>
    <t>Malaria Consortium vs Cash</t>
  </si>
  <si>
    <t>Helen Keller International vs Cash</t>
  </si>
  <si>
    <t>Cost per life saved estimates</t>
  </si>
  <si>
    <t>Long-lasting insecticide-treated net (LLIN) distributions - Against Malaria Foundation (AMF)</t>
  </si>
  <si>
    <t>DRC</t>
  </si>
  <si>
    <t>Guinea</t>
  </si>
  <si>
    <t>Uganda</t>
  </si>
  <si>
    <t>"Active" column pulls data from:</t>
  </si>
  <si>
    <t>Funding allocation</t>
  </si>
  <si>
    <t>Percentage of funding to be allocated to each country with marginal donations</t>
  </si>
  <si>
    <t>Percentage of total costs covered by AMF</t>
  </si>
  <si>
    <t>Percentage of total costs covered by other philanthropic actors</t>
  </si>
  <si>
    <t>Number of people covered</t>
  </si>
  <si>
    <t>Donation to AMF (arbitrary size)</t>
  </si>
  <si>
    <t>Total spending by all contributors</t>
  </si>
  <si>
    <t>Cost per long-lasting insecticide-treated net (LLIN)</t>
  </si>
  <si>
    <t>Number of people covered with each net</t>
  </si>
  <si>
    <t>Cost per person covered</t>
  </si>
  <si>
    <t>Total number of people covered</t>
  </si>
  <si>
    <t>Of all people covered, percentage who reside in each country</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</si>
  <si>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</si>
  <si>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</si>
  <si>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</si>
  <si>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</si>
  <si>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</si>
  <si>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</si>
  <si>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</si>
  <si>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Equivalent coverage-years for an LLIN over a 36-month distribution</t>
  </si>
  <si>
    <t>Person-years of coverage for under 5s</t>
  </si>
  <si>
    <t>Person-years of coverage for ages 5-14</t>
  </si>
  <si>
    <t>Person-years of coverage for under 15s</t>
  </si>
  <si>
    <t>Mortality reduction in children under 5</t>
  </si>
  <si>
    <t>Relative risk of death averted per protected 1-59 month-old child (summary effect from Pryce et al. 2018 meta-analysis)</t>
  </si>
  <si>
    <t>Adjustment for counterfactual mortality if AMF distributions ceased</t>
  </si>
  <si>
    <t xml:space="preserve">Baseline 1-59 month-old all-cause mortality in AMF countries before mass distribution of nets (per 1,000 child-years, GBD 2004) </t>
  </si>
  <si>
    <t>1-59 month-old all-cause mortality in AMF countries (per 1,000 child-years, GBD 2017)</t>
  </si>
  <si>
    <t>Mortality in AMF contexts today relative to pre-nets baseline</t>
  </si>
  <si>
    <t>Portion of mortality difference attributed to nets</t>
  </si>
  <si>
    <t>Counterfactual mortality in AMF contexts with no bednet distribution (per 1,000 child-years)</t>
  </si>
  <si>
    <t>Pre-existing net adjustment</t>
  </si>
  <si>
    <t>Percent of all individuals owning nets (in absence of a distribution)</t>
  </si>
  <si>
    <t>Proportion of "extra" nets distributed that are eventually used</t>
  </si>
  <si>
    <t>Final adjustment for pre-existing nets</t>
  </si>
  <si>
    <t>Other adjustments</t>
  </si>
  <si>
    <t>Net use adjustment</t>
  </si>
  <si>
    <t>Internal validity adjustment — Nets</t>
  </si>
  <si>
    <t>External validity adjustment — Nets</t>
  </si>
  <si>
    <t>Proportion of mortality attributed to malaria in areas AMF works vs. the contexts of trials in the Cochrane Pryce et al. 2018 meta-analysis</t>
  </si>
  <si>
    <t>Efficacy reduction due to insecticide resistance</t>
  </si>
  <si>
    <t>Deaths averted per 1,000 person-years of coverage for under 5s</t>
  </si>
  <si>
    <t>Total number of under-5 deaths averted</t>
  </si>
  <si>
    <t>Comparable valuation</t>
  </si>
  <si>
    <t>Total units of value from under-5 deaths averted (before accounting for leverage and funging)</t>
  </si>
  <si>
    <t>Mortality reduction in individuals 5+ years old</t>
  </si>
  <si>
    <t xml:space="preserve">Ratio of 5+ malaria deaths to under-5 malaria deaths </t>
  </si>
  <si>
    <t>Number of malaria deaths per year (GBD 2017)</t>
  </si>
  <si>
    <t>Number of under-5 malaria deaths per year (GBD 2017)</t>
  </si>
  <si>
    <t>Number of age 5+ malaria deaths per year</t>
  </si>
  <si>
    <t>Ratio of 5+ malaria deaths to under-5 malaria deaths</t>
  </si>
  <si>
    <t>Relative efficacy of LLINs for reducing mortality of individuals age 5+</t>
  </si>
  <si>
    <t>Total number of age 5+ deaths averted</t>
  </si>
  <si>
    <t>Total units of value from age 5+ deaths averted (before accounting for leverage and funging)</t>
  </si>
  <si>
    <t>Overall mortality reduction</t>
  </si>
  <si>
    <t>Total deaths averted</t>
  </si>
  <si>
    <t>Reduction in malaria prevalence (used for estimating income increases)</t>
  </si>
  <si>
    <t>Relative reduction in malaria prevalence</t>
  </si>
  <si>
    <t>Reduction in malaria incidence for children under 5 (from Pryce et al. 2018 meta-analysis)</t>
  </si>
  <si>
    <t>Expected reduction in malaria prevalence in current day distributions</t>
  </si>
  <si>
    <t>Baseline malaria prevalence</t>
  </si>
  <si>
    <t>Malaria prevalence in AMF context (Age &lt;5) (GBD 2017)</t>
  </si>
  <si>
    <t>Malaria prevalence in AMF context (Age 5-9) (GBD 2017)</t>
  </si>
  <si>
    <t>Malaria prevalence in AMF context (Age 10-14) (GBD 2017)</t>
  </si>
  <si>
    <t>Malaria prevalence in AMF context (Age 5-14) (GBD 2017)</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</si>
  <si>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</si>
  <si>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</si>
  <si>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</si>
  <si>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</si>
  <si>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</si>
  <si>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</si>
  <si>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Long-term income increases for children currently aged 14 and under</t>
  </si>
  <si>
    <t>Prevalence reduction</t>
  </si>
  <si>
    <t>Reduction in the number of people infected with malaria at a single point of time (Age&lt;5)</t>
  </si>
  <si>
    <t>Reduction in the number of people infected with malaria at a single point of time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</si>
  <si>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</si>
  <si>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</si>
  <si>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</si>
  <si>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</si>
  <si>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</si>
  <si>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</si>
  <si>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</si>
  <si>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</si>
  <si>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</si>
  <si>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</si>
  <si>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</si>
  <si>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(Age&lt;5) — Present value</t>
  </si>
  <si>
    <t>Total units of increase in units of annual ln(income) (Ages 5-14) — Present value</t>
  </si>
  <si>
    <t>Total units of value from development benefits generated, before accounting for leverage and funging</t>
  </si>
  <si>
    <t>Initial results</t>
  </si>
  <si>
    <t>Initial cost per death averted estimate</t>
  </si>
  <si>
    <t xml:space="preserve">Total units of value generated </t>
  </si>
  <si>
    <t>Units of value generated per dollar spent</t>
  </si>
  <si>
    <t>Initial cost-effectiveness estimate in multiples of cash transfers</t>
  </si>
  <si>
    <t>Downside adjustments — AMF</t>
  </si>
  <si>
    <t>Risk of wastage</t>
  </si>
  <si>
    <t>Double treatment</t>
  </si>
  <si>
    <t>Ineffective goods</t>
  </si>
  <si>
    <t>Goods purchased and left in storage until they expire / Cash doesn't reach recipients or is taken back from them inappropriately</t>
  </si>
  <si>
    <t>Total adjustment for risk of wastage</t>
  </si>
  <si>
    <t>Quality of monitoring and evaluation</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</si>
  <si>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</si>
  <si>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</si>
  <si>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</si>
  <si>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</si>
  <si>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</si>
  <si>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</si>
  <si>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</si>
  <si>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</si>
  <si>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downside adjustment factor</t>
  </si>
  <si>
    <t>Results after downside adjustments</t>
  </si>
  <si>
    <t>Number of deaths averted</t>
  </si>
  <si>
    <t>Cost per life saved, after downside adjustments</t>
  </si>
  <si>
    <t>Total units of value generated, after downside adjustments</t>
  </si>
  <si>
    <t>Units of value generated per dollar spent, after downside adjustments</t>
  </si>
  <si>
    <t>Cost-effectiveness in multiples of cash transfers, after downside adjustments</t>
  </si>
  <si>
    <t>Inclusion/exclusion — AMF</t>
  </si>
  <si>
    <t>Included effects</t>
  </si>
  <si>
    <t>Adjustments for excluded effects</t>
  </si>
  <si>
    <t>Total adjustment factor for excluded effects</t>
  </si>
  <si>
    <t>Results after adjustments for excluded effects</t>
  </si>
  <si>
    <t>Total units of value generated</t>
  </si>
  <si>
    <t>Cost-effectiveness in multiples of cash transfers, after adjustments for excluded effects</t>
  </si>
  <si>
    <t>Results after leverage/funging</t>
  </si>
  <si>
    <t>Probability of scenarios in absence of philanthropic funding</t>
  </si>
  <si>
    <t>Scenario 1: Government costs would replace philanthropic costs</t>
  </si>
  <si>
    <t>Scenario 2: Global Fund and/or PMI would replace AMF's costs</t>
  </si>
  <si>
    <t>Scenario 3: Government financial costs would stay the same</t>
  </si>
  <si>
    <t>Scenario 4: Distributions would go unfunded</t>
  </si>
  <si>
    <t>Total units of value generated by philanthropic spending, after accounting for leverage/funging</t>
  </si>
  <si>
    <t>Units of value generated per philanthropic dollar spent, after accounting for leverage/funging</t>
  </si>
  <si>
    <t>Cost-effectiveness in multiples of cash transfers, after accounting for leverage/funging</t>
  </si>
  <si>
    <t>% change in cost-effectiveness from leverage/funging</t>
  </si>
  <si>
    <t>Number of deaths averted, after downside adjustments</t>
  </si>
  <si>
    <t>Adjustments for excluded effects that impact cost per life saved</t>
  </si>
  <si>
    <t>Funging adjustment</t>
  </si>
  <si>
    <t>Cost per life saved, after downside adjustments, adjustments for excluded effects, and funging adjustments</t>
  </si>
  <si>
    <t>Cash Transfers - GiveDirectly</t>
  </si>
  <si>
    <t>Size of transfer</t>
  </si>
  <si>
    <t>Arbitrary donation size</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</si>
  <si>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</si>
  <si>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</si>
  <si>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</si>
  <si>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</si>
  <si>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</si>
  <si>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</si>
  <si>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Percentage of transfers invested</t>
  </si>
  <si>
    <t>Amount invested (nominal USD)</t>
  </si>
  <si>
    <t>Total increase in consumption per person made possible by funds transferred (nominal USD)</t>
  </si>
  <si>
    <t>Return on investment</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</si>
  <si>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</si>
  <si>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</si>
  <si>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</si>
  <si>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</si>
  <si>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</si>
  <si>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Duration of investment benefits (in years)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</si>
  <si>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</si>
  <si>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</si>
  <si>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</si>
  <si>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</si>
  <si>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</si>
  <si>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</si>
  <si>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</si>
  <si>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</si>
  <si>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t>
  </si>
  <si>
    <t>Total units of increase in ln(consumption)</t>
  </si>
  <si>
    <t>Contribution of each outcome to overall cost-effectiveness</t>
  </si>
  <si>
    <t>Percent of cash's modeled benefits coming from short-term consumption increases</t>
  </si>
  <si>
    <t>Percent of cash's modeled benefits coming from investment returns in the future</t>
  </si>
  <si>
    <t>Downside adjustments — GiveDirectly</t>
  </si>
  <si>
    <t>Inclusion/exclusion — Cash</t>
  </si>
  <si>
    <t>Cost-effectiveness after all adjustments</t>
  </si>
  <si>
    <t>Total units of value generated, after accounting for downside adjustments and adjustments for excluded effects</t>
  </si>
  <si>
    <t>Units of value generated per philanthropic dollar spent, after accounting for downside adjustments and adjustments for excluded effects</t>
  </si>
  <si>
    <t>Cost-effectiveness in multiples of cash, after accounting for downside adjustments and adjustments for excluded effects</t>
  </si>
  <si>
    <t>Deworming - Deworm the World</t>
  </si>
  <si>
    <t>Oyo, Nigeria</t>
  </si>
  <si>
    <t>Ogun, Nigeria</t>
  </si>
  <si>
    <t>Rivers, Nigeria</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</si>
  <si>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</si>
  <si>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</si>
  <si>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</si>
  <si>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</si>
  <si>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</si>
  <si>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Replicability adjustment for deworming</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</si>
  <si>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</si>
  <si>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</si>
  <si>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</si>
  <si>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</si>
  <si>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</si>
  <si>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</si>
  <si>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</si>
  <si>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</si>
  <si>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Percentage of total costs covered by Deworm the World</t>
  </si>
  <si>
    <t>Percentage of total costs covered by domestic governments (financial costs)</t>
  </si>
  <si>
    <t>Percentage of total costs covered by domestic governments (in-kind costs)</t>
  </si>
  <si>
    <t>Percentage of total costs covered by drug donations</t>
  </si>
  <si>
    <t>Number of children dewormed per year</t>
  </si>
  <si>
    <t>Donation to Deworm the World (arbitrary size)</t>
  </si>
  <si>
    <t>Proportion of deworming going to children — DtW</t>
  </si>
  <si>
    <t>Worm burden adjustment — DtW</t>
  </si>
  <si>
    <t>Present value of lifetime benefits from a year of deworming — in terms of increases in ln(consumption) — DtW</t>
  </si>
  <si>
    <t>Units of value from each year of deworming — DtW</t>
  </si>
  <si>
    <t>Cost per child dewormed (per year) — DtW</t>
  </si>
  <si>
    <t>Total number of children dewormed (per year) — DtW</t>
  </si>
  <si>
    <t>Percentage of children dewormed (per year) in each country</t>
  </si>
  <si>
    <t>Intuition check</t>
  </si>
  <si>
    <t>Aggregate adjustment to Miguel and Kremer development effect — DtW</t>
  </si>
  <si>
    <t>Downside adjustments — Deworm the World</t>
  </si>
  <si>
    <t>Units of value per dollar spent</t>
  </si>
  <si>
    <t>Inclusion/exclusion — Deworming</t>
  </si>
  <si>
    <t>Leverage/Funging adjustment</t>
  </si>
  <si>
    <t>Cost per treatment breakdown:</t>
  </si>
  <si>
    <t>Other philanthropic actors</t>
  </si>
  <si>
    <t>Government financial costs</t>
  </si>
  <si>
    <t>Government in-kind costs</t>
  </si>
  <si>
    <t>Drug donations</t>
  </si>
  <si>
    <t>Total costs</t>
  </si>
  <si>
    <t>CHECKSUM</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</si>
  <si>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</si>
  <si>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</si>
  <si>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</si>
  <si>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</si>
  <si>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</si>
  <si>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dollar)</t>
  </si>
  <si>
    <t>Domestic government financial costs</t>
  </si>
  <si>
    <t>Domestic government in-kind costs</t>
  </si>
  <si>
    <t>Donated drug costs</t>
  </si>
  <si>
    <t>Probability of scenarios in absence of philanthropic spending</t>
  </si>
  <si>
    <t>What fraction of the program would still happen?</t>
  </si>
  <si>
    <t>Expected change in amount of funding spent on deworming by non-philanthropic actors in absence of philanthropic spending</t>
  </si>
  <si>
    <t xml:space="preserve">        Government financial</t>
  </si>
  <si>
    <t xml:space="preserve">        Government in-kind</t>
  </si>
  <si>
    <t xml:space="preserve">        Donated drugs</t>
  </si>
  <si>
    <t>Units of value generated by changes in amount of funding spent on deworming by non-philanthropic actors in absence of philanthropic spending</t>
  </si>
  <si>
    <t>Units of value generated by changes in amount of funding spent on counterfactual programs by non-philanthropic actors in absence of philanthropic spending</t>
  </si>
  <si>
    <t>Net units of value created by changes in spending by non-philanthropic actors in absence of philanthropic spending</t>
  </si>
  <si>
    <t>Net units of value created by philanthropic spending</t>
  </si>
  <si>
    <t>Results after leverage / funging adjustment</t>
  </si>
  <si>
    <t>Total units of value generated, after accounting for leverage/funging</t>
  </si>
  <si>
    <t>% change in cost-effectiveness from leverage and funging</t>
  </si>
  <si>
    <t>Deworming - END Fund</t>
  </si>
  <si>
    <t>Ethiopia</t>
  </si>
  <si>
    <t>Angola</t>
  </si>
  <si>
    <t>Rwanda</t>
  </si>
  <si>
    <t>Zimbabwe</t>
  </si>
  <si>
    <t>Percentage of total costs covered by The END Fund</t>
  </si>
  <si>
    <t>Percentage of total costs covered by domestic governments (government in-kind costs)</t>
  </si>
  <si>
    <t>Number of children dewormed per year with hypothetical donation (The END Fund)</t>
  </si>
  <si>
    <t>Donation to The END Fund (arbitrary size)</t>
  </si>
  <si>
    <t>Proportion of deworming going to children — END Fund</t>
  </si>
  <si>
    <t>Worm burden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</si>
  <si>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</si>
  <si>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</si>
  <si>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</si>
  <si>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</si>
  <si>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 END Fund</t>
  </si>
  <si>
    <t>Aggregate adjustment to Miguel and Kremer development effect — END Fund</t>
  </si>
  <si>
    <t>Downside adjustments — END Fund</t>
  </si>
  <si>
    <t>The END Fund</t>
  </si>
  <si>
    <t>Scenario 2: Government financial costs would stay the same</t>
  </si>
  <si>
    <t>Results after leverage / funging</t>
  </si>
  <si>
    <t>Total units of value generated, after accounting for leverage and funging</t>
  </si>
  <si>
    <t>Deworming - SCI Foundation</t>
  </si>
  <si>
    <t>Madagascar</t>
  </si>
  <si>
    <t>Tanzania</t>
  </si>
  <si>
    <t>Cote d'Ivoire</t>
  </si>
  <si>
    <t>Liberia</t>
  </si>
  <si>
    <t>Burundi</t>
  </si>
  <si>
    <t>Zanzibar-Pemba</t>
  </si>
  <si>
    <t>Zanzibar-Unguja</t>
  </si>
  <si>
    <t>Sudan</t>
  </si>
  <si>
    <t>Niger</t>
  </si>
  <si>
    <t>Mauritania</t>
  </si>
  <si>
    <t>Malawi</t>
  </si>
  <si>
    <t>Percentage of total costs covered by SCI Foundation</t>
  </si>
  <si>
    <t>Number of children dewormed per year with hypothetical donation (SCI Foundation)</t>
  </si>
  <si>
    <t>Donation to SCI Foundation (arbitrary size)</t>
  </si>
  <si>
    <t>Total amount spent on the program by all contributors</t>
  </si>
  <si>
    <t>Proportion of deworming going to children — SCI</t>
  </si>
  <si>
    <t>Worm burden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</si>
  <si>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</si>
  <si>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</si>
  <si>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</si>
  <si>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 SCI</t>
  </si>
  <si>
    <t>Aggregate adjustment to Miguel and Kremer development effect — SCI</t>
  </si>
  <si>
    <t>Total units of value generated, before accounting for leverage and funging</t>
  </si>
  <si>
    <t>Units of value generated per dollar spent, before accounting for leverage/funging</t>
  </si>
  <si>
    <t>Downside adjustments — SCI</t>
  </si>
  <si>
    <t>Cost-effectiveness in multiples of cash, after adjustments for excluded effects</t>
  </si>
  <si>
    <t>Cost per person dewormed per year breakdown:</t>
  </si>
  <si>
    <t>Philanthropic actors</t>
  </si>
  <si>
    <t>Deworming - Sightsavers</t>
  </si>
  <si>
    <t>West, Cameroon</t>
  </si>
  <si>
    <t>North, Cameroon</t>
  </si>
  <si>
    <t>Far-North, Cameroon</t>
  </si>
  <si>
    <t>East, Cameroon</t>
  </si>
  <si>
    <t>Adamoua, Cameroon</t>
  </si>
  <si>
    <t>Benue State</t>
  </si>
  <si>
    <t>Kebbi State</t>
  </si>
  <si>
    <t>Kogi State</t>
  </si>
  <si>
    <t>Kwara State</t>
  </si>
  <si>
    <t>Sokoto State</t>
  </si>
  <si>
    <t>Taraba State</t>
  </si>
  <si>
    <t>Percentage of total costs covered by Sightsavers</t>
  </si>
  <si>
    <t>Percentage of total costs covered by domestic governments</t>
  </si>
  <si>
    <t>Number of children dewormed per year with hypothetical donation (Sightsavers)</t>
  </si>
  <si>
    <t>Donation to Sightsavers (arbitrary size)</t>
  </si>
  <si>
    <t>Proportion of deworming going to children — Sightsavers</t>
  </si>
  <si>
    <t>Worm burden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</si>
  <si>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</si>
  <si>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</si>
  <si>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</si>
  <si>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t>
  </si>
  <si>
    <t>Aggregate adjustment to Miguel and Kremer development effect — Sightsavers</t>
  </si>
  <si>
    <t>Downside adjustments — Sightsavers</t>
  </si>
  <si>
    <t>Cost per child dewormed breakdown</t>
  </si>
  <si>
    <t>Seasonal malaria chemoprevention (SMC) - Malaria Consortium</t>
  </si>
  <si>
    <t>Percentage of total program costs covered by Malaria Consortium</t>
  </si>
  <si>
    <t>Percentage of total program costs covered by domestic governments</t>
  </si>
  <si>
    <t>Number of children treated with SMC with a hypothetical donation</t>
  </si>
  <si>
    <t>Donation to Malaria Consortium (arbitrary size)</t>
  </si>
  <si>
    <t>Number of cycles of SMC per year</t>
  </si>
  <si>
    <t>Cost per equivalent child treated with all 4 cycles of SMC</t>
  </si>
  <si>
    <t>Total number of children treated in one year</t>
  </si>
  <si>
    <t>Percentage of treated children who reside in each country</t>
  </si>
  <si>
    <t>SMC effectiveness from RCTs</t>
  </si>
  <si>
    <t>Rate ratio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</si>
  <si>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</si>
  <si>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</si>
  <si>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</si>
  <si>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</si>
  <si>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</si>
  <si>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</si>
  <si>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In this section, we estimate all-cause mortality rates and the fraction of all-cause mortality that is expected to come from malaria deaths in targeted populations.</t>
  </si>
  <si>
    <t>Percent of 3- to 59-month old deaths due to malaria—using 2017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</si>
  <si>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</si>
  <si>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</si>
  <si>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</si>
  <si>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</si>
  <si>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</si>
  <si>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</si>
  <si>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</si>
  <si>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</si>
  <si>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</si>
  <si>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</si>
  <si>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</si>
  <si>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</si>
  <si>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</si>
  <si>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</si>
  <si>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</si>
  <si>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</si>
  <si>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</si>
  <si>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</si>
  <si>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</si>
  <si>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</si>
  <si>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</si>
  <si>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t>
  </si>
  <si>
    <t>3- to 59-month old mortality caused directly by malaria (per 1,000 child-years)</t>
  </si>
  <si>
    <t>Ratio of indirect malaria deaths per direct malaria death</t>
  </si>
  <si>
    <t>Malaria-attributable deaths in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</si>
  <si>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</si>
  <si>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</si>
  <si>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</si>
  <si>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</si>
  <si>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in treated population (after internal and external validity adjustments)</t>
  </si>
  <si>
    <t>Total units of value from mortality reduction among treated population</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</si>
  <si>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</si>
  <si>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</si>
  <si>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</si>
  <si>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</si>
  <si>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</si>
  <si>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</si>
  <si>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in untreated population (before adjustments)</t>
  </si>
  <si>
    <t>Adjustment to account for higher proportion of people being covered in the trial than in targeted population</t>
  </si>
  <si>
    <t>Malaria-attributable deaths averted in untreated population (after adjustments)</t>
  </si>
  <si>
    <t>Total units of value from mortality reduction among untargeted population</t>
  </si>
  <si>
    <t>Total mortality reduction</t>
  </si>
  <si>
    <t>Malaria-attributable deaths averted in treated and untreated populations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</si>
  <si>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</si>
  <si>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</si>
  <si>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</si>
  <si>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</si>
  <si>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</si>
  <si>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</si>
  <si>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</si>
  <si>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</si>
  <si>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</si>
  <si>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</si>
  <si>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</si>
  <si>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children currently under 5 — Present value</t>
  </si>
  <si>
    <t>Total units of increase in units of annual ln(income) for children currently aged 5-14 — Present value</t>
  </si>
  <si>
    <t>Total units of value from development benefits (before internal and external validity adjustments)</t>
  </si>
  <si>
    <t>Units of value per treatment-year (before internal and external validity adjustments)</t>
  </si>
  <si>
    <t>Total units of value from development benefits (before accounting for leverage and funging)</t>
  </si>
  <si>
    <t>Initial cost per life saved estimate</t>
  </si>
  <si>
    <t>Downside adjustments — Malaria Consortium</t>
  </si>
  <si>
    <t>Malaria-attributable deaths averted</t>
  </si>
  <si>
    <t>Cost per death averted, after downside adjustments</t>
  </si>
  <si>
    <t>Inclusion/exclusion — SMC</t>
  </si>
  <si>
    <t>Total units of value generated, before accounting for leverage/funging</t>
  </si>
  <si>
    <t>Domestic government</t>
  </si>
  <si>
    <t>The Global Fund</t>
  </si>
  <si>
    <t>Scenario 2: Global Fund and/or PMI would replace Malaria Consortium's costs</t>
  </si>
  <si>
    <t>Expected change in amount of funding spent on SMC by non-philanthropic actors in absence of philanthropic funding</t>
  </si>
  <si>
    <t>Scenario 2: Global Fund and/or PMI costs would replace Malaria Consortium costs</t>
  </si>
  <si>
    <t>Units of value generated by changes in amount of funding spent on SMC by other actors in absence of philanthropic spending</t>
  </si>
  <si>
    <t>Vitamin A supplementation (VAS) - Helen Keller International</t>
  </si>
  <si>
    <t>Côte d'Ivoire</t>
  </si>
  <si>
    <t>Mali</t>
  </si>
  <si>
    <t>Percentage of total program costs covered by Helen Keller International</t>
  </si>
  <si>
    <t>Percentage of total costs covered by Nutrition International (vitamin A capsule procurement)</t>
  </si>
  <si>
    <t>Percentage of total program costs covered by other philanthropic actors</t>
  </si>
  <si>
    <t>Government financial costs as a percentage of total costs</t>
  </si>
  <si>
    <t>In-kind government costs as a percentage of total costs</t>
  </si>
  <si>
    <t>Number of children covered with VAS with a hypothetical donation</t>
  </si>
  <si>
    <t>Donation to Helen Keller International (arbitrary size)</t>
  </si>
  <si>
    <t>Total amount spent on hypothetical program by all contributors</t>
  </si>
  <si>
    <t>Cost per child covered per supplementation round</t>
  </si>
  <si>
    <t>Supplementation rounds per year</t>
  </si>
  <si>
    <t>Cost per child covered per year</t>
  </si>
  <si>
    <t>Total number of children covered in one year</t>
  </si>
  <si>
    <t>Of all children covered, percentage who reside in each country</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</si>
  <si>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</si>
  <si>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</si>
  <si>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</si>
  <si>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</si>
  <si>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</si>
  <si>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</si>
  <si>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</si>
  <si>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</si>
  <si>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</si>
  <si>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</si>
  <si>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</si>
  <si>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Additional adjustment for baseline mortality rate and VAD prevalence estimates in Kenya</t>
  </si>
  <si>
    <t>External validity adjustment (after additional adjustment)</t>
  </si>
  <si>
    <t>Expected deaths averted in cohort due to program (after internal and external validity adjustments)</t>
  </si>
  <si>
    <t>Total units of value from mortality reduction</t>
  </si>
  <si>
    <t>Development benefits</t>
  </si>
  <si>
    <t>Units of value from development effects per treatment-year of VAS, compared to SMC (before internal and external adjustments)</t>
  </si>
  <si>
    <t>Units of value from development effects per treatment-year of VAS (before internal and external validity adjustments)</t>
  </si>
  <si>
    <t>Units of value from development benefits</t>
  </si>
  <si>
    <t>Downside adjustments — Helen Keller International</t>
  </si>
  <si>
    <t>Expected deaths averted in cohort due to program</t>
  </si>
  <si>
    <t>Inclusion/exclusion — VAS</t>
  </si>
  <si>
    <t>Total units of value generated (before accounting for leverage / funging)</t>
  </si>
  <si>
    <t>Nutrition International (vitamin A capsule procurement)</t>
  </si>
  <si>
    <t>Government financial</t>
  </si>
  <si>
    <t>In-kind government</t>
  </si>
  <si>
    <t>Other philanthropic actors supporting VAS campaigns</t>
  </si>
  <si>
    <t>Probability of scenarios in absence of HKI's spending</t>
  </si>
  <si>
    <t>Scenario 1: Government costs would replace HKI's costs</t>
  </si>
  <si>
    <t>Scenario 2: Other philanthropic actors would replace HKI's costs</t>
  </si>
  <si>
    <t>Scenario 3: Other actors' upstream costs would stay the same (downstream costs would shrink in proportion to the total size of the program)</t>
  </si>
  <si>
    <t>Expected change in amount of funding spent on VAS by other actors in absence of HKI's spending</t>
  </si>
  <si>
    <t xml:space="preserve">        Donated vitamin A capsules</t>
  </si>
  <si>
    <t xml:space="preserve">        Other philanthropic actors</t>
  </si>
  <si>
    <t>Units of value generated by changes in amount of funding spent on VAS by other actors in absence of HKI's spending</t>
  </si>
  <si>
    <t>Units of value generated by changes in amount of funding spent on counterfactual programs by other actors in absence of HKI's spending</t>
  </si>
  <si>
    <t>Net units of value created by changes in spending by other actors in absence of HKI's spending</t>
  </si>
  <si>
    <t>Net units of value created by HKI's spending</t>
  </si>
  <si>
    <t>Units of value generated per dollar spent by HKI</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</si>
  <si>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</si>
  <si>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</si>
  <si>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</si>
  <si>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</si>
  <si>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</si>
  <si>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</si>
  <si>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</si>
  <si>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</si>
  <si>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</si>
  <si>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</si>
  <si>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</si>
  <si>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</si>
  <si>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</si>
  <si>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</si>
  <si>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</si>
  <si>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</si>
  <si>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</si>
  <si>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</si>
  <si>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From "Moral weights" tab</t>
  </si>
  <si>
    <t>Value assigned to averting the death of an under 5 (in under-5 life saved equivalents)</t>
  </si>
  <si>
    <t>Value assigned to averting the death of an individual 5 or older (in under-5 life saved equivalents)</t>
  </si>
  <si>
    <t>Value assigned to increasing ln(consumption) by one unit for one person for one year  (in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</si>
  <si>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</si>
  <si>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</si>
  <si>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</si>
  <si>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</si>
  <si>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</si>
  <si>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</si>
  <si>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</si>
  <si>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</si>
  <si>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</si>
  <si>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t>
  </si>
  <si>
    <t>This input is used for deworming charities</t>
  </si>
  <si>
    <t>Weighted average of 25% health, 70% education, 5% social security</t>
  </si>
  <si>
    <t>Counterfactual value of government costs spent on malaria and Vitamin A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</si>
  <si>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</si>
  <si>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</si>
  <si>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</si>
  <si>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</si>
  <si>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t>
  </si>
  <si>
    <t>Counterfactual value of Global Fund spending</t>
  </si>
  <si>
    <t>This input is used for AMF and Malaria Consortium. If the Global Fund funded the programs our charities currently fund, how valuable is what they otherwise would have funded?</t>
  </si>
  <si>
    <t>38% as good as AMF in 2020 version 1 CEA</t>
  </si>
  <si>
    <t>Counterfactual value of other philanthropic actors funding VAS and vitamin A capsule procurement</t>
  </si>
  <si>
    <t>Assumed to be same as 100% government health spending</t>
  </si>
  <si>
    <t>Charity/Intervention</t>
  </si>
  <si>
    <t>Items considered for inclusion</t>
  </si>
  <si>
    <t>Included?</t>
  </si>
  <si>
    <t>Rough best guess of effect size</t>
  </si>
  <si>
    <t>Can it be objectively justified?</t>
  </si>
  <si>
    <t>Ease of modeling</t>
  </si>
  <si>
    <t>Consistency</t>
  </si>
  <si>
    <t>3-criteria score</t>
  </si>
  <si>
    <t>Weighting of best guess of effect</t>
  </si>
  <si>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</si>
  <si>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</si>
  <si>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</si>
  <si>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</si>
  <si>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</si>
  <si>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</si>
  <si>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</si>
  <si>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</si>
  <si>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</si>
  <si>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</si>
  <si>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</si>
  <si>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</si>
  <si>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</si>
  <si>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</si>
  <si>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</si>
  <si>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</si>
  <si>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</si>
  <si>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</si>
  <si>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Impacts cost per life saved estimates? (if excluded)</t>
  </si>
  <si>
    <t>Malaria child mortality</t>
  </si>
  <si>
    <t>Included</t>
  </si>
  <si>
    <t>Main effect of intervention; Meta-analysis of RCTs; simple modeling; consistent with SMC</t>
  </si>
  <si>
    <t>-</t>
  </si>
  <si>
    <t>Malaria adult mortality</t>
  </si>
  <si>
    <t>Large effect; extrapolation from effect on child mortality; simple modeling; consistent with SMC (but more important for nets)</t>
  </si>
  <si>
    <t>Developmental effects</t>
  </si>
  <si>
    <t xml:space="preserve"> </t>
  </si>
  <si>
    <t>Smallish effect; Quasi-experimental evidence; hard to model; consistency with deworming (but less important here)</t>
  </si>
  <si>
    <t>Malaria morbidity</t>
  </si>
  <si>
    <t>Excluded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</si>
  <si>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</si>
  <si>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</si>
  <si>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</si>
  <si>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</si>
  <si>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</si>
  <si>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</si>
  <si>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We roughly estimate ~10% ; essentially a mortality effect so consistent</t>
  </si>
  <si>
    <t>Investment of income increases</t>
  </si>
  <si>
    <t>Guess would double income effect; the evidence is likely to be speculative; consistency with GD but inconsistency with SMC/Deworming/VAS</t>
  </si>
  <si>
    <t>Rebound effects / decreased immunity development</t>
  </si>
  <si>
    <t>Guess would have ~10% effect, uncertain if it can be justified; seems difficult to model; haven't included for SMC</t>
  </si>
  <si>
    <t>Yes</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</si>
  <si>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</si>
  <si>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</si>
  <si>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</si>
  <si>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</si>
  <si>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</si>
  <si>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</si>
  <si>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</si>
  <si>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</si>
  <si>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</si>
  <si>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</si>
  <si>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</si>
  <si>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</si>
  <si>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</si>
  <si>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AMF adjustment factor</t>
  </si>
  <si>
    <t xml:space="preserve">Deworming </t>
  </si>
  <si>
    <t>Deworming</t>
  </si>
  <si>
    <t>SCIDTWI</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</si>
  <si>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</si>
  <si>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</si>
  <si>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</si>
  <si>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</si>
  <si>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</si>
  <si>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</si>
  <si>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</si>
  <si>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</si>
  <si>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</si>
  <si>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</si>
  <si>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</si>
  <si>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</si>
  <si>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</si>
  <si>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</si>
  <si>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</si>
  <si>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</si>
  <si>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</si>
  <si>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</si>
  <si>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</si>
  <si>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</si>
  <si>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</si>
  <si>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Deworming adjustment factor</t>
  </si>
  <si>
    <t>SMC</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</si>
  <si>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</si>
  <si>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</si>
  <si>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</si>
  <si>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</si>
  <si>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</si>
  <si>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</si>
  <si>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</si>
  <si>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</si>
  <si>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</si>
  <si>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</si>
  <si>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</si>
  <si>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Failure to ingest first day of treatment of SMC</t>
  </si>
  <si>
    <r>
      <rPr>
        <rFont val="Calibri"/>
        <sz val="11.0"/>
      </rPr>
      <t xml:space="preserve">Our understanding is that Malaria Consortium's coverage surveys are designed to assess whether children received the first day of SMC treatment, but that they are not designed to measure the degree to which those treatments are fully ingested by program participants. (Some children may vomit the treatments back up.) We would guess that some relatively small portion of children may be counted as having received Day 1 of SMC treatments according to coverage surveys who did not fully ingest the treatment. See this section of our review of Malaria Consortium for more details on Malaria Consortium's coverage surveys: </t>
    </r>
    <r>
      <rPr>
        <rFont val="Calibri"/>
        <color rgb="FF1155CC"/>
        <sz val="11.0"/>
        <u/>
      </rPr>
      <t>https://www.givewell.org/charities/malaria-consortium#Coveragesurveys</t>
    </r>
  </si>
  <si>
    <t>SMC adjustment factor</t>
  </si>
  <si>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</si>
  <si>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</si>
  <si>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</si>
  <si>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</si>
  <si>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</si>
  <si>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</si>
  <si>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</si>
  <si>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</si>
  <si>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</si>
  <si>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</si>
  <si>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</si>
  <si>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</si>
  <si>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</si>
  <si>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</si>
  <si>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HKI adjustment factor</t>
  </si>
  <si>
    <t>Cash</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</si>
  <si>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</si>
  <si>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</si>
  <si>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</si>
  <si>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</si>
  <si>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</si>
  <si>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</si>
  <si>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</si>
  <si>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</si>
  <si>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Cash adjustment factor</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</si>
  <si>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</si>
  <si>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</si>
  <si>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</si>
  <si>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</si>
  <si>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</si>
  <si>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</si>
  <si>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</si>
  <si>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</si>
  <si>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</si>
  <si>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</si>
  <si>
    <t>Room for more funding projections: Against Malaria Foundation</t>
  </si>
  <si>
    <t>Total RFMF</t>
  </si>
  <si>
    <t>Size of gap ($MM)</t>
  </si>
  <si>
    <t>2020-21</t>
  </si>
  <si>
    <t>Total funding gap</t>
  </si>
  <si>
    <t>RFMF by project</t>
  </si>
  <si>
    <t>Here, we present AMF’s room for more funding by the year in which distributions are scheduled to occur. We expect that AMF will need to commit funding to these distributions about 18 months in advance, meaning that AMF will require additional funding sooner than what is represented here.</t>
  </si>
  <si>
    <t>Project</t>
  </si>
  <si>
    <t>Charity Prioritization</t>
  </si>
  <si>
    <t>Current countries of operation, distributions in 2021-23</t>
  </si>
  <si>
    <t>Extension</t>
  </si>
  <si>
    <t>Source:</t>
  </si>
  <si>
    <t>[Post-OP] GiveWell's room for more funding analysis for AMF [2020]</t>
  </si>
  <si>
    <t>Room for more funding projections: GiveDirectly</t>
  </si>
  <si>
    <t>Maintain rolling programs</t>
  </si>
  <si>
    <t>Scale rolling programs</t>
  </si>
  <si>
    <t>Expansion</t>
  </si>
  <si>
    <t>Expand to new countries</t>
  </si>
  <si>
    <t>[Post-OP] GiveWell's 2020 room for more funding analysis of GiveDirectly</t>
  </si>
  <si>
    <t>Room for more funding projections: Evidence Action's Deworm the World</t>
  </si>
  <si>
    <t>Nigeria, Lagos State, program expansion and extension</t>
  </si>
  <si>
    <t>Expansion and extension</t>
  </si>
  <si>
    <t>Pakistan, program extension</t>
  </si>
  <si>
    <t xml:space="preserve">[Post-OP] GiveWell's room for more funding analysis for Deworm the World [2020] </t>
  </si>
  <si>
    <t>Room for more funding projections: SCI</t>
  </si>
  <si>
    <t>2021-22</t>
  </si>
  <si>
    <t>2022-23</t>
  </si>
  <si>
    <t>2023-24</t>
  </si>
  <si>
    <t>Charity prioritization</t>
  </si>
  <si>
    <t>Maintenance of 2021 scale</t>
  </si>
  <si>
    <t>Expansion in 2022</t>
  </si>
  <si>
    <t>Maintenance of 2022 expansion</t>
  </si>
  <si>
    <t>Expansion in 2023</t>
  </si>
  <si>
    <t>[Post-OP] GiveWell's room for more funding analysis for SCI Foundation [2020]</t>
  </si>
  <si>
    <t>Room for more funding projections: Sightsavers' deworming program</t>
  </si>
  <si>
    <t>Nigeria impact assessment surveys</t>
  </si>
  <si>
    <t>[Post-OP] GiveWell's room for more funding analysis for Sightsavers' deworming program [2020]</t>
  </si>
  <si>
    <t>Room for more funding projections: Malaria Consortium's SMC program</t>
  </si>
  <si>
    <t>Total RFMF (millions USD)</t>
  </si>
  <si>
    <t>RFMF by project (millions USD)</t>
  </si>
  <si>
    <t>Expansion in Chad in 2022</t>
  </si>
  <si>
    <t>Maintain 2020 scale in Burkina Faso in 2023</t>
  </si>
  <si>
    <t>Maintain 2020 scale in Chad in 2023</t>
  </si>
  <si>
    <t>Maintain 2020 scale in Nigeria in 2023</t>
  </si>
  <si>
    <t>Maintain 2020 scale in Togo in 2023</t>
  </si>
  <si>
    <t>Maintain 2021 expansion in Burkina Faso in 2023</t>
  </si>
  <si>
    <t>Extension of expansion</t>
  </si>
  <si>
    <t>Maintain 2021 expansion in Chad in 2023</t>
  </si>
  <si>
    <t>Maintain 2021 expansion in Nigeria in 2023</t>
  </si>
  <si>
    <t>Maintain 2022 expansion in Chad in 2023</t>
  </si>
  <si>
    <t>[Post-OP] GiveWell's room for more funding analysis for Malaria Consortium's SMC program (2020)</t>
  </si>
  <si>
    <t>Room for more funding projections: Helen Keller International's vitamin A supplementation program (mass campaigns only)</t>
  </si>
  <si>
    <t>Nigeria - Niger state</t>
  </si>
  <si>
    <t>Nigeria - Plateau state</t>
  </si>
  <si>
    <t>Nigeria - Akwa Ibom state</t>
  </si>
  <si>
    <t>Nigeria - Adamawa state</t>
  </si>
  <si>
    <t>[Post-OP] GiveWell's room for more funding analysis for HKI's vitamin A supplementation program (mass campaigns only) [2020]</t>
  </si>
  <si>
    <t>Room for more funding projections: New Incentives</t>
  </si>
  <si>
    <t>n/a</t>
  </si>
  <si>
    <t>GiveWell's room for more funding analysis for New Incentives</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</si>
</sst>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0.0"/>
    <numFmt numFmtId="165" formatCode="&quot;$&quot;#,##0.0"/>
    <numFmt numFmtId="166" formatCode="0.0"/>
    <numFmt numFmtId="167" formatCode="0.0000000000000"/>
    <numFmt numFmtId="168" formatCode="0.0%"/>
    <numFmt numFmtId="169" formatCode="&quot;$&quot;#,##0"/>
    <numFmt numFmtId="170" formatCode="&quot;$&quot;#,##0.00"/>
    <numFmt numFmtId="171" formatCode="#,##0.0000000000"/>
    <numFmt numFmtId="172" formatCode="#,##0.00000"/>
    <numFmt numFmtId="173" formatCode="0.00000"/>
    <numFmt numFmtId="174" formatCode="#,##0.0000"/>
    <numFmt numFmtId="175" formatCode="0.000"/>
    <numFmt numFmtId="176" formatCode="#,##0.000"/>
    <numFmt numFmtId="177" formatCode="#,##0.00000000000000"/>
    <numFmt numFmtId="178" formatCode="0.0000"/>
    <numFmt numFmtId="179" formatCode="0.000000000%"/>
    <numFmt numFmtId="180" formatCode="#,##0.0000000"/>
    <numFmt numFmtId="181" formatCode="$0.0"/>
    <numFmt numFmtId="182" formatCode="$0.00"/>
    <numFmt numFmtId="183" formatCode="_(&quot;$&quot;* #,##0.00_);_(&quot;$&quot;* \(#,##0.00\);_(&quot;$&quot;* &quot;-&quot;??_);_(@_)"/>
  </numFmts>
  <fonts count="77">
    <font>
      <sz val="11.0"/>
      <color rgb="FF000000"/>
      <name val="Calibri"/>
    </font>
    <font>
      <b/>
      <sz val="14.0"/>
      <color rgb="FF000000"/>
      <name val="Calibri"/>
    </font>
    <font>
      <i/>
      <sz val="11.0"/>
      <color rgb="FF000000"/>
      <name val="Calibri"/>
    </font>
    <font>
      <u/>
      <color rgb="FF1155CC"/>
    </font>
    <font>
      <u/>
      <sz val="11.0"/>
      <color rgb="FF0563C1"/>
      <name val="Calibri"/>
    </font>
    <font>
      <b/>
      <sz val="14.0"/>
      <name val="Calibri"/>
    </font>
    <font>
      <sz val="11.0"/>
      <color rgb="FF0000FF"/>
      <name val="Calibri"/>
    </font>
    <font>
      <sz val="11.0"/>
    </font>
    <font>
      <sz val="11.0"/>
      <color rgb="FF274E13"/>
      <name val="Calibri"/>
    </font>
    <font>
      <u/>
      <sz val="11.0"/>
      <color rgb="FF1155CC"/>
    </font>
    <font>
      <u/>
      <sz val="11.0"/>
      <color rgb="FF0000FF"/>
    </font>
    <font>
      <u/>
      <sz val="11.0"/>
      <color rgb="FF0000FF"/>
    </font>
    <font>
      <u/>
      <sz val="11.0"/>
      <color rgb="FF0000FF"/>
    </font>
    <font>
      <u/>
      <sz val="11.0"/>
      <color rgb="FF0000FF"/>
    </font>
    <font>
      <u/>
      <sz val="11.0"/>
      <color rgb="FF0000FF"/>
    </font>
    <font>
      <u/>
      <sz val="11.0"/>
      <color rgb="FF1155CC"/>
    </font>
    <font>
      <u/>
      <sz val="11.0"/>
      <color rgb="FF0563C1"/>
      <name val="Calibri"/>
    </font>
    <font>
      <b/>
      <sz val="11.0"/>
    </font>
    <font>
      <b/>
      <sz val="11.0"/>
      <color rgb="FF000000"/>
      <name val="Calibri"/>
    </font>
    <font>
      <sz val="11.0"/>
      <name val="Calibri"/>
    </font>
    <font>
      <name val="Calibri"/>
    </font>
    <font>
      <b/>
      <sz val="11.0"/>
      <name val="Calibri"/>
    </font>
    <font>
      <u/>
      <color rgb="FF0000FF"/>
      <name val="Calibri"/>
    </font>
    <font>
      <u/>
      <color rgb="FF1155CC"/>
      <name val="Calibri"/>
    </font>
    <font>
      <b/>
      <i/>
      <sz val="11.0"/>
      <color rgb="FF000000"/>
      <name val="Calibri"/>
    </font>
    <font>
      <color rgb="FF000000"/>
      <name val="Calibri"/>
    </font>
    <font>
      <i/>
      <sz val="12.0"/>
      <color rgb="FF000000"/>
      <name val="Calibri"/>
    </font>
    <font>
      <b/>
      <name val="Calibri"/>
    </font>
    <font>
      <i/>
      <name val="Calibri"/>
    </font>
    <font>
      <color rgb="FF006400"/>
      <name val="Calibri"/>
    </font>
    <font>
      <sz val="11.0"/>
      <color rgb="FF006400"/>
      <name val="Calibri"/>
    </font>
    <font/>
    <font>
      <color rgb="FF0000FF"/>
      <name val="Calibri"/>
    </font>
    <font>
      <sz val="10.0"/>
      <color rgb="FF0000FF"/>
      <name val="Arial"/>
    </font>
    <font>
      <color rgb="FF38761D"/>
      <name val="Calibri"/>
    </font>
    <font>
      <sz val="11.0"/>
      <color rgb="FF38761D"/>
      <name val="Calibri"/>
    </font>
    <font>
      <i/>
      <sz val="11.0"/>
      <name val="Calibri"/>
    </font>
    <font>
      <b/>
      <sz val="11.0"/>
      <color rgb="FF006400"/>
      <name val="Calibri"/>
    </font>
    <font>
      <color rgb="FF006400"/>
    </font>
    <font>
      <b/>
      <color rgb="FF006400"/>
      <name val="Calibri"/>
    </font>
    <font>
      <i/>
    </font>
    <font>
      <b/>
    </font>
    <font>
      <b/>
      <color rgb="FF006400"/>
    </font>
    <font>
      <color rgb="FF0000FF"/>
    </font>
    <font>
      <sz val="11.0"/>
      <color rgb="FF434343"/>
      <name val="Calibri"/>
    </font>
    <font>
      <i/>
      <sz val="11.0"/>
      <color rgb="FFB7B7B7"/>
      <name val="Calibri"/>
    </font>
    <font>
      <i/>
      <sz val="11.0"/>
      <color rgb="FF006400"/>
      <name val="Calibri"/>
    </font>
    <font>
      <sz val="11.0"/>
      <color rgb="FF000000"/>
    </font>
    <font>
      <name val="Arial"/>
    </font>
    <font>
      <color rgb="FF38761D"/>
    </font>
    <font>
      <b/>
      <sz val="11.0"/>
      <color rgb="FF38761D"/>
      <name val="Calibri"/>
    </font>
    <font>
      <color rgb="FF000000"/>
    </font>
    <font>
      <i/>
      <color rgb="FFB7B7B7"/>
      <name val="Calibri"/>
    </font>
    <font>
      <i/>
      <color rgb="FF38761D"/>
      <name val="Calibri"/>
    </font>
    <font>
      <sz val="11.0"/>
      <color rgb="FF38761D"/>
    </font>
    <font>
      <b/>
      <color rgb="FF38761D"/>
      <name val="Calibri"/>
    </font>
    <font>
      <b/>
      <sz val="11.0"/>
      <color rgb="FF274E13"/>
      <name val="Calibri"/>
    </font>
    <font>
      <sz val="14.0"/>
      <name val="Arial"/>
    </font>
    <font>
      <color rgb="FF434343"/>
      <name val="Calibri"/>
    </font>
    <font>
      <b/>
      <sz val="11.0"/>
      <name val="Arial"/>
    </font>
    <font>
      <sz val="11.0"/>
      <name val="Arial"/>
    </font>
    <font>
      <b/>
      <sz val="10.0"/>
      <name val="Arial"/>
    </font>
    <font>
      <sz val="10.0"/>
      <name val="Arial"/>
    </font>
    <font>
      <i/>
      <sz val="10.0"/>
      <name val="Arial"/>
    </font>
    <font>
      <b/>
      <i/>
      <sz val="10.0"/>
    </font>
    <font>
      <sz val="14.0"/>
      <name val="Calibri"/>
    </font>
    <font>
      <sz val="11.0"/>
      <color rgb="FF222222"/>
      <name val="Calibri"/>
    </font>
    <font>
      <u/>
      <sz val="11.0"/>
      <color rgb="FF0000FF"/>
      <name val="Calibri"/>
    </font>
    <font>
      <b/>
      <sz val="18.0"/>
      <name val="Arial"/>
    </font>
    <font>
      <b/>
      <sz val="14.0"/>
      <name val="Arial"/>
    </font>
    <font>
      <b/>
      <name val="Arial"/>
    </font>
    <font>
      <i/>
      <name val="Arial"/>
    </font>
    <font>
      <u/>
      <color rgb="FF1155CC"/>
      <name val="Arial"/>
    </font>
    <font>
      <u/>
      <color rgb="FF1155CC"/>
      <name val="Calibri"/>
    </font>
    <font>
      <b/>
      <sz val="18.0"/>
      <name val="Calibri"/>
    </font>
    <font>
      <u/>
      <sz val="11.0"/>
      <color rgb="FF1155CC"/>
      <name val="Calibri"/>
    </font>
    <font>
      <u/>
      <color rgb="FF1155CC"/>
      <name val="Calibri"/>
    </font>
  </fonts>
  <fills count="21">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D9D2E9"/>
        <bgColor rgb="FFD9D2E9"/>
      </patternFill>
    </fill>
    <fill>
      <patternFill patternType="solid">
        <fgColor rgb="FFCFE2F3"/>
        <bgColor rgb="FFCFE2F3"/>
      </patternFill>
    </fill>
    <fill>
      <patternFill patternType="solid">
        <fgColor rgb="FFA2C4C9"/>
        <bgColor rgb="FFA2C4C9"/>
      </patternFill>
    </fill>
    <fill>
      <patternFill patternType="solid">
        <fgColor rgb="FFB4A7D6"/>
        <bgColor rgb="FFB4A7D6"/>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CCCCCC"/>
        <bgColor rgb="FFCCCCCC"/>
      </patternFill>
    </fill>
    <fill>
      <patternFill patternType="solid">
        <fgColor rgb="FFFFFF00"/>
        <bgColor rgb="FFFFFF00"/>
      </patternFill>
    </fill>
    <fill>
      <patternFill patternType="solid">
        <fgColor rgb="FF38761D"/>
        <bgColor rgb="FF38761D"/>
      </patternFill>
    </fill>
  </fills>
  <borders count="8">
    <border/>
    <border>
      <top style="thin">
        <color rgb="FF000000"/>
      </top>
    </border>
    <border>
      <bottom style="thin">
        <color rgb="FF000000"/>
      </bottom>
    </border>
    <border>
      <right/>
    </border>
    <border>
      <left style="thin">
        <color rgb="FF000000"/>
      </lef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03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0" numFmtId="0" xfId="0" applyAlignment="1" applyFont="1">
      <alignment shrinkToFit="0" wrapText="1"/>
    </xf>
    <xf borderId="0" fillId="0" fontId="2" numFmtId="0" xfId="0" applyAlignment="1" applyFont="1">
      <alignment readingOrder="0" shrinkToFit="0" vertical="bottom" wrapText="0"/>
    </xf>
    <xf borderId="0" fillId="0" fontId="0" numFmtId="0" xfId="0" applyAlignment="1" applyFont="1">
      <alignment readingOrder="0" shrinkToFit="0" wrapText="1"/>
    </xf>
    <xf borderId="0" fillId="0" fontId="3" numFmtId="0" xfId="0" applyAlignment="1" applyFont="1">
      <alignment readingOrder="0"/>
    </xf>
    <xf borderId="0" fillId="0" fontId="4" numFmtId="0" xfId="0" applyAlignment="1" applyFont="1">
      <alignment shrinkToFit="0" wrapText="1"/>
    </xf>
    <xf borderId="0" fillId="0" fontId="0" numFmtId="0" xfId="0" applyAlignment="1" applyFont="1">
      <alignment horizontal="left" readingOrder="0" shrinkToFit="0" wrapText="1"/>
    </xf>
    <xf borderId="0" fillId="0" fontId="5" numFmtId="0" xfId="0" applyAlignment="1" applyFont="1">
      <alignment horizontal="left" readingOrder="0" shrinkToFit="0" vertical="bottom" wrapText="0"/>
    </xf>
    <xf borderId="0" fillId="0" fontId="6" numFmtId="0" xfId="0" applyAlignment="1" applyFont="1">
      <alignment horizontal="left" readingOrder="0" shrinkToFit="0" wrapText="1"/>
    </xf>
    <xf borderId="0" fillId="0" fontId="7" numFmtId="0" xfId="0" applyFont="1"/>
    <xf borderId="0" fillId="0" fontId="8" numFmtId="0" xfId="0" applyAlignment="1" applyFont="1">
      <alignment horizontal="left" readingOrder="0" shrinkToFit="0" wrapText="1"/>
    </xf>
    <xf borderId="0" fillId="0" fontId="1" numFmtId="0" xfId="0" applyAlignment="1" applyFont="1">
      <alignment readingOrder="0" shrinkToFit="0" vertical="bottom" wrapText="0"/>
    </xf>
    <xf borderId="0" fillId="2" fontId="9" numFmtId="0" xfId="0" applyAlignment="1" applyFill="1" applyFont="1">
      <alignment readingOrder="0"/>
    </xf>
    <xf borderId="0" fillId="2" fontId="7" numFmtId="0" xfId="0" applyAlignment="1" applyFont="1">
      <alignment readingOrder="0"/>
    </xf>
    <xf borderId="0" fillId="3" fontId="10" numFmtId="0" xfId="0" applyFill="1" applyFont="1"/>
    <xf borderId="0" fillId="3" fontId="7" numFmtId="0" xfId="0" applyAlignment="1" applyFont="1">
      <alignment readingOrder="0"/>
    </xf>
    <xf borderId="0" fillId="4" fontId="11" numFmtId="0" xfId="0" applyFill="1" applyFont="1"/>
    <xf borderId="0" fillId="4" fontId="7" numFmtId="0" xfId="0" applyAlignment="1" applyFont="1">
      <alignment readingOrder="0"/>
    </xf>
    <xf borderId="0" fillId="5" fontId="12" numFmtId="0" xfId="0" applyFill="1" applyFont="1"/>
    <xf borderId="0" fillId="5" fontId="7" numFmtId="0" xfId="0" applyAlignment="1" applyFont="1">
      <alignment readingOrder="0"/>
    </xf>
    <xf borderId="0" fillId="5" fontId="13" numFmtId="0" xfId="0" applyAlignment="1" applyFont="1">
      <alignment readingOrder="0"/>
    </xf>
    <xf borderId="0" fillId="6" fontId="14" numFmtId="0" xfId="0" applyAlignment="1" applyFill="1" applyFont="1">
      <alignment readingOrder="0"/>
    </xf>
    <xf borderId="0" fillId="6" fontId="7" numFmtId="0" xfId="0" applyAlignment="1" applyFont="1">
      <alignment readingOrder="0"/>
    </xf>
    <xf borderId="0" fillId="7" fontId="15" numFmtId="0" xfId="0" applyAlignment="1" applyFill="1" applyFont="1">
      <alignment readingOrder="0"/>
    </xf>
    <xf borderId="0" fillId="7" fontId="7" numFmtId="0" xfId="0" applyAlignment="1" applyFont="1">
      <alignment readingOrder="0"/>
    </xf>
    <xf borderId="0" fillId="0" fontId="16" numFmtId="0" xfId="0" applyAlignment="1" applyFont="1">
      <alignment readingOrder="0" shrinkToFit="0" vertical="bottom" wrapText="1"/>
    </xf>
    <xf borderId="0" fillId="8" fontId="17" numFmtId="0" xfId="0" applyAlignment="1" applyFill="1" applyFont="1">
      <alignment readingOrder="0" shrinkToFit="0" wrapText="0"/>
    </xf>
    <xf borderId="0" fillId="8" fontId="7" numFmtId="0" xfId="0" applyAlignment="1" applyFont="1">
      <alignment readingOrder="0" shrinkToFit="0" wrapText="0"/>
    </xf>
    <xf borderId="0" fillId="6" fontId="17" numFmtId="0" xfId="0" applyAlignment="1" applyFont="1">
      <alignment readingOrder="0" shrinkToFit="0" wrapText="0"/>
    </xf>
    <xf borderId="0" fillId="6" fontId="7" numFmtId="0" xfId="0" applyAlignment="1" applyFont="1">
      <alignment readingOrder="0" shrinkToFit="0" wrapText="0"/>
    </xf>
    <xf borderId="0" fillId="9" fontId="17" numFmtId="0" xfId="0" applyAlignment="1" applyFill="1" applyFont="1">
      <alignment readingOrder="0" shrinkToFit="0" wrapText="0"/>
    </xf>
    <xf borderId="0" fillId="9" fontId="7" numFmtId="0" xfId="0" applyAlignment="1" applyFont="1">
      <alignment readingOrder="0" shrinkToFit="0" wrapText="0"/>
    </xf>
    <xf borderId="0" fillId="10" fontId="7" numFmtId="0" xfId="0" applyFill="1" applyFont="1"/>
    <xf borderId="0" fillId="8" fontId="7" numFmtId="0" xfId="0" applyAlignment="1" applyFont="1">
      <alignment readingOrder="0" shrinkToFit="0" wrapText="1"/>
    </xf>
    <xf borderId="0" fillId="9" fontId="7" numFmtId="0" xfId="0" applyAlignment="1" applyFont="1">
      <alignment readingOrder="0" shrinkToFit="0" wrapText="1"/>
    </xf>
    <xf borderId="0" fillId="9" fontId="7" numFmtId="164" xfId="0" applyAlignment="1" applyFont="1" applyNumberFormat="1">
      <alignment readingOrder="0" shrinkToFit="0" wrapText="1"/>
    </xf>
    <xf borderId="0" fillId="10" fontId="17" numFmtId="0" xfId="0" applyAlignment="1" applyFont="1">
      <alignment readingOrder="0" shrinkToFit="0" wrapText="1"/>
    </xf>
    <xf borderId="0" fillId="0" fontId="7" numFmtId="0" xfId="0" applyAlignment="1" applyFont="1">
      <alignment readingOrder="0"/>
    </xf>
    <xf borderId="0" fillId="0" fontId="7" numFmtId="0" xfId="0" applyFont="1"/>
    <xf borderId="0" fillId="0" fontId="7" numFmtId="165" xfId="0" applyFont="1" applyNumberFormat="1"/>
    <xf borderId="0" fillId="0" fontId="7" numFmtId="164" xfId="0" applyAlignment="1" applyFont="1" applyNumberFormat="1">
      <alignment readingOrder="0"/>
    </xf>
    <xf borderId="0" fillId="0" fontId="7" numFmtId="164" xfId="0" applyAlignment="1" applyFont="1" applyNumberFormat="1">
      <alignment horizontal="right" readingOrder="0"/>
    </xf>
    <xf borderId="0" fillId="0" fontId="7" numFmtId="166" xfId="0" applyFont="1" applyNumberFormat="1"/>
    <xf borderId="0" fillId="8" fontId="17" numFmtId="166" xfId="0" applyAlignment="1" applyFont="1" applyNumberFormat="1">
      <alignment readingOrder="0" shrinkToFit="0" wrapText="0"/>
    </xf>
    <xf borderId="0" fillId="8" fontId="7" numFmtId="166" xfId="0" applyAlignment="1" applyFont="1" applyNumberFormat="1">
      <alignment readingOrder="0" shrinkToFit="0" wrapText="0"/>
    </xf>
    <xf borderId="0" fillId="8" fontId="7" numFmtId="0" xfId="0" applyFont="1"/>
    <xf borderId="0" fillId="8" fontId="17" numFmtId="0" xfId="0" applyAlignment="1" applyFont="1">
      <alignment readingOrder="0"/>
    </xf>
    <xf borderId="0" fillId="0" fontId="7" numFmtId="4" xfId="0" applyFont="1" applyNumberFormat="1"/>
    <xf borderId="0" fillId="0" fontId="7" numFmtId="164" xfId="0" applyFont="1" applyNumberFormat="1"/>
    <xf borderId="0" fillId="0" fontId="7" numFmtId="165" xfId="0" applyAlignment="1" applyFont="1" applyNumberFormat="1">
      <alignment horizontal="right"/>
    </xf>
    <xf borderId="0" fillId="0" fontId="17" numFmtId="0" xfId="0" applyFont="1"/>
    <xf borderId="0" fillId="0" fontId="7" numFmtId="165" xfId="0" applyAlignment="1" applyFont="1" applyNumberFormat="1">
      <alignment readingOrder="0"/>
    </xf>
    <xf borderId="0" fillId="0" fontId="17" numFmtId="0" xfId="0" applyAlignment="1" applyFont="1">
      <alignment readingOrder="0"/>
    </xf>
    <xf borderId="0" fillId="0" fontId="17" numFmtId="165" xfId="0" applyFont="1" applyNumberFormat="1"/>
    <xf borderId="0" fillId="0" fontId="17" numFmtId="164" xfId="0" applyFont="1" applyNumberFormat="1"/>
    <xf borderId="0" fillId="0" fontId="17" numFmtId="0" xfId="0" applyAlignment="1" applyFont="1">
      <alignment readingOrder="0" shrinkToFit="0" wrapText="0"/>
    </xf>
    <xf borderId="0" fillId="0" fontId="7" numFmtId="0" xfId="0" applyAlignment="1" applyFont="1">
      <alignment readingOrder="0" shrinkToFit="0" wrapText="0"/>
    </xf>
    <xf borderId="0" fillId="0" fontId="17" numFmtId="166" xfId="0" applyAlignment="1" applyFont="1" applyNumberFormat="1">
      <alignment readingOrder="0" shrinkToFit="0" wrapText="0"/>
    </xf>
    <xf borderId="0" fillId="0" fontId="7" numFmtId="166" xfId="0" applyAlignment="1" applyFont="1" applyNumberFormat="1">
      <alignment readingOrder="0" shrinkToFit="0" wrapText="0"/>
    </xf>
    <xf borderId="0" fillId="5" fontId="18" numFmtId="0" xfId="0" applyAlignment="1" applyFont="1">
      <alignment horizontal="left" readingOrder="0" shrinkToFit="0" wrapText="0"/>
    </xf>
    <xf borderId="0" fillId="5" fontId="18" numFmtId="0" xfId="0" applyAlignment="1" applyFont="1">
      <alignment horizontal="center" readingOrder="0" shrinkToFit="0" vertical="center" wrapText="0"/>
    </xf>
    <xf borderId="0" fillId="5" fontId="2" numFmtId="0" xfId="0" applyAlignment="1" applyFont="1">
      <alignment horizontal="left" readingOrder="0" shrinkToFit="0" wrapText="0"/>
    </xf>
    <xf borderId="0" fillId="5" fontId="19" numFmtId="0" xfId="0" applyFont="1"/>
    <xf borderId="0" fillId="11" fontId="1" numFmtId="0" xfId="0" applyAlignment="1" applyFill="1" applyFont="1">
      <alignment horizontal="left" readingOrder="0" shrinkToFit="0" vertical="bottom" wrapText="0"/>
    </xf>
    <xf borderId="0" fillId="11" fontId="19" numFmtId="0" xfId="0" applyAlignment="1" applyFont="1">
      <alignment vertical="bottom"/>
    </xf>
    <xf borderId="0" fillId="11" fontId="20" numFmtId="0" xfId="0" applyFont="1"/>
    <xf borderId="0" fillId="0" fontId="21" numFmtId="0" xfId="0" applyAlignment="1" applyFont="1">
      <alignment horizontal="left" readingOrder="0" shrinkToFit="0" wrapText="0"/>
    </xf>
    <xf borderId="0" fillId="0" fontId="6" numFmtId="164" xfId="0" applyAlignment="1" applyFont="1" applyNumberFormat="1">
      <alignment horizontal="center" readingOrder="0" shrinkToFit="0" wrapText="0"/>
    </xf>
    <xf borderId="0" fillId="0" fontId="20" numFmtId="164" xfId="0" applyAlignment="1" applyFont="1" applyNumberFormat="1">
      <alignment vertical="bottom"/>
    </xf>
    <xf borderId="0" fillId="0" fontId="20" numFmtId="0" xfId="0" applyFont="1"/>
    <xf borderId="0" fillId="0" fontId="0" numFmtId="2" xfId="0" applyAlignment="1" applyFont="1" applyNumberFormat="1">
      <alignment horizontal="left" readingOrder="0" shrinkToFit="0" wrapText="0"/>
    </xf>
    <xf borderId="0" fillId="0" fontId="8" numFmtId="166" xfId="0" applyAlignment="1" applyFont="1" applyNumberFormat="1">
      <alignment horizontal="right" readingOrder="0" vertical="bottom"/>
    </xf>
    <xf borderId="0" fillId="0" fontId="0" numFmtId="1" xfId="0" applyAlignment="1" applyFont="1" applyNumberFormat="1">
      <alignment readingOrder="0" shrinkToFit="0" wrapText="0"/>
    </xf>
    <xf borderId="0" fillId="0" fontId="0" numFmtId="2" xfId="0" applyAlignment="1" applyFont="1" applyNumberFormat="1">
      <alignment readingOrder="0" shrinkToFit="0" wrapText="0"/>
    </xf>
    <xf borderId="0" fillId="0" fontId="20" numFmtId="2" xfId="0" applyAlignment="1" applyFont="1" applyNumberFormat="1">
      <alignment vertical="bottom"/>
    </xf>
    <xf borderId="0" fillId="0" fontId="8" numFmtId="167" xfId="0" applyAlignment="1" applyFont="1" applyNumberFormat="1">
      <alignment vertical="bottom"/>
    </xf>
    <xf borderId="0" fillId="0" fontId="0" numFmtId="0" xfId="0" applyAlignment="1" applyFont="1">
      <alignment shrinkToFit="0" wrapText="0"/>
    </xf>
    <xf borderId="0" fillId="0" fontId="0" numFmtId="167" xfId="0" applyAlignment="1" applyFont="1" applyNumberFormat="1">
      <alignment shrinkToFit="0" wrapText="0"/>
    </xf>
    <xf borderId="0" fillId="0" fontId="20" numFmtId="0" xfId="0" applyAlignment="1" applyFont="1">
      <alignment vertical="bottom"/>
    </xf>
    <xf borderId="0" fillId="0" fontId="8" numFmtId="1" xfId="0" applyAlignment="1" applyFont="1" applyNumberFormat="1">
      <alignment horizontal="right" readingOrder="0" vertical="bottom"/>
    </xf>
    <xf borderId="0" fillId="0" fontId="22" numFmtId="1" xfId="0" applyAlignment="1" applyFont="1" applyNumberFormat="1">
      <alignment readingOrder="0" vertical="bottom"/>
    </xf>
    <xf borderId="0" fillId="0" fontId="19" numFmtId="0" xfId="0" applyAlignment="1" applyFont="1">
      <alignment horizontal="left" readingOrder="0" shrinkToFit="0" wrapText="0"/>
    </xf>
    <xf borderId="0" fillId="0" fontId="19" numFmtId="1" xfId="0" applyAlignment="1" applyFont="1" applyNumberFormat="1">
      <alignment readingOrder="0" shrinkToFit="0" wrapText="0"/>
    </xf>
    <xf borderId="0" fillId="0" fontId="21" numFmtId="0" xfId="0" applyAlignment="1" applyFont="1">
      <alignment shrinkToFit="0" wrapText="0"/>
    </xf>
    <xf borderId="0" fillId="0" fontId="23" numFmtId="0" xfId="0" applyAlignment="1" applyFont="1">
      <alignment readingOrder="0" vertical="bottom"/>
    </xf>
    <xf borderId="0" fillId="0" fontId="8" numFmtId="1" xfId="0" applyAlignment="1" applyFont="1" applyNumberFormat="1">
      <alignment vertical="bottom"/>
    </xf>
    <xf borderId="0" fillId="0" fontId="24" numFmtId="0" xfId="0" applyAlignment="1" applyFont="1">
      <alignment readingOrder="0" shrinkToFit="0" wrapText="0"/>
    </xf>
    <xf borderId="0" fillId="0" fontId="2" numFmtId="0" xfId="0" applyAlignment="1" applyFont="1">
      <alignment horizontal="center" readingOrder="0" shrinkToFit="0" wrapText="0"/>
    </xf>
    <xf borderId="0" fillId="0" fontId="20" numFmtId="0" xfId="0" applyAlignment="1" applyFont="1">
      <alignment vertical="bottom"/>
    </xf>
    <xf borderId="0" fillId="0" fontId="19" numFmtId="166" xfId="0" applyAlignment="1" applyFont="1" applyNumberFormat="1">
      <alignment horizontal="left" readingOrder="0" shrinkToFit="0" wrapText="0"/>
    </xf>
    <xf borderId="0" fillId="11" fontId="1" numFmtId="0" xfId="0" applyAlignment="1" applyFont="1">
      <alignment horizontal="left" shrinkToFit="0" vertical="bottom" wrapText="0"/>
    </xf>
    <xf borderId="0" fillId="0" fontId="0" numFmtId="2" xfId="0" applyAlignment="1" applyFont="1" applyNumberFormat="1">
      <alignment horizontal="left" shrinkToFit="0" vertical="bottom" wrapText="0"/>
    </xf>
    <xf borderId="0" fillId="0" fontId="19" numFmtId="2" xfId="0" applyAlignment="1" applyFont="1" applyNumberFormat="1">
      <alignment horizontal="right" shrinkToFit="0" vertical="bottom" wrapText="0"/>
    </xf>
    <xf borderId="0" fillId="0" fontId="19" numFmtId="2" xfId="0" applyAlignment="1" applyFont="1" applyNumberFormat="1">
      <alignment horizontal="right" vertical="bottom"/>
    </xf>
    <xf borderId="0" fillId="0" fontId="20" numFmtId="0" xfId="0" applyAlignment="1" applyFont="1">
      <alignment horizontal="right"/>
    </xf>
    <xf borderId="0" fillId="0" fontId="19" numFmtId="0" xfId="0" applyAlignment="1" applyFont="1">
      <alignment vertical="bottom"/>
    </xf>
    <xf borderId="0" fillId="0" fontId="19" numFmtId="166" xfId="0" applyAlignment="1" applyFont="1" applyNumberFormat="1">
      <alignment vertical="bottom"/>
    </xf>
    <xf borderId="0" fillId="0" fontId="19" numFmtId="166" xfId="0" applyAlignment="1" applyFont="1" applyNumberFormat="1">
      <alignment horizontal="right" vertical="bottom"/>
    </xf>
    <xf borderId="0" fillId="0" fontId="0" numFmtId="166" xfId="0" applyAlignment="1" applyFont="1" applyNumberFormat="1">
      <alignment horizontal="left" shrinkToFit="0" vertical="bottom" wrapText="0"/>
    </xf>
    <xf borderId="0" fillId="0" fontId="19" numFmtId="166"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2" numFmtId="0" xfId="0" applyAlignment="1" applyFont="1">
      <alignment horizontal="right" readingOrder="0" shrinkToFit="0" wrapText="0"/>
    </xf>
    <xf borderId="0" fillId="0" fontId="2" numFmtId="0" xfId="0" applyAlignment="1" applyFont="1">
      <alignment horizontal="right" shrinkToFit="0" wrapText="0"/>
    </xf>
    <xf borderId="0" fillId="0" fontId="20" numFmtId="0" xfId="0" applyAlignment="1" applyFont="1">
      <alignment horizontal="right" vertical="bottom"/>
    </xf>
    <xf borderId="0" fillId="11" fontId="1" numFmtId="0" xfId="0" applyAlignment="1" applyFont="1">
      <alignment horizontal="left" readingOrder="0" shrinkToFit="0" wrapText="0"/>
    </xf>
    <xf borderId="0" fillId="11" fontId="2" numFmtId="0" xfId="0" applyAlignment="1" applyFont="1">
      <alignment horizontal="right" readingOrder="0" shrinkToFit="0" wrapText="0"/>
    </xf>
    <xf borderId="0" fillId="11" fontId="20" numFmtId="0" xfId="0" applyAlignment="1" applyFont="1">
      <alignment horizontal="right" vertical="bottom"/>
    </xf>
    <xf borderId="0" fillId="11" fontId="20" numFmtId="0" xfId="0" applyAlignment="1" applyFont="1">
      <alignment horizontal="right"/>
    </xf>
    <xf borderId="0" fillId="0" fontId="0" numFmtId="0" xfId="0" applyAlignment="1" applyFont="1">
      <alignment readingOrder="0" shrinkToFit="0" wrapText="0"/>
    </xf>
    <xf borderId="0" fillId="0" fontId="19" numFmtId="9" xfId="0" applyAlignment="1" applyFont="1" applyNumberFormat="1">
      <alignment horizontal="right" shrinkToFit="0" wrapText="0"/>
    </xf>
    <xf borderId="0" fillId="0" fontId="20" numFmtId="9" xfId="0" applyAlignment="1" applyFont="1" applyNumberFormat="1">
      <alignment horizontal="right" vertical="bottom"/>
    </xf>
    <xf borderId="0" fillId="0" fontId="0" numFmtId="0" xfId="0" applyAlignment="1" applyFont="1">
      <alignment readingOrder="0" shrinkToFit="0" wrapText="0"/>
    </xf>
    <xf borderId="0" fillId="0" fontId="8" numFmtId="168" xfId="0" applyAlignment="1" applyFont="1" applyNumberFormat="1">
      <alignment horizontal="right" readingOrder="0" vertical="bottom"/>
    </xf>
    <xf borderId="0" fillId="0" fontId="0" numFmtId="168" xfId="0" applyAlignment="1" applyFont="1" applyNumberFormat="1">
      <alignment horizontal="right" readingOrder="0" shrinkToFit="0" wrapText="0"/>
    </xf>
    <xf borderId="0" fillId="0" fontId="0" numFmtId="10" xfId="0" applyAlignment="1" applyFont="1" applyNumberFormat="1">
      <alignment horizontal="right" shrinkToFit="0" wrapText="0"/>
    </xf>
    <xf borderId="0" fillId="0" fontId="0" numFmtId="0" xfId="0" applyAlignment="1" applyFont="1">
      <alignment horizontal="right" shrinkToFit="0" wrapText="0"/>
    </xf>
    <xf borderId="0" fillId="0" fontId="25" numFmtId="0" xfId="0" applyAlignment="1" applyFont="1">
      <alignment vertical="bottom"/>
    </xf>
    <xf borderId="0" fillId="0" fontId="20" numFmtId="0" xfId="0" applyAlignment="1" applyFont="1">
      <alignment readingOrder="0"/>
    </xf>
    <xf borderId="0" fillId="0" fontId="0" numFmtId="168" xfId="0" applyAlignment="1" applyFont="1" applyNumberFormat="1">
      <alignment horizontal="right" shrinkToFit="0" wrapText="0"/>
    </xf>
    <xf borderId="0" fillId="0" fontId="1" numFmtId="0" xfId="0" applyAlignment="1" applyFont="1">
      <alignment horizontal="center" readingOrder="0" shrinkToFit="0" wrapText="0"/>
    </xf>
    <xf borderId="0" fillId="0" fontId="19" numFmtId="0" xfId="0" applyAlignment="1" applyFont="1">
      <alignment vertical="bottom"/>
    </xf>
    <xf borderId="0" fillId="0" fontId="26" numFmtId="0" xfId="0" applyAlignment="1" applyFont="1">
      <alignment horizontal="left" readingOrder="0" shrinkToFit="0" wrapText="1"/>
    </xf>
    <xf borderId="0" fillId="0" fontId="19" numFmtId="166" xfId="0" applyAlignment="1" applyFont="1" applyNumberFormat="1">
      <alignment horizontal="center" readingOrder="0" shrinkToFit="0" wrapText="0"/>
    </xf>
    <xf borderId="0" fillId="2" fontId="2" numFmtId="0" xfId="0" applyAlignment="1" applyFont="1">
      <alignment horizontal="left" readingOrder="0" shrinkToFit="0" wrapText="1"/>
    </xf>
    <xf borderId="0" fillId="12" fontId="1" numFmtId="0" xfId="0" applyAlignment="1" applyFill="1" applyFont="1">
      <alignment horizontal="left" readingOrder="0" shrinkToFit="0" wrapText="0"/>
    </xf>
    <xf borderId="0" fillId="12" fontId="19" numFmtId="166" xfId="0" applyAlignment="1" applyFont="1" applyNumberFormat="1">
      <alignment vertical="bottom"/>
    </xf>
    <xf borderId="0" fillId="0" fontId="20" numFmtId="166" xfId="0" applyAlignment="1" applyFont="1" applyNumberFormat="1">
      <alignment horizontal="center" readingOrder="0"/>
    </xf>
    <xf borderId="0" fillId="0" fontId="0" numFmtId="0" xfId="0" applyAlignment="1" applyFont="1">
      <alignment horizontal="left" readingOrder="0" shrinkToFit="0" wrapText="0"/>
    </xf>
    <xf borderId="0" fillId="0" fontId="27" numFmtId="166" xfId="0" applyAlignment="1" applyFont="1" applyNumberFormat="1">
      <alignment horizontal="center" readingOrder="0"/>
    </xf>
    <xf borderId="0" fillId="0" fontId="20" numFmtId="166" xfId="0" applyAlignment="1" applyFont="1" applyNumberFormat="1">
      <alignment horizontal="center" readingOrder="0" shrinkToFit="0" wrapText="1"/>
    </xf>
    <xf borderId="0" fillId="12" fontId="0" numFmtId="166" xfId="0" applyAlignment="1" applyFont="1" applyNumberFormat="1">
      <alignment horizontal="center" shrinkToFit="0" wrapText="0"/>
    </xf>
    <xf borderId="0" fillId="0" fontId="0" numFmtId="166" xfId="0" applyAlignment="1" applyFont="1" applyNumberFormat="1">
      <alignment horizontal="right" readingOrder="0" shrinkToFit="0" wrapText="0"/>
    </xf>
    <xf borderId="0" fillId="0" fontId="0" numFmtId="166" xfId="0" applyAlignment="1" applyFont="1" applyNumberFormat="1">
      <alignment horizontal="center" vertical="bottom"/>
    </xf>
    <xf borderId="0" fillId="0" fontId="0" numFmtId="166" xfId="0" applyAlignment="1" applyFont="1" applyNumberFormat="1">
      <alignment horizontal="center" shrinkToFit="0" wrapText="0"/>
    </xf>
    <xf borderId="0" fillId="0" fontId="0" numFmtId="0" xfId="0" applyAlignment="1" applyFont="1">
      <alignment horizontal="right" readingOrder="0" shrinkToFit="0" wrapText="0"/>
    </xf>
    <xf borderId="0" fillId="0" fontId="0" numFmtId="169" xfId="0" applyAlignment="1" applyFont="1" applyNumberFormat="1">
      <alignment horizontal="center" shrinkToFit="0" wrapText="0"/>
    </xf>
    <xf borderId="0" fillId="0" fontId="0" numFmtId="0" xfId="0" applyAlignment="1" applyFont="1">
      <alignment horizontal="left" shrinkToFit="0" wrapText="0"/>
    </xf>
    <xf borderId="0" fillId="0" fontId="0" numFmtId="0" xfId="0" applyAlignment="1" applyFont="1">
      <alignment shrinkToFit="0" wrapText="0"/>
    </xf>
    <xf borderId="0" fillId="5" fontId="21" numFmtId="0" xfId="0" applyAlignment="1" applyFont="1">
      <alignment readingOrder="0" shrinkToFit="0" wrapText="1"/>
    </xf>
    <xf borderId="0" fillId="5" fontId="18" numFmtId="0" xfId="0" applyAlignment="1" applyFont="1">
      <alignment horizontal="center" readingOrder="0" shrinkToFit="0" wrapText="0"/>
    </xf>
    <xf borderId="0" fillId="0" fontId="28" numFmtId="0" xfId="0" applyAlignment="1" applyFont="1">
      <alignment readingOrder="0"/>
    </xf>
    <xf borderId="0" fillId="0" fontId="29" numFmtId="3" xfId="0" applyAlignment="1" applyFont="1" applyNumberFormat="1">
      <alignment readingOrder="0" vertical="bottom"/>
    </xf>
    <xf borderId="0" fillId="0" fontId="20" numFmtId="3" xfId="0" applyAlignment="1" applyFont="1" applyNumberFormat="1">
      <alignment readingOrder="0" vertical="bottom"/>
    </xf>
    <xf borderId="0" fillId="0" fontId="28" numFmtId="166" xfId="0" applyAlignment="1" applyFont="1" applyNumberFormat="1">
      <alignment readingOrder="0"/>
    </xf>
    <xf borderId="0" fillId="11" fontId="21" numFmtId="0" xfId="0" applyAlignment="1" applyFont="1">
      <alignment readingOrder="0" shrinkToFit="0" vertical="bottom" wrapText="1"/>
    </xf>
    <xf borderId="0" fillId="11" fontId="30" numFmtId="3" xfId="0" applyAlignment="1" applyFont="1" applyNumberFormat="1">
      <alignment readingOrder="0" vertical="bottom"/>
    </xf>
    <xf borderId="0" fillId="11" fontId="19" numFmtId="3" xfId="0" applyAlignment="1" applyFont="1" applyNumberFormat="1">
      <alignment readingOrder="0" vertical="bottom"/>
    </xf>
    <xf borderId="0" fillId="0" fontId="30" numFmtId="9" xfId="0" applyAlignment="1" applyFont="1" applyNumberFormat="1">
      <alignment horizontal="right" shrinkToFit="0" vertical="bottom" wrapText="0"/>
    </xf>
    <xf borderId="0" fillId="0" fontId="19" numFmtId="9" xfId="0" applyAlignment="1" applyFont="1" applyNumberFormat="1">
      <alignment horizontal="right" shrinkToFit="0" vertical="bottom" wrapText="0"/>
    </xf>
    <xf borderId="0" fillId="0" fontId="6" numFmtId="9" xfId="0" applyAlignment="1" applyFont="1" applyNumberFormat="1">
      <alignment horizontal="right" readingOrder="0" shrinkToFit="0" vertical="bottom" wrapText="0"/>
    </xf>
    <xf borderId="0" fillId="0" fontId="30" numFmtId="9" xfId="0" applyAlignment="1" applyFont="1" applyNumberFormat="1">
      <alignment horizontal="right" vertical="bottom"/>
    </xf>
    <xf borderId="0" fillId="0" fontId="19" numFmtId="9" xfId="0" applyAlignment="1" applyFont="1" applyNumberFormat="1">
      <alignment horizontal="right" vertical="bottom"/>
    </xf>
    <xf borderId="0" fillId="0" fontId="31" numFmtId="9" xfId="0" applyFont="1" applyNumberFormat="1"/>
    <xf borderId="0" fillId="0" fontId="19" numFmtId="0" xfId="0" applyAlignment="1" applyFont="1">
      <alignment readingOrder="0" vertical="bottom"/>
    </xf>
    <xf borderId="0" fillId="0" fontId="6" numFmtId="9" xfId="0" applyAlignment="1" applyFont="1" applyNumberFormat="1">
      <alignment horizontal="right" vertical="bottom"/>
    </xf>
    <xf borderId="0" fillId="0" fontId="6" numFmtId="9" xfId="0" applyAlignment="1" applyFont="1" applyNumberFormat="1">
      <alignment horizontal="right" readingOrder="0" vertical="bottom"/>
    </xf>
    <xf borderId="0" fillId="0" fontId="5" numFmtId="0" xfId="0" applyAlignment="1" applyFont="1">
      <alignment readingOrder="0" shrinkToFit="0" vertical="bottom" wrapText="1"/>
    </xf>
    <xf borderId="0" fillId="0" fontId="29" numFmtId="169" xfId="0" applyAlignment="1" applyFont="1" applyNumberFormat="1">
      <alignment readingOrder="0" vertical="bottom"/>
    </xf>
    <xf borderId="0" fillId="0" fontId="20" numFmtId="169" xfId="0" applyAlignment="1" applyFont="1" applyNumberFormat="1">
      <alignment readingOrder="0" vertical="bottom"/>
    </xf>
    <xf borderId="0" fillId="0" fontId="32" numFmtId="169" xfId="0" applyAlignment="1" applyFont="1" applyNumberFormat="1">
      <alignment readingOrder="0" vertical="bottom"/>
    </xf>
    <xf borderId="0" fillId="0" fontId="19" numFmtId="0" xfId="0" applyAlignment="1" applyFont="1">
      <alignment readingOrder="0" shrinkToFit="0" vertical="bottom" wrapText="1"/>
    </xf>
    <xf borderId="0" fillId="0" fontId="29" numFmtId="170" xfId="0" applyAlignment="1" applyFont="1" applyNumberFormat="1">
      <alignment horizontal="right" readingOrder="0" vertical="bottom"/>
    </xf>
    <xf borderId="0" fillId="0" fontId="25" numFmtId="170" xfId="0" applyAlignment="1" applyFont="1" applyNumberFormat="1">
      <alignment horizontal="right" readingOrder="0" vertical="bottom"/>
    </xf>
    <xf borderId="0" fillId="0" fontId="33" numFmtId="170" xfId="0" applyAlignment="1" applyFont="1" applyNumberFormat="1">
      <alignment readingOrder="0"/>
    </xf>
    <xf borderId="0" fillId="0" fontId="33" numFmtId="170" xfId="0" applyFont="1" applyNumberFormat="1"/>
    <xf borderId="0" fillId="0" fontId="29" numFmtId="164" xfId="0" applyAlignment="1" applyFont="1" applyNumberFormat="1">
      <alignment readingOrder="0" vertical="bottom"/>
    </xf>
    <xf borderId="0" fillId="0" fontId="32" numFmtId="164" xfId="0" applyAlignment="1" applyFont="1" applyNumberFormat="1">
      <alignment readingOrder="0" vertical="bottom"/>
    </xf>
    <xf borderId="0" fillId="0" fontId="34" numFmtId="164" xfId="0" applyAlignment="1" applyFont="1" applyNumberFormat="1">
      <alignment readingOrder="0" vertical="bottom"/>
    </xf>
    <xf borderId="0" fillId="0" fontId="29" numFmtId="170" xfId="0" applyFont="1" applyNumberFormat="1"/>
    <xf borderId="0" fillId="0" fontId="20" numFmtId="170" xfId="0" applyFont="1" applyNumberFormat="1"/>
    <xf borderId="0" fillId="0" fontId="29" numFmtId="3" xfId="0" applyAlignment="1" applyFont="1" applyNumberFormat="1">
      <alignment horizontal="right" vertical="bottom"/>
    </xf>
    <xf borderId="0" fillId="0" fontId="20" numFmtId="3" xfId="0" applyAlignment="1" applyFont="1" applyNumberFormat="1">
      <alignment horizontal="right" vertical="bottom"/>
    </xf>
    <xf borderId="0" fillId="11" fontId="21" numFmtId="2" xfId="0" applyAlignment="1" applyFont="1" applyNumberFormat="1">
      <alignment readingOrder="0" vertical="bottom"/>
    </xf>
    <xf borderId="0" fillId="11" fontId="30" numFmtId="2" xfId="0" applyAlignment="1" applyFont="1" applyNumberFormat="1">
      <alignment horizontal="right" vertical="bottom"/>
    </xf>
    <xf borderId="0" fillId="11" fontId="19" numFmtId="2" xfId="0" applyAlignment="1" applyFont="1" applyNumberFormat="1">
      <alignment horizontal="right" vertical="bottom"/>
    </xf>
    <xf borderId="0" fillId="0" fontId="0" numFmtId="0" xfId="0" applyAlignment="1" applyFont="1">
      <alignment vertical="bottom"/>
    </xf>
    <xf borderId="0" fillId="0" fontId="0" numFmtId="9" xfId="0" applyAlignment="1" applyFont="1" applyNumberFormat="1">
      <alignment horizontal="right" vertical="bottom"/>
    </xf>
    <xf borderId="0" fillId="0" fontId="0" numFmtId="9" xfId="0" applyAlignment="1" applyFont="1" applyNumberFormat="1">
      <alignment horizontal="right" readingOrder="0" vertical="bottom"/>
    </xf>
    <xf borderId="0" fillId="0" fontId="0" numFmtId="0" xfId="0" applyAlignment="1" applyFont="1">
      <alignment readingOrder="0" vertical="bottom"/>
    </xf>
    <xf borderId="0" fillId="0" fontId="29" numFmtId="9" xfId="0" applyAlignment="1" applyFont="1" applyNumberFormat="1">
      <alignment readingOrder="0" vertical="bottom"/>
    </xf>
    <xf borderId="0" fillId="0" fontId="20" numFmtId="0" xfId="0" applyAlignment="1" applyFont="1">
      <alignment readingOrder="0" vertical="bottom"/>
    </xf>
    <xf borderId="0" fillId="0" fontId="29" numFmtId="2" xfId="0" applyAlignment="1" applyFont="1" applyNumberFormat="1">
      <alignment horizontal="right" vertical="bottom"/>
    </xf>
    <xf borderId="0" fillId="0" fontId="20" numFmtId="2" xfId="0" applyAlignment="1" applyFont="1" applyNumberFormat="1">
      <alignment horizontal="right" vertical="bottom"/>
    </xf>
    <xf borderId="0" fillId="0" fontId="32" numFmtId="2" xfId="0" applyAlignment="1" applyFont="1" applyNumberFormat="1">
      <alignment horizontal="right" vertical="bottom"/>
    </xf>
    <xf borderId="0" fillId="0" fontId="32" numFmtId="0" xfId="0" applyAlignment="1" applyFont="1">
      <alignment horizontal="right" readingOrder="0" vertical="bottom"/>
    </xf>
    <xf borderId="0" fillId="0" fontId="20" numFmtId="171" xfId="0" applyAlignment="1" applyFont="1" applyNumberFormat="1">
      <alignment horizontal="right" vertical="bottom"/>
    </xf>
    <xf borderId="0" fillId="0" fontId="20" numFmtId="170" xfId="0" applyAlignment="1" applyFont="1" applyNumberFormat="1">
      <alignment readingOrder="0" vertical="bottom"/>
    </xf>
    <xf borderId="0" fillId="0" fontId="29" numFmtId="170" xfId="0" applyAlignment="1" applyFont="1" applyNumberFormat="1">
      <alignment horizontal="right" vertical="bottom"/>
    </xf>
    <xf borderId="0" fillId="0" fontId="20" numFmtId="170" xfId="0" applyAlignment="1" applyFont="1" applyNumberFormat="1">
      <alignment horizontal="right" vertical="bottom"/>
    </xf>
    <xf borderId="0" fillId="0" fontId="19" numFmtId="172" xfId="0" applyAlignment="1" applyFont="1" applyNumberFormat="1">
      <alignment readingOrder="0" shrinkToFit="0" vertical="bottom" wrapText="1"/>
    </xf>
    <xf borderId="0" fillId="0" fontId="30" numFmtId="172" xfId="0" applyAlignment="1" applyFont="1" applyNumberFormat="1">
      <alignment horizontal="right" shrinkToFit="0" vertical="bottom" wrapText="0"/>
    </xf>
    <xf borderId="0" fillId="0" fontId="19" numFmtId="172" xfId="0" applyAlignment="1" applyFont="1" applyNumberFormat="1">
      <alignment horizontal="right" shrinkToFit="0" vertical="bottom" wrapText="0"/>
    </xf>
    <xf borderId="0" fillId="0" fontId="0" numFmtId="172" xfId="0" applyAlignment="1" applyFont="1" applyNumberFormat="1">
      <alignment readingOrder="0" shrinkToFit="0" vertical="bottom" wrapText="1"/>
    </xf>
    <xf borderId="0" fillId="0" fontId="30" numFmtId="4" xfId="0" applyAlignment="1" applyFont="1" applyNumberFormat="1">
      <alignment horizontal="right" shrinkToFit="0" vertical="bottom" wrapText="0"/>
    </xf>
    <xf borderId="0" fillId="0" fontId="6" numFmtId="4" xfId="0" applyAlignment="1" applyFont="1" applyNumberFormat="1">
      <alignment horizontal="right" vertical="bottom"/>
    </xf>
    <xf borderId="0" fillId="0" fontId="35" numFmtId="4" xfId="0" applyAlignment="1" applyFont="1" applyNumberFormat="1">
      <alignment horizontal="right" vertical="bottom"/>
    </xf>
    <xf borderId="0" fillId="0" fontId="30" numFmtId="166" xfId="0" applyAlignment="1" applyFont="1" applyNumberFormat="1">
      <alignment horizontal="right" readingOrder="0" shrinkToFit="0" vertical="bottom" wrapText="0"/>
    </xf>
    <xf borderId="0" fillId="0" fontId="6" numFmtId="166" xfId="0" applyAlignment="1" applyFont="1" applyNumberFormat="1">
      <alignment horizontal="right" readingOrder="0" shrinkToFit="0" vertical="bottom" wrapText="0"/>
    </xf>
    <xf borderId="0" fillId="0" fontId="35" numFmtId="166" xfId="0" applyAlignment="1" applyFont="1" applyNumberFormat="1">
      <alignment horizontal="right" readingOrder="0" shrinkToFit="0" vertical="bottom" wrapText="0"/>
    </xf>
    <xf borderId="0" fillId="0" fontId="36" numFmtId="0" xfId="0" applyAlignment="1" applyFont="1">
      <alignment readingOrder="0" shrinkToFit="0" vertical="bottom" wrapText="1"/>
    </xf>
    <xf borderId="0" fillId="0" fontId="19" numFmtId="0" xfId="0" applyAlignment="1" applyFont="1">
      <alignment shrinkToFit="0" vertical="bottom" wrapText="1"/>
    </xf>
    <xf borderId="0" fillId="0" fontId="30" numFmtId="166" xfId="0" applyAlignment="1" applyFont="1" applyNumberFormat="1">
      <alignment horizontal="right" shrinkToFit="0" vertical="bottom" wrapText="0"/>
    </xf>
    <xf borderId="0" fillId="0" fontId="6" numFmtId="166" xfId="0" applyAlignment="1" applyFont="1" applyNumberFormat="1">
      <alignment horizontal="right" vertical="bottom"/>
    </xf>
    <xf borderId="0" fillId="0" fontId="19" numFmtId="166" xfId="0" applyAlignment="1" applyFont="1" applyNumberFormat="1">
      <alignment shrinkToFit="0" vertical="bottom" wrapText="1"/>
    </xf>
    <xf borderId="0" fillId="0" fontId="30" numFmtId="166" xfId="0" applyAlignment="1" applyFont="1" applyNumberFormat="1">
      <alignment horizontal="right" vertical="bottom"/>
    </xf>
    <xf borderId="0" fillId="0" fontId="19" numFmtId="9" xfId="0" applyAlignment="1" applyFont="1" applyNumberFormat="1">
      <alignment shrinkToFit="0" vertical="bottom" wrapText="1"/>
    </xf>
    <xf borderId="0" fillId="0" fontId="30" numFmtId="9" xfId="0" applyAlignment="1" applyFont="1" applyNumberFormat="1">
      <alignment horizontal="right" readingOrder="0" shrinkToFit="0" vertical="bottom" wrapText="0"/>
    </xf>
    <xf borderId="0" fillId="0" fontId="19" numFmtId="9" xfId="0" applyAlignment="1" applyFont="1" applyNumberFormat="1">
      <alignment horizontal="right" readingOrder="0" shrinkToFit="0" vertical="bottom" wrapText="0"/>
    </xf>
    <xf borderId="0" fillId="0" fontId="35" numFmtId="9" xfId="0" applyAlignment="1" applyFont="1" applyNumberFormat="1">
      <alignment horizontal="right" readingOrder="0" shrinkToFit="0" vertical="bottom" wrapText="0"/>
    </xf>
    <xf borderId="0" fillId="0" fontId="30" numFmtId="164" xfId="0" applyAlignment="1" applyFont="1" applyNumberFormat="1">
      <alignment horizontal="right" readingOrder="0" shrinkToFit="0" vertical="bottom" wrapText="0"/>
    </xf>
    <xf borderId="0" fillId="0" fontId="19" numFmtId="164" xfId="0" applyAlignment="1" applyFont="1" applyNumberFormat="1">
      <alignment horizontal="right" vertical="bottom"/>
    </xf>
    <xf borderId="0" fillId="0" fontId="21" numFmtId="0" xfId="0" applyAlignment="1" applyFont="1">
      <alignment readingOrder="0" shrinkToFit="0" vertical="bottom" wrapText="1"/>
    </xf>
    <xf borderId="0" fillId="0" fontId="37" numFmtId="172" xfId="0" applyAlignment="1" applyFont="1" applyNumberFormat="1">
      <alignment horizontal="right" readingOrder="0" shrinkToFit="0" vertical="bottom" wrapText="0"/>
    </xf>
    <xf borderId="0" fillId="0" fontId="21" numFmtId="172" xfId="0" applyAlignment="1" applyFont="1" applyNumberFormat="1">
      <alignment horizontal="right" readingOrder="0" shrinkToFit="0" vertical="bottom" wrapText="0"/>
    </xf>
    <xf borderId="0" fillId="0" fontId="29" numFmtId="9" xfId="0" applyAlignment="1" applyFont="1" applyNumberFormat="1">
      <alignment horizontal="right" readingOrder="0" vertical="bottom"/>
    </xf>
    <xf borderId="0" fillId="0" fontId="32" numFmtId="9" xfId="0" applyAlignment="1" applyFont="1" applyNumberFormat="1">
      <alignment horizontal="right" readingOrder="0" vertical="bottom"/>
    </xf>
    <xf borderId="0" fillId="0" fontId="34" numFmtId="9" xfId="0" applyAlignment="1" applyFont="1" applyNumberFormat="1">
      <alignment horizontal="right" readingOrder="0" vertical="bottom"/>
    </xf>
    <xf borderId="0" fillId="0" fontId="29" numFmtId="9" xfId="0" applyAlignment="1" applyFont="1" applyNumberFormat="1">
      <alignment horizontal="right" vertical="bottom"/>
    </xf>
    <xf borderId="0" fillId="0" fontId="32" numFmtId="9" xfId="0" applyAlignment="1" applyFont="1" applyNumberFormat="1">
      <alignment horizontal="right" vertical="bottom"/>
    </xf>
    <xf borderId="0" fillId="0" fontId="34" numFmtId="9" xfId="0" applyAlignment="1" applyFont="1" applyNumberFormat="1">
      <alignment horizontal="right" vertical="bottom"/>
    </xf>
    <xf borderId="0" fillId="0" fontId="29" numFmtId="9" xfId="0" applyAlignment="1" applyFont="1" applyNumberFormat="1">
      <alignment horizontal="right" vertical="bottom"/>
    </xf>
    <xf borderId="0" fillId="0" fontId="20" numFmtId="9" xfId="0" applyAlignment="1" applyFont="1" applyNumberFormat="1">
      <alignment horizontal="right" vertical="bottom"/>
    </xf>
    <xf borderId="0" fillId="0" fontId="0" numFmtId="0" xfId="0" applyAlignment="1" applyFont="1">
      <alignment readingOrder="0" shrinkToFit="0" vertical="bottom" wrapText="1"/>
    </xf>
    <xf borderId="0" fillId="0" fontId="0" numFmtId="9" xfId="0" applyAlignment="1" applyFont="1" applyNumberFormat="1">
      <alignment horizontal="right" readingOrder="0" shrinkToFit="0" vertical="bottom" wrapText="0"/>
    </xf>
    <xf borderId="0" fillId="0" fontId="21" numFmtId="173" xfId="0" applyAlignment="1" applyFont="1" applyNumberFormat="1">
      <alignment readingOrder="0" shrinkToFit="0" vertical="bottom" wrapText="1"/>
    </xf>
    <xf borderId="0" fillId="0" fontId="37" numFmtId="2" xfId="0" applyAlignment="1" applyFont="1" applyNumberFormat="1">
      <alignment horizontal="right" readingOrder="0" shrinkToFit="0" vertical="bottom" wrapText="0"/>
    </xf>
    <xf borderId="0" fillId="0" fontId="21" numFmtId="2" xfId="0" applyAlignment="1" applyFont="1" applyNumberFormat="1">
      <alignment horizontal="right" vertical="bottom"/>
    </xf>
    <xf borderId="0" fillId="0" fontId="38" numFmtId="0" xfId="0" applyFont="1"/>
    <xf borderId="0" fillId="0" fontId="27" numFmtId="0" xfId="0" applyAlignment="1" applyFont="1">
      <alignment readingOrder="0" vertical="bottom"/>
    </xf>
    <xf borderId="0" fillId="0" fontId="39" numFmtId="3" xfId="0" applyAlignment="1" applyFont="1" applyNumberFormat="1">
      <alignment horizontal="right" vertical="bottom"/>
    </xf>
    <xf borderId="0" fillId="0" fontId="27" numFmtId="3" xfId="0" applyAlignment="1" applyFont="1" applyNumberFormat="1">
      <alignment horizontal="right" vertical="bottom"/>
    </xf>
    <xf borderId="0" fillId="0" fontId="21" numFmtId="3" xfId="0" applyAlignment="1" applyFont="1" applyNumberFormat="1">
      <alignment horizontal="right" vertical="bottom"/>
    </xf>
    <xf borderId="0" fillId="0" fontId="29" numFmtId="3" xfId="0" applyAlignment="1" applyFont="1" applyNumberFormat="1">
      <alignment horizontal="right" readingOrder="0" vertical="bottom"/>
    </xf>
    <xf borderId="0" fillId="0" fontId="34" numFmtId="3" xfId="0" applyAlignment="1" applyFont="1" applyNumberFormat="1">
      <alignment horizontal="right" readingOrder="0" vertical="bottom"/>
    </xf>
    <xf borderId="0" fillId="0" fontId="28" numFmtId="3" xfId="0" applyAlignment="1" applyFont="1" applyNumberFormat="1">
      <alignment readingOrder="0" vertical="bottom"/>
    </xf>
    <xf borderId="0" fillId="0" fontId="27" numFmtId="3" xfId="0" applyAlignment="1" applyFont="1" applyNumberFormat="1">
      <alignment readingOrder="0" vertical="bottom"/>
    </xf>
    <xf borderId="0" fillId="0" fontId="27" numFmtId="3" xfId="0" applyAlignment="1" applyFont="1" applyNumberFormat="1">
      <alignment horizontal="right" readingOrder="0" vertical="bottom"/>
    </xf>
    <xf borderId="0" fillId="0" fontId="20" numFmtId="174" xfId="0" applyAlignment="1" applyFont="1" applyNumberFormat="1">
      <alignment readingOrder="0" vertical="bottom"/>
    </xf>
    <xf borderId="0" fillId="0" fontId="29" numFmtId="174" xfId="0" applyAlignment="1" applyFont="1" applyNumberFormat="1">
      <alignment horizontal="right" vertical="bottom"/>
    </xf>
    <xf borderId="0" fillId="0" fontId="20" numFmtId="174" xfId="0" applyAlignment="1" applyFont="1" applyNumberFormat="1">
      <alignment horizontal="right" vertical="bottom"/>
    </xf>
    <xf borderId="0" fillId="11" fontId="21" numFmtId="0" xfId="0" applyAlignment="1" applyFont="1">
      <alignment readingOrder="0" vertical="bottom"/>
    </xf>
    <xf borderId="0" fillId="11" fontId="30" numFmtId="0" xfId="0" applyAlignment="1" applyFont="1">
      <alignment vertical="bottom"/>
    </xf>
    <xf borderId="0" fillId="11" fontId="19" numFmtId="0" xfId="0" applyAlignment="1" applyFont="1">
      <alignment vertical="bottom"/>
    </xf>
    <xf borderId="0" fillId="0" fontId="19" numFmtId="3" xfId="0" applyAlignment="1" applyFont="1" applyNumberFormat="1">
      <alignment readingOrder="0" vertical="bottom"/>
    </xf>
    <xf borderId="0" fillId="0" fontId="29" numFmtId="0" xfId="0" applyFont="1"/>
    <xf borderId="0" fillId="0" fontId="0" numFmtId="3" xfId="0" applyAlignment="1" applyFont="1" applyNumberFormat="1">
      <alignment horizontal="right" readingOrder="0" vertical="bottom"/>
    </xf>
    <xf borderId="0" fillId="0" fontId="36" numFmtId="3" xfId="0" applyAlignment="1" applyFont="1" applyNumberFormat="1">
      <alignment readingOrder="0" vertical="bottom"/>
    </xf>
    <xf borderId="0" fillId="0" fontId="6" numFmtId="3" xfId="0" applyAlignment="1" applyFont="1" applyNumberFormat="1">
      <alignment horizontal="right" readingOrder="0" vertical="bottom"/>
    </xf>
    <xf borderId="0" fillId="0" fontId="29" numFmtId="3" xfId="0" applyFont="1" applyNumberFormat="1"/>
    <xf borderId="0" fillId="0" fontId="20" numFmtId="3" xfId="0" applyFont="1" applyNumberFormat="1"/>
    <xf borderId="0" fillId="0" fontId="6" numFmtId="3" xfId="0" applyAlignment="1" applyFont="1" applyNumberFormat="1">
      <alignment horizontal="right" readingOrder="0" shrinkToFit="0" vertical="bottom" wrapText="0"/>
    </xf>
    <xf borderId="0" fillId="0" fontId="0" numFmtId="3" xfId="0" applyAlignment="1" applyFont="1" applyNumberFormat="1">
      <alignment horizontal="right" vertical="bottom"/>
    </xf>
    <xf borderId="0" fillId="0" fontId="20" numFmtId="3" xfId="0" applyAlignment="1" applyFont="1" applyNumberFormat="1">
      <alignment horizontal="right" readingOrder="0" vertical="bottom"/>
    </xf>
    <xf borderId="0" fillId="0" fontId="39" numFmtId="3" xfId="0" applyAlignment="1" applyFont="1" applyNumberFormat="1">
      <alignment horizontal="right" readingOrder="0" vertical="bottom"/>
    </xf>
    <xf borderId="0" fillId="0" fontId="29" numFmtId="10" xfId="0" applyAlignment="1" applyFont="1" applyNumberFormat="1">
      <alignment readingOrder="0"/>
    </xf>
    <xf borderId="0" fillId="0" fontId="34" numFmtId="10" xfId="0" applyAlignment="1" applyFont="1" applyNumberFormat="1">
      <alignment readingOrder="0"/>
    </xf>
    <xf borderId="0" fillId="0" fontId="20" numFmtId="4" xfId="0" applyAlignment="1" applyFont="1" applyNumberFormat="1">
      <alignment horizontal="right" readingOrder="0" vertical="bottom"/>
    </xf>
    <xf borderId="0" fillId="0" fontId="5" numFmtId="0" xfId="0" applyAlignment="1" applyFont="1">
      <alignment readingOrder="0" vertical="bottom"/>
    </xf>
    <xf borderId="0" fillId="0" fontId="29" numFmtId="0" xfId="0" applyAlignment="1" applyFont="1">
      <alignment vertical="bottom"/>
    </xf>
    <xf borderId="0" fillId="0" fontId="30" numFmtId="0" xfId="0" applyAlignment="1" applyFont="1">
      <alignment shrinkToFit="0" wrapText="0"/>
    </xf>
    <xf borderId="0" fillId="0" fontId="18" numFmtId="3" xfId="0" applyAlignment="1" applyFont="1" applyNumberFormat="1">
      <alignment shrinkToFit="0" wrapText="0"/>
    </xf>
    <xf borderId="0" fillId="11" fontId="21" numFmtId="0" xfId="0" applyAlignment="1" applyFont="1">
      <alignment readingOrder="0" shrinkToFit="0" vertical="bottom" wrapText="0"/>
    </xf>
    <xf borderId="0" fillId="11" fontId="30" numFmtId="3" xfId="0" applyAlignment="1" applyFont="1" applyNumberFormat="1">
      <alignment vertical="bottom"/>
    </xf>
    <xf borderId="0" fillId="11" fontId="19" numFmtId="3" xfId="0" applyAlignment="1" applyFont="1" applyNumberFormat="1">
      <alignment vertical="bottom"/>
    </xf>
    <xf borderId="0" fillId="0" fontId="36" numFmtId="0" xfId="0" applyAlignment="1" applyFont="1">
      <alignment readingOrder="0" vertical="bottom"/>
    </xf>
    <xf borderId="0" fillId="0" fontId="35" numFmtId="9" xfId="0" applyAlignment="1" applyFont="1" applyNumberFormat="1">
      <alignment horizontal="right" vertical="bottom"/>
    </xf>
    <xf borderId="0" fillId="0" fontId="19" numFmtId="0" xfId="0" applyAlignment="1" applyFont="1">
      <alignment shrinkToFit="0" vertical="bottom" wrapText="1"/>
    </xf>
    <xf borderId="0" fillId="11" fontId="37" numFmtId="0" xfId="0" applyAlignment="1" applyFont="1">
      <alignment readingOrder="0" vertical="bottom"/>
    </xf>
    <xf borderId="0" fillId="11" fontId="19" numFmtId="9" xfId="0" applyAlignment="1" applyFont="1" applyNumberFormat="1">
      <alignment vertical="bottom"/>
    </xf>
    <xf borderId="0" fillId="0" fontId="19" numFmtId="174" xfId="0" applyAlignment="1" applyFont="1" applyNumberFormat="1">
      <alignment readingOrder="0" vertical="bottom"/>
    </xf>
    <xf borderId="0" fillId="0" fontId="30" numFmtId="3" xfId="0" applyAlignment="1" applyFont="1" applyNumberFormat="1">
      <alignment horizontal="right" vertical="bottom"/>
    </xf>
    <xf borderId="0" fillId="0" fontId="19" numFmtId="3" xfId="0" applyAlignment="1" applyFont="1" applyNumberFormat="1">
      <alignment horizontal="right" vertical="bottom"/>
    </xf>
    <xf borderId="0" fillId="0" fontId="40" numFmtId="0" xfId="0" applyAlignment="1" applyFont="1">
      <alignment readingOrder="0"/>
    </xf>
    <xf borderId="0" fillId="0" fontId="30" numFmtId="10" xfId="0" applyAlignment="1" applyFont="1" applyNumberFormat="1">
      <alignment horizontal="right" readingOrder="0" vertical="bottom"/>
    </xf>
    <xf borderId="0" fillId="0" fontId="6" numFmtId="10" xfId="0" applyAlignment="1" applyFont="1" applyNumberFormat="1">
      <alignment horizontal="right" readingOrder="0" vertical="bottom"/>
    </xf>
    <xf borderId="0" fillId="0" fontId="35" numFmtId="10" xfId="0" applyAlignment="1" applyFont="1" applyNumberFormat="1">
      <alignment horizontal="right" readingOrder="0" vertical="bottom"/>
    </xf>
    <xf borderId="0" fillId="0" fontId="36" numFmtId="174" xfId="0" applyAlignment="1" applyFont="1" applyNumberFormat="1">
      <alignment readingOrder="0" vertical="bottom"/>
    </xf>
    <xf borderId="0" fillId="0" fontId="30" numFmtId="175" xfId="0" applyAlignment="1" applyFont="1" applyNumberFormat="1">
      <alignment horizontal="right" vertical="bottom"/>
    </xf>
    <xf borderId="0" fillId="0" fontId="19" numFmtId="175" xfId="0" applyAlignment="1" applyFont="1" applyNumberFormat="1">
      <alignment horizontal="right" vertical="bottom"/>
    </xf>
    <xf borderId="0" fillId="0" fontId="0" numFmtId="174" xfId="0" applyAlignment="1" applyFont="1" applyNumberFormat="1">
      <alignment vertical="bottom"/>
    </xf>
    <xf borderId="0" fillId="0" fontId="30" numFmtId="1" xfId="0" applyAlignment="1" applyFont="1" applyNumberFormat="1">
      <alignment horizontal="right" vertical="bottom"/>
    </xf>
    <xf borderId="0" fillId="0" fontId="0" numFmtId="10" xfId="0" applyAlignment="1" applyFont="1" applyNumberFormat="1">
      <alignment horizontal="right" vertical="bottom"/>
    </xf>
    <xf borderId="0" fillId="0" fontId="0" numFmtId="1" xfId="0" applyAlignment="1" applyFont="1" applyNumberFormat="1">
      <alignment horizontal="right" vertical="bottom"/>
    </xf>
    <xf borderId="0" fillId="0" fontId="2" numFmtId="174" xfId="0" applyAlignment="1" applyFont="1" applyNumberFormat="1">
      <alignment readingOrder="0" vertical="bottom"/>
    </xf>
    <xf borderId="0" fillId="0" fontId="6" numFmtId="1" xfId="0" applyAlignment="1" applyFont="1" applyNumberFormat="1">
      <alignment horizontal="right" vertical="bottom"/>
    </xf>
    <xf borderId="0" fillId="0" fontId="35" numFmtId="1" xfId="0" applyAlignment="1" applyFont="1" applyNumberFormat="1">
      <alignment horizontal="right" vertical="bottom"/>
    </xf>
    <xf borderId="0" fillId="0" fontId="19" numFmtId="174" xfId="0" applyAlignment="1" applyFont="1" applyNumberFormat="1">
      <alignment vertical="bottom"/>
    </xf>
    <xf borderId="0" fillId="0" fontId="30" numFmtId="168" xfId="0" applyAlignment="1" applyFont="1" applyNumberFormat="1">
      <alignment horizontal="right" vertical="bottom"/>
    </xf>
    <xf borderId="0" fillId="0" fontId="35" numFmtId="168" xfId="0" applyAlignment="1" applyFont="1" applyNumberFormat="1">
      <alignment horizontal="right" vertical="bottom"/>
    </xf>
    <xf borderId="0" fillId="0" fontId="30" numFmtId="1" xfId="0" applyAlignment="1" applyFont="1" applyNumberFormat="1">
      <alignment horizontal="right" readingOrder="0" vertical="bottom"/>
    </xf>
    <xf borderId="0" fillId="0" fontId="6" numFmtId="1" xfId="0" applyAlignment="1" applyFont="1" applyNumberFormat="1">
      <alignment horizontal="right" readingOrder="0" vertical="bottom"/>
    </xf>
    <xf borderId="0" fillId="0" fontId="30" numFmtId="4" xfId="0" applyAlignment="1" applyFont="1" applyNumberFormat="1">
      <alignment horizontal="right" vertical="bottom"/>
    </xf>
    <xf borderId="0" fillId="0" fontId="19" numFmtId="4" xfId="0" applyAlignment="1" applyFont="1" applyNumberFormat="1">
      <alignment horizontal="right" vertical="bottom"/>
    </xf>
    <xf borderId="0" fillId="0" fontId="30" numFmtId="3" xfId="0" applyAlignment="1" applyFont="1" applyNumberFormat="1">
      <alignment horizontal="right" readingOrder="0" vertical="bottom"/>
    </xf>
    <xf borderId="0" fillId="0" fontId="35" numFmtId="3" xfId="0" applyAlignment="1" applyFont="1" applyNumberFormat="1">
      <alignment horizontal="right" vertical="bottom"/>
    </xf>
    <xf borderId="0" fillId="0" fontId="0" numFmtId="4" xfId="0" applyAlignment="1" applyFont="1" applyNumberFormat="1">
      <alignment horizontal="right" vertical="bottom"/>
    </xf>
    <xf borderId="0" fillId="0" fontId="21" numFmtId="174" xfId="0" applyAlignment="1" applyFont="1" applyNumberFormat="1">
      <alignment readingOrder="0" vertical="bottom"/>
    </xf>
    <xf borderId="0" fillId="0" fontId="37" numFmtId="3" xfId="0" applyAlignment="1" applyFont="1" applyNumberFormat="1">
      <alignment horizontal="right" vertical="bottom"/>
    </xf>
    <xf borderId="0" fillId="0" fontId="19" numFmtId="9" xfId="0" applyAlignment="1" applyFont="1" applyNumberFormat="1">
      <alignment vertical="bottom"/>
    </xf>
    <xf borderId="0" fillId="0" fontId="30" numFmtId="9" xfId="0" applyAlignment="1" applyFont="1" applyNumberFormat="1">
      <alignment vertical="bottom"/>
    </xf>
    <xf borderId="0" fillId="0" fontId="30" numFmtId="169" xfId="0" applyAlignment="1" applyFont="1" applyNumberFormat="1">
      <alignment horizontal="right" vertical="bottom"/>
    </xf>
    <xf borderId="0" fillId="0" fontId="19" numFmtId="169" xfId="0" applyAlignment="1" applyFont="1" applyNumberFormat="1">
      <alignment horizontal="right" vertical="bottom"/>
    </xf>
    <xf borderId="0" fillId="0" fontId="21" numFmtId="170" xfId="0" applyAlignment="1" applyFont="1" applyNumberFormat="1">
      <alignment horizontal="right" vertical="bottom"/>
    </xf>
    <xf borderId="0" fillId="0" fontId="21" numFmtId="164" xfId="0" applyAlignment="1" applyFont="1" applyNumberFormat="1">
      <alignment readingOrder="0" vertical="bottom"/>
    </xf>
    <xf borderId="0" fillId="0" fontId="18" numFmtId="3" xfId="0" applyAlignment="1" applyFont="1" applyNumberFormat="1">
      <alignment horizontal="right" vertical="bottom"/>
    </xf>
    <xf borderId="0" fillId="0" fontId="37" numFmtId="164" xfId="0" applyAlignment="1" applyFont="1" applyNumberFormat="1">
      <alignment horizontal="right" vertical="bottom"/>
    </xf>
    <xf borderId="0" fillId="0" fontId="18" numFmtId="164" xfId="0" applyAlignment="1" applyFont="1" applyNumberFormat="1">
      <alignment horizontal="right" vertical="bottom"/>
    </xf>
    <xf borderId="0" fillId="11" fontId="41" numFmtId="0" xfId="0" applyAlignment="1" applyFont="1">
      <alignment readingOrder="0"/>
    </xf>
    <xf borderId="0" fillId="11" fontId="42" numFmtId="0" xfId="0" applyAlignment="1" applyFont="1">
      <alignment readingOrder="0"/>
    </xf>
    <xf borderId="0" fillId="0" fontId="41" numFmtId="0" xfId="0" applyAlignment="1" applyFont="1">
      <alignment readingOrder="0"/>
    </xf>
    <xf borderId="0" fillId="0" fontId="0" numFmtId="10" xfId="0" applyAlignment="1" applyFont="1" applyNumberFormat="1">
      <alignment shrinkToFit="0" wrapText="0"/>
    </xf>
    <xf borderId="0" fillId="0" fontId="18" numFmtId="0" xfId="0" applyAlignment="1" applyFont="1">
      <alignment shrinkToFit="0" wrapText="0"/>
    </xf>
    <xf borderId="0" fillId="0" fontId="30" numFmtId="9" xfId="0" applyAlignment="1" applyFont="1" applyNumberFormat="1">
      <alignment shrinkToFit="0" wrapText="0"/>
    </xf>
    <xf borderId="0" fillId="0" fontId="0" numFmtId="9" xfId="0" applyAlignment="1" applyFont="1" applyNumberFormat="1">
      <alignment shrinkToFit="0" wrapText="0"/>
    </xf>
    <xf borderId="0" fillId="0" fontId="38" numFmtId="9" xfId="0" applyFont="1" applyNumberFormat="1"/>
    <xf borderId="0" fillId="0" fontId="43" numFmtId="9" xfId="0" applyFont="1" applyNumberFormat="1"/>
    <xf borderId="0" fillId="0" fontId="35" numFmtId="9" xfId="0" applyAlignment="1" applyFont="1" applyNumberFormat="1">
      <alignment shrinkToFit="0" wrapText="0"/>
    </xf>
    <xf borderId="0" fillId="0" fontId="43" numFmtId="9" xfId="0" applyAlignment="1" applyFont="1" applyNumberFormat="1">
      <alignment readingOrder="0"/>
    </xf>
    <xf borderId="1" fillId="0" fontId="0" numFmtId="0" xfId="0" applyAlignment="1" applyBorder="1" applyFont="1">
      <alignment readingOrder="0" shrinkToFit="0" wrapText="0"/>
    </xf>
    <xf borderId="1" fillId="0" fontId="38" numFmtId="9" xfId="0" applyBorder="1" applyFont="1" applyNumberFormat="1"/>
    <xf borderId="1" fillId="0" fontId="31" numFmtId="9" xfId="0" applyBorder="1" applyFont="1" applyNumberFormat="1"/>
    <xf borderId="1" fillId="0" fontId="0" numFmtId="0" xfId="0" applyAlignment="1" applyBorder="1" applyFont="1">
      <alignment readingOrder="0" shrinkToFit="0" wrapText="0"/>
    </xf>
    <xf borderId="0" fillId="0" fontId="38" numFmtId="3" xfId="0" applyFont="1" applyNumberFormat="1"/>
    <xf borderId="0" fillId="0" fontId="38" numFmtId="169" xfId="0" applyFont="1" applyNumberFormat="1"/>
    <xf borderId="0" fillId="0" fontId="38" numFmtId="4" xfId="0" applyFont="1" applyNumberFormat="1"/>
    <xf borderId="0" fillId="0" fontId="21" numFmtId="0" xfId="0" applyAlignment="1" applyFont="1">
      <alignment readingOrder="0" vertical="bottom"/>
    </xf>
    <xf borderId="0" fillId="0" fontId="38" numFmtId="164" xfId="0" applyFont="1" applyNumberFormat="1"/>
    <xf borderId="0" fillId="0" fontId="21" numFmtId="164" xfId="0" applyAlignment="1" applyFont="1" applyNumberFormat="1">
      <alignment horizontal="right" vertical="bottom"/>
    </xf>
    <xf borderId="0" fillId="0" fontId="0" numFmtId="176" xfId="0" applyAlignment="1" applyFont="1" applyNumberFormat="1">
      <alignment horizontal="right" vertical="bottom"/>
    </xf>
    <xf borderId="0" fillId="0" fontId="30" numFmtId="3" xfId="0" applyAlignment="1" applyFont="1" applyNumberFormat="1">
      <alignment shrinkToFit="0" wrapText="0"/>
    </xf>
    <xf borderId="0" fillId="0" fontId="0" numFmtId="3" xfId="0" applyAlignment="1" applyFont="1" applyNumberFormat="1">
      <alignment shrinkToFit="0" wrapText="0"/>
    </xf>
    <xf borderId="0" fillId="0" fontId="0" numFmtId="169" xfId="0" applyAlignment="1" applyFont="1" applyNumberFormat="1">
      <alignment shrinkToFit="0" wrapText="0"/>
    </xf>
    <xf borderId="0" fillId="0" fontId="31" numFmtId="0" xfId="0" applyAlignment="1" applyFont="1">
      <alignment readingOrder="0"/>
    </xf>
    <xf borderId="0" fillId="0" fontId="8" numFmtId="9" xfId="0" applyAlignment="1" applyFont="1" applyNumberFormat="1">
      <alignment shrinkToFit="0" wrapText="0"/>
    </xf>
    <xf borderId="0" fillId="0" fontId="31" numFmtId="9" xfId="0" applyAlignment="1" applyFont="1" applyNumberFormat="1">
      <alignment readingOrder="0"/>
    </xf>
    <xf borderId="0" fillId="11" fontId="27" numFmtId="0" xfId="0" applyAlignment="1" applyFont="1">
      <alignment readingOrder="0"/>
    </xf>
    <xf borderId="0" fillId="11" fontId="37" numFmtId="3" xfId="0" applyAlignment="1" applyFont="1" applyNumberFormat="1">
      <alignment horizontal="right" vertical="bottom"/>
    </xf>
    <xf borderId="0" fillId="11" fontId="21" numFmtId="3" xfId="0" applyAlignment="1" applyFont="1" applyNumberFormat="1">
      <alignment horizontal="right" vertical="bottom"/>
    </xf>
    <xf borderId="0" fillId="0" fontId="29" numFmtId="3" xfId="0" applyAlignment="1" applyFont="1" applyNumberFormat="1">
      <alignment vertical="bottom"/>
    </xf>
    <xf borderId="0" fillId="0" fontId="44" numFmtId="3" xfId="0" applyAlignment="1" applyFont="1" applyNumberFormat="1">
      <alignment horizontal="right" vertical="bottom"/>
    </xf>
    <xf borderId="0" fillId="0" fontId="36" numFmtId="4" xfId="0" applyAlignment="1" applyFont="1" applyNumberFormat="1">
      <alignment vertical="bottom"/>
    </xf>
    <xf borderId="0" fillId="0" fontId="19" numFmtId="4" xfId="0" applyAlignment="1" applyFont="1" applyNumberFormat="1">
      <alignment vertical="bottom"/>
    </xf>
    <xf borderId="0" fillId="0" fontId="19" numFmtId="4" xfId="0" applyAlignment="1" applyFont="1" applyNumberFormat="1">
      <alignment readingOrder="0" vertical="bottom"/>
    </xf>
    <xf borderId="0" fillId="0" fontId="20" numFmtId="4" xfId="0" applyAlignment="1" applyFont="1" applyNumberFormat="1">
      <alignment readingOrder="0" vertical="bottom"/>
    </xf>
    <xf borderId="0" fillId="0" fontId="29" numFmtId="4" xfId="0" applyAlignment="1" applyFont="1" applyNumberFormat="1">
      <alignment vertical="bottom"/>
    </xf>
    <xf borderId="0" fillId="0" fontId="20" numFmtId="4" xfId="0" applyAlignment="1" applyFont="1" applyNumberFormat="1">
      <alignment vertical="bottom"/>
    </xf>
    <xf borderId="0" fillId="0" fontId="41" numFmtId="4" xfId="0" applyAlignment="1" applyFont="1" applyNumberFormat="1">
      <alignment readingOrder="0"/>
    </xf>
    <xf borderId="0" fillId="0" fontId="37" numFmtId="164" xfId="0" applyAlignment="1" applyFont="1" applyNumberFormat="1">
      <alignment horizontal="right"/>
    </xf>
    <xf borderId="0" fillId="0" fontId="18" numFmtId="164" xfId="0" applyAlignment="1" applyFont="1" applyNumberFormat="1">
      <alignment horizontal="right"/>
    </xf>
    <xf borderId="0" fillId="0" fontId="19" numFmtId="164" xfId="0" applyAlignment="1" applyFont="1" applyNumberFormat="1">
      <alignment readingOrder="0" vertical="bottom"/>
    </xf>
    <xf borderId="0" fillId="0" fontId="37" numFmtId="9" xfId="0" applyAlignment="1" applyFont="1" applyNumberFormat="1">
      <alignment horizontal="right"/>
    </xf>
    <xf borderId="0" fillId="0" fontId="0" numFmtId="9" xfId="0" applyAlignment="1" applyFont="1" applyNumberFormat="1">
      <alignment horizontal="right"/>
    </xf>
    <xf borderId="0" fillId="0" fontId="37" numFmtId="168" xfId="0" applyAlignment="1" applyFont="1" applyNumberFormat="1">
      <alignment horizontal="right"/>
    </xf>
    <xf borderId="0" fillId="0" fontId="0" numFmtId="168" xfId="0" applyAlignment="1" applyFont="1" applyNumberFormat="1">
      <alignment horizontal="right"/>
    </xf>
    <xf borderId="0" fillId="0" fontId="30" numFmtId="3" xfId="0" applyAlignment="1" applyFont="1" applyNumberFormat="1">
      <alignment horizontal="right"/>
    </xf>
    <xf borderId="0" fillId="0" fontId="29" numFmtId="9" xfId="0" applyAlignment="1" applyFont="1" applyNumberFormat="1">
      <alignment vertical="bottom"/>
    </xf>
    <xf borderId="0" fillId="0" fontId="0" numFmtId="9" xfId="0" applyAlignment="1" applyFont="1" applyNumberFormat="1">
      <alignment horizontal="right" readingOrder="0"/>
    </xf>
    <xf borderId="0" fillId="0" fontId="19" numFmtId="9" xfId="0" applyAlignment="1" applyFont="1" applyNumberFormat="1">
      <alignment horizontal="right"/>
    </xf>
    <xf borderId="0" fillId="0" fontId="29" numFmtId="169" xfId="0" applyAlignment="1" applyFont="1" applyNumberFormat="1">
      <alignment vertical="bottom"/>
    </xf>
    <xf borderId="0" fillId="0" fontId="0" numFmtId="169" xfId="0" applyAlignment="1" applyFont="1" applyNumberFormat="1">
      <alignment horizontal="right"/>
    </xf>
    <xf borderId="0" fillId="5" fontId="18" numFmtId="0" xfId="0" applyAlignment="1" applyFont="1">
      <alignment horizontal="left" readingOrder="0" shrinkToFit="0" vertical="center" wrapText="0"/>
    </xf>
    <xf borderId="0" fillId="5" fontId="18" numFmtId="0" xfId="0" applyAlignment="1" applyFont="1">
      <alignment horizontal="center" readingOrder="0" shrinkToFit="0" vertical="bottom" wrapText="0"/>
    </xf>
    <xf borderId="0" fillId="0" fontId="0" numFmtId="169" xfId="0" applyAlignment="1" applyFont="1" applyNumberFormat="1">
      <alignment horizontal="left" readingOrder="0" shrinkToFit="0" vertical="center" wrapText="0"/>
    </xf>
    <xf borderId="0" fillId="0" fontId="6" numFmtId="169" xfId="0" applyAlignment="1" applyFont="1" applyNumberFormat="1">
      <alignment horizontal="right" readingOrder="0" shrinkToFit="0" vertical="center" wrapText="0"/>
    </xf>
    <xf borderId="0" fillId="0" fontId="2" numFmtId="169"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6" numFmtId="9" xfId="0" applyAlignment="1" applyFont="1" applyNumberFormat="1">
      <alignment horizontal="right" readingOrder="0" shrinkToFit="0" vertical="center" wrapText="0"/>
    </xf>
    <xf borderId="0" fillId="0" fontId="0" numFmtId="169" xfId="0" applyAlignment="1" applyFont="1" applyNumberFormat="1">
      <alignment horizontal="right" shrinkToFit="0" vertical="center" wrapText="0"/>
    </xf>
    <xf borderId="0" fillId="0" fontId="6" numFmtId="169" xfId="0" applyAlignment="1" applyFont="1" applyNumberFormat="1">
      <alignment horizontal="right" shrinkToFit="0" vertical="center" wrapText="0"/>
    </xf>
    <xf borderId="0" fillId="13" fontId="0" numFmtId="164" xfId="0" applyAlignment="1" applyFill="1" applyFont="1" applyNumberFormat="1">
      <alignment horizontal="left" readingOrder="0" shrinkToFit="0" vertical="center" wrapText="0"/>
    </xf>
    <xf borderId="0" fillId="13" fontId="6" numFmtId="164" xfId="0" applyAlignment="1" applyFont="1" applyNumberFormat="1">
      <alignment horizontal="right" shrinkToFit="0" vertical="center" wrapText="0"/>
    </xf>
    <xf borderId="0" fillId="0" fontId="0" numFmtId="170" xfId="0" applyAlignment="1" applyFont="1" applyNumberFormat="1">
      <alignment horizontal="right" shrinkToFit="0" vertical="center" wrapText="0"/>
    </xf>
    <xf borderId="0" fillId="0" fontId="8" numFmtId="9" xfId="0" applyAlignment="1" applyFont="1" applyNumberFormat="1">
      <alignment horizontal="right" shrinkToFit="0" vertical="center" wrapText="0"/>
    </xf>
    <xf borderId="0" fillId="0" fontId="2" numFmtId="0" xfId="0" applyAlignment="1" applyFont="1">
      <alignment horizontal="left" readingOrder="0" shrinkToFit="0" vertical="center" wrapText="0"/>
    </xf>
    <xf borderId="0" fillId="0" fontId="19" numFmtId="169" xfId="0" applyAlignment="1" applyFont="1" applyNumberFormat="1">
      <alignment horizontal="left" readingOrder="0" shrinkToFit="0" vertical="center" wrapText="0"/>
    </xf>
    <xf borderId="0" fillId="0" fontId="19" numFmtId="169" xfId="0" applyAlignment="1" applyFont="1" applyNumberFormat="1">
      <alignment horizontal="right" shrinkToFit="0" wrapText="0"/>
    </xf>
    <xf borderId="0" fillId="0" fontId="19" numFmtId="0" xfId="0" applyAlignment="1" applyFont="1">
      <alignment horizontal="left" readingOrder="0" shrinkToFit="0" vertical="center" wrapText="0"/>
    </xf>
    <xf borderId="0" fillId="0" fontId="19" numFmtId="170" xfId="0" applyAlignment="1" applyFont="1" applyNumberFormat="1">
      <alignment horizontal="right" shrinkToFit="0" wrapText="0"/>
    </xf>
    <xf borderId="0" fillId="0" fontId="6" numFmtId="170" xfId="0" applyAlignment="1" applyFont="1" applyNumberFormat="1">
      <alignment horizontal="right" shrinkToFit="0" vertical="center" wrapText="0"/>
    </xf>
    <xf borderId="0" fillId="0" fontId="19" numFmtId="4" xfId="0" applyAlignment="1" applyFont="1" applyNumberFormat="1">
      <alignment horizontal="right" shrinkToFit="0" wrapText="0"/>
    </xf>
    <xf borderId="0" fillId="0" fontId="19"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8"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6" numFmtId="3" xfId="0" applyAlignment="1" applyFont="1" applyNumberFormat="1">
      <alignment horizontal="right" readingOrder="0" shrinkToFit="0" vertical="center" wrapText="0"/>
    </xf>
    <xf borderId="0" fillId="0" fontId="19" numFmtId="2" xfId="0" applyAlignment="1" applyFont="1" applyNumberFormat="1">
      <alignment horizontal="left" readingOrder="0" shrinkToFit="0" vertical="center" wrapText="0"/>
    </xf>
    <xf borderId="0" fillId="0" fontId="19" numFmtId="176" xfId="0" applyAlignment="1" applyFont="1" applyNumberFormat="1">
      <alignment horizontal="left" readingOrder="0" shrinkToFit="0" vertical="center" wrapText="0"/>
    </xf>
    <xf borderId="0" fillId="0" fontId="19" numFmtId="176"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6" numFmtId="9" xfId="0" applyAlignment="1" applyFont="1" applyNumberFormat="1">
      <alignment horizontal="right" readingOrder="0"/>
    </xf>
    <xf borderId="0" fillId="0" fontId="0" numFmtId="4" xfId="0" applyAlignment="1" applyFont="1" applyNumberFormat="1">
      <alignment horizontal="right"/>
    </xf>
    <xf borderId="0" fillId="0" fontId="0" numFmtId="174" xfId="0" applyAlignment="1" applyFont="1" applyNumberFormat="1">
      <alignment horizontal="left" readingOrder="0" shrinkToFit="0" vertical="center" wrapText="0"/>
    </xf>
    <xf borderId="0" fillId="0" fontId="0" numFmtId="164"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4" xfId="0" applyAlignment="1" applyFont="1" applyNumberFormat="1">
      <alignment horizontal="left" readingOrder="0" shrinkToFit="0" vertical="center" wrapText="0"/>
    </xf>
    <xf borderId="0" fillId="0" fontId="8" numFmtId="4" xfId="0" applyAlignment="1" applyFont="1" applyNumberFormat="1">
      <alignment horizontal="right" shrinkToFit="0" vertical="center" wrapText="0"/>
    </xf>
    <xf borderId="0" fillId="0" fontId="18" numFmtId="174" xfId="0" applyAlignment="1" applyFont="1" applyNumberFormat="1">
      <alignment horizontal="left" readingOrder="0" shrinkToFit="0" vertical="center" wrapText="0"/>
    </xf>
    <xf borderId="0" fillId="0" fontId="18" numFmtId="3" xfId="0" applyAlignment="1" applyFont="1" applyNumberFormat="1">
      <alignment horizontal="right" shrinkToFit="0" vertical="center" wrapText="0"/>
    </xf>
    <xf borderId="0" fillId="0" fontId="0" numFmtId="174" xfId="0" applyAlignment="1" applyFont="1" applyNumberFormat="1">
      <alignment readingOrder="0" vertical="bottom"/>
    </xf>
    <xf borderId="0" fillId="0" fontId="0" numFmtId="174" xfId="0" applyAlignment="1" applyFont="1" applyNumberFormat="1">
      <alignment horizontal="right" readingOrder="0" vertical="bottom"/>
    </xf>
    <xf borderId="0" fillId="0" fontId="19" numFmtId="0" xfId="0" applyAlignment="1" applyFont="1">
      <alignment readingOrder="0"/>
    </xf>
    <xf borderId="0" fillId="11" fontId="18" numFmtId="0" xfId="0" applyAlignment="1" applyFont="1">
      <alignment horizontal="left" readingOrder="0" shrinkToFit="0" wrapText="0"/>
    </xf>
    <xf borderId="0" fillId="11" fontId="0" numFmtId="166" xfId="0" applyAlignment="1" applyFont="1" applyNumberFormat="1">
      <alignment horizontal="center" shrinkToFit="0" wrapText="0"/>
    </xf>
    <xf borderId="0" fillId="0" fontId="18" numFmtId="0" xfId="0" applyAlignment="1" applyFont="1">
      <alignment horizontal="left" readingOrder="0" shrinkToFit="0" wrapText="0"/>
    </xf>
    <xf borderId="0" fillId="0" fontId="19" numFmtId="9" xfId="0" applyFont="1" applyNumberFormat="1"/>
    <xf borderId="0" fillId="0" fontId="19" numFmtId="0" xfId="0" applyFont="1"/>
    <xf borderId="0" fillId="0" fontId="21" numFmtId="166" xfId="0" applyAlignment="1" applyFont="1" applyNumberFormat="1">
      <alignment readingOrder="0" vertical="bottom"/>
    </xf>
    <xf borderId="0" fillId="11" fontId="21" numFmtId="0" xfId="0" applyAlignment="1" applyFont="1">
      <alignment vertical="bottom"/>
    </xf>
    <xf borderId="0" fillId="0" fontId="19" numFmtId="10" xfId="0" applyAlignment="1" applyFont="1" applyNumberFormat="1">
      <alignment vertical="bottom"/>
    </xf>
    <xf borderId="2" fillId="0" fontId="6" numFmtId="9" xfId="0" applyAlignment="1" applyBorder="1" applyFont="1" applyNumberFormat="1">
      <alignment horizontal="right" readingOrder="0" vertical="bottom"/>
    </xf>
    <xf borderId="0" fillId="0" fontId="19" numFmtId="9" xfId="0" applyAlignment="1" applyFont="1" applyNumberFormat="1">
      <alignment horizontal="right" readingOrder="0" vertical="bottom"/>
    </xf>
    <xf borderId="0" fillId="0" fontId="0" numFmtId="0" xfId="0" applyAlignment="1" applyFont="1">
      <alignment vertical="bottom"/>
    </xf>
    <xf borderId="0" fillId="0" fontId="18" numFmtId="0" xfId="0" applyAlignment="1" applyFont="1">
      <alignment readingOrder="0" vertical="bottom"/>
    </xf>
    <xf borderId="0" fillId="0" fontId="21" numFmtId="4" xfId="0" applyAlignment="1" applyFont="1" applyNumberFormat="1">
      <alignment vertical="bottom"/>
    </xf>
    <xf borderId="0" fillId="0" fontId="21" numFmtId="0" xfId="0" applyAlignment="1" applyFont="1">
      <alignment vertical="bottom"/>
    </xf>
    <xf borderId="0" fillId="0" fontId="19" numFmtId="3" xfId="0" applyAlignment="1" applyFont="1" applyNumberFormat="1">
      <alignment vertical="bottom"/>
    </xf>
    <xf borderId="0" fillId="11" fontId="21" numFmtId="0" xfId="0" applyAlignment="1" applyFont="1">
      <alignment vertical="bottom"/>
    </xf>
    <xf borderId="0" fillId="11" fontId="21" numFmtId="3" xfId="0" applyAlignment="1" applyFont="1" applyNumberFormat="1">
      <alignment vertical="bottom"/>
    </xf>
    <xf borderId="0" fillId="0" fontId="19" numFmtId="176" xfId="0" applyAlignment="1" applyFont="1" applyNumberFormat="1">
      <alignment horizontal="right" vertical="bottom"/>
    </xf>
    <xf borderId="0" fillId="0" fontId="17" numFmtId="164" xfId="0" applyAlignment="1" applyFont="1" applyNumberFormat="1">
      <alignment readingOrder="0"/>
    </xf>
    <xf borderId="0" fillId="0" fontId="18" numFmtId="164" xfId="0" applyAlignment="1" applyFont="1" applyNumberFormat="1">
      <alignment shrinkToFit="0" wrapText="0"/>
    </xf>
    <xf borderId="0" fillId="5" fontId="21" numFmtId="0" xfId="0" applyAlignment="1" applyFont="1">
      <alignment vertical="bottom"/>
    </xf>
    <xf borderId="0" fillId="5" fontId="18" numFmtId="0" xfId="0" applyAlignment="1" applyFont="1">
      <alignment horizontal="center" vertical="bottom"/>
    </xf>
    <xf borderId="0" fillId="5" fontId="21" numFmtId="0" xfId="0" applyAlignment="1" applyFont="1">
      <alignment horizontal="center" vertical="bottom"/>
    </xf>
    <xf borderId="0" fillId="5" fontId="21" numFmtId="0" xfId="0" applyAlignment="1" applyFont="1">
      <alignment horizontal="center" readingOrder="0" vertical="bottom"/>
    </xf>
    <xf borderId="0" fillId="0" fontId="36" numFmtId="0" xfId="0" applyAlignment="1" applyFont="1">
      <alignment vertical="bottom"/>
    </xf>
    <xf borderId="0" fillId="0" fontId="30" numFmtId="3" xfId="0" applyAlignment="1" applyFont="1" applyNumberFormat="1">
      <alignment vertical="bottom"/>
    </xf>
    <xf borderId="0" fillId="11" fontId="21" numFmtId="0" xfId="0" applyAlignment="1" applyFont="1">
      <alignment shrinkToFit="0" vertical="bottom" wrapText="1"/>
    </xf>
    <xf borderId="0" fillId="0" fontId="30" numFmtId="176" xfId="0" applyAlignment="1" applyFont="1" applyNumberFormat="1">
      <alignment horizontal="right" vertical="bottom"/>
    </xf>
    <xf borderId="0" fillId="0" fontId="6" numFmtId="176" xfId="0" applyAlignment="1" applyFont="1" applyNumberFormat="1">
      <alignment horizontal="right" readingOrder="0" vertical="bottom"/>
    </xf>
    <xf borderId="0" fillId="0" fontId="35" numFmtId="176" xfId="0" applyAlignment="1" applyFont="1" applyNumberFormat="1">
      <alignment horizontal="right" vertical="bottom"/>
    </xf>
    <xf borderId="0" fillId="0" fontId="0" numFmtId="4" xfId="0" applyAlignment="1" applyFont="1" applyNumberFormat="1">
      <alignment shrinkToFit="0" vertical="bottom" wrapText="0"/>
    </xf>
    <xf borderId="0" fillId="0" fontId="0" numFmtId="168" xfId="0" applyAlignment="1" applyFont="1" applyNumberFormat="1">
      <alignment vertical="bottom"/>
    </xf>
    <xf borderId="0" fillId="0" fontId="8" numFmtId="4" xfId="0" applyAlignment="1" applyFont="1" applyNumberFormat="1">
      <alignment horizontal="right" vertical="bottom"/>
    </xf>
    <xf borderId="0" fillId="0" fontId="30" numFmtId="174" xfId="0" applyAlignment="1" applyFont="1" applyNumberFormat="1">
      <alignment horizontal="right" vertical="bottom"/>
    </xf>
    <xf borderId="0" fillId="0" fontId="19" numFmtId="172" xfId="0" applyAlignment="1" applyFont="1" applyNumberFormat="1">
      <alignment horizontal="right" vertical="bottom"/>
    </xf>
    <xf borderId="0" fillId="0" fontId="19" numFmtId="175" xfId="0" applyAlignment="1" applyFont="1" applyNumberFormat="1">
      <alignment vertical="bottom"/>
    </xf>
    <xf borderId="0" fillId="0" fontId="30" numFmtId="175" xfId="0" applyAlignment="1" applyFont="1" applyNumberFormat="1">
      <alignment vertical="bottom"/>
    </xf>
    <xf borderId="0" fillId="0" fontId="19" numFmtId="176" xfId="0" applyAlignment="1" applyFont="1" applyNumberFormat="1">
      <alignment vertical="bottom"/>
    </xf>
    <xf borderId="0" fillId="0" fontId="19" numFmtId="168" xfId="0" applyAlignment="1" applyFont="1" applyNumberFormat="1">
      <alignment vertical="bottom"/>
    </xf>
    <xf borderId="0" fillId="0" fontId="0" numFmtId="3" xfId="0" applyAlignment="1" applyFont="1" applyNumberFormat="1">
      <alignment vertical="bottom"/>
    </xf>
    <xf borderId="0" fillId="0" fontId="6" numFmtId="3" xfId="0" applyAlignment="1" applyFont="1" applyNumberFormat="1">
      <alignment horizontal="right" vertical="bottom"/>
    </xf>
    <xf borderId="0" fillId="0" fontId="0" numFmtId="175" xfId="0" applyAlignment="1" applyFont="1" applyNumberFormat="1">
      <alignment readingOrder="0" vertical="bottom"/>
    </xf>
    <xf borderId="0" fillId="0" fontId="0" numFmtId="175" xfId="0" applyAlignment="1" applyFont="1" applyNumberFormat="1">
      <alignment horizontal="right" vertical="bottom"/>
    </xf>
    <xf borderId="0" fillId="0" fontId="30" numFmtId="168" xfId="0" applyAlignment="1" applyFont="1" applyNumberFormat="1">
      <alignment vertical="bottom"/>
    </xf>
    <xf borderId="0" fillId="0" fontId="30" numFmtId="4" xfId="0" applyAlignment="1" applyFont="1" applyNumberFormat="1">
      <alignment vertical="bottom"/>
    </xf>
    <xf borderId="0" fillId="0" fontId="19" numFmtId="164" xfId="0" applyAlignment="1" applyFont="1" applyNumberFormat="1">
      <alignment vertical="bottom"/>
    </xf>
    <xf borderId="0" fillId="0" fontId="18" numFmtId="4" xfId="0" applyAlignment="1" applyFont="1" applyNumberFormat="1">
      <alignment readingOrder="0" vertical="bottom"/>
    </xf>
    <xf borderId="0" fillId="0" fontId="37" numFmtId="4" xfId="0" applyAlignment="1" applyFont="1" applyNumberFormat="1">
      <alignment horizontal="right" vertical="bottom"/>
    </xf>
    <xf borderId="0" fillId="0" fontId="30" numFmtId="10" xfId="0" applyFont="1" applyNumberFormat="1"/>
    <xf borderId="0" fillId="0" fontId="19" numFmtId="10" xfId="0" applyFont="1" applyNumberFormat="1"/>
    <xf borderId="0" fillId="0" fontId="19" numFmtId="176" xfId="0" applyFont="1" applyNumberFormat="1"/>
    <xf borderId="0" fillId="11" fontId="19" numFmtId="176" xfId="0" applyAlignment="1" applyFont="1" applyNumberFormat="1">
      <alignment vertical="bottom"/>
    </xf>
    <xf borderId="0" fillId="0" fontId="19" numFmtId="171" xfId="0" applyAlignment="1" applyFont="1" applyNumberFormat="1">
      <alignment vertical="bottom"/>
    </xf>
    <xf borderId="0" fillId="0" fontId="19" numFmtId="177" xfId="0" applyAlignment="1" applyFont="1" applyNumberFormat="1">
      <alignment vertical="bottom"/>
    </xf>
    <xf borderId="3" fillId="11" fontId="21" numFmtId="0" xfId="0" applyAlignment="1" applyBorder="1" applyFont="1">
      <alignment readingOrder="0" vertical="bottom"/>
    </xf>
    <xf borderId="0" fillId="11" fontId="19" numFmtId="169" xfId="0" applyAlignment="1" applyFont="1" applyNumberFormat="1">
      <alignment vertical="bottom"/>
    </xf>
    <xf borderId="0" fillId="0" fontId="19" numFmtId="169" xfId="0" applyAlignment="1" applyFont="1" applyNumberFormat="1">
      <alignment vertical="bottom"/>
    </xf>
    <xf borderId="0" fillId="0" fontId="6" numFmtId="169" xfId="0" applyAlignment="1" applyFont="1" applyNumberFormat="1">
      <alignment horizontal="right" vertical="bottom"/>
    </xf>
    <xf borderId="0" fillId="0" fontId="0" numFmtId="169" xfId="0" applyAlignment="1" applyFont="1" applyNumberFormat="1">
      <alignment horizontal="right" vertical="bottom"/>
    </xf>
    <xf borderId="0" fillId="13" fontId="0" numFmtId="0" xfId="0" applyAlignment="1" applyFont="1">
      <alignment vertical="bottom"/>
    </xf>
    <xf borderId="0" fillId="13" fontId="30" numFmtId="9" xfId="0" applyAlignment="1" applyFont="1" applyNumberFormat="1">
      <alignment horizontal="right" vertical="bottom"/>
    </xf>
    <xf borderId="0" fillId="13" fontId="6" numFmtId="9" xfId="0" applyAlignment="1" applyFont="1" applyNumberFormat="1">
      <alignment horizontal="right" vertical="bottom"/>
    </xf>
    <xf borderId="0" fillId="13" fontId="35" numFmtId="9" xfId="0" applyAlignment="1" applyFont="1" applyNumberFormat="1">
      <alignment horizontal="right" vertical="bottom"/>
    </xf>
    <xf borderId="0" fillId="0" fontId="0" numFmtId="168" xfId="0" applyAlignment="1" applyFont="1" applyNumberFormat="1">
      <alignment horizontal="right" vertical="bottom"/>
    </xf>
    <xf borderId="0" fillId="0" fontId="6" numFmtId="168" xfId="0" applyAlignment="1" applyFont="1" applyNumberFormat="1">
      <alignment horizontal="right" vertical="bottom"/>
    </xf>
    <xf borderId="0" fillId="0" fontId="0" numFmtId="175" xfId="0" applyAlignment="1" applyFont="1" applyNumberFormat="1">
      <alignment vertical="bottom"/>
    </xf>
    <xf borderId="0" fillId="0" fontId="30" numFmtId="173" xfId="0" applyAlignment="1" applyFont="1" applyNumberFormat="1">
      <alignment horizontal="right" vertical="bottom"/>
    </xf>
    <xf borderId="0" fillId="0" fontId="0" numFmtId="173" xfId="0" applyAlignment="1" applyFont="1" applyNumberFormat="1">
      <alignment horizontal="right" vertical="bottom"/>
    </xf>
    <xf borderId="0" fillId="0" fontId="0" numFmtId="178" xfId="0" applyAlignment="1" applyFont="1" applyNumberFormat="1">
      <alignment vertical="bottom"/>
    </xf>
    <xf borderId="0" fillId="0" fontId="30" numFmtId="178" xfId="0" applyAlignment="1" applyFont="1" applyNumberFormat="1">
      <alignment horizontal="right" vertical="bottom"/>
    </xf>
    <xf borderId="0" fillId="0" fontId="0" numFmtId="178" xfId="0" applyAlignment="1" applyFont="1" applyNumberFormat="1">
      <alignment horizontal="right" vertical="bottom"/>
    </xf>
    <xf borderId="0" fillId="0" fontId="0" numFmtId="170" xfId="0" applyAlignment="1" applyFont="1" applyNumberFormat="1">
      <alignment readingOrder="0" vertical="bottom"/>
    </xf>
    <xf borderId="0" fillId="0" fontId="30" numFmtId="170" xfId="0" applyAlignment="1" applyFont="1" applyNumberFormat="1">
      <alignment horizontal="right" vertical="bottom"/>
    </xf>
    <xf borderId="0" fillId="0" fontId="0" numFmtId="170" xfId="0" applyAlignment="1" applyFont="1" applyNumberFormat="1">
      <alignment horizontal="right" vertical="bottom"/>
    </xf>
    <xf borderId="0" fillId="0" fontId="6" numFmtId="170" xfId="0" applyAlignment="1" applyFont="1" applyNumberFormat="1">
      <alignment horizontal="right" readingOrder="0" vertical="bottom"/>
    </xf>
    <xf borderId="0" fillId="0" fontId="0" numFmtId="170" xfId="0" applyAlignment="1" applyFont="1" applyNumberFormat="1">
      <alignment vertical="bottom"/>
    </xf>
    <xf borderId="0" fillId="0" fontId="30" numFmtId="0" xfId="0" applyAlignment="1" applyFont="1">
      <alignment vertical="bottom"/>
    </xf>
    <xf borderId="0" fillId="0" fontId="30" numFmtId="10" xfId="0" applyAlignment="1" applyFont="1" applyNumberFormat="1">
      <alignment horizontal="right" vertical="bottom"/>
    </xf>
    <xf borderId="0" fillId="0" fontId="19" numFmtId="10" xfId="0" applyAlignment="1" applyFont="1" applyNumberFormat="1">
      <alignment horizontal="right" vertical="bottom"/>
    </xf>
    <xf borderId="0" fillId="0" fontId="19" numFmtId="175" xfId="0" applyAlignment="1" applyFont="1" applyNumberFormat="1">
      <alignment readingOrder="0"/>
    </xf>
    <xf borderId="0" fillId="0" fontId="30" numFmtId="173" xfId="0" applyAlignment="1" applyFont="1" applyNumberFormat="1">
      <alignment readingOrder="0"/>
    </xf>
    <xf borderId="0" fillId="0" fontId="35" numFmtId="173" xfId="0" applyAlignment="1" applyFont="1" applyNumberFormat="1">
      <alignment readingOrder="0"/>
    </xf>
    <xf borderId="0" fillId="0" fontId="19" numFmtId="164" xfId="0" applyAlignment="1" applyFont="1" applyNumberFormat="1">
      <alignment readingOrder="0"/>
    </xf>
    <xf borderId="0" fillId="0" fontId="30" numFmtId="4" xfId="0" applyAlignment="1" applyFont="1" applyNumberFormat="1">
      <alignment readingOrder="0"/>
    </xf>
    <xf borderId="0" fillId="0" fontId="35" numFmtId="4" xfId="0" applyAlignment="1" applyFont="1" applyNumberFormat="1">
      <alignment readingOrder="0"/>
    </xf>
    <xf borderId="0" fillId="0" fontId="19" numFmtId="170" xfId="0" applyAlignment="1" applyFont="1" applyNumberFormat="1">
      <alignment readingOrder="0"/>
    </xf>
    <xf borderId="0" fillId="0" fontId="30" numFmtId="3" xfId="0" applyAlignment="1" applyFont="1" applyNumberFormat="1">
      <alignment readingOrder="0"/>
    </xf>
    <xf borderId="0" fillId="0" fontId="35" numFmtId="3" xfId="0" applyAlignment="1" applyFont="1" applyNumberFormat="1">
      <alignment readingOrder="0"/>
    </xf>
    <xf borderId="1" fillId="0" fontId="19" numFmtId="0" xfId="0" applyAlignment="1" applyBorder="1" applyFont="1">
      <alignment readingOrder="0" vertical="bottom"/>
    </xf>
    <xf borderId="1" fillId="0" fontId="30" numFmtId="3" xfId="0" applyAlignment="1" applyBorder="1" applyFont="1" applyNumberFormat="1">
      <alignment horizontal="right" vertical="bottom"/>
    </xf>
    <xf borderId="1" fillId="0" fontId="19" numFmtId="3" xfId="0" applyAlignment="1" applyBorder="1" applyFont="1" applyNumberFormat="1">
      <alignment horizontal="right" vertical="bottom"/>
    </xf>
    <xf borderId="0" fillId="0" fontId="31" numFmtId="3" xfId="0" applyAlignment="1" applyFont="1" applyNumberFormat="1">
      <alignment readingOrder="0"/>
    </xf>
    <xf borderId="0" fillId="0" fontId="30" numFmtId="176" xfId="0" applyAlignment="1" applyFont="1" applyNumberFormat="1">
      <alignment vertical="bottom"/>
    </xf>
    <xf borderId="0" fillId="0" fontId="0" numFmtId="176"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2" fillId="0" fontId="30" numFmtId="9" xfId="0" applyAlignment="1" applyBorder="1" applyFont="1" applyNumberFormat="1">
      <alignment horizontal="right" vertical="bottom"/>
    </xf>
    <xf borderId="2" fillId="0" fontId="6" numFmtId="9" xfId="0" applyAlignment="1" applyBorder="1" applyFont="1" applyNumberFormat="1">
      <alignment horizontal="right" vertical="bottom"/>
    </xf>
    <xf borderId="0" fillId="0" fontId="0" numFmtId="170" xfId="0" applyAlignment="1" applyFont="1" applyNumberFormat="1">
      <alignment horizontal="left" readingOrder="0" shrinkToFit="0" vertical="center" wrapText="0"/>
    </xf>
    <xf borderId="0" fillId="0" fontId="21" numFmtId="166" xfId="0" applyAlignment="1" applyFont="1" applyNumberFormat="1">
      <alignment vertical="bottom"/>
    </xf>
    <xf borderId="0" fillId="0" fontId="0" numFmtId="168" xfId="0" applyAlignment="1" applyFont="1" applyNumberFormat="1">
      <alignment shrinkToFit="0" wrapText="0"/>
    </xf>
    <xf borderId="0" fillId="0" fontId="21" numFmtId="164" xfId="0" applyAlignment="1" applyFont="1" applyNumberFormat="1">
      <alignment vertical="bottom"/>
    </xf>
    <xf borderId="1" fillId="0" fontId="19" numFmtId="4" xfId="0" applyAlignment="1" applyBorder="1" applyFont="1" applyNumberFormat="1">
      <alignment vertical="bottom"/>
    </xf>
    <xf borderId="1" fillId="0" fontId="30" numFmtId="170" xfId="0" applyAlignment="1" applyBorder="1" applyFont="1" applyNumberFormat="1">
      <alignment horizontal="right" vertical="bottom"/>
    </xf>
    <xf borderId="1" fillId="0" fontId="19" numFmtId="170" xfId="0" applyAlignment="1" applyBorder="1" applyFont="1" applyNumberFormat="1">
      <alignment horizontal="right" vertical="bottom"/>
    </xf>
    <xf borderId="0" fillId="0" fontId="45" numFmtId="0" xfId="0" applyAlignment="1" applyFont="1">
      <alignment vertical="bottom"/>
    </xf>
    <xf borderId="0" fillId="0" fontId="46" numFmtId="10" xfId="0" applyAlignment="1" applyFont="1" applyNumberFormat="1">
      <alignment horizontal="right" vertical="bottom"/>
    </xf>
    <xf borderId="0" fillId="0" fontId="45" numFmtId="10" xfId="0" applyAlignment="1" applyFont="1" applyNumberFormat="1">
      <alignment horizontal="right" vertical="bottom"/>
    </xf>
    <xf borderId="0" fillId="0" fontId="36" numFmtId="174" xfId="0" applyAlignment="1" applyFont="1" applyNumberFormat="1">
      <alignment vertical="bottom"/>
    </xf>
    <xf borderId="1" fillId="0" fontId="19" numFmtId="174" xfId="0" applyAlignment="1" applyBorder="1" applyFont="1" applyNumberFormat="1">
      <alignment vertical="bottom"/>
    </xf>
    <xf borderId="1" fillId="0" fontId="30" numFmtId="169" xfId="0" applyAlignment="1" applyBorder="1" applyFont="1" applyNumberFormat="1">
      <alignment horizontal="right" vertical="bottom"/>
    </xf>
    <xf borderId="1" fillId="0" fontId="19" numFmtId="169" xfId="0" applyAlignment="1" applyBorder="1" applyFont="1" applyNumberFormat="1">
      <alignment horizontal="right" vertical="bottom"/>
    </xf>
    <xf borderId="0" fillId="0" fontId="36" numFmtId="4" xfId="0" applyAlignment="1" applyFont="1" applyNumberFormat="1">
      <alignment readingOrder="0" vertical="bottom"/>
    </xf>
    <xf borderId="0" fillId="0" fontId="47" numFmtId="175" xfId="0" applyFont="1" applyNumberFormat="1"/>
    <xf borderId="0" fillId="0" fontId="6" numFmtId="175" xfId="0" applyAlignment="1" applyFont="1" applyNumberFormat="1">
      <alignment horizontal="right" vertical="bottom"/>
    </xf>
    <xf borderId="0" fillId="0" fontId="19" numFmtId="168" xfId="0" applyAlignment="1" applyFont="1" applyNumberFormat="1">
      <alignment horizontal="right" vertical="bottom"/>
    </xf>
    <xf borderId="3" fillId="0" fontId="36" numFmtId="4" xfId="0" applyAlignment="1" applyBorder="1" applyFont="1" applyNumberFormat="1">
      <alignment readingOrder="0" shrinkToFit="0" vertical="bottom" wrapText="0"/>
    </xf>
    <xf borderId="0" fillId="0" fontId="30" numFmtId="169" xfId="0" applyAlignment="1" applyFont="1" applyNumberFormat="1">
      <alignment vertical="bottom"/>
    </xf>
    <xf borderId="3" fillId="0" fontId="2" numFmtId="4" xfId="0" applyAlignment="1" applyBorder="1" applyFont="1" applyNumberFormat="1">
      <alignment readingOrder="0" shrinkToFit="0" vertical="bottom" wrapText="0"/>
    </xf>
    <xf borderId="3" fillId="0" fontId="30" numFmtId="168" xfId="0" applyAlignment="1" applyBorder="1" applyFont="1" applyNumberFormat="1">
      <alignment vertical="bottom"/>
    </xf>
    <xf borderId="3" fillId="0" fontId="19" numFmtId="168" xfId="0" applyAlignment="1" applyBorder="1" applyFont="1" applyNumberFormat="1">
      <alignment vertical="bottom"/>
    </xf>
    <xf borderId="0" fillId="0" fontId="40" numFmtId="4" xfId="0" applyAlignment="1" applyFont="1" applyNumberFormat="1">
      <alignment readingOrder="0"/>
    </xf>
    <xf borderId="1" fillId="0" fontId="0" numFmtId="3" xfId="0" applyAlignment="1" applyBorder="1" applyFont="1" applyNumberFormat="1">
      <alignment horizontal="right" vertical="bottom"/>
    </xf>
    <xf borderId="0" fillId="11" fontId="37" numFmtId="0" xfId="0" applyAlignment="1" applyFont="1">
      <alignment vertical="bottom"/>
    </xf>
    <xf borderId="0" fillId="0" fontId="30" numFmtId="176" xfId="0" applyFont="1" applyNumberFormat="1"/>
    <xf borderId="0" fillId="0" fontId="0" numFmtId="3" xfId="0" applyAlignment="1" applyFont="1" applyNumberFormat="1">
      <alignment horizontal="right"/>
    </xf>
    <xf borderId="0" fillId="0" fontId="30" numFmtId="176" xfId="0" applyAlignment="1" applyFont="1" applyNumberFormat="1">
      <alignment horizontal="right"/>
    </xf>
    <xf borderId="0" fillId="0" fontId="0" numFmtId="176" xfId="0" applyAlignment="1" applyFont="1" applyNumberFormat="1">
      <alignment horizontal="right"/>
    </xf>
    <xf borderId="0" fillId="0" fontId="30" numFmtId="176" xfId="0" applyAlignment="1" applyFont="1" applyNumberFormat="1">
      <alignment horizontal="right" shrinkToFit="0" vertical="center" wrapText="0"/>
    </xf>
    <xf borderId="0" fillId="0" fontId="0" numFmtId="4" xfId="0" applyAlignment="1" applyFont="1" applyNumberFormat="1">
      <alignment horizontal="right" readingOrder="0" shrinkToFit="0" vertical="center" wrapText="0"/>
    </xf>
    <xf borderId="0" fillId="0" fontId="0" numFmtId="9" xfId="0" applyAlignment="1" applyFont="1" applyNumberFormat="1">
      <alignment horizontal="right" shrinkToFit="0" vertical="center" wrapText="0"/>
    </xf>
    <xf borderId="0" fillId="5" fontId="21" numFmtId="0" xfId="0" applyAlignment="1" applyFont="1">
      <alignment horizontal="left" readingOrder="0" shrinkToFit="0" wrapText="0"/>
    </xf>
    <xf borderId="0" fillId="0" fontId="36" numFmtId="0" xfId="0" applyAlignment="1" applyFont="1">
      <alignment readingOrder="0"/>
    </xf>
    <xf borderId="0" fillId="0" fontId="31" numFmtId="3" xfId="0" applyFont="1" applyNumberFormat="1"/>
    <xf borderId="0" fillId="0" fontId="31" numFmtId="4" xfId="0" applyFont="1" applyNumberFormat="1"/>
    <xf borderId="0" fillId="0" fontId="19" numFmtId="166" xfId="0" applyFont="1" applyNumberFormat="1"/>
    <xf borderId="0" fillId="0" fontId="31" numFmtId="0" xfId="0" applyFont="1"/>
    <xf borderId="0" fillId="0" fontId="48" numFmtId="3" xfId="0" applyAlignment="1" applyFont="1" applyNumberFormat="1">
      <alignment vertical="bottom"/>
    </xf>
    <xf borderId="0" fillId="0" fontId="19" numFmtId="0" xfId="0" applyAlignment="1" applyFont="1">
      <alignment readingOrder="0"/>
    </xf>
    <xf borderId="0" fillId="0" fontId="49" numFmtId="3" xfId="0" applyFont="1" applyNumberFormat="1"/>
    <xf borderId="0" fillId="11" fontId="18" numFmtId="0" xfId="0" applyAlignment="1" applyFont="1">
      <alignment readingOrder="0" shrinkToFit="0" vertical="bottom" wrapText="1"/>
    </xf>
    <xf borderId="0" fillId="11" fontId="50" numFmtId="0" xfId="0" applyAlignment="1" applyFont="1">
      <alignment readingOrder="0" shrinkToFit="0" vertical="bottom" wrapText="1"/>
    </xf>
    <xf borderId="0" fillId="0" fontId="35" numFmtId="169" xfId="0" applyAlignment="1" applyFont="1" applyNumberFormat="1">
      <alignment readingOrder="0" vertical="bottom"/>
    </xf>
    <xf borderId="0" fillId="0" fontId="6" numFmtId="169" xfId="0" applyAlignment="1" applyFont="1" applyNumberFormat="1">
      <alignment readingOrder="0" vertical="bottom"/>
    </xf>
    <xf borderId="0" fillId="0" fontId="48" numFmtId="169" xfId="0" applyAlignment="1" applyFont="1" applyNumberFormat="1">
      <alignment vertical="bottom"/>
    </xf>
    <xf borderId="0" fillId="0" fontId="19" numFmtId="169" xfId="0" applyAlignment="1" applyFont="1" applyNumberFormat="1">
      <alignment readingOrder="0" vertical="bottom"/>
    </xf>
    <xf borderId="0" fillId="0" fontId="0" numFmtId="0" xfId="0" applyAlignment="1" applyFont="1">
      <alignment readingOrder="0"/>
    </xf>
    <xf borderId="0" fillId="0" fontId="35" numFmtId="9" xfId="0" applyAlignment="1" applyFont="1" applyNumberFormat="1">
      <alignment horizontal="right"/>
    </xf>
    <xf borderId="0" fillId="0" fontId="35" numFmtId="168" xfId="0" applyAlignment="1" applyFont="1" applyNumberFormat="1">
      <alignment horizontal="right" readingOrder="0" vertical="bottom"/>
    </xf>
    <xf borderId="0" fillId="0" fontId="19" numFmtId="168" xfId="0" applyAlignment="1" applyFont="1" applyNumberFormat="1">
      <alignment horizontal="right" readingOrder="0" vertical="bottom"/>
    </xf>
    <xf borderId="0" fillId="0" fontId="35" numFmtId="4" xfId="0" applyAlignment="1" applyFont="1" applyNumberFormat="1">
      <alignment horizontal="right" readingOrder="0" vertical="bottom"/>
    </xf>
    <xf borderId="0" fillId="0" fontId="0" numFmtId="172" xfId="0" applyFont="1" applyNumberFormat="1"/>
    <xf borderId="0" fillId="0" fontId="35" numFmtId="172" xfId="0" applyAlignment="1" applyFont="1" applyNumberFormat="1">
      <alignment horizontal="right"/>
    </xf>
    <xf borderId="0" fillId="0" fontId="0" numFmtId="172" xfId="0" applyAlignment="1" applyFont="1" applyNumberFormat="1">
      <alignment horizontal="right"/>
    </xf>
    <xf borderId="0" fillId="0" fontId="0" numFmtId="164" xfId="0" applyFont="1" applyNumberFormat="1"/>
    <xf borderId="0" fillId="0" fontId="35" numFmtId="4" xfId="0" applyAlignment="1" applyFont="1" applyNumberFormat="1">
      <alignment horizontal="right"/>
    </xf>
    <xf borderId="0" fillId="0" fontId="0" numFmtId="174" xfId="0" applyFont="1" applyNumberFormat="1"/>
    <xf borderId="0" fillId="0" fontId="35" numFmtId="174" xfId="0" applyAlignment="1" applyFont="1" applyNumberFormat="1">
      <alignment horizontal="right"/>
    </xf>
    <xf borderId="0" fillId="0" fontId="0" numFmtId="174" xfId="0" applyAlignment="1" applyFont="1" applyNumberFormat="1">
      <alignment horizontal="right"/>
    </xf>
    <xf borderId="0" fillId="0" fontId="0" numFmtId="170" xfId="0" applyAlignment="1" applyFont="1" applyNumberFormat="1">
      <alignment readingOrder="0"/>
    </xf>
    <xf borderId="0" fillId="0" fontId="35" numFmtId="170" xfId="0" applyAlignment="1" applyFont="1" applyNumberFormat="1">
      <alignment horizontal="right" readingOrder="0"/>
    </xf>
    <xf borderId="0" fillId="0" fontId="6" numFmtId="170" xfId="0" applyAlignment="1" applyFont="1" applyNumberFormat="1">
      <alignment horizontal="right" readingOrder="0"/>
    </xf>
    <xf borderId="0" fillId="0" fontId="35" numFmtId="3"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35" numFmtId="174" xfId="0" applyFont="1" applyNumberFormat="1"/>
    <xf borderId="0" fillId="0" fontId="19" numFmtId="174" xfId="0" applyFont="1" applyNumberFormat="1"/>
    <xf borderId="0" fillId="11" fontId="18" numFmtId="170" xfId="0" applyAlignment="1" applyFont="1" applyNumberFormat="1">
      <alignment horizontal="left" readingOrder="0" shrinkToFit="0" vertical="center" wrapText="0"/>
    </xf>
    <xf borderId="0" fillId="11" fontId="35" numFmtId="174" xfId="0" applyFont="1" applyNumberFormat="1"/>
    <xf borderId="0" fillId="11" fontId="19" numFmtId="174" xfId="0" applyFont="1" applyNumberFormat="1"/>
    <xf borderId="0" fillId="0" fontId="18" numFmtId="170" xfId="0" applyAlignment="1" applyFont="1" applyNumberFormat="1">
      <alignment horizontal="left" readingOrder="0" shrinkToFit="0" vertical="center" wrapText="0"/>
    </xf>
    <xf borderId="0" fillId="0" fontId="35" numFmtId="3" xfId="0" applyFont="1" applyNumberFormat="1"/>
    <xf borderId="0" fillId="0" fontId="19" numFmtId="3" xfId="0" applyFont="1" applyNumberFormat="1"/>
    <xf borderId="0" fillId="0" fontId="20" numFmtId="3" xfId="0" applyAlignment="1" applyFont="1" applyNumberFormat="1">
      <alignment readingOrder="0"/>
    </xf>
    <xf borderId="0" fillId="0" fontId="35" numFmtId="4" xfId="0" applyFont="1" applyNumberFormat="1"/>
    <xf borderId="0" fillId="0" fontId="35" numFmtId="3" xfId="0" applyAlignment="1" applyFont="1" applyNumberFormat="1">
      <alignment horizontal="right" shrinkToFit="0" wrapText="0"/>
    </xf>
    <xf borderId="0" fillId="11" fontId="35" numFmtId="0" xfId="0" applyAlignment="1" applyFont="1">
      <alignment vertical="bottom"/>
    </xf>
    <xf borderId="0" fillId="0" fontId="35" numFmtId="0" xfId="0" applyAlignment="1" applyFont="1">
      <alignment vertical="bottom"/>
    </xf>
    <xf borderId="0" fillId="0" fontId="35" numFmtId="10" xfId="0" applyFont="1" applyNumberFormat="1"/>
    <xf borderId="0" fillId="0" fontId="18" numFmtId="170" xfId="0" applyAlignment="1" applyFont="1" applyNumberFormat="1">
      <alignment readingOrder="0"/>
    </xf>
    <xf borderId="0" fillId="0" fontId="34" numFmtId="9" xfId="0" applyFont="1" applyNumberFormat="1"/>
    <xf borderId="1" fillId="0" fontId="34" numFmtId="9" xfId="0" applyBorder="1" applyFont="1" applyNumberFormat="1"/>
    <xf borderId="0" fillId="0" fontId="19" numFmtId="4" xfId="0" applyFont="1" applyNumberFormat="1"/>
    <xf borderId="0" fillId="0" fontId="21" numFmtId="164" xfId="0" applyFont="1" applyNumberFormat="1"/>
    <xf borderId="0" fillId="11" fontId="35" numFmtId="0" xfId="0" applyFont="1"/>
    <xf borderId="0" fillId="11" fontId="19" numFmtId="0" xfId="0" applyFont="1"/>
    <xf borderId="0" fillId="0" fontId="35" numFmtId="0" xfId="0" applyFont="1"/>
    <xf borderId="0" fillId="0" fontId="28" numFmtId="4" xfId="0" applyAlignment="1" applyFont="1" applyNumberFormat="1">
      <alignment readingOrder="0" vertical="bottom"/>
    </xf>
    <xf borderId="0" fillId="0" fontId="49" numFmtId="170" xfId="0" applyFont="1" applyNumberFormat="1"/>
    <xf borderId="0" fillId="0" fontId="51" numFmtId="170" xfId="0" applyFont="1" applyNumberFormat="1"/>
    <xf borderId="1" fillId="0" fontId="20" numFmtId="4" xfId="0" applyAlignment="1" applyBorder="1" applyFont="1" applyNumberFormat="1">
      <alignment readingOrder="0" vertical="bottom"/>
    </xf>
    <xf borderId="1" fillId="0" fontId="35" numFmtId="170" xfId="0" applyBorder="1" applyFont="1" applyNumberFormat="1"/>
    <xf borderId="1" fillId="0" fontId="19" numFmtId="170" xfId="0" applyBorder="1" applyFont="1" applyNumberFormat="1"/>
    <xf borderId="0" fillId="0" fontId="52" numFmtId="0" xfId="0" applyAlignment="1" applyFont="1">
      <alignment readingOrder="0"/>
    </xf>
    <xf borderId="0" fillId="0" fontId="53" numFmtId="10" xfId="0" applyAlignment="1" applyFont="1" applyNumberFormat="1">
      <alignment readingOrder="0"/>
    </xf>
    <xf borderId="0" fillId="0" fontId="52" numFmtId="10" xfId="0" applyAlignment="1" applyFont="1" applyNumberFormat="1">
      <alignment readingOrder="0"/>
    </xf>
    <xf borderId="0" fillId="0" fontId="35" numFmtId="169" xfId="0" applyFont="1" applyNumberFormat="1"/>
    <xf borderId="0" fillId="0" fontId="0" numFmtId="169" xfId="0" applyFont="1" applyNumberFormat="1"/>
    <xf borderId="0" fillId="0" fontId="19" numFmtId="169" xfId="0" applyFont="1" applyNumberFormat="1"/>
    <xf borderId="2" fillId="0" fontId="20" numFmtId="4" xfId="0" applyAlignment="1" applyBorder="1" applyFont="1" applyNumberFormat="1">
      <alignment readingOrder="0" vertical="bottom"/>
    </xf>
    <xf borderId="2" fillId="0" fontId="19" numFmtId="169" xfId="0" applyBorder="1" applyFont="1" applyNumberFormat="1"/>
    <xf borderId="1" fillId="0" fontId="19" numFmtId="174" xfId="0" applyAlignment="1" applyBorder="1" applyFont="1" applyNumberFormat="1">
      <alignment readingOrder="0" vertical="bottom"/>
    </xf>
    <xf borderId="1" fillId="0" fontId="35" numFmtId="169" xfId="0" applyBorder="1" applyFont="1" applyNumberFormat="1"/>
    <xf borderId="1" fillId="0" fontId="19" numFmtId="169" xfId="0" applyBorder="1" applyFont="1" applyNumberFormat="1"/>
    <xf borderId="0" fillId="0" fontId="35" numFmtId="168" xfId="0" applyAlignment="1" applyFont="1" applyNumberFormat="1">
      <alignment vertical="bottom"/>
    </xf>
    <xf borderId="0" fillId="0" fontId="35" numFmtId="9" xfId="0" applyAlignment="1" applyFont="1" applyNumberFormat="1">
      <alignment horizontal="right" readingOrder="0" vertical="bottom"/>
    </xf>
    <xf borderId="0" fillId="0" fontId="35" numFmtId="9" xfId="0" applyAlignment="1" applyFont="1" applyNumberFormat="1">
      <alignment vertical="bottom"/>
    </xf>
    <xf borderId="0" fillId="0" fontId="6" numFmtId="9" xfId="0" applyAlignment="1" applyFont="1" applyNumberFormat="1">
      <alignment vertical="bottom"/>
    </xf>
    <xf borderId="0" fillId="0" fontId="35" numFmtId="9" xfId="0" applyAlignment="1" applyFont="1" applyNumberFormat="1">
      <alignment readingOrder="0" vertical="bottom"/>
    </xf>
    <xf borderId="0" fillId="0" fontId="6" numFmtId="9" xfId="0" applyAlignment="1" applyFont="1" applyNumberFormat="1">
      <alignment readingOrder="0" vertical="bottom"/>
    </xf>
    <xf borderId="0" fillId="0" fontId="49" numFmtId="0" xfId="0" applyFont="1"/>
    <xf borderId="0" fillId="0" fontId="35" numFmtId="169" xfId="0" applyAlignment="1" applyFont="1" applyNumberFormat="1">
      <alignment horizontal="right" vertical="bottom"/>
    </xf>
    <xf borderId="0" fillId="0" fontId="35" numFmtId="169" xfId="0" applyAlignment="1" applyFont="1" applyNumberFormat="1">
      <alignment horizontal="right" readingOrder="0" vertical="bottom"/>
    </xf>
    <xf borderId="0" fillId="0" fontId="6" numFmtId="169" xfId="0" applyAlignment="1" applyFont="1" applyNumberFormat="1">
      <alignment horizontal="right" readingOrder="0" vertical="bottom"/>
    </xf>
    <xf borderId="0" fillId="0" fontId="35" numFmtId="169" xfId="0" applyAlignment="1" applyFont="1" applyNumberFormat="1">
      <alignment vertical="bottom"/>
    </xf>
    <xf borderId="0" fillId="0" fontId="2" numFmtId="4" xfId="0" applyAlignment="1" applyFont="1" applyNumberFormat="1">
      <alignment shrinkToFit="0" vertical="bottom" wrapText="0"/>
    </xf>
    <xf borderId="0" fillId="0" fontId="35" numFmtId="0" xfId="0" applyAlignment="1" applyFont="1">
      <alignment readingOrder="0" vertical="bottom"/>
    </xf>
    <xf borderId="0" fillId="0" fontId="35" numFmtId="3" xfId="0" applyAlignment="1" applyFont="1" applyNumberFormat="1">
      <alignment vertical="bottom"/>
    </xf>
    <xf borderId="2" fillId="0" fontId="19" numFmtId="4" xfId="0" applyAlignment="1" applyBorder="1" applyFont="1" applyNumberFormat="1">
      <alignment readingOrder="0" vertical="bottom"/>
    </xf>
    <xf borderId="1" fillId="0" fontId="35" numFmtId="3" xfId="0" applyAlignment="1" applyBorder="1" applyFont="1" applyNumberFormat="1">
      <alignment horizontal="right" vertical="bottom"/>
    </xf>
    <xf borderId="0" fillId="11" fontId="50" numFmtId="170" xfId="0" applyAlignment="1" applyFont="1" applyNumberFormat="1">
      <alignment horizontal="left" readingOrder="0" shrinkToFit="0" vertical="center" wrapText="0"/>
    </xf>
    <xf borderId="0" fillId="0" fontId="35" numFmtId="176" xfId="0" applyFont="1" applyNumberFormat="1"/>
    <xf borderId="0" fillId="0" fontId="50" numFmtId="164" xfId="0" applyAlignment="1" applyFont="1" applyNumberFormat="1">
      <alignment horizontal="right"/>
    </xf>
    <xf borderId="0" fillId="0" fontId="50" numFmtId="9" xfId="0" applyAlignment="1" applyFont="1" applyNumberFormat="1">
      <alignment horizontal="right"/>
    </xf>
    <xf borderId="0" fillId="5" fontId="21" numFmtId="0" xfId="0" applyAlignment="1" applyFont="1">
      <alignment horizontal="center" readingOrder="0"/>
    </xf>
    <xf borderId="0" fillId="5" fontId="18" numFmtId="0" xfId="0" applyAlignment="1" applyFont="1">
      <alignment horizontal="center" shrinkToFit="0" vertical="bottom" wrapText="1"/>
    </xf>
    <xf borderId="0" fillId="5" fontId="18" numFmtId="0" xfId="0" applyAlignment="1" applyFont="1">
      <alignment horizontal="center" vertical="bottom"/>
    </xf>
    <xf borderId="0" fillId="5" fontId="18" numFmtId="0" xfId="0" applyAlignment="1" applyFont="1">
      <alignment horizontal="center" readingOrder="0" vertical="bottom"/>
    </xf>
    <xf borderId="0" fillId="0" fontId="51" numFmtId="9" xfId="0" applyFont="1" applyNumberFormat="1"/>
    <xf borderId="0" fillId="0" fontId="0" numFmtId="172" xfId="0" applyAlignment="1" applyFont="1" applyNumberFormat="1">
      <alignment horizontal="right" vertical="bottom"/>
    </xf>
    <xf borderId="0" fillId="0" fontId="0" numFmtId="174" xfId="0" applyAlignment="1" applyFont="1" applyNumberFormat="1">
      <alignment horizontal="right" vertical="bottom"/>
    </xf>
    <xf borderId="0" fillId="0" fontId="0" numFmtId="170" xfId="0" applyFont="1" applyNumberFormat="1"/>
    <xf borderId="0" fillId="0" fontId="35" numFmtId="170" xfId="0" applyAlignment="1" applyFont="1" applyNumberFormat="1">
      <alignment horizontal="right"/>
    </xf>
    <xf borderId="0" fillId="0" fontId="6" numFmtId="170" xfId="0" applyAlignment="1" applyFont="1" applyNumberFormat="1">
      <alignment horizontal="right" vertical="bottom"/>
    </xf>
    <xf borderId="0" fillId="0" fontId="35" numFmtId="170" xfId="0" applyAlignment="1" applyFont="1" applyNumberFormat="1">
      <alignment horizontal="right" vertical="bottom"/>
    </xf>
    <xf borderId="0" fillId="0" fontId="19" numFmtId="0" xfId="0" applyAlignment="1" applyFont="1">
      <alignment horizontal="left" shrinkToFit="0" wrapText="0"/>
    </xf>
    <xf borderId="0" fillId="11" fontId="21" numFmtId="0" xfId="0" applyAlignment="1" applyFont="1">
      <alignment readingOrder="0"/>
    </xf>
    <xf borderId="0" fillId="0" fontId="21" numFmtId="0" xfId="0" applyAlignment="1" applyFont="1">
      <alignment readingOrder="0"/>
    </xf>
    <xf borderId="0" fillId="0" fontId="19" numFmtId="179" xfId="0" applyFont="1" applyNumberFormat="1"/>
    <xf borderId="0" fillId="11" fontId="21" numFmtId="0" xfId="0" applyAlignment="1" applyFont="1">
      <alignment horizontal="left" readingOrder="0" shrinkToFit="0" wrapText="0"/>
    </xf>
    <xf borderId="0" fillId="0" fontId="19" numFmtId="172" xfId="0" applyAlignment="1" applyFont="1" applyNumberFormat="1">
      <alignment horizontal="left" readingOrder="0" shrinkToFit="0" wrapText="0"/>
    </xf>
    <xf borderId="0" fillId="0" fontId="35" numFmtId="172" xfId="0" applyAlignment="1" applyFont="1" applyNumberFormat="1">
      <alignment horizontal="right" vertical="bottom"/>
    </xf>
    <xf borderId="0" fillId="0" fontId="19" numFmtId="164" xfId="0" applyAlignment="1" applyFont="1" applyNumberFormat="1">
      <alignment horizontal="left" readingOrder="0" shrinkToFit="0" wrapText="0"/>
    </xf>
    <xf borderId="2" fillId="0" fontId="35" numFmtId="3" xfId="0" applyAlignment="1" applyBorder="1" applyFont="1" applyNumberFormat="1">
      <alignment horizontal="right" vertical="bottom"/>
    </xf>
    <xf borderId="0" fillId="0" fontId="35" numFmtId="3" xfId="0" applyAlignment="1" applyFont="1" applyNumberFormat="1">
      <alignment horizontal="right"/>
    </xf>
    <xf borderId="2" fillId="0" fontId="35" numFmtId="3" xfId="0" applyAlignment="1" applyBorder="1" applyFont="1" applyNumberFormat="1">
      <alignment horizontal="right"/>
    </xf>
    <xf borderId="1" fillId="0" fontId="19" numFmtId="0" xfId="0" applyAlignment="1" applyBorder="1" applyFont="1">
      <alignment readingOrder="0"/>
    </xf>
    <xf borderId="1" fillId="0" fontId="35" numFmtId="3" xfId="0" applyAlignment="1" applyBorder="1" applyFont="1" applyNumberFormat="1">
      <alignment horizontal="right"/>
    </xf>
    <xf borderId="1" fillId="0" fontId="19" numFmtId="3" xfId="0" applyBorder="1" applyFont="1" applyNumberFormat="1"/>
    <xf borderId="0" fillId="0" fontId="21" numFmtId="166" xfId="0" applyAlignment="1" applyFont="1" applyNumberFormat="1">
      <alignment horizontal="right" vertical="bottom"/>
    </xf>
    <xf borderId="0" fillId="0" fontId="21" numFmtId="166" xfId="0" applyFont="1" applyNumberFormat="1"/>
    <xf borderId="2" fillId="0" fontId="35" numFmtId="9" xfId="0" applyAlignment="1" applyBorder="1" applyFont="1" applyNumberFormat="1">
      <alignment horizontal="right" vertical="bottom"/>
    </xf>
    <xf borderId="0" fillId="0" fontId="19" numFmtId="1" xfId="0" applyAlignment="1" applyFont="1" applyNumberFormat="1">
      <alignment horizontal="right" vertical="bottom"/>
    </xf>
    <xf borderId="0" fillId="0" fontId="19" numFmtId="1" xfId="0" applyFont="1" applyNumberFormat="1"/>
    <xf borderId="0" fillId="0" fontId="50" numFmtId="164" xfId="0" applyAlignment="1" applyFont="1" applyNumberFormat="1">
      <alignment readingOrder="0"/>
    </xf>
    <xf borderId="0" fillId="0" fontId="19" numFmtId="0" xfId="0" applyFont="1"/>
    <xf borderId="0" fillId="0" fontId="8" numFmtId="9" xfId="0" applyAlignment="1" applyFont="1" applyNumberFormat="1">
      <alignment horizontal="right" vertical="bottom"/>
    </xf>
    <xf borderId="0" fillId="0" fontId="50" numFmtId="3" xfId="0" applyFont="1" applyNumberFormat="1"/>
    <xf borderId="0" fillId="0" fontId="21" numFmtId="3" xfId="0" applyFont="1" applyNumberFormat="1"/>
    <xf borderId="0" fillId="0" fontId="0" numFmtId="170" xfId="0" applyAlignment="1" applyFont="1" applyNumberFormat="1">
      <alignment horizontal="right" vertical="bottom"/>
    </xf>
    <xf borderId="2" fillId="0" fontId="0" numFmtId="170" xfId="0" applyAlignment="1" applyBorder="1" applyFont="1" applyNumberFormat="1">
      <alignment horizontal="right" vertical="bottom"/>
    </xf>
    <xf borderId="0" fillId="0" fontId="19" numFmtId="170" xfId="0" applyAlignment="1" applyFont="1" applyNumberFormat="1">
      <alignment horizontal="right" vertical="bottom"/>
    </xf>
    <xf borderId="1" fillId="0" fontId="19" numFmtId="170" xfId="0" applyBorder="1" applyFont="1" applyNumberFormat="1"/>
    <xf borderId="0" fillId="0" fontId="19" numFmtId="170" xfId="0" applyAlignment="1" applyFont="1" applyNumberFormat="1">
      <alignment horizontal="right" vertical="bottom"/>
    </xf>
    <xf borderId="2" fillId="0" fontId="35" numFmtId="169" xfId="0" applyBorder="1" applyFont="1" applyNumberFormat="1"/>
    <xf borderId="2" fillId="0" fontId="19" numFmtId="169" xfId="0" applyAlignment="1" applyBorder="1" applyFont="1" applyNumberFormat="1">
      <alignment horizontal="right" vertical="bottom"/>
    </xf>
    <xf borderId="0" fillId="0" fontId="35" numFmtId="4" xfId="0" applyAlignment="1" applyFont="1" applyNumberFormat="1">
      <alignment vertical="bottom"/>
    </xf>
    <xf borderId="0" fillId="0" fontId="34" numFmtId="175" xfId="0" applyAlignment="1" applyFont="1" applyNumberFormat="1">
      <alignment readingOrder="0"/>
    </xf>
    <xf borderId="0" fillId="0" fontId="7" numFmtId="175" xfId="0" applyFont="1" applyNumberFormat="1"/>
    <xf borderId="0" fillId="0" fontId="19" numFmtId="9" xfId="0" applyAlignment="1" applyFont="1" applyNumberFormat="1">
      <alignment readingOrder="0" vertical="bottom"/>
    </xf>
    <xf borderId="0" fillId="0" fontId="35" numFmtId="3" xfId="0" applyAlignment="1" applyFont="1" applyNumberFormat="1">
      <alignment horizontal="right" readingOrder="0" vertical="bottom"/>
    </xf>
    <xf borderId="2" fillId="0" fontId="19" numFmtId="3" xfId="0" applyAlignment="1" applyBorder="1" applyFont="1" applyNumberFormat="1">
      <alignment horizontal="right" vertical="bottom"/>
    </xf>
    <xf borderId="0" fillId="0" fontId="44" numFmtId="9" xfId="0" applyAlignment="1" applyFont="1" applyNumberFormat="1">
      <alignment horizontal="right" vertical="bottom"/>
    </xf>
    <xf borderId="0" fillId="11" fontId="50" numFmtId="0" xfId="0" applyAlignment="1" applyFont="1">
      <alignment horizontal="left" readingOrder="0" shrinkToFit="0" wrapText="0"/>
    </xf>
    <xf borderId="0" fillId="0" fontId="31" numFmtId="1" xfId="0" applyFont="1" applyNumberFormat="1"/>
    <xf borderId="0" fillId="0" fontId="49" numFmtId="175" xfId="0" applyFont="1" applyNumberFormat="1"/>
    <xf borderId="0" fillId="0" fontId="31" numFmtId="175" xfId="0" applyFont="1" applyNumberFormat="1"/>
    <xf borderId="0" fillId="0" fontId="19" numFmtId="170" xfId="0" applyAlignment="1" applyFont="1" applyNumberFormat="1">
      <alignment vertical="bottom"/>
    </xf>
    <xf borderId="0" fillId="0" fontId="44" numFmtId="170" xfId="0" applyAlignment="1" applyFont="1" applyNumberFormat="1">
      <alignment horizontal="right" vertical="bottom"/>
    </xf>
    <xf borderId="0" fillId="0" fontId="50" numFmtId="164" xfId="0" applyAlignment="1" applyFont="1" applyNumberFormat="1">
      <alignment horizontal="right" vertical="bottom"/>
    </xf>
    <xf borderId="0" fillId="0" fontId="21" numFmtId="164" xfId="0" applyAlignment="1" applyFont="1" applyNumberFormat="1">
      <alignment horizontal="right"/>
    </xf>
    <xf borderId="0" fillId="0" fontId="50" numFmtId="9" xfId="0" applyAlignment="1" applyFont="1" applyNumberFormat="1">
      <alignment horizontal="right" vertical="bottom"/>
    </xf>
    <xf borderId="0" fillId="5" fontId="18" numFmtId="0" xfId="0" applyAlignment="1" applyFont="1">
      <alignment horizontal="center" readingOrder="0" shrinkToFit="0" vertical="bottom" wrapText="1"/>
    </xf>
    <xf borderId="0" fillId="5" fontId="18" numFmtId="0" xfId="0" applyAlignment="1" applyFont="1">
      <alignment horizontal="center" readingOrder="0" shrinkToFit="0" wrapText="0"/>
    </xf>
    <xf borderId="0" fillId="5" fontId="21" numFmtId="0" xfId="0" applyAlignment="1" applyFont="1">
      <alignment horizontal="center"/>
    </xf>
    <xf borderId="0" fillId="5" fontId="18" numFmtId="0" xfId="0" applyAlignment="1" applyFont="1">
      <alignment horizontal="center" shrinkToFit="0" wrapText="0"/>
    </xf>
    <xf borderId="0" fillId="11" fontId="35" numFmtId="3" xfId="0" applyAlignment="1" applyFont="1" applyNumberFormat="1">
      <alignment readingOrder="0" vertical="bottom"/>
    </xf>
    <xf borderId="0" fillId="0" fontId="54" numFmtId="0" xfId="0" applyFont="1"/>
    <xf borderId="0" fillId="0" fontId="35" numFmtId="9" xfId="0" applyAlignment="1" applyFont="1" applyNumberFormat="1">
      <alignment horizontal="right" readingOrder="0" shrinkToFit="0" vertical="center" wrapText="0"/>
    </xf>
    <xf borderId="0" fillId="0" fontId="35" numFmtId="9" xfId="0" applyFont="1" applyNumberFormat="1"/>
    <xf borderId="0" fillId="0" fontId="35" numFmtId="168" xfId="0" applyAlignment="1" applyFont="1" applyNumberFormat="1">
      <alignment readingOrder="0" shrinkToFit="0" wrapText="0"/>
    </xf>
    <xf borderId="0" fillId="0" fontId="0" numFmtId="168" xfId="0" applyAlignment="1" applyFont="1" applyNumberFormat="1">
      <alignment readingOrder="0" shrinkToFit="0" wrapText="0"/>
    </xf>
    <xf borderId="0" fillId="0" fontId="6" numFmtId="168" xfId="0" applyAlignment="1" applyFont="1" applyNumberFormat="1">
      <alignment horizontal="right" readingOrder="0" vertical="bottom"/>
    </xf>
    <xf borderId="0" fillId="0" fontId="35" numFmtId="4" xfId="0" applyAlignment="1" applyFont="1" applyNumberFormat="1">
      <alignment readingOrder="0" shrinkToFit="0" wrapText="0"/>
    </xf>
    <xf borderId="0" fillId="0" fontId="8" numFmtId="4" xfId="0" applyAlignment="1" applyFont="1" applyNumberFormat="1">
      <alignment readingOrder="0" shrinkToFit="0" wrapText="0"/>
    </xf>
    <xf borderId="0" fillId="0" fontId="0" numFmtId="172" xfId="0" applyAlignment="1" applyFont="1" applyNumberFormat="1">
      <alignment horizontal="left" readingOrder="0" shrinkToFit="0" vertical="center" wrapText="0"/>
    </xf>
    <xf borderId="0" fillId="0" fontId="35" numFmtId="172" xfId="0" applyAlignment="1" applyFont="1" applyNumberFormat="1">
      <alignment horizontal="right" shrinkToFit="0" vertical="center" wrapText="0"/>
    </xf>
    <xf borderId="0" fillId="0" fontId="0" numFmtId="172" xfId="0" applyAlignment="1" applyFont="1" applyNumberFormat="1">
      <alignment horizontal="right" shrinkToFit="0" vertical="center" wrapText="0"/>
    </xf>
    <xf borderId="0" fillId="0" fontId="35" numFmtId="4" xfId="0" applyAlignment="1" applyFont="1" applyNumberFormat="1">
      <alignment horizontal="right" shrinkToFit="0" vertical="center" wrapText="0"/>
    </xf>
    <xf borderId="0" fillId="0" fontId="35" numFmtId="174" xfId="0" applyAlignment="1" applyFont="1" applyNumberFormat="1">
      <alignment horizontal="right" shrinkToFit="0" vertical="center" wrapText="0"/>
    </xf>
    <xf borderId="0" fillId="0" fontId="0" numFmtId="174" xfId="0" applyAlignment="1" applyFont="1" applyNumberFormat="1">
      <alignment horizontal="right" shrinkToFit="0" vertical="center" wrapText="0"/>
    </xf>
    <xf borderId="0" fillId="0" fontId="35" numFmtId="170" xfId="0" applyAlignment="1" applyFont="1" applyNumberFormat="1">
      <alignment horizontal="right" readingOrder="0" shrinkToFit="0" vertical="center" wrapText="0"/>
    </xf>
    <xf borderId="0" fillId="0" fontId="19" numFmtId="170" xfId="0" applyAlignment="1" applyFont="1" applyNumberFormat="1">
      <alignment horizontal="right" readingOrder="0" shrinkToFit="0" vertical="center" wrapText="0"/>
    </xf>
    <xf borderId="0" fillId="0" fontId="6" numFmtId="170" xfId="0" applyAlignment="1" applyFont="1" applyNumberFormat="1">
      <alignment horizontal="right" readingOrder="0" shrinkToFit="0" vertical="center" wrapText="0"/>
    </xf>
    <xf borderId="0" fillId="0" fontId="6" numFmtId="9" xfId="0" applyAlignment="1" applyFont="1" applyNumberFormat="1">
      <alignment horizontal="right" shrinkToFit="0" wrapText="0"/>
    </xf>
    <xf borderId="0" fillId="0" fontId="35" numFmtId="174" xfId="0" applyAlignment="1" applyFont="1" applyNumberFormat="1">
      <alignment horizontal="right" shrinkToFit="0" vertical="center" wrapText="0"/>
    </xf>
    <xf borderId="0" fillId="0" fontId="0" numFmtId="174" xfId="0" applyAlignment="1" applyFont="1" applyNumberFormat="1">
      <alignment horizontal="right" shrinkToFit="0" vertical="center" wrapText="0"/>
    </xf>
    <xf borderId="0" fillId="11" fontId="35" numFmtId="174" xfId="0" applyAlignment="1" applyFont="1" applyNumberFormat="1">
      <alignment horizontal="right" shrinkToFit="0" vertical="center" wrapText="0"/>
    </xf>
    <xf borderId="0" fillId="11" fontId="0" numFmtId="174" xfId="0" applyAlignment="1" applyFont="1" applyNumberFormat="1">
      <alignment horizontal="right" shrinkToFit="0" vertical="center" wrapText="0"/>
    </xf>
    <xf borderId="0" fillId="0" fontId="19" numFmtId="172" xfId="0" applyAlignment="1" applyFont="1" applyNumberFormat="1">
      <alignment readingOrder="0"/>
    </xf>
    <xf borderId="0" fillId="0" fontId="35" numFmtId="172" xfId="0" applyAlignment="1" applyFont="1" applyNumberFormat="1">
      <alignment readingOrder="0"/>
    </xf>
    <xf borderId="0" fillId="0" fontId="19" numFmtId="169" xfId="0" applyAlignment="1" applyFont="1" applyNumberFormat="1">
      <alignment horizontal="right"/>
    </xf>
    <xf borderId="0" fillId="0" fontId="34" numFmtId="3" xfId="0" applyFont="1" applyNumberFormat="1"/>
    <xf borderId="0" fillId="0" fontId="34" numFmtId="4" xfId="0" applyFont="1" applyNumberFormat="1"/>
    <xf borderId="0" fillId="0" fontId="19" numFmtId="4" xfId="0" applyAlignment="1" applyFont="1" applyNumberFormat="1">
      <alignment horizontal="right"/>
    </xf>
    <xf borderId="0" fillId="0" fontId="55" numFmtId="164" xfId="0" applyFont="1" applyNumberFormat="1"/>
    <xf borderId="0" fillId="0" fontId="42" numFmtId="164" xfId="0" applyFont="1" applyNumberFormat="1"/>
    <xf borderId="0" fillId="0" fontId="19" numFmtId="165" xfId="0" applyAlignment="1" applyFont="1" applyNumberFormat="1">
      <alignment horizontal="right"/>
    </xf>
    <xf borderId="0" fillId="0" fontId="43" numFmtId="170" xfId="0" applyFont="1" applyNumberFormat="1"/>
    <xf borderId="0" fillId="0" fontId="19" numFmtId="3" xfId="0" applyAlignment="1" applyFont="1" applyNumberFormat="1">
      <alignment horizontal="right"/>
    </xf>
    <xf borderId="0" fillId="0" fontId="18" numFmtId="164" xfId="0" applyAlignment="1" applyFont="1" applyNumberFormat="1">
      <alignment readingOrder="0" shrinkToFit="0" wrapText="0"/>
    </xf>
    <xf borderId="0" fillId="0" fontId="8" numFmtId="0" xfId="0" applyFont="1"/>
    <xf borderId="0" fillId="0" fontId="19" numFmtId="169" xfId="0" applyAlignment="1" applyFont="1" applyNumberFormat="1">
      <alignment readingOrder="0"/>
    </xf>
    <xf borderId="0" fillId="0" fontId="6" numFmtId="3" xfId="0" applyAlignment="1" applyFont="1" applyNumberFormat="1">
      <alignment readingOrder="0"/>
    </xf>
    <xf borderId="0" fillId="0" fontId="8" numFmtId="3" xfId="0" applyFont="1" applyNumberFormat="1"/>
    <xf borderId="0" fillId="0" fontId="35" numFmtId="170" xfId="0" applyFont="1" applyNumberFormat="1"/>
    <xf borderId="0" fillId="0" fontId="19" numFmtId="170" xfId="0" applyAlignment="1" applyFont="1" applyNumberFormat="1">
      <alignment readingOrder="0"/>
    </xf>
    <xf borderId="0" fillId="0" fontId="31" numFmtId="170" xfId="0" applyAlignment="1" applyFont="1" applyNumberFormat="1">
      <alignment horizontal="right"/>
    </xf>
    <xf borderId="0" fillId="11" fontId="0" numFmtId="0" xfId="0" applyAlignment="1" applyFont="1">
      <alignment horizontal="left" readingOrder="0"/>
    </xf>
    <xf borderId="0" fillId="0" fontId="0" numFmtId="4" xfId="0" applyAlignment="1" applyFont="1" applyNumberFormat="1">
      <alignment horizontal="right" readingOrder="0" vertical="bottom"/>
    </xf>
    <xf borderId="0" fillId="0" fontId="6" numFmtId="4" xfId="0" applyAlignment="1" applyFont="1" applyNumberFormat="1">
      <alignment horizontal="right" readingOrder="0" vertical="bottom"/>
    </xf>
    <xf borderId="0" fillId="0" fontId="8" numFmtId="4" xfId="0" applyFont="1" applyNumberFormat="1"/>
    <xf borderId="0" fillId="0" fontId="19" numFmtId="0" xfId="0" applyAlignment="1" applyFont="1">
      <alignment horizontal="left" readingOrder="0" shrinkToFit="0" vertical="bottom" wrapText="0"/>
    </xf>
    <xf borderId="0" fillId="0" fontId="0" numFmtId="9" xfId="0" applyAlignment="1" applyFont="1" applyNumberFormat="1">
      <alignment horizontal="right" shrinkToFit="0" wrapText="0"/>
    </xf>
    <xf borderId="0" fillId="0" fontId="8" numFmtId="9" xfId="0" applyFont="1" applyNumberFormat="1"/>
    <xf borderId="4" fillId="0" fontId="0" numFmtId="9" xfId="0" applyAlignment="1" applyBorder="1" applyFont="1" applyNumberFormat="1">
      <alignment vertical="bottom"/>
    </xf>
    <xf borderId="0" fillId="0" fontId="35" numFmtId="9" xfId="0" applyFont="1" applyNumberFormat="1"/>
    <xf borderId="0" fillId="0" fontId="0" numFmtId="9" xfId="0" applyAlignment="1" applyFont="1" applyNumberFormat="1">
      <alignment horizontal="right"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8" numFmtId="0" xfId="0" applyAlignment="1" applyFont="1">
      <alignment vertical="bottom"/>
    </xf>
    <xf borderId="0" fillId="0" fontId="0" numFmtId="0" xfId="0" applyAlignment="1" applyFont="1">
      <alignment vertical="top"/>
    </xf>
    <xf borderId="0" fillId="0" fontId="8" numFmtId="3" xfId="0" applyAlignment="1" applyFont="1" applyNumberFormat="1">
      <alignment horizontal="right" vertical="bottom"/>
    </xf>
    <xf borderId="0" fillId="0" fontId="6" numFmtId="3" xfId="0" applyAlignment="1" applyFont="1" applyNumberFormat="1">
      <alignment horizontal="right" vertical="top"/>
    </xf>
    <xf borderId="0" fillId="0" fontId="0" numFmtId="166" xfId="0" applyAlignment="1" applyFont="1" applyNumberFormat="1">
      <alignment vertical="bottom"/>
    </xf>
    <xf borderId="0" fillId="0" fontId="8" numFmtId="164" xfId="0" applyAlignment="1" applyFont="1" applyNumberFormat="1">
      <alignment horizontal="right" vertical="bottom"/>
    </xf>
    <xf borderId="0" fillId="0" fontId="6" numFmtId="164" xfId="0" applyAlignment="1" applyFont="1" applyNumberFormat="1">
      <alignment horizontal="right" vertical="bottom"/>
    </xf>
    <xf borderId="0" fillId="0" fontId="0" numFmtId="9" xfId="0" applyAlignment="1" applyFont="1" applyNumberFormat="1">
      <alignment vertical="top"/>
    </xf>
    <xf borderId="0" fillId="0" fontId="0" numFmtId="3" xfId="0" applyAlignment="1" applyFont="1" applyNumberFormat="1">
      <alignment readingOrder="0" vertical="bottom"/>
    </xf>
    <xf borderId="0" fillId="0" fontId="6" numFmtId="3" xfId="0" applyAlignment="1" applyFont="1" applyNumberFormat="1">
      <alignment readingOrder="0" shrinkToFit="0" wrapText="0"/>
    </xf>
    <xf borderId="0" fillId="0" fontId="21" numFmtId="0" xfId="0" applyAlignment="1" applyFont="1">
      <alignment vertical="bottom"/>
    </xf>
    <xf borderId="0" fillId="0" fontId="18" numFmtId="168" xfId="0" applyAlignment="1" applyFont="1" applyNumberFormat="1">
      <alignment horizontal="center" vertical="bottom"/>
    </xf>
    <xf borderId="0" fillId="0" fontId="35" numFmtId="168" xfId="0" applyFont="1" applyNumberFormat="1"/>
    <xf borderId="3" fillId="11" fontId="21" numFmtId="0" xfId="0" applyAlignment="1" applyBorder="1" applyFont="1">
      <alignment readingOrder="0" shrinkToFit="0" vertical="bottom" wrapText="0"/>
    </xf>
    <xf borderId="0" fillId="0" fontId="8" numFmtId="166" xfId="0" applyAlignment="1" applyFont="1" applyNumberFormat="1">
      <alignment horizontal="right" vertical="bottom"/>
    </xf>
    <xf borderId="0" fillId="0" fontId="19" numFmtId="166" xfId="0" applyAlignment="1" applyFont="1" applyNumberFormat="1">
      <alignment readingOrder="0" vertical="bottom"/>
    </xf>
    <xf borderId="0" fillId="0" fontId="0" numFmtId="166" xfId="0" applyAlignment="1" applyFont="1" applyNumberFormat="1">
      <alignment horizontal="right" vertical="bottom"/>
    </xf>
    <xf borderId="0" fillId="0" fontId="8" numFmtId="9" xfId="0" applyAlignment="1" applyFont="1" applyNumberFormat="1">
      <alignment horizontal="right" vertical="bottom"/>
    </xf>
    <xf borderId="0" fillId="0" fontId="19" numFmtId="2" xfId="0" applyAlignment="1" applyFont="1" applyNumberFormat="1">
      <alignment readingOrder="0" vertical="bottom"/>
    </xf>
    <xf borderId="0" fillId="0" fontId="8" numFmtId="1" xfId="0" applyAlignment="1" applyFont="1" applyNumberFormat="1">
      <alignment horizontal="right" vertical="bottom"/>
    </xf>
    <xf borderId="0" fillId="0" fontId="21" numFmtId="3" xfId="0" applyAlignment="1" applyFont="1" applyNumberFormat="1">
      <alignment readingOrder="0" vertical="bottom"/>
    </xf>
    <xf borderId="0" fillId="0" fontId="56" numFmtId="3" xfId="0" applyAlignment="1" applyFont="1" applyNumberFormat="1">
      <alignment horizontal="right" vertical="bottom"/>
    </xf>
    <xf borderId="0" fillId="11" fontId="19" numFmtId="170" xfId="0" applyAlignment="1" applyFont="1" applyNumberFormat="1">
      <alignment vertical="bottom"/>
    </xf>
    <xf borderId="0" fillId="0" fontId="0" numFmtId="1" xfId="0" applyAlignment="1" applyFont="1" applyNumberFormat="1">
      <alignment readingOrder="0" vertical="bottom"/>
    </xf>
    <xf borderId="0" fillId="0" fontId="0" numFmtId="1" xfId="0" applyAlignment="1" applyFont="1" applyNumberFormat="1">
      <alignment vertical="bottom"/>
    </xf>
    <xf borderId="0" fillId="0" fontId="21" numFmtId="1" xfId="0" applyAlignment="1" applyFont="1" applyNumberFormat="1">
      <alignment readingOrder="0" vertical="bottom"/>
    </xf>
    <xf borderId="0" fillId="0" fontId="31" numFmtId="174" xfId="0" applyFont="1" applyNumberFormat="1"/>
    <xf borderId="0" fillId="11" fontId="21" numFmtId="174" xfId="0" applyAlignment="1" applyFont="1" applyNumberFormat="1">
      <alignment readingOrder="0" vertical="bottom"/>
    </xf>
    <xf borderId="0" fillId="0" fontId="35" numFmtId="164" xfId="0" applyFont="1" applyNumberFormat="1"/>
    <xf borderId="0" fillId="0" fontId="31" numFmtId="164" xfId="0" applyFont="1" applyNumberFormat="1"/>
    <xf borderId="0" fillId="11" fontId="19" numFmtId="180" xfId="0" applyAlignment="1" applyFont="1" applyNumberFormat="1">
      <alignment vertical="bottom"/>
    </xf>
    <xf borderId="0" fillId="11" fontId="19" numFmtId="0" xfId="0" applyAlignment="1" applyFont="1">
      <alignment readingOrder="0"/>
    </xf>
    <xf borderId="0" fillId="0" fontId="0" numFmtId="9" xfId="0" applyAlignment="1" applyFont="1" applyNumberFormat="1">
      <alignment vertical="bottom"/>
    </xf>
    <xf borderId="0" fillId="0" fontId="8" numFmtId="10" xfId="0" applyAlignment="1" applyFont="1" applyNumberFormat="1">
      <alignment horizontal="right" vertical="bottom"/>
    </xf>
    <xf borderId="0" fillId="0" fontId="8" numFmtId="10" xfId="0" applyFont="1" applyNumberFormat="1"/>
    <xf borderId="0" fillId="0" fontId="35" numFmtId="175" xfId="0" applyFont="1" applyNumberFormat="1"/>
    <xf borderId="0" fillId="0" fontId="8" numFmtId="175" xfId="0" applyFont="1" applyNumberFormat="1"/>
    <xf borderId="0" fillId="0" fontId="8" numFmtId="175" xfId="0" applyAlignment="1" applyFont="1" applyNumberFormat="1">
      <alignment horizontal="right" vertical="bottom"/>
    </xf>
    <xf borderId="0" fillId="0" fontId="8" numFmtId="168" xfId="0" applyFont="1" applyNumberFormat="1"/>
    <xf borderId="0" fillId="0" fontId="8" numFmtId="168" xfId="0" applyAlignment="1" applyFont="1" applyNumberFormat="1">
      <alignment horizontal="right" vertical="bottom"/>
    </xf>
    <xf borderId="0" fillId="0" fontId="19" numFmtId="174" xfId="0" applyAlignment="1" applyFont="1" applyNumberFormat="1">
      <alignment horizontal="right" vertical="bottom"/>
    </xf>
    <xf borderId="0" fillId="0" fontId="8" numFmtId="174" xfId="0" applyFont="1" applyNumberFormat="1"/>
    <xf borderId="0" fillId="0" fontId="8" numFmtId="174" xfId="0" applyAlignment="1" applyFont="1" applyNumberFormat="1">
      <alignment horizontal="right" vertical="bottom"/>
    </xf>
    <xf borderId="0" fillId="0" fontId="21" numFmtId="3" xfId="0" applyAlignment="1" applyFont="1" applyNumberFormat="1">
      <alignment vertical="bottom"/>
    </xf>
    <xf borderId="0" fillId="0" fontId="19" numFmtId="164" xfId="0" applyFont="1" applyNumberFormat="1"/>
    <xf borderId="0" fillId="0" fontId="34" numFmtId="0" xfId="0" applyFont="1"/>
    <xf borderId="0" fillId="0" fontId="34" numFmtId="169" xfId="0" applyFont="1" applyNumberFormat="1"/>
    <xf borderId="0" fillId="0" fontId="34" numFmtId="176" xfId="0" applyFont="1" applyNumberFormat="1"/>
    <xf borderId="0" fillId="0" fontId="34" numFmtId="164" xfId="0" applyFont="1" applyNumberFormat="1"/>
    <xf borderId="0" fillId="0" fontId="50" numFmtId="0" xfId="0" applyAlignment="1" applyFont="1">
      <alignment horizontal="right"/>
    </xf>
    <xf borderId="0" fillId="0" fontId="35" numFmtId="174" xfId="0" applyAlignment="1" applyFont="1" applyNumberFormat="1">
      <alignment horizontal="right" vertical="bottom"/>
    </xf>
    <xf borderId="0" fillId="11" fontId="35" numFmtId="174" xfId="0" applyAlignment="1" applyFont="1" applyNumberFormat="1">
      <alignment horizontal="right" vertical="bottom"/>
    </xf>
    <xf borderId="0" fillId="0" fontId="35" numFmtId="170" xfId="0" applyFont="1" applyNumberFormat="1"/>
    <xf borderId="0" fillId="0" fontId="19" numFmtId="170" xfId="0" applyFont="1" applyNumberFormat="1"/>
    <xf borderId="0" fillId="0" fontId="6" numFmtId="170" xfId="0" applyFont="1" applyNumberFormat="1"/>
    <xf borderId="0" fillId="0" fontId="53" numFmtId="4" xfId="0" applyAlignment="1" applyFont="1" applyNumberFormat="1">
      <alignment readingOrder="0"/>
    </xf>
    <xf borderId="0" fillId="0" fontId="52" numFmtId="4" xfId="0" applyAlignment="1" applyFont="1" applyNumberFormat="1">
      <alignment readingOrder="0"/>
    </xf>
    <xf borderId="0" fillId="0" fontId="35" numFmtId="174" xfId="0" applyAlignment="1" applyFont="1" applyNumberFormat="1">
      <alignment vertical="bottom"/>
    </xf>
    <xf borderId="0" fillId="0" fontId="35" numFmtId="173" xfId="0" applyAlignment="1" applyFont="1" applyNumberFormat="1">
      <alignment horizontal="right" vertical="bottom"/>
    </xf>
    <xf borderId="0" fillId="0" fontId="25" numFmtId="173" xfId="0" applyAlignment="1" applyFont="1" applyNumberFormat="1">
      <alignment readingOrder="0"/>
    </xf>
    <xf borderId="2" fillId="0" fontId="0" numFmtId="3" xfId="0" applyAlignment="1" applyBorder="1" applyFont="1" applyNumberFormat="1">
      <alignment horizontal="right" vertical="bottom"/>
    </xf>
    <xf borderId="0" fillId="11" fontId="50" numFmtId="174" xfId="0" applyAlignment="1" applyFont="1" applyNumberFormat="1">
      <alignment readingOrder="0" vertical="bottom"/>
    </xf>
    <xf borderId="0" fillId="0" fontId="35" numFmtId="166" xfId="0" applyFont="1" applyNumberFormat="1"/>
    <xf borderId="0" fillId="0" fontId="35" numFmtId="2" xfId="0" applyFont="1" applyNumberFormat="1"/>
    <xf borderId="0" fillId="0" fontId="19" numFmtId="2" xfId="0" applyFont="1" applyNumberFormat="1"/>
    <xf borderId="0" fillId="0" fontId="50" numFmtId="3" xfId="0" applyAlignment="1" applyFont="1" applyNumberFormat="1">
      <alignment horizontal="right" vertical="bottom"/>
    </xf>
    <xf borderId="0" fillId="0" fontId="50" numFmtId="169" xfId="0" applyAlignment="1" applyFont="1" applyNumberFormat="1">
      <alignment horizontal="right" vertical="bottom"/>
    </xf>
    <xf borderId="0" fillId="0" fontId="31" numFmtId="169" xfId="0" applyFont="1" applyNumberFormat="1"/>
    <xf borderId="0" fillId="5" fontId="21" numFmtId="0" xfId="0" applyAlignment="1" applyFont="1">
      <alignment horizontal="left" readingOrder="0" shrinkToFit="0" vertical="bottom" wrapText="1"/>
    </xf>
    <xf borderId="0" fillId="0" fontId="19" numFmtId="166" xfId="0" applyAlignment="1" applyFont="1" applyNumberFormat="1">
      <alignment readingOrder="0"/>
    </xf>
    <xf borderId="0" fillId="0" fontId="57" numFmtId="3" xfId="0" applyFont="1" applyNumberFormat="1"/>
    <xf borderId="0" fillId="0" fontId="35" numFmtId="169" xfId="0" applyAlignment="1" applyFont="1" applyNumberFormat="1">
      <alignment readingOrder="0"/>
    </xf>
    <xf borderId="0" fillId="0" fontId="6" numFmtId="169" xfId="0" applyAlignment="1" applyFont="1" applyNumberFormat="1">
      <alignment readingOrder="0"/>
    </xf>
    <xf borderId="0" fillId="0" fontId="43" numFmtId="170" xfId="0" applyAlignment="1" applyFont="1" applyNumberFormat="1">
      <alignment horizontal="right" readingOrder="0"/>
    </xf>
    <xf borderId="0" fillId="0" fontId="35" numFmtId="0" xfId="0" applyAlignment="1" applyFont="1">
      <alignment readingOrder="0"/>
    </xf>
    <xf borderId="0" fillId="0" fontId="6" numFmtId="0" xfId="0" applyAlignment="1" applyFont="1">
      <alignment readingOrder="0"/>
    </xf>
    <xf borderId="0" fillId="0" fontId="19" numFmtId="170" xfId="0" applyFont="1" applyNumberFormat="1"/>
    <xf borderId="0" fillId="0" fontId="19" numFmtId="168" xfId="0" applyFont="1" applyNumberFormat="1"/>
    <xf borderId="0" fillId="0" fontId="19" numFmtId="4" xfId="0" applyAlignment="1" applyFont="1" applyNumberFormat="1">
      <alignment readingOrder="0"/>
    </xf>
    <xf borderId="0" fillId="0" fontId="6" numFmtId="4" xfId="0" applyFont="1" applyNumberFormat="1"/>
    <xf borderId="0" fillId="0" fontId="35" numFmtId="9" xfId="0" applyAlignment="1" applyFont="1" applyNumberFormat="1">
      <alignment horizontal="right" readingOrder="0"/>
    </xf>
    <xf borderId="0" fillId="0" fontId="35" numFmtId="2" xfId="0" applyAlignment="1" applyFont="1" applyNumberFormat="1">
      <alignment readingOrder="0"/>
    </xf>
    <xf borderId="0" fillId="0" fontId="19" numFmtId="2" xfId="0" applyAlignment="1" applyFont="1" applyNumberFormat="1">
      <alignment readingOrder="0"/>
    </xf>
    <xf borderId="0" fillId="0" fontId="35" numFmtId="9" xfId="0" applyAlignment="1" applyFont="1" applyNumberFormat="1">
      <alignment readingOrder="0"/>
    </xf>
    <xf borderId="0" fillId="0" fontId="6" numFmtId="9" xfId="0" applyAlignment="1" applyFont="1" applyNumberFormat="1">
      <alignment readingOrder="0"/>
    </xf>
    <xf borderId="0" fillId="0" fontId="19" numFmtId="9" xfId="0" applyAlignment="1" applyFont="1" applyNumberFormat="1">
      <alignment readingOrder="0"/>
    </xf>
    <xf borderId="0" fillId="0" fontId="20" numFmtId="9" xfId="0" applyAlignment="1" applyFont="1" applyNumberFormat="1">
      <alignment horizontal="right" readingOrder="0" vertical="bottom"/>
    </xf>
    <xf borderId="0" fillId="0" fontId="35" numFmtId="164" xfId="0" applyAlignment="1" applyFont="1" applyNumberFormat="1">
      <alignment readingOrder="0"/>
    </xf>
    <xf borderId="0" fillId="0" fontId="35" numFmtId="9" xfId="0" applyAlignment="1" applyFont="1" applyNumberFormat="1">
      <alignment readingOrder="0" shrinkToFit="0" wrapText="0"/>
    </xf>
    <xf borderId="0" fillId="0" fontId="19" numFmtId="3" xfId="0" applyAlignment="1" applyFont="1" applyNumberFormat="1">
      <alignment readingOrder="0"/>
    </xf>
    <xf borderId="0" fillId="0" fontId="50" numFmtId="3" xfId="0" applyAlignment="1" applyFont="1" applyNumberFormat="1">
      <alignment readingOrder="0"/>
    </xf>
    <xf borderId="0" fillId="0" fontId="21" numFmtId="3" xfId="0" applyAlignment="1" applyFont="1" applyNumberFormat="1">
      <alignment readingOrder="0"/>
    </xf>
    <xf borderId="0" fillId="0" fontId="34" numFmtId="4" xfId="0" applyAlignment="1" applyFont="1" applyNumberFormat="1">
      <alignment vertical="bottom"/>
    </xf>
    <xf borderId="0" fillId="0" fontId="32" numFmtId="170" xfId="0" applyFont="1" applyNumberFormat="1"/>
    <xf borderId="0" fillId="0" fontId="20" numFmtId="170" xfId="0" applyAlignment="1" applyFont="1" applyNumberFormat="1">
      <alignment readingOrder="0" vertical="bottom"/>
    </xf>
    <xf borderId="0" fillId="0" fontId="34" numFmtId="170" xfId="0" applyFont="1" applyNumberFormat="1"/>
    <xf borderId="0" fillId="0" fontId="32" numFmtId="170" xfId="0" applyFont="1" applyNumberFormat="1"/>
    <xf borderId="0" fillId="0" fontId="19" numFmtId="170" xfId="0" applyAlignment="1" applyFont="1" applyNumberFormat="1">
      <alignment vertical="bottom"/>
    </xf>
    <xf borderId="0" fillId="0" fontId="35" numFmtId="170" xfId="0" applyAlignment="1" applyFont="1" applyNumberFormat="1">
      <alignment horizontal="right" vertical="bottom"/>
    </xf>
    <xf borderId="0" fillId="0" fontId="6" numFmtId="170" xfId="0" applyAlignment="1" applyFont="1" applyNumberFormat="1">
      <alignment horizontal="right" vertical="bottom"/>
    </xf>
    <xf borderId="2" fillId="0" fontId="19" numFmtId="170" xfId="0" applyAlignment="1" applyBorder="1" applyFont="1" applyNumberFormat="1">
      <alignment vertical="bottom"/>
    </xf>
    <xf borderId="2" fillId="0" fontId="35" numFmtId="170" xfId="0" applyAlignment="1" applyBorder="1" applyFont="1" applyNumberFormat="1">
      <alignment horizontal="right" vertical="bottom"/>
    </xf>
    <xf borderId="2" fillId="0" fontId="6" numFmtId="170" xfId="0" applyAlignment="1" applyBorder="1" applyFont="1" applyNumberFormat="1">
      <alignment horizontal="right" vertical="bottom"/>
    </xf>
    <xf borderId="0" fillId="0" fontId="20" numFmtId="4" xfId="0" applyAlignment="1" applyFont="1" applyNumberFormat="1">
      <alignment readingOrder="0" vertical="bottom"/>
    </xf>
    <xf borderId="0" fillId="0" fontId="34" numFmtId="170" xfId="0" applyFont="1" applyNumberFormat="1"/>
    <xf borderId="0" fillId="0" fontId="25" numFmtId="170" xfId="0" applyFont="1" applyNumberFormat="1"/>
    <xf borderId="0" fillId="0" fontId="53" numFmtId="164" xfId="0" applyAlignment="1" applyFont="1" applyNumberFormat="1">
      <alignment readingOrder="0"/>
    </xf>
    <xf borderId="0" fillId="0" fontId="34" numFmtId="168" xfId="0" applyAlignment="1" applyFont="1" applyNumberFormat="1">
      <alignment vertical="bottom"/>
    </xf>
    <xf borderId="0" fillId="0" fontId="25" numFmtId="169" xfId="0" applyFont="1" applyNumberFormat="1"/>
    <xf borderId="2" fillId="0" fontId="35" numFmtId="169" xfId="0" applyAlignment="1" applyBorder="1" applyFont="1" applyNumberFormat="1">
      <alignment horizontal="right" vertical="bottom"/>
    </xf>
    <xf borderId="2" fillId="0" fontId="0" numFmtId="169" xfId="0" applyAlignment="1" applyBorder="1" applyFont="1" applyNumberFormat="1">
      <alignment horizontal="right" vertical="bottom"/>
    </xf>
    <xf borderId="0" fillId="0" fontId="19" numFmtId="4" xfId="0" applyAlignment="1" applyFont="1" applyNumberFormat="1">
      <alignment shrinkToFit="0" vertical="bottom" wrapText="1"/>
    </xf>
    <xf borderId="0" fillId="0" fontId="19" numFmtId="179" xfId="0" applyAlignment="1" applyFont="1" applyNumberFormat="1">
      <alignment vertical="bottom"/>
    </xf>
    <xf borderId="0" fillId="0" fontId="36" numFmtId="4" xfId="0" applyAlignment="1" applyFont="1" applyNumberFormat="1">
      <alignment shrinkToFit="0" vertical="bottom" wrapText="0"/>
    </xf>
    <xf borderId="2" fillId="0" fontId="19" numFmtId="4" xfId="0" applyAlignment="1" applyBorder="1" applyFont="1" applyNumberFormat="1">
      <alignment vertical="bottom"/>
    </xf>
    <xf borderId="0" fillId="0" fontId="58" numFmtId="9" xfId="0" applyFont="1" applyNumberFormat="1"/>
    <xf borderId="0" fillId="11" fontId="50" numFmtId="0" xfId="0" applyAlignment="1" applyFont="1">
      <alignment readingOrder="0"/>
    </xf>
    <xf borderId="0" fillId="0" fontId="58" numFmtId="169" xfId="0" applyFont="1" applyNumberFormat="1"/>
    <xf borderId="0" fillId="0" fontId="59" numFmtId="0" xfId="0" applyAlignment="1" applyFont="1">
      <alignment readingOrder="0" vertical="bottom"/>
    </xf>
    <xf borderId="0" fillId="0" fontId="60" numFmtId="176" xfId="0" applyAlignment="1" applyFont="1" applyNumberFormat="1">
      <alignment horizontal="left" shrinkToFit="0" wrapText="0"/>
    </xf>
    <xf borderId="0" fillId="0" fontId="60" numFmtId="176" xfId="0" applyAlignment="1" applyFont="1" applyNumberFormat="1">
      <alignment readingOrder="0"/>
    </xf>
    <xf borderId="0" fillId="0" fontId="60" numFmtId="176" xfId="0" applyFont="1" applyNumberFormat="1"/>
    <xf borderId="0" fillId="0" fontId="61" numFmtId="0" xfId="0" applyAlignment="1" applyFont="1">
      <alignment readingOrder="0" vertical="bottom"/>
    </xf>
    <xf borderId="0" fillId="0" fontId="62" numFmtId="176" xfId="0" applyAlignment="1" applyFont="1" applyNumberFormat="1">
      <alignment horizontal="left" shrinkToFit="0" wrapText="0"/>
    </xf>
    <xf borderId="0" fillId="0" fontId="62" numFmtId="176" xfId="0" applyAlignment="1" applyFont="1" applyNumberFormat="1">
      <alignment readingOrder="0"/>
    </xf>
    <xf borderId="0" fillId="0" fontId="62" numFmtId="176" xfId="0" applyFont="1" applyNumberFormat="1"/>
    <xf borderId="0" fillId="0" fontId="62" numFmtId="0" xfId="0" applyAlignment="1" applyFont="1">
      <alignment readingOrder="0" vertical="bottom"/>
    </xf>
    <xf borderId="0" fillId="0" fontId="63" numFmtId="176" xfId="0" applyAlignment="1" applyFont="1" applyNumberFormat="1">
      <alignment readingOrder="0" shrinkToFit="0" vertical="bottom" wrapText="0"/>
    </xf>
    <xf borderId="0" fillId="0" fontId="33" numFmtId="9" xfId="0" applyAlignment="1" applyFont="1" applyNumberFormat="1">
      <alignment horizontal="right" readingOrder="0" vertical="bottom"/>
    </xf>
    <xf borderId="0" fillId="0" fontId="62" numFmtId="9" xfId="0" applyFont="1" applyNumberFormat="1"/>
    <xf borderId="0" fillId="0" fontId="62" numFmtId="0" xfId="0" applyAlignment="1" applyFont="1">
      <alignment vertical="bottom"/>
    </xf>
    <xf borderId="0" fillId="0" fontId="33" numFmtId="169" xfId="0" applyAlignment="1" applyFont="1" applyNumberFormat="1">
      <alignment horizontal="right" readingOrder="0" vertical="bottom"/>
    </xf>
    <xf borderId="0" fillId="0" fontId="62" numFmtId="3" xfId="0" applyFont="1" applyNumberFormat="1"/>
    <xf borderId="0" fillId="0" fontId="62" numFmtId="0" xfId="0" applyAlignment="1" applyFont="1">
      <alignment horizontal="right" readingOrder="0" vertical="bottom"/>
    </xf>
    <xf borderId="0" fillId="0" fontId="62" numFmtId="2" xfId="0" applyFont="1" applyNumberFormat="1"/>
    <xf borderId="0" fillId="0" fontId="6" numFmtId="169" xfId="0" applyAlignment="1" applyFont="1" applyNumberFormat="1">
      <alignment horizontal="right" readingOrder="0" shrinkToFit="0" wrapText="1"/>
    </xf>
    <xf borderId="0" fillId="0" fontId="33" numFmtId="169" xfId="0" applyAlignment="1" applyFont="1" applyNumberFormat="1">
      <alignment readingOrder="0"/>
    </xf>
    <xf borderId="0" fillId="0" fontId="62" numFmtId="169" xfId="0" applyFont="1" applyNumberFormat="1"/>
    <xf borderId="0" fillId="0" fontId="63" numFmtId="0" xfId="0" applyAlignment="1" applyFont="1">
      <alignment horizontal="left" readingOrder="0" vertical="bottom"/>
    </xf>
    <xf borderId="0" fillId="0" fontId="62" numFmtId="1" xfId="0" applyFont="1" applyNumberFormat="1"/>
    <xf borderId="0" fillId="0" fontId="64" numFmtId="0" xfId="0" applyAlignment="1" applyFont="1">
      <alignment readingOrder="0"/>
    </xf>
    <xf borderId="0" fillId="0" fontId="62" numFmtId="0" xfId="0" applyAlignment="1" applyFont="1">
      <alignment shrinkToFit="0" wrapText="0"/>
    </xf>
    <xf borderId="0" fillId="0" fontId="62" numFmtId="0" xfId="0" applyFont="1"/>
    <xf borderId="0" fillId="0" fontId="63" numFmtId="0" xfId="0" applyAlignment="1" applyFont="1">
      <alignment readingOrder="0"/>
    </xf>
    <xf borderId="0" fillId="0" fontId="8" numFmtId="1" xfId="0" applyAlignment="1" applyFont="1" applyNumberFormat="1">
      <alignment horizontal="right" readingOrder="0" shrinkToFit="0" wrapText="1"/>
    </xf>
    <xf borderId="0" fillId="0" fontId="8" numFmtId="2" xfId="0" applyAlignment="1" applyFont="1" applyNumberFormat="1">
      <alignment horizontal="right" readingOrder="0" shrinkToFit="0" wrapText="1"/>
    </xf>
    <xf borderId="0" fillId="0" fontId="63" numFmtId="176" xfId="0" applyAlignment="1" applyFont="1" applyNumberFormat="1">
      <alignment readingOrder="0"/>
    </xf>
    <xf borderId="0" fillId="0" fontId="63" numFmtId="0" xfId="0" applyAlignment="1" applyFont="1">
      <alignment readingOrder="0" vertical="bottom"/>
    </xf>
    <xf borderId="0" fillId="0" fontId="62" numFmtId="169" xfId="0" applyAlignment="1" applyFont="1" applyNumberFormat="1">
      <alignment readingOrder="0"/>
    </xf>
    <xf borderId="0" fillId="0" fontId="63" numFmtId="176" xfId="0" applyAlignment="1" applyFont="1" applyNumberFormat="1">
      <alignment shrinkToFit="0" vertical="bottom" wrapText="0"/>
    </xf>
    <xf borderId="0" fillId="0" fontId="63" numFmtId="169" xfId="0" applyAlignment="1" applyFont="1" applyNumberFormat="1">
      <alignment horizontal="left" readingOrder="0" vertical="bottom"/>
    </xf>
    <xf borderId="0" fillId="0" fontId="31" numFmtId="170" xfId="0" applyFont="1" applyNumberFormat="1"/>
    <xf borderId="0" fillId="12" fontId="19" numFmtId="3" xfId="0" applyAlignment="1" applyFont="1" applyNumberFormat="1">
      <alignment vertical="bottom"/>
    </xf>
    <xf borderId="0" fillId="12" fontId="5" numFmtId="0" xfId="0" applyAlignment="1" applyFont="1">
      <alignment shrinkToFit="0" vertical="bottom" wrapText="1"/>
    </xf>
    <xf borderId="0" fillId="12" fontId="19" numFmtId="3" xfId="0" applyAlignment="1" applyFont="1" applyNumberFormat="1">
      <alignment readingOrder="0" vertical="bottom"/>
    </xf>
    <xf borderId="0" fillId="12" fontId="19" numFmtId="176" xfId="0" applyAlignment="1" applyFont="1" applyNumberFormat="1">
      <alignment readingOrder="0" vertical="bottom"/>
    </xf>
    <xf borderId="0" fillId="0" fontId="65" numFmtId="0" xfId="0" applyAlignment="1" applyFont="1">
      <alignment horizontal="center" readingOrder="0" vertical="center"/>
    </xf>
    <xf borderId="0" fillId="0" fontId="27" numFmtId="0" xfId="0" applyAlignment="1" applyFont="1">
      <alignment readingOrder="0" shrinkToFit="0" wrapText="0"/>
    </xf>
    <xf borderId="5" fillId="5" fontId="21" numFmtId="0" xfId="0" applyAlignment="1" applyBorder="1" applyFont="1">
      <alignment shrinkToFit="0" vertical="bottom" wrapText="1"/>
    </xf>
    <xf borderId="6" fillId="5" fontId="21" numFmtId="0" xfId="0" applyAlignment="1" applyBorder="1" applyFont="1">
      <alignment shrinkToFit="0" vertical="bottom" wrapText="1"/>
    </xf>
    <xf borderId="4" fillId="0" fontId="19" numFmtId="0" xfId="0" applyAlignment="1" applyBorder="1" applyFont="1">
      <alignment horizontal="right" vertical="bottom"/>
    </xf>
    <xf borderId="7" fillId="0" fontId="19" numFmtId="9" xfId="0" applyAlignment="1" applyBorder="1" applyFont="1" applyNumberFormat="1">
      <alignment horizontal="right" vertical="bottom"/>
    </xf>
    <xf borderId="5" fillId="0" fontId="19" numFmtId="0" xfId="0" applyAlignment="1" applyBorder="1" applyFont="1">
      <alignment horizontal="right" vertical="bottom"/>
    </xf>
    <xf borderId="6" fillId="0" fontId="19" numFmtId="9" xfId="0" applyAlignment="1" applyBorder="1" applyFont="1" applyNumberFormat="1">
      <alignment horizontal="right" vertical="bottom"/>
    </xf>
    <xf borderId="0" fillId="14" fontId="20" numFmtId="0" xfId="0" applyAlignment="1" applyFill="1" applyFont="1">
      <alignment readingOrder="0" shrinkToFit="0" wrapText="0"/>
    </xf>
    <xf borderId="0" fillId="0" fontId="65" numFmtId="0" xfId="0" applyAlignment="1" applyFont="1">
      <alignment horizontal="right" readingOrder="0" vertical="center"/>
    </xf>
    <xf borderId="0" fillId="15" fontId="20" numFmtId="0" xfId="0" applyAlignment="1" applyFill="1" applyFont="1">
      <alignment readingOrder="0" shrinkToFit="0" wrapText="0"/>
    </xf>
    <xf borderId="0" fillId="16" fontId="20" numFmtId="0" xfId="0" applyAlignment="1" applyFill="1" applyFont="1">
      <alignment readingOrder="0" shrinkToFit="0" wrapText="0"/>
    </xf>
    <xf borderId="0" fillId="17" fontId="20" numFmtId="0" xfId="0" applyAlignment="1" applyFill="1" applyFont="1">
      <alignment readingOrder="0" shrinkToFit="0" wrapText="0"/>
    </xf>
    <xf borderId="0" fillId="0" fontId="20" numFmtId="0" xfId="0" applyAlignment="1" applyFont="1">
      <alignment readingOrder="0" shrinkToFit="0" wrapText="0"/>
    </xf>
    <xf borderId="0" fillId="0" fontId="27" numFmtId="0" xfId="0" applyAlignment="1" applyFont="1">
      <alignment readingOrder="0"/>
    </xf>
    <xf borderId="0" fillId="18" fontId="21" numFmtId="0" xfId="0" applyAlignment="1" applyFill="1" applyFont="1">
      <alignment shrinkToFit="0" vertical="bottom" wrapText="1"/>
    </xf>
    <xf borderId="0" fillId="18" fontId="21" numFmtId="0" xfId="0" applyAlignment="1" applyFont="1">
      <alignment readingOrder="0" shrinkToFit="0" vertical="bottom" wrapText="1"/>
    </xf>
    <xf borderId="0" fillId="0" fontId="19" numFmtId="0" xfId="0" applyAlignment="1" applyFont="1">
      <alignment horizontal="right" readingOrder="0" vertical="bottom"/>
    </xf>
    <xf borderId="0" fillId="0" fontId="20" numFmtId="9" xfId="0" applyAlignment="1" applyFont="1" applyNumberFormat="1">
      <alignment readingOrder="0"/>
    </xf>
    <xf borderId="0" fillId="19" fontId="20" numFmtId="0" xfId="0" applyAlignment="1" applyFill="1" applyFont="1">
      <alignment readingOrder="0"/>
    </xf>
    <xf borderId="0" fillId="0" fontId="20" numFmtId="0" xfId="0" applyAlignment="1" applyFont="1">
      <alignment readingOrder="0" shrinkToFit="0" wrapText="1"/>
    </xf>
    <xf borderId="0" fillId="13" fontId="66" numFmtId="0" xfId="0" applyAlignment="1" applyFont="1">
      <alignment readingOrder="0" vertical="bottom"/>
    </xf>
    <xf borderId="0" fillId="14" fontId="19" numFmtId="9" xfId="0" applyAlignment="1" applyFont="1" applyNumberFormat="1">
      <alignment horizontal="right" vertical="bottom"/>
    </xf>
    <xf borderId="0" fillId="20" fontId="19" numFmtId="0" xfId="0" applyAlignment="1" applyFill="1" applyFont="1">
      <alignment horizontal="right" vertical="bottom"/>
    </xf>
    <xf borderId="0" fillId="16" fontId="19" numFmtId="0" xfId="0" applyAlignment="1" applyFont="1">
      <alignment horizontal="right" vertical="bottom"/>
    </xf>
    <xf borderId="0" fillId="0" fontId="19" numFmtId="0" xfId="0" applyAlignment="1" applyFont="1">
      <alignment readingOrder="0" shrinkToFit="0" vertical="bottom" wrapText="0"/>
    </xf>
    <xf borderId="0" fillId="16" fontId="19" numFmtId="9" xfId="0" applyAlignment="1" applyFont="1" applyNumberFormat="1">
      <alignment horizontal="right" vertical="bottom"/>
    </xf>
    <xf borderId="0" fillId="15" fontId="19" numFmtId="0" xfId="0" applyAlignment="1" applyFont="1">
      <alignment horizontal="right" vertical="bottom"/>
    </xf>
    <xf borderId="0" fillId="0" fontId="19" numFmtId="0" xfId="0" applyAlignment="1" applyFont="1">
      <alignment shrinkToFit="0" vertical="bottom" wrapText="0"/>
    </xf>
    <xf borderId="3" fillId="7" fontId="19" numFmtId="0" xfId="0" applyAlignment="1" applyBorder="1" applyFont="1">
      <alignment shrinkToFit="0" vertical="bottom" wrapText="0"/>
    </xf>
    <xf borderId="0" fillId="7" fontId="19" numFmtId="0" xfId="0" applyAlignment="1" applyFont="1">
      <alignment vertical="bottom"/>
    </xf>
    <xf borderId="0" fillId="7" fontId="19" numFmtId="10" xfId="0" applyAlignment="1" applyFont="1" applyNumberFormat="1">
      <alignment horizontal="right" vertical="bottom"/>
    </xf>
    <xf borderId="0" fillId="16" fontId="19" numFmtId="0" xfId="0" applyAlignment="1" applyFont="1">
      <alignment horizontal="right" vertical="bottom"/>
    </xf>
    <xf borderId="0" fillId="15" fontId="19" numFmtId="0" xfId="0" applyAlignment="1" applyFont="1">
      <alignment horizontal="right" vertical="bottom"/>
    </xf>
    <xf borderId="0" fillId="7" fontId="19" numFmtId="0" xfId="0" applyAlignment="1" applyFont="1">
      <alignment readingOrder="0" shrinkToFit="0" vertical="bottom" wrapText="0"/>
    </xf>
    <xf borderId="0" fillId="0" fontId="25" numFmtId="0" xfId="0" applyAlignment="1" applyFont="1">
      <alignment readingOrder="0"/>
    </xf>
    <xf borderId="0" fillId="14" fontId="19" numFmtId="9" xfId="0" applyAlignment="1" applyFont="1" applyNumberFormat="1">
      <alignment horizontal="right" readingOrder="0" vertical="bottom"/>
    </xf>
    <xf borderId="0" fillId="20" fontId="19" numFmtId="0" xfId="0" applyAlignment="1" applyFont="1">
      <alignment horizontal="right" readingOrder="0" vertical="bottom"/>
    </xf>
    <xf borderId="0" fillId="17" fontId="19" numFmtId="0" xfId="0" applyAlignment="1" applyFont="1">
      <alignment horizontal="right" vertical="bottom"/>
    </xf>
    <xf borderId="0" fillId="17" fontId="19" numFmtId="0" xfId="0" applyAlignment="1" applyFont="1">
      <alignment horizontal="right" readingOrder="0" vertical="bottom"/>
    </xf>
    <xf borderId="0" fillId="16" fontId="19" numFmtId="0" xfId="0" applyAlignment="1" applyFont="1">
      <alignment horizontal="right" readingOrder="0" vertical="bottom"/>
    </xf>
    <xf borderId="0" fillId="15" fontId="19" numFmtId="0" xfId="0" applyAlignment="1" applyFont="1">
      <alignment horizontal="right" readingOrder="0" vertical="bottom"/>
    </xf>
    <xf borderId="0" fillId="0" fontId="67" numFmtId="0" xfId="0" applyAlignment="1" applyFont="1">
      <alignment readingOrder="0" shrinkToFit="0" vertical="bottom" wrapText="0"/>
    </xf>
    <xf borderId="0" fillId="17" fontId="19" numFmtId="0" xfId="0" applyAlignment="1" applyFont="1">
      <alignment horizontal="right" vertical="bottom"/>
    </xf>
    <xf borderId="0" fillId="16" fontId="19" numFmtId="9" xfId="0" applyAlignment="1" applyFont="1" applyNumberFormat="1">
      <alignment horizontal="right" readingOrder="0" vertical="bottom"/>
    </xf>
    <xf borderId="0" fillId="18" fontId="19" numFmtId="0" xfId="0" applyAlignment="1" applyFont="1">
      <alignment readingOrder="0" vertical="bottom"/>
    </xf>
    <xf borderId="0" fillId="15" fontId="19" numFmtId="9" xfId="0" applyAlignment="1" applyFont="1" applyNumberFormat="1">
      <alignment horizontal="right" vertical="bottom"/>
    </xf>
    <xf borderId="0" fillId="15" fontId="19" numFmtId="9" xfId="0" applyAlignment="1" applyFont="1" applyNumberFormat="1">
      <alignment horizontal="right" readingOrder="0" vertical="bottom"/>
    </xf>
    <xf borderId="0" fillId="15" fontId="66" numFmtId="0" xfId="0" applyAlignment="1" applyFont="1">
      <alignment horizontal="right" vertical="bottom"/>
    </xf>
    <xf borderId="0" fillId="0" fontId="19" numFmtId="0" xfId="0" applyAlignment="1" applyFont="1">
      <alignment shrinkToFit="0" vertical="bottom" wrapText="0"/>
    </xf>
    <xf borderId="3" fillId="0" fontId="19" numFmtId="0" xfId="0" applyAlignment="1" applyBorder="1" applyFont="1">
      <alignment shrinkToFit="0" vertical="bottom" wrapText="0"/>
    </xf>
    <xf borderId="0" fillId="0" fontId="20" numFmtId="0" xfId="0" applyAlignment="1" applyFont="1">
      <alignment shrinkToFit="0" wrapText="0"/>
    </xf>
    <xf borderId="3" fillId="11" fontId="68" numFmtId="0" xfId="0" applyAlignment="1" applyBorder="1" applyFont="1">
      <alignment readingOrder="0" shrinkToFit="0" vertical="bottom" wrapText="0"/>
    </xf>
    <xf borderId="0" fillId="11" fontId="48" numFmtId="0" xfId="0" applyAlignment="1" applyFont="1">
      <alignment vertical="bottom"/>
    </xf>
    <xf borderId="0" fillId="11" fontId="48" numFmtId="0" xfId="0" applyAlignment="1" applyFont="1">
      <alignment vertical="bottom"/>
    </xf>
    <xf borderId="0" fillId="11" fontId="69" numFmtId="0" xfId="0" applyAlignment="1" applyFont="1">
      <alignment readingOrder="0" vertical="bottom"/>
    </xf>
    <xf borderId="0" fillId="11" fontId="69" numFmtId="0" xfId="0" applyAlignment="1" applyFont="1">
      <alignment vertical="bottom"/>
    </xf>
    <xf borderId="0" fillId="11" fontId="20" numFmtId="0" xfId="0" applyAlignment="1" applyFont="1">
      <alignment vertical="bottom"/>
    </xf>
    <xf borderId="0" fillId="0" fontId="70" numFmtId="0" xfId="0" applyAlignment="1" applyFont="1">
      <alignment horizontal="center" vertical="bottom"/>
    </xf>
    <xf borderId="0" fillId="0" fontId="70" numFmtId="0" xfId="0" applyAlignment="1" applyFont="1">
      <alignment horizontal="right" vertical="bottom"/>
    </xf>
    <xf borderId="0" fillId="0" fontId="70" numFmtId="0" xfId="0" applyAlignment="1" applyFont="1">
      <alignment vertical="bottom"/>
    </xf>
    <xf borderId="0" fillId="0" fontId="48" numFmtId="165" xfId="0" applyAlignment="1" applyFont="1" applyNumberFormat="1">
      <alignment horizontal="right" vertical="bottom"/>
    </xf>
    <xf borderId="0" fillId="0" fontId="20" numFmtId="165" xfId="0" applyAlignment="1" applyFont="1" applyNumberFormat="1">
      <alignment vertical="bottom"/>
    </xf>
    <xf borderId="0" fillId="0" fontId="71" numFmtId="0" xfId="0" applyAlignment="1" applyFont="1">
      <alignment readingOrder="0" shrinkToFit="0" vertical="bottom" wrapText="1"/>
    </xf>
    <xf borderId="0" fillId="0" fontId="70" numFmtId="0" xfId="0" applyAlignment="1" applyFont="1">
      <alignment horizontal="center" shrinkToFit="0" vertical="bottom" wrapText="1"/>
    </xf>
    <xf borderId="0" fillId="0" fontId="48" numFmtId="0" xfId="0" applyAlignment="1" applyFont="1">
      <alignment vertical="bottom"/>
    </xf>
    <xf borderId="0" fillId="0" fontId="48" numFmtId="181" xfId="0" applyAlignment="1" applyFont="1" applyNumberFormat="1">
      <alignment horizontal="right" vertical="bottom"/>
    </xf>
    <xf borderId="0" fillId="0" fontId="48" numFmtId="0" xfId="0" applyAlignment="1" applyFont="1">
      <alignment horizontal="center" vertical="bottom"/>
    </xf>
    <xf borderId="0" fillId="0" fontId="48" numFmtId="0" xfId="0" applyAlignment="1" applyFont="1">
      <alignment vertical="bottom"/>
    </xf>
    <xf borderId="0" fillId="0" fontId="48" numFmtId="0" xfId="0" applyAlignment="1" applyFont="1">
      <alignment readingOrder="0" vertical="bottom"/>
    </xf>
    <xf borderId="0" fillId="0" fontId="72" numFmtId="0" xfId="0" applyAlignment="1" applyFont="1">
      <alignment readingOrder="0" vertical="bottom"/>
    </xf>
    <xf borderId="0" fillId="11" fontId="68" numFmtId="0" xfId="0" applyAlignment="1" applyFont="1">
      <alignment readingOrder="0" shrinkToFit="0" vertical="bottom" wrapText="0"/>
    </xf>
    <xf borderId="0" fillId="11" fontId="68" numFmtId="0" xfId="0" applyAlignment="1" applyFont="1">
      <alignment shrinkToFit="0" vertical="bottom" wrapText="0"/>
    </xf>
    <xf borderId="0" fillId="11" fontId="31" numFmtId="0" xfId="0" applyFont="1"/>
    <xf borderId="0" fillId="11" fontId="5" numFmtId="0" xfId="0" applyAlignment="1" applyFont="1">
      <alignment vertical="bottom"/>
    </xf>
    <xf borderId="0" fillId="0" fontId="27" numFmtId="0" xfId="0" applyAlignment="1" applyFont="1">
      <alignment horizontal="center" vertical="bottom"/>
    </xf>
    <xf borderId="0" fillId="0" fontId="27" numFmtId="0" xfId="0" applyAlignment="1" applyFont="1">
      <alignment horizontal="right" vertical="bottom"/>
    </xf>
    <xf borderId="0" fillId="0" fontId="27" numFmtId="0" xfId="0" applyAlignment="1" applyFont="1">
      <alignment vertical="bottom"/>
    </xf>
    <xf borderId="0" fillId="0" fontId="20" numFmtId="165" xfId="0" applyAlignment="1" applyFont="1" applyNumberFormat="1">
      <alignment horizontal="right" vertical="bottom"/>
    </xf>
    <xf borderId="0" fillId="0" fontId="27" numFmtId="0" xfId="0" applyAlignment="1" applyFont="1">
      <alignment horizontal="center" shrinkToFit="0" vertical="bottom" wrapText="1"/>
    </xf>
    <xf borderId="0" fillId="13" fontId="25" numFmtId="0" xfId="0" applyAlignment="1" applyFont="1">
      <alignment shrinkToFit="0" vertical="bottom" wrapText="1"/>
    </xf>
    <xf borderId="0" fillId="0" fontId="20" numFmtId="0" xfId="0" applyAlignment="1" applyFont="1">
      <alignment horizontal="center" vertical="bottom"/>
    </xf>
    <xf borderId="0" fillId="0" fontId="20" numFmtId="0" xfId="0" applyAlignment="1" applyFont="1">
      <alignment horizontal="center" readingOrder="0" vertical="bottom"/>
    </xf>
    <xf borderId="0" fillId="13" fontId="25" numFmtId="0" xfId="0" applyAlignment="1" applyFont="1">
      <alignment shrinkToFit="0" vertical="bottom" wrapText="1"/>
    </xf>
    <xf borderId="0" fillId="0" fontId="69" numFmtId="0" xfId="0" applyAlignment="1" applyFont="1">
      <alignment readingOrder="0" vertical="bottom"/>
    </xf>
    <xf borderId="0" fillId="0" fontId="20" numFmtId="0" xfId="0" applyAlignment="1" applyFont="1">
      <alignment horizontal="right" vertical="bottom"/>
    </xf>
    <xf borderId="0" fillId="0" fontId="20" numFmtId="0" xfId="0" applyAlignment="1" applyFont="1">
      <alignment readingOrder="0" shrinkToFit="0" vertical="bottom" wrapText="1"/>
    </xf>
    <xf borderId="0" fillId="0" fontId="73" numFmtId="0" xfId="0" applyAlignment="1" applyFont="1">
      <alignment readingOrder="0" shrinkToFit="0" vertical="bottom" wrapText="1"/>
    </xf>
    <xf borderId="0" fillId="0" fontId="31" numFmtId="0" xfId="0" applyAlignment="1" applyFont="1">
      <alignment horizontal="center"/>
    </xf>
    <xf borderId="0" fillId="0" fontId="70" numFmtId="0" xfId="0" applyAlignment="1" applyFont="1">
      <alignment vertical="bottom"/>
    </xf>
    <xf borderId="0" fillId="0" fontId="70" numFmtId="0" xfId="0" applyAlignment="1" applyFont="1">
      <alignment horizontal="right" vertical="bottom"/>
    </xf>
    <xf borderId="0" fillId="0" fontId="70" numFmtId="0" xfId="0" applyAlignment="1" applyFont="1">
      <alignment horizontal="center" shrinkToFit="0" vertical="bottom" wrapText="1"/>
    </xf>
    <xf borderId="0" fillId="0" fontId="48" numFmtId="0" xfId="0" applyAlignment="1" applyFont="1">
      <alignment shrinkToFit="0" vertical="bottom" wrapText="1"/>
    </xf>
    <xf borderId="0" fillId="0" fontId="48" numFmtId="165" xfId="0" applyAlignment="1" applyFont="1" applyNumberFormat="1">
      <alignment horizontal="right" readingOrder="0" vertical="bottom"/>
    </xf>
    <xf borderId="0" fillId="0" fontId="48" numFmtId="165" xfId="0" applyAlignment="1" applyFont="1" applyNumberFormat="1">
      <alignment horizontal="right" vertical="bottom"/>
    </xf>
    <xf borderId="0" fillId="0" fontId="48" numFmtId="165" xfId="0" applyAlignment="1" applyFont="1" applyNumberFormat="1">
      <alignment vertical="bottom"/>
    </xf>
    <xf borderId="0" fillId="0" fontId="48" numFmtId="0" xfId="0" applyAlignment="1" applyFont="1">
      <alignment horizontal="center" vertical="bottom"/>
    </xf>
    <xf borderId="0" fillId="0" fontId="31" numFmtId="0" xfId="0" applyAlignment="1" applyFont="1">
      <alignment horizontal="center" readingOrder="0"/>
    </xf>
    <xf borderId="0" fillId="0" fontId="48" numFmtId="165" xfId="0" applyAlignment="1" applyFont="1" applyNumberFormat="1">
      <alignment readingOrder="0" vertical="bottom"/>
    </xf>
    <xf borderId="0" fillId="0" fontId="48" numFmtId="169" xfId="0" applyAlignment="1" applyFont="1" applyNumberFormat="1">
      <alignment readingOrder="0" vertical="bottom"/>
    </xf>
    <xf borderId="3" fillId="11" fontId="74" numFmtId="0" xfId="0" applyAlignment="1" applyBorder="1" applyFont="1">
      <alignment readingOrder="0" shrinkToFit="0" vertical="bottom" wrapText="0"/>
    </xf>
    <xf borderId="3" fillId="11" fontId="19" numFmtId="0" xfId="0" applyAlignment="1" applyBorder="1" applyFont="1">
      <alignment vertical="bottom"/>
    </xf>
    <xf borderId="3" fillId="11" fontId="19" numFmtId="0" xfId="0" applyAlignment="1" applyBorder="1" applyFont="1">
      <alignment vertical="bottom"/>
    </xf>
    <xf borderId="0" fillId="0" fontId="21" numFmtId="0" xfId="0" applyAlignment="1" applyFont="1">
      <alignment horizontal="center" vertical="bottom"/>
    </xf>
    <xf borderId="0" fillId="0" fontId="21" numFmtId="0" xfId="0" applyAlignment="1" applyFont="1">
      <alignment horizontal="right" vertical="bottom"/>
    </xf>
    <xf borderId="0" fillId="0" fontId="19" numFmtId="165" xfId="0" applyAlignment="1" applyFont="1" applyNumberFormat="1">
      <alignment horizontal="right" vertical="bottom"/>
    </xf>
    <xf borderId="0" fillId="0" fontId="21" numFmtId="0" xfId="0" applyAlignment="1" applyFont="1">
      <alignment horizontal="center" shrinkToFit="0" vertical="bottom" wrapText="1"/>
    </xf>
    <xf borderId="0" fillId="0" fontId="19" numFmtId="181" xfId="0" applyAlignment="1" applyFont="1" applyNumberFormat="1">
      <alignment horizontal="right" vertical="bottom"/>
    </xf>
    <xf borderId="0" fillId="0" fontId="19" numFmtId="0" xfId="0" applyAlignment="1" applyFont="1">
      <alignment horizontal="center" vertical="bottom"/>
    </xf>
    <xf borderId="0" fillId="0" fontId="19" numFmtId="182" xfId="0" applyAlignment="1" applyFont="1" applyNumberFormat="1">
      <alignment horizontal="right" vertical="bottom"/>
    </xf>
    <xf borderId="0" fillId="0" fontId="19" numFmtId="183" xfId="0" applyAlignment="1" applyFont="1" applyNumberFormat="1">
      <alignment horizontal="right" vertical="bottom"/>
    </xf>
    <xf borderId="0" fillId="0" fontId="75" numFmtId="0" xfId="0" applyAlignment="1" applyFont="1">
      <alignment readingOrder="0" vertical="bottom"/>
    </xf>
    <xf borderId="0" fillId="0" fontId="31" numFmtId="169" xfId="0" applyAlignment="1" applyFont="1" applyNumberFormat="1">
      <alignment readingOrder="0"/>
    </xf>
    <xf borderId="0" fillId="11" fontId="5" numFmtId="0" xfId="0" applyAlignment="1" applyFont="1">
      <alignment vertical="bottom"/>
    </xf>
    <xf borderId="0" fillId="0" fontId="27" numFmtId="0" xfId="0" applyAlignment="1" applyFont="1">
      <alignment horizontal="right" readingOrder="0" vertical="bottom"/>
    </xf>
    <xf borderId="0" fillId="0" fontId="27" numFmtId="0" xfId="0" applyAlignment="1" applyFont="1">
      <alignment horizontal="center" shrinkToFit="0" vertical="bottom" wrapText="1"/>
    </xf>
    <xf borderId="0" fillId="0" fontId="48" numFmtId="0" xfId="0" applyAlignment="1" applyFont="1">
      <alignment vertical="bottom"/>
    </xf>
    <xf borderId="0" fillId="0" fontId="48" numFmtId="0" xfId="0" applyAlignment="1" applyFont="1">
      <alignment horizontal="center" readingOrder="0" vertical="bottom"/>
    </xf>
    <xf borderId="0" fillId="0" fontId="48" numFmtId="0" xfId="0" applyAlignment="1" applyFont="1">
      <alignment horizontal="center" readingOrder="0" vertical="bottom"/>
    </xf>
    <xf borderId="0" fillId="0" fontId="76" numFmtId="0" xfId="0" applyAlignment="1" applyFont="1">
      <alignment readingOrder="0" shrinkToFit="0" vertical="bottom" wrapText="0"/>
    </xf>
    <xf borderId="3" fillId="11" fontId="48" numFmtId="0" xfId="0" applyAlignment="1" applyBorder="1" applyFont="1">
      <alignment vertical="bottom"/>
    </xf>
    <xf borderId="3" fillId="11" fontId="48" numFmtId="0" xfId="0" applyAlignment="1" applyBorder="1" applyFont="1">
      <alignment vertical="bottom"/>
    </xf>
    <xf borderId="0" fillId="0" fontId="20" numFmtId="165" xfId="0" applyAlignment="1" applyFont="1" applyNumberFormat="1">
      <alignment horizontal="right" vertical="bottom"/>
    </xf>
    <xf borderId="0" fillId="0" fontId="31" numFmtId="165" xfId="0" applyFont="1" applyNumberFormat="1"/>
    <xf borderId="0" fillId="0" fontId="31" numFmtId="165" xfId="0" applyFont="1" applyNumberFormat="1"/>
    <xf borderId="0" fillId="0" fontId="31" numFmtId="10" xfId="0" applyFont="1" applyNumberFormat="1"/>
    <xf borderId="0" fillId="11" fontId="70" numFmtId="0" xfId="0" applyAlignment="1" applyFont="1">
      <alignment vertical="bottom"/>
    </xf>
    <xf borderId="0" fillId="11" fontId="5" numFmtId="0" xfId="0" applyAlignment="1" applyFont="1">
      <alignment readingOrder="0" vertical="bottom"/>
    </xf>
    <xf borderId="0" fillId="0" fontId="27" numFmtId="165" xfId="0" applyAlignment="1" applyFont="1" applyNumberFormat="1">
      <alignment horizontal="right" vertical="bottom"/>
    </xf>
    <xf borderId="0" fillId="11" fontId="69" numFmtId="0" xfId="0" applyAlignment="1" applyFont="1">
      <alignment vertical="bottom"/>
    </xf>
    <xf borderId="0" fillId="11" fontId="48" numFmtId="0" xfId="0" applyAlignment="1" applyFont="1">
      <alignment vertical="bottom"/>
    </xf>
    <xf borderId="0" fillId="0" fontId="70" numFmtId="0" xfId="0" applyAlignment="1" applyFont="1">
      <alignment horizontal="center" vertical="bottom"/>
    </xf>
    <xf borderId="0" fillId="0" fontId="70" numFmtId="0" xfId="0" applyAlignment="1" applyFont="1">
      <alignment horizontal="right" vertical="bottom"/>
    </xf>
    <xf borderId="0" fillId="0" fontId="70" numFmtId="0" xfId="0" applyAlignment="1" applyFont="1">
      <alignment vertical="bottom"/>
    </xf>
    <xf borderId="0" fillId="0" fontId="48" numFmtId="165" xfId="0" applyAlignment="1" applyFont="1" applyNumberFormat="1">
      <alignment horizontal="right" vertical="bottom"/>
    </xf>
    <xf borderId="0" fillId="11" fontId="69" numFmtId="0" xfId="0" applyAlignment="1" applyFont="1">
      <alignment vertical="bottom"/>
    </xf>
    <xf borderId="0" fillId="0" fontId="70" numFmtId="0" xfId="0" applyAlignment="1" applyFont="1">
      <alignment horizontal="center" shrinkToFit="0" vertical="bottom" wrapText="1"/>
    </xf>
    <xf borderId="0" fillId="0" fontId="48" numFmtId="0" xfId="0" applyAlignment="1" applyFont="1">
      <alignment horizontal="center" vertical="bottom"/>
    </xf>
    <xf borderId="0" fillId="0" fontId="48" numFmtId="181" xfId="0" applyAlignment="1" applyFont="1" applyNumberFormat="1">
      <alignment horizontal="right" vertical="bottom"/>
    </xf>
    <xf borderId="0" fillId="0" fontId="48" numFmtId="0" xfId="0" applyAlignment="1" applyFont="1">
      <alignment readingOrder="0" vertical="bottom"/>
    </xf>
  </cellXfs>
  <cellStyles count="1">
    <cellStyle xfId="0" name="Normal" builtinId="0"/>
  </cellStyles>
  <dxfs count="11">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
      <font/>
      <fill>
        <patternFill patternType="solid">
          <fgColor rgb="FFB7B7B7"/>
          <bgColor rgb="FFB7B7B7"/>
        </patternFill>
      </fill>
      <border/>
    </dxf>
    <dxf>
      <font/>
      <fill>
        <patternFill patternType="solid">
          <fgColor rgb="FFF4CCCC"/>
          <bgColor rgb="FFF4CCCC"/>
        </patternFill>
      </fill>
      <border/>
    </dxf>
    <dxf>
      <font>
        <color rgb="FF999999"/>
      </font>
      <fill>
        <patternFill patternType="solid">
          <fgColor rgb="FFD9D9D9"/>
          <bgColor rgb="FFD9D9D9"/>
        </patternFill>
      </fill>
      <border/>
    </dxf>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6XOOB1oWse1ICbF0OVXUYtwWwpvG3mxAAQ6LYAAndQU/cop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givewell.org/files/DWDA%202009/Interventions/Global%20Burden%20of%20Disease%20and%20Risk%20Factors.pdf"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s://www.givewell.org/charities/malaria-consortium" TargetMode="External"/><Relationship Id="rId3" Type="http://schemas.openxmlformats.org/officeDocument/2006/relationships/drawing" Target="../drawings/drawing14.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s://docs.google.com/spreadsheets/d/1WkA7-aMh7gLHfYHy1ut0j61DpKtK9Fx0xkc9HthP6_U/edit?usp=sharing" TargetMode="External"/><Relationship Id="rId3" Type="http://schemas.openxmlformats.org/officeDocument/2006/relationships/drawing" Target="../drawings/drawing15.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hyperlink" Target="https://docs.google.com/spreadsheets/d/1TrPZOy-rhEYoml9ifm6HuSzSH9ByUOgs1yuwvLQjoj4/edit?usp=sharing" TargetMode="External"/><Relationship Id="rId3" Type="http://schemas.openxmlformats.org/officeDocument/2006/relationships/drawing" Target="../drawings/drawing16.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hyperlink" Target="https://docs.google.com/spreadsheets/d/1hyvHUcZWHqQEsQlVhfuXkVo_WSbAlhPWlaYeJxDSqLM/edit?usp=sharing" TargetMode="External"/><Relationship Id="rId3" Type="http://schemas.openxmlformats.org/officeDocument/2006/relationships/drawing" Target="../drawings/drawing17.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spreadsheets/d/1PlS0AhOXonUPZkkaPN6FsZ_nrU0K89RqAoT8Lx7ial0/edit?usp=sharing"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s://docs.google.com/spreadsheets/d/1ymEQh9qusm969SqF64k1cFiOdyqgpUmoefYtsOQfWxM/edit?usp=sharing" TargetMode="External"/><Relationship Id="rId3" Type="http://schemas.openxmlformats.org/officeDocument/2006/relationships/drawing" Target="../drawings/drawing19.xml"/><Relationship Id="rId4" Type="http://schemas.openxmlformats.org/officeDocument/2006/relationships/vmlDrawing" Target="../drawings/vmlDrawing17.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s://docs.google.com/spreadsheets/d/12dIOJZSHmkdTlNEFISBZXLC5OjjSmAtr_z1CkY0X2bA/edit?usp=sharing" TargetMode="External"/><Relationship Id="rId3" Type="http://schemas.openxmlformats.org/officeDocument/2006/relationships/drawing" Target="../drawings/drawing20.xml"/><Relationship Id="rId4" Type="http://schemas.openxmlformats.org/officeDocument/2006/relationships/vmlDrawing" Target="../drawings/vmlDrawing18.vm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spreadsheets/d/1wfI91xt-8XXkvd7CLGHJ_yv4OsNY9ZuXr0ursimAJ04/edit?usp=sharing"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ocs.google.com/spreadsheets/d/1t-s0qQQ3WaZ-vTHmvMxojuWrkx0T06RaQYNncQdSeCE/edit?usp=sharing" TargetMode="External"/><Relationship Id="rId2"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102.86"/>
  </cols>
  <sheetData>
    <row r="1" ht="22.5" customHeight="1">
      <c r="A1" s="1" t="s">
        <v>0</v>
      </c>
      <c r="B1" s="1"/>
    </row>
    <row r="2" ht="15.0" customHeight="1">
      <c r="A2" s="2"/>
      <c r="B2" s="2"/>
    </row>
    <row r="3" ht="15.0" customHeight="1">
      <c r="A3" s="3" t="s">
        <v>1</v>
      </c>
      <c r="B3" s="2"/>
    </row>
    <row r="4" ht="15.0" customHeight="1">
      <c r="A4" s="2"/>
      <c r="B4" s="2"/>
    </row>
    <row r="5" ht="143.25" customHeight="1">
      <c r="A5" s="4" t="s">
        <v>2</v>
      </c>
    </row>
    <row r="6" ht="15.0" customHeight="1">
      <c r="A6" s="4"/>
      <c r="B6" s="4"/>
    </row>
    <row r="7" ht="15.0" customHeight="1">
      <c r="A7" s="5" t="s">
        <v>3</v>
      </c>
      <c r="B7" s="6"/>
    </row>
    <row r="8" ht="15.0" customHeight="1">
      <c r="A8" s="7"/>
      <c r="B8" s="7"/>
    </row>
    <row r="9" ht="21.75" customHeight="1">
      <c r="A9" s="8" t="s">
        <v>4</v>
      </c>
      <c r="B9" s="7"/>
    </row>
    <row r="10" ht="15.0" customHeight="1">
      <c r="A10" s="9" t="s">
        <v>5</v>
      </c>
      <c r="B10" s="10"/>
    </row>
    <row r="11" ht="15.0" customHeight="1">
      <c r="A11" s="11" t="s">
        <v>6</v>
      </c>
      <c r="B11" s="10"/>
    </row>
    <row r="12" ht="15.0" customHeight="1">
      <c r="A12" s="7" t="s">
        <v>7</v>
      </c>
      <c r="B12" s="10"/>
    </row>
    <row r="13" ht="15.0" customHeight="1">
      <c r="A13" s="7"/>
      <c r="B13" s="10"/>
    </row>
    <row r="14" ht="21.0" customHeight="1">
      <c r="A14" s="12" t="s">
        <v>8</v>
      </c>
      <c r="B14" s="10"/>
    </row>
    <row r="15" ht="15.0" customHeight="1">
      <c r="A15" s="13" t="s">
        <v>9</v>
      </c>
      <c r="B15" s="14" t="s">
        <v>10</v>
      </c>
    </row>
    <row r="16" ht="15.0" customHeight="1">
      <c r="A16" s="15" t="s">
        <v>11</v>
      </c>
      <c r="B16" s="16" t="s">
        <v>12</v>
      </c>
    </row>
    <row r="17" ht="15.0" customHeight="1">
      <c r="A17" s="17" t="s">
        <v>13</v>
      </c>
      <c r="B17" s="18" t="s">
        <v>14</v>
      </c>
    </row>
    <row r="18" ht="15.0" customHeight="1">
      <c r="A18" s="19" t="s">
        <v>15</v>
      </c>
      <c r="B18" s="20" t="s">
        <v>16</v>
      </c>
    </row>
    <row r="19" ht="15.0" customHeight="1">
      <c r="A19" s="19" t="s">
        <v>17</v>
      </c>
      <c r="B19" s="20" t="s">
        <v>18</v>
      </c>
    </row>
    <row r="20" ht="15.0" customHeight="1">
      <c r="A20" s="21" t="s">
        <v>19</v>
      </c>
      <c r="B20" s="20" t="s">
        <v>20</v>
      </c>
    </row>
    <row r="21" ht="15.0" customHeight="1">
      <c r="A21" s="21" t="s">
        <v>21</v>
      </c>
      <c r="B21" s="20" t="s">
        <v>22</v>
      </c>
    </row>
    <row r="22" ht="15.0" customHeight="1">
      <c r="A22" s="21" t="s">
        <v>23</v>
      </c>
      <c r="B22" s="20" t="s">
        <v>24</v>
      </c>
    </row>
    <row r="23" ht="15.0" customHeight="1">
      <c r="A23" s="21" t="s">
        <v>25</v>
      </c>
      <c r="B23" s="20" t="s">
        <v>26</v>
      </c>
    </row>
    <row r="24" ht="15.0" customHeight="1">
      <c r="A24" s="21" t="s">
        <v>27</v>
      </c>
      <c r="B24" s="20" t="s">
        <v>28</v>
      </c>
    </row>
    <row r="25" ht="15.0" customHeight="1">
      <c r="A25" s="21" t="s">
        <v>29</v>
      </c>
      <c r="B25" s="20" t="s">
        <v>30</v>
      </c>
    </row>
    <row r="26" ht="15.0" customHeight="1">
      <c r="A26" s="22" t="s">
        <v>31</v>
      </c>
      <c r="B26" s="23" t="s">
        <v>32</v>
      </c>
    </row>
    <row r="27" ht="15.0" customHeight="1">
      <c r="A27" s="22" t="s">
        <v>33</v>
      </c>
      <c r="B27" s="23" t="s">
        <v>34</v>
      </c>
    </row>
    <row r="28" ht="15.0" customHeight="1">
      <c r="A28" s="24" t="s">
        <v>35</v>
      </c>
      <c r="B28" s="25" t="s">
        <v>36</v>
      </c>
    </row>
    <row r="29" ht="15.0" customHeight="1">
      <c r="A29" s="24" t="s">
        <v>37</v>
      </c>
      <c r="B29" s="25" t="s">
        <v>38</v>
      </c>
    </row>
    <row r="30" ht="15.0" customHeight="1">
      <c r="A30" s="24" t="s">
        <v>39</v>
      </c>
      <c r="B30" s="25" t="s">
        <v>40</v>
      </c>
    </row>
    <row r="31" ht="15.0" customHeight="1">
      <c r="A31" s="24" t="s">
        <v>41</v>
      </c>
      <c r="B31" s="25" t="s">
        <v>42</v>
      </c>
    </row>
    <row r="32" ht="15.0" customHeight="1">
      <c r="A32" s="24" t="s">
        <v>43</v>
      </c>
      <c r="B32" s="25" t="s">
        <v>44</v>
      </c>
    </row>
    <row r="33" ht="15.0" customHeight="1">
      <c r="A33" s="24" t="s">
        <v>45</v>
      </c>
      <c r="B33" s="25" t="s">
        <v>46</v>
      </c>
    </row>
    <row r="34" ht="15.0" customHeight="1">
      <c r="A34" s="24" t="s">
        <v>47</v>
      </c>
      <c r="B34" s="25" t="s">
        <v>48</v>
      </c>
    </row>
    <row r="35" ht="15.0" customHeight="1">
      <c r="A35" s="24" t="s">
        <v>49</v>
      </c>
      <c r="B35" s="25" t="s">
        <v>50</v>
      </c>
    </row>
    <row r="36" ht="15.0" customHeight="1">
      <c r="A36" s="10"/>
      <c r="B36" s="2"/>
    </row>
    <row r="37" ht="21.75" customHeight="1">
      <c r="A37" s="12" t="s">
        <v>51</v>
      </c>
      <c r="B37" s="2"/>
    </row>
    <row r="38" ht="15.0" customHeight="1">
      <c r="A38" s="26" t="str">
        <f>HYPERLINK("https://docs.google.com/document/d/1ZKq-MNU-xtn_48uN33L6VvBEZRAduvjwWMeaEffL4K4/","Guide to GiveWell cost-effectiveness analyses")</f>
        <v>Guide to GiveWell cost-effectiveness analyses</v>
      </c>
      <c r="B38" s="2"/>
    </row>
    <row r="39" ht="15.0" customHeight="1">
      <c r="A39" s="26" t="str">
        <f>HYPERLINK("http://www.givewell.org/charities/top-charities","Full reviews of our top charities")</f>
        <v>Full reviews of our top charities</v>
      </c>
      <c r="B39" s="2"/>
    </row>
    <row r="40" ht="15.0" customHeight="1">
      <c r="A40" s="26" t="str">
        <f>HYPERLINK("http://www.givewell.org/international/technical/criteria/cost-effectiveness/cost-effectiveness-models","Past versions of our cost-effectiveness analyses")</f>
        <v>Past versions of our cost-effectiveness analyses</v>
      </c>
      <c r="B40" s="2"/>
    </row>
    <row r="41" ht="15.0" customHeight="1">
      <c r="A41" s="26" t="str">
        <f>HYPERLINK("http://www.givewell.org/international/technical/criteria/cost-effectiveness","Discussion of cost-effectiveness as a criterion")</f>
        <v>Discussion of cost-effectiveness as a criterion</v>
      </c>
      <c r="B41" s="2"/>
    </row>
    <row r="42" ht="15.0" customHeight="1">
      <c r="A42" s="26" t="str">
        <f>HYPERLINK("http://www.givewell.org/international/technical/criteria/cost-effectiveness#MoreonGiveWellsviewsoncosteffectivenessestimates","Blog posts discussing cost-effectiveness")</f>
        <v>Blog posts discussing cost-effectiveness</v>
      </c>
      <c r="B42" s="2"/>
    </row>
  </sheetData>
  <mergeCells count="1">
    <mergeCell ref="A5:B5"/>
  </mergeCells>
  <hyperlinks>
    <hyperlink r:id="rId1" ref="A7"/>
    <hyperlink display="List of funding gaps" location="List of funding gaps!A1" ref="A15"/>
    <hyperlink display="Moral weights and discount rate" location="Moral weights and discount rate!A1" ref="A16"/>
    <hyperlink display="Results" location="Results!A1" ref="A17"/>
    <hyperlink display="AMF" location="AMF!A1" ref="A18"/>
    <hyperlink display="GiveDirectly" location="GiveDirectly!A1" ref="A19"/>
    <hyperlink display="Deworm the World" location="Deworm the World!A1" ref="A20"/>
    <hyperlink display="END Fund" location="END Fund!A1" ref="A21"/>
    <hyperlink display="SCI Foundation" location="SCI Foundation!A1" ref="A22"/>
    <hyperlink display="Sightsavers" location="Sightsavers!A1" ref="A23"/>
    <hyperlink display="Malaria Consortium" location="Malaria Consortium!A1" ref="A24"/>
    <hyperlink display="Helen Keller International" location="Helen Keller International!A1" ref="A25"/>
    <hyperlink display="Counterfactual non-philanthropic" location="Counterfactual non-philanthropi!A1" ref="A26"/>
    <hyperlink display="Inclusion/Exclusion" location="InclusionExclusion!A1" ref="A27"/>
    <hyperlink display="RFMF_AMF" location="RFMF_AMF!A1" ref="A28"/>
    <hyperlink display="RFMF_GD" location="RFMF_GD!A1" ref="A29"/>
    <hyperlink display="RFMF_DtW" location="RFMF_DtW!A1" ref="A30"/>
    <hyperlink display="RFMF_END" location="null!A1" ref="A31"/>
    <hyperlink display="RFMF_SCI" location="RFMF_SCI!A1" ref="A32"/>
    <hyperlink display="RFMF_Sightsavers" location="RFMF_Sightsavers!A1" ref="A33"/>
    <hyperlink display="RFMF_MC" location="RFMF_MC!A1" ref="A34"/>
    <hyperlink display="RFMF_HKI" location="RFMF_HKI!A1" ref="A3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7.29" defaultRowHeight="15.0" outlineLevelCol="1"/>
  <cols>
    <col customWidth="1" hidden="1" min="1" max="1" width="14.14" outlineLevel="1"/>
    <col customWidth="1" hidden="1" min="2" max="2" width="13.43" outlineLevel="1"/>
    <col customWidth="1" hidden="1" min="3" max="3" width="11.0" outlineLevel="1"/>
    <col customWidth="1" hidden="1" min="4" max="4" width="6.71" outlineLevel="1"/>
    <col customWidth="1" hidden="1" min="5" max="5" width="16.0" outlineLevel="1"/>
    <col customWidth="1" hidden="1" min="6" max="6" width="50.43" outlineLevel="1"/>
    <col collapsed="1" customWidth="1" min="7" max="7" width="73.57"/>
    <col customWidth="1" min="8" max="8" width="4.71"/>
    <col customWidth="1" min="9" max="12" width="8.14"/>
    <col customWidth="1" min="13" max="13" width="4.86"/>
    <col customWidth="1" min="14" max="14" width="15.86"/>
    <col customWidth="1" min="15" max="15" width="26.71"/>
    <col customWidth="1" min="16" max="16" width="43.29"/>
  </cols>
  <sheetData>
    <row r="1">
      <c r="A1" s="27" t="s">
        <v>52</v>
      </c>
      <c r="B1" s="27"/>
      <c r="C1" s="27"/>
      <c r="D1" s="27"/>
      <c r="E1" s="27"/>
      <c r="F1" s="28"/>
      <c r="G1" s="28"/>
      <c r="H1" s="28"/>
      <c r="I1" s="29" t="s">
        <v>53</v>
      </c>
      <c r="J1" s="30"/>
      <c r="K1" s="30"/>
      <c r="L1" s="30"/>
      <c r="M1" s="30"/>
      <c r="N1" s="31" t="s">
        <v>54</v>
      </c>
      <c r="O1" s="32"/>
      <c r="P1" s="33"/>
    </row>
    <row r="2" ht="41.25" customHeight="1">
      <c r="A2" s="28" t="s">
        <v>55</v>
      </c>
      <c r="B2" s="28" t="s">
        <v>56</v>
      </c>
      <c r="C2" s="28" t="s">
        <v>57</v>
      </c>
      <c r="D2" s="28" t="s">
        <v>58</v>
      </c>
      <c r="E2" s="28" t="s">
        <v>59</v>
      </c>
      <c r="F2" s="28" t="s">
        <v>60</v>
      </c>
      <c r="G2" s="34" t="s">
        <v>61</v>
      </c>
      <c r="H2" s="28" t="s">
        <v>62</v>
      </c>
      <c r="I2" s="30">
        <v>2021.0</v>
      </c>
      <c r="J2" s="30">
        <v>2022.0</v>
      </c>
      <c r="K2" s="30">
        <v>2023.0</v>
      </c>
      <c r="L2" s="30" t="s">
        <v>63</v>
      </c>
      <c r="M2" s="30" t="s">
        <v>64</v>
      </c>
      <c r="N2" s="35" t="s">
        <v>65</v>
      </c>
      <c r="O2" s="36" t="s">
        <v>66</v>
      </c>
      <c r="P2" s="37" t="s">
        <v>67</v>
      </c>
    </row>
    <row r="3">
      <c r="A3" s="38" t="s">
        <v>29</v>
      </c>
      <c r="B3" s="38" t="s">
        <v>29</v>
      </c>
      <c r="C3" s="38" t="s">
        <v>49</v>
      </c>
      <c r="D3" s="38">
        <v>6.0</v>
      </c>
      <c r="E3" s="38" t="s">
        <v>68</v>
      </c>
      <c r="F3" s="39" t="str">
        <f t="shared" ref="F3:F21" si="2">index(indirect(C3&amp;"!A:A"),match("Project",indirect(C3&amp;"!A:A"),0)+D3)</f>
        <v>Cameroon</v>
      </c>
      <c r="G3" s="39" t="str">
        <f t="shared" ref="G3:G31" si="3">A3&amp;": "&amp;F3</f>
        <v>Helen Keller International: Cameroon</v>
      </c>
      <c r="H3" t="str">
        <f t="shared" ref="H3:H31" si="4">if(countif(G:G,G3)&lt;&gt;1,"Error","OK")</f>
        <v>OK</v>
      </c>
      <c r="I3" s="40">
        <f t="shared" ref="I3:K3" si="1">index(indirect($C3&amp;"!$A$1:$Z$99"),match("Project",indirect($C3&amp;"!$A:$A"),0)+$D3,match(I$2,indirect($C3&amp;"!$9:$9"),0))</f>
        <v>1.35791719</v>
      </c>
      <c r="J3" s="40">
        <f t="shared" si="1"/>
        <v>1.214105</v>
      </c>
      <c r="K3" s="40">
        <f t="shared" si="1"/>
        <v>1.214105</v>
      </c>
      <c r="L3" s="40">
        <f t="shared" ref="L3:L31" si="6">sum(I3:K3)</f>
        <v>3.78612719</v>
      </c>
      <c r="M3" s="41" t="str">
        <f t="shared" ref="M3:M4" si="7">if(index(indirect($C3&amp;"!$A$1:$Z$99"),match("Project",indirect($C3&amp;"!$A:$A"),0)+D3,match("Total",indirect($C3&amp;"!$9:$9"),0))-L3=0,"OK","Error")</f>
        <v>OK</v>
      </c>
      <c r="N3" s="38" t="str">
        <f t="shared" ref="N3:N4" si="8">index(indirect($C3&amp;"!$A$1:$Z$99"),match($F3,indirect($C3&amp;"!$A:$A"),0),match("Expansion or extension?",indirect($C3&amp;"!$9:9"),0))</f>
        <v>Expansion</v>
      </c>
      <c r="O3" s="42">
        <f t="shared" ref="O3:O21" si="9">if(E3="Assess qualitatively","Assess qualitatively",ifna(index(indirect(B3&amp;"!b$"&amp;match("Cost-effectiveness in multiples of cash transfers, after accounting for leverage/funging",indirect(B3&amp;"!A:A"),0)&amp;":$xxx$"&amp;match("Cost-effectiveness in multiples of cash transfers, after accounting for leverage/funging",indirect(B3&amp;"!A:A"),0)),,match(E3,indirect(B3&amp;"!$b$1:$xxx$1"),0)),"'"&amp;E3&amp;"' not found in CEA"))</f>
        <v>15.26051955</v>
      </c>
      <c r="P3" s="38" t="s">
        <v>69</v>
      </c>
    </row>
    <row r="4">
      <c r="A4" s="38" t="s">
        <v>25</v>
      </c>
      <c r="B4" s="38" t="s">
        <v>25</v>
      </c>
      <c r="C4" s="38" t="s">
        <v>45</v>
      </c>
      <c r="D4" s="38">
        <v>3.0</v>
      </c>
      <c r="E4" s="38" t="s">
        <v>70</v>
      </c>
      <c r="F4" s="39" t="str">
        <f t="shared" si="2"/>
        <v>Chad</v>
      </c>
      <c r="G4" s="39" t="str">
        <f t="shared" si="3"/>
        <v>Sightsavers: Chad</v>
      </c>
      <c r="H4" t="str">
        <f t="shared" si="4"/>
        <v>OK</v>
      </c>
      <c r="I4" s="40">
        <f t="shared" ref="I4:K4" si="5">index(indirect($C4&amp;"!$A$1:$Z$99"),match("Project",indirect($C4&amp;"!$A:$A"),0)+$D4,match(I$2,indirect($C4&amp;"!$9:$9"),0))</f>
        <v>2.581100114</v>
      </c>
      <c r="J4" s="40">
        <f t="shared" si="5"/>
        <v>0.9999736071</v>
      </c>
      <c r="K4" s="40">
        <f t="shared" si="5"/>
        <v>1.803005462</v>
      </c>
      <c r="L4" s="40">
        <f t="shared" si="6"/>
        <v>5.384079182</v>
      </c>
      <c r="M4" s="41" t="str">
        <f t="shared" si="7"/>
        <v>OK</v>
      </c>
      <c r="N4" s="38" t="str">
        <f t="shared" si="8"/>
        <v>Expansion</v>
      </c>
      <c r="O4" s="42">
        <f t="shared" si="9"/>
        <v>14.13786223</v>
      </c>
      <c r="P4" s="38" t="s">
        <v>69</v>
      </c>
    </row>
    <row r="5">
      <c r="A5" s="38" t="s">
        <v>71</v>
      </c>
      <c r="B5" s="38" t="s">
        <v>15</v>
      </c>
      <c r="C5" s="39" t="s">
        <v>35</v>
      </c>
      <c r="D5" s="38">
        <v>1.0</v>
      </c>
      <c r="E5" s="38" t="s">
        <v>72</v>
      </c>
      <c r="F5" s="39" t="str">
        <f t="shared" si="2"/>
        <v>Current countries of operation, distributions in 2021-23</v>
      </c>
      <c r="G5" s="39" t="str">
        <f t="shared" si="3"/>
        <v>Against Malaria Foundation: Current countries of operation, distributions in 2021-23</v>
      </c>
      <c r="H5" t="str">
        <f t="shared" si="4"/>
        <v>OK</v>
      </c>
      <c r="I5" s="40">
        <f t="shared" ref="I5:K5" si="10">index(indirect($C5&amp;"!$A$1:$Z$99"),match("Project",indirect($C5&amp;"!$A:$A"),0)+$D5,match(I$2,indirect($C5&amp;"!$11:$11"),0))</f>
        <v>0</v>
      </c>
      <c r="J5" s="40">
        <f t="shared" si="10"/>
        <v>0</v>
      </c>
      <c r="K5" s="40">
        <f t="shared" si="10"/>
        <v>37.80389109</v>
      </c>
      <c r="L5" s="40">
        <f t="shared" si="6"/>
        <v>37.80389109</v>
      </c>
      <c r="M5" s="41" t="str">
        <f t="array" ref="M5">if(index(indirect($C5&amp;"!$A$1:$Z$99"),match("Project",indirect($C5&amp;"!$A:$A"),0)+D5,match("Total",indirect($C5&amp;"!$11:$11"),0))-L5=0,"OK","Error")</f>
        <v>OK</v>
      </c>
      <c r="N5" s="38" t="str">
        <f t="array" ref="N5">index(indirect($C5&amp;"!$A$1:$Z$99"),match($F5,indirect($C5&amp;"!$A:$A"),0),match("Expansion or extension?",indirect($C5&amp;"!$11:11"),0))</f>
        <v>Extension</v>
      </c>
      <c r="O5" s="41">
        <f t="shared" si="9"/>
        <v>15.43791559</v>
      </c>
      <c r="P5" s="38" t="s">
        <v>69</v>
      </c>
    </row>
    <row r="6">
      <c r="A6" s="38" t="s">
        <v>29</v>
      </c>
      <c r="B6" s="38" t="s">
        <v>29</v>
      </c>
      <c r="C6" s="38" t="s">
        <v>49</v>
      </c>
      <c r="D6" s="38">
        <v>5.0</v>
      </c>
      <c r="E6" s="38" t="s">
        <v>73</v>
      </c>
      <c r="F6" s="39" t="str">
        <f t="shared" si="2"/>
        <v>Kenya</v>
      </c>
      <c r="G6" s="39" t="str">
        <f t="shared" si="3"/>
        <v>Helen Keller International: Kenya</v>
      </c>
      <c r="H6" t="str">
        <f t="shared" si="4"/>
        <v>OK</v>
      </c>
      <c r="I6" s="40">
        <f t="shared" ref="I6:K6" si="11">index(indirect($C6&amp;"!$A$1:$Z$99"),match("Project",indirect($C6&amp;"!$A:$A"),0)+$D6,match(I$2,indirect($C6&amp;"!$9:$9"),0))</f>
        <v>1.29613161</v>
      </c>
      <c r="J6" s="40">
        <f t="shared" si="11"/>
        <v>1.125</v>
      </c>
      <c r="K6" s="40">
        <f t="shared" si="11"/>
        <v>1.125</v>
      </c>
      <c r="L6" s="40">
        <f t="shared" si="6"/>
        <v>3.54613161</v>
      </c>
      <c r="M6" s="41" t="str">
        <f t="shared" ref="M6:M31" si="13">if(index(indirect($C6&amp;"!$A$1:$Z$99"),match("Project",indirect($C6&amp;"!$A:$A"),0)+D6,match("Total",indirect($C6&amp;"!$9:$9"),0))-L6=0,"OK","Error")</f>
        <v>OK</v>
      </c>
      <c r="N6" s="38" t="str">
        <f t="shared" ref="N6:N31" si="14">index(indirect($C6&amp;"!$A$1:$Z$99"),match($F6,indirect($C6&amp;"!$A:$A"),0),match("Expansion or extension?",indirect($C6&amp;"!$9:9"),0))</f>
        <v>Expansion</v>
      </c>
      <c r="O6" s="41">
        <f t="shared" si="9"/>
        <v>10.3220314</v>
      </c>
      <c r="P6" s="38" t="s">
        <v>69</v>
      </c>
    </row>
    <row r="7">
      <c r="A7" s="38" t="s">
        <v>27</v>
      </c>
      <c r="B7" s="38" t="s">
        <v>27</v>
      </c>
      <c r="C7" s="39" t="s">
        <v>47</v>
      </c>
      <c r="D7" s="38">
        <v>2.0</v>
      </c>
      <c r="E7" s="38" t="s">
        <v>74</v>
      </c>
      <c r="F7" s="39" t="str">
        <f t="shared" si="2"/>
        <v>Maintain 2020 scale in Burkina Faso in 2023</v>
      </c>
      <c r="G7" s="39" t="str">
        <f t="shared" si="3"/>
        <v>Malaria Consortium: Maintain 2020 scale in Burkina Faso in 2023</v>
      </c>
      <c r="H7" t="str">
        <f t="shared" si="4"/>
        <v>OK</v>
      </c>
      <c r="I7" s="40" t="str">
        <f t="shared" ref="I7:K7" si="12">index(indirect($C7&amp;"!$A$1:$Z$99"),match("Project",indirect($C7&amp;"!$A:$A"),0)+$D7,match(I$2,indirect($C7&amp;"!$9:$9"),0))</f>
        <v>-</v>
      </c>
      <c r="J7" s="40" t="str">
        <f t="shared" si="12"/>
        <v>-</v>
      </c>
      <c r="K7" s="40">
        <f t="shared" si="12"/>
        <v>8.024466449</v>
      </c>
      <c r="L7" s="40">
        <f t="shared" si="6"/>
        <v>8.024466449</v>
      </c>
      <c r="M7" s="41" t="str">
        <f t="shared" si="13"/>
        <v>OK</v>
      </c>
      <c r="N7" s="38" t="str">
        <f t="shared" si="14"/>
        <v>Extension</v>
      </c>
      <c r="O7" s="41">
        <f t="shared" si="9"/>
        <v>20.48279489</v>
      </c>
      <c r="P7" s="38" t="s">
        <v>69</v>
      </c>
    </row>
    <row r="8">
      <c r="A8" s="38" t="s">
        <v>27</v>
      </c>
      <c r="B8" s="38" t="s">
        <v>27</v>
      </c>
      <c r="C8" s="39" t="s">
        <v>47</v>
      </c>
      <c r="D8" s="38">
        <v>6.0</v>
      </c>
      <c r="E8" s="38" t="s">
        <v>74</v>
      </c>
      <c r="F8" s="39" t="str">
        <f t="shared" si="2"/>
        <v>Maintain 2021 expansion in Burkina Faso in 2023</v>
      </c>
      <c r="G8" s="39" t="str">
        <f t="shared" si="3"/>
        <v>Malaria Consortium: Maintain 2021 expansion in Burkina Faso in 2023</v>
      </c>
      <c r="H8" t="str">
        <f t="shared" si="4"/>
        <v>OK</v>
      </c>
      <c r="I8" s="40" t="str">
        <f t="shared" ref="I8:K8" si="15">index(indirect($C8&amp;"!$A$1:$Z$99"),match("Project",indirect($C8&amp;"!$A:$A"),0)+$D8,match(I$2,indirect($C8&amp;"!$9:$9"),0))</f>
        <v>-</v>
      </c>
      <c r="J8" s="40" t="str">
        <f t="shared" si="15"/>
        <v>-</v>
      </c>
      <c r="K8" s="40">
        <f t="shared" si="15"/>
        <v>0.7914645732</v>
      </c>
      <c r="L8" s="40">
        <f t="shared" si="6"/>
        <v>0.7914645732</v>
      </c>
      <c r="M8" s="41" t="str">
        <f t="shared" si="13"/>
        <v>OK</v>
      </c>
      <c r="N8" s="38" t="str">
        <f t="shared" si="14"/>
        <v>Extension of expansion</v>
      </c>
      <c r="O8" s="41">
        <f t="shared" si="9"/>
        <v>20.48279489</v>
      </c>
      <c r="P8" s="38" t="s">
        <v>69</v>
      </c>
    </row>
    <row r="9">
      <c r="A9" s="38" t="s">
        <v>27</v>
      </c>
      <c r="B9" s="38" t="s">
        <v>27</v>
      </c>
      <c r="C9" s="39" t="s">
        <v>47</v>
      </c>
      <c r="D9" s="38">
        <v>4.0</v>
      </c>
      <c r="E9" s="38" t="s">
        <v>75</v>
      </c>
      <c r="F9" s="39" t="str">
        <f t="shared" si="2"/>
        <v>Maintain 2020 scale in Nigeria in 2023</v>
      </c>
      <c r="G9" s="39" t="str">
        <f t="shared" si="3"/>
        <v>Malaria Consortium: Maintain 2020 scale in Nigeria in 2023</v>
      </c>
      <c r="H9" t="str">
        <f t="shared" si="4"/>
        <v>OK</v>
      </c>
      <c r="I9" s="40" t="str">
        <f t="shared" ref="I9:K9" si="16">index(indirect($C9&amp;"!$A$1:$Z$99"),match("Project",indirect($C9&amp;"!$A:$A"),0)+$D9,match(I$2,indirect($C9&amp;"!$9:$9"),0))</f>
        <v>-</v>
      </c>
      <c r="J9" s="40" t="str">
        <f t="shared" si="16"/>
        <v>-</v>
      </c>
      <c r="K9" s="40">
        <f t="shared" si="16"/>
        <v>19.75993208</v>
      </c>
      <c r="L9" s="40">
        <f t="shared" si="6"/>
        <v>19.75993208</v>
      </c>
      <c r="M9" s="41" t="str">
        <f t="shared" si="13"/>
        <v>OK</v>
      </c>
      <c r="N9" s="38" t="str">
        <f t="shared" si="14"/>
        <v>Extension</v>
      </c>
      <c r="O9" s="41">
        <f t="shared" si="9"/>
        <v>14.20901498</v>
      </c>
      <c r="P9" s="38" t="s">
        <v>69</v>
      </c>
    </row>
    <row r="10">
      <c r="A10" s="38" t="s">
        <v>27</v>
      </c>
      <c r="B10" s="38" t="s">
        <v>27</v>
      </c>
      <c r="C10" s="39" t="s">
        <v>47</v>
      </c>
      <c r="D10" s="38">
        <v>8.0</v>
      </c>
      <c r="E10" s="38" t="s">
        <v>75</v>
      </c>
      <c r="F10" s="39" t="str">
        <f t="shared" si="2"/>
        <v>Maintain 2021 expansion in Nigeria in 2023</v>
      </c>
      <c r="G10" s="39" t="str">
        <f t="shared" si="3"/>
        <v>Malaria Consortium: Maintain 2021 expansion in Nigeria in 2023</v>
      </c>
      <c r="H10" t="str">
        <f t="shared" si="4"/>
        <v>OK</v>
      </c>
      <c r="I10" s="40" t="str">
        <f t="shared" ref="I10:K10" si="17">index(indirect($C10&amp;"!$A$1:$Z$99"),match("Project",indirect($C10&amp;"!$A:$A"),0)+$D10,match(I$2,indirect($C10&amp;"!$9:$9"),0))</f>
        <v>-</v>
      </c>
      <c r="J10" s="40" t="str">
        <f t="shared" si="17"/>
        <v>-</v>
      </c>
      <c r="K10" s="40">
        <f t="shared" si="17"/>
        <v>5.655587185</v>
      </c>
      <c r="L10" s="40">
        <f t="shared" si="6"/>
        <v>5.655587185</v>
      </c>
      <c r="M10" s="41" t="str">
        <f t="shared" si="13"/>
        <v>OK</v>
      </c>
      <c r="N10" s="38" t="str">
        <f t="shared" si="14"/>
        <v>Extension of expansion</v>
      </c>
      <c r="O10" s="41">
        <f t="shared" si="9"/>
        <v>14.20901498</v>
      </c>
      <c r="P10" s="38" t="s">
        <v>69</v>
      </c>
    </row>
    <row r="11">
      <c r="A11" s="38" t="s">
        <v>27</v>
      </c>
      <c r="B11" s="38" t="s">
        <v>27</v>
      </c>
      <c r="C11" s="39" t="s">
        <v>47</v>
      </c>
      <c r="D11" s="38">
        <v>5.0</v>
      </c>
      <c r="E11" s="38" t="s">
        <v>76</v>
      </c>
      <c r="F11" s="39" t="str">
        <f t="shared" si="2"/>
        <v>Maintain 2020 scale in Togo in 2023</v>
      </c>
      <c r="G11" s="39" t="str">
        <f t="shared" si="3"/>
        <v>Malaria Consortium: Maintain 2020 scale in Togo in 2023</v>
      </c>
      <c r="H11" t="str">
        <f t="shared" si="4"/>
        <v>OK</v>
      </c>
      <c r="I11" s="40" t="str">
        <f t="shared" ref="I11:K11" si="18">index(indirect($C11&amp;"!$A$1:$Z$99"),match("Project",indirect($C11&amp;"!$A:$A"),0)+$D11,match(I$2,indirect($C11&amp;"!$9:$9"),0))</f>
        <v>-</v>
      </c>
      <c r="J11" s="40" t="str">
        <f t="shared" si="18"/>
        <v>-</v>
      </c>
      <c r="K11" s="40">
        <f t="shared" si="18"/>
        <v>2.083888122</v>
      </c>
      <c r="L11" s="40">
        <f t="shared" si="6"/>
        <v>2.083888122</v>
      </c>
      <c r="M11" s="41" t="str">
        <f t="shared" si="13"/>
        <v>OK</v>
      </c>
      <c r="N11" s="38" t="str">
        <f t="shared" si="14"/>
        <v>Extension</v>
      </c>
      <c r="O11" s="41">
        <f t="shared" si="9"/>
        <v>11.77351092</v>
      </c>
      <c r="P11" s="38" t="s">
        <v>69</v>
      </c>
    </row>
    <row r="12">
      <c r="A12" s="38" t="s">
        <v>23</v>
      </c>
      <c r="B12" s="38" t="s">
        <v>23</v>
      </c>
      <c r="C12" s="38" t="s">
        <v>43</v>
      </c>
      <c r="D12" s="38">
        <v>1.0</v>
      </c>
      <c r="E12" s="38" t="s">
        <v>72</v>
      </c>
      <c r="F12" s="39" t="str">
        <f t="shared" si="2"/>
        <v>Maintenance of 2021 scale</v>
      </c>
      <c r="G12" s="39" t="str">
        <f t="shared" si="3"/>
        <v>SCI Foundation: Maintenance of 2021 scale</v>
      </c>
      <c r="H12" t="str">
        <f t="shared" si="4"/>
        <v>OK</v>
      </c>
      <c r="I12" s="40">
        <f t="shared" ref="I12:K12" si="19">index(indirect($C12&amp;"!$A$1:$Z$99"),match("Project",indirect($C12&amp;"!$A:$A"),0)+$D12,match(I$2,indirect($C12&amp;"!$9:$9"),0))</f>
        <v>0</v>
      </c>
      <c r="J12" s="40">
        <f t="shared" si="19"/>
        <v>0</v>
      </c>
      <c r="K12" s="40">
        <f t="shared" si="19"/>
        <v>10.12794527</v>
      </c>
      <c r="L12" s="40">
        <f t="shared" si="6"/>
        <v>10.12794527</v>
      </c>
      <c r="M12" s="41" t="str">
        <f t="shared" si="13"/>
        <v>OK</v>
      </c>
      <c r="N12" s="38" t="str">
        <f t="shared" si="14"/>
        <v>Extension</v>
      </c>
      <c r="O12" s="42">
        <f t="shared" si="9"/>
        <v>9.88627329</v>
      </c>
      <c r="P12" s="38" t="s">
        <v>69</v>
      </c>
    </row>
    <row r="13">
      <c r="A13" s="38" t="s">
        <v>23</v>
      </c>
      <c r="B13" s="38" t="s">
        <v>23</v>
      </c>
      <c r="C13" s="38" t="s">
        <v>43</v>
      </c>
      <c r="D13" s="38">
        <v>2.0</v>
      </c>
      <c r="E13" s="38" t="s">
        <v>72</v>
      </c>
      <c r="F13" s="39" t="str">
        <f t="shared" si="2"/>
        <v>Expansion in 2022</v>
      </c>
      <c r="G13" s="39" t="str">
        <f t="shared" si="3"/>
        <v>SCI Foundation: Expansion in 2022</v>
      </c>
      <c r="H13" t="str">
        <f t="shared" si="4"/>
        <v>OK</v>
      </c>
      <c r="I13" s="40">
        <f t="shared" ref="I13:K13" si="20">index(indirect($C13&amp;"!$A$1:$Z$99"),match("Project",indirect($C13&amp;"!$A:$A"),0)+$D13,match(I$2,indirect($C13&amp;"!$9:$9"),0))</f>
        <v>0</v>
      </c>
      <c r="J13" s="40">
        <f t="shared" si="20"/>
        <v>5.932825688</v>
      </c>
      <c r="K13" s="40">
        <f t="shared" si="20"/>
        <v>0</v>
      </c>
      <c r="L13" s="40">
        <f t="shared" si="6"/>
        <v>5.932825688</v>
      </c>
      <c r="M13" s="41" t="str">
        <f t="shared" si="13"/>
        <v>OK</v>
      </c>
      <c r="N13" s="38" t="str">
        <f t="shared" si="14"/>
        <v>Expansion</v>
      </c>
      <c r="O13" s="42">
        <f t="shared" si="9"/>
        <v>9.88627329</v>
      </c>
      <c r="P13" s="38" t="s">
        <v>69</v>
      </c>
    </row>
    <row r="14">
      <c r="A14" s="38" t="s">
        <v>23</v>
      </c>
      <c r="B14" s="38" t="s">
        <v>23</v>
      </c>
      <c r="C14" s="38" t="s">
        <v>43</v>
      </c>
      <c r="D14" s="38">
        <v>3.0</v>
      </c>
      <c r="E14" s="38" t="s">
        <v>72</v>
      </c>
      <c r="F14" s="39" t="str">
        <f t="shared" si="2"/>
        <v>Maintenance of 2022 expansion</v>
      </c>
      <c r="G14" s="39" t="str">
        <f t="shared" si="3"/>
        <v>SCI Foundation: Maintenance of 2022 expansion</v>
      </c>
      <c r="H14" t="str">
        <f t="shared" si="4"/>
        <v>OK</v>
      </c>
      <c r="I14" s="40">
        <f t="shared" ref="I14:K14" si="21">index(indirect($C14&amp;"!$A$1:$Z$99"),match("Project",indirect($C14&amp;"!$A:$A"),0)+$D14,match(I$2,indirect($C14&amp;"!$9:$9"),0))</f>
        <v>0</v>
      </c>
      <c r="J14" s="40">
        <f t="shared" si="21"/>
        <v>0</v>
      </c>
      <c r="K14" s="40">
        <f t="shared" si="21"/>
        <v>5.327941173</v>
      </c>
      <c r="L14" s="40">
        <f t="shared" si="6"/>
        <v>5.327941173</v>
      </c>
      <c r="M14" s="41" t="str">
        <f t="shared" si="13"/>
        <v>OK</v>
      </c>
      <c r="N14" s="38" t="str">
        <f t="shared" si="14"/>
        <v>Extension</v>
      </c>
      <c r="O14" s="42">
        <f t="shared" si="9"/>
        <v>9.88627329</v>
      </c>
      <c r="P14" s="38" t="s">
        <v>69</v>
      </c>
    </row>
    <row r="15">
      <c r="A15" s="38" t="s">
        <v>23</v>
      </c>
      <c r="B15" s="38" t="s">
        <v>23</v>
      </c>
      <c r="C15" s="38" t="s">
        <v>43</v>
      </c>
      <c r="D15" s="38">
        <v>4.0</v>
      </c>
      <c r="E15" s="38" t="s">
        <v>72</v>
      </c>
      <c r="F15" s="39" t="str">
        <f t="shared" si="2"/>
        <v>Expansion in 2023</v>
      </c>
      <c r="G15" s="39" t="str">
        <f t="shared" si="3"/>
        <v>SCI Foundation: Expansion in 2023</v>
      </c>
      <c r="H15" t="str">
        <f t="shared" si="4"/>
        <v>OK</v>
      </c>
      <c r="I15" s="40">
        <f t="shared" ref="I15:K15" si="22">index(indirect($C15&amp;"!$A$1:$Z$99"),match("Project",indirect($C15&amp;"!$A:$A"),0)+$D15,match(I$2,indirect($C15&amp;"!$9:$9"),0))</f>
        <v>0</v>
      </c>
      <c r="J15" s="40">
        <f t="shared" si="22"/>
        <v>0</v>
      </c>
      <c r="K15" s="40">
        <f t="shared" si="22"/>
        <v>1.497659985</v>
      </c>
      <c r="L15" s="40">
        <f t="shared" si="6"/>
        <v>1.497659985</v>
      </c>
      <c r="M15" s="41" t="str">
        <f t="shared" si="13"/>
        <v>OK</v>
      </c>
      <c r="N15" s="38" t="str">
        <f t="shared" si="14"/>
        <v>Expansion</v>
      </c>
      <c r="O15" s="42">
        <f t="shared" si="9"/>
        <v>9.88627329</v>
      </c>
      <c r="P15" s="38" t="s">
        <v>69</v>
      </c>
    </row>
    <row r="16">
      <c r="A16" s="38" t="s">
        <v>25</v>
      </c>
      <c r="B16" s="38" t="s">
        <v>25</v>
      </c>
      <c r="C16" s="38" t="s">
        <v>45</v>
      </c>
      <c r="D16" s="38">
        <v>1.0</v>
      </c>
      <c r="E16" s="38" t="s">
        <v>77</v>
      </c>
      <c r="F16" s="39" t="str">
        <f t="shared" si="2"/>
        <v>Senegal</v>
      </c>
      <c r="G16" s="39" t="str">
        <f t="shared" si="3"/>
        <v>Sightsavers: Senegal</v>
      </c>
      <c r="H16" t="str">
        <f t="shared" si="4"/>
        <v>OK</v>
      </c>
      <c r="I16" s="40">
        <f t="shared" ref="I16:K16" si="23">index(indirect($C16&amp;"!$A$1:$Z$99"),match("Project",indirect($C16&amp;"!$A:$A"),0)+$D16,match(I$2,indirect($C16&amp;"!$9:$9"),0))</f>
        <v>0.3416582934</v>
      </c>
      <c r="J16" s="40">
        <f t="shared" si="23"/>
        <v>0.4335517963</v>
      </c>
      <c r="K16" s="40">
        <f t="shared" si="23"/>
        <v>0.5211497774</v>
      </c>
      <c r="L16" s="40">
        <f t="shared" si="6"/>
        <v>1.296359867</v>
      </c>
      <c r="M16" s="41" t="str">
        <f t="shared" si="13"/>
        <v>OK</v>
      </c>
      <c r="N16" s="38" t="str">
        <f t="shared" si="14"/>
        <v>Expansion</v>
      </c>
      <c r="O16" s="42">
        <f t="shared" si="9"/>
        <v>3.509179925</v>
      </c>
      <c r="P16" s="38" t="s">
        <v>69</v>
      </c>
    </row>
    <row r="17">
      <c r="A17" s="38" t="s">
        <v>25</v>
      </c>
      <c r="B17" s="38" t="s">
        <v>25</v>
      </c>
      <c r="C17" s="38" t="s">
        <v>45</v>
      </c>
      <c r="D17" s="38">
        <v>2.0</v>
      </c>
      <c r="E17" s="38" t="s">
        <v>78</v>
      </c>
      <c r="F17" s="39" t="str">
        <f t="shared" si="2"/>
        <v>Nigeria impact assessment surveys</v>
      </c>
      <c r="G17" s="39" t="str">
        <f t="shared" si="3"/>
        <v>Sightsavers: Nigeria impact assessment surveys</v>
      </c>
      <c r="H17" t="str">
        <f t="shared" si="4"/>
        <v>OK</v>
      </c>
      <c r="I17" s="40">
        <f t="shared" ref="I17:K17" si="24">index(indirect($C17&amp;"!$A$1:$Z$99"),match("Project",indirect($C17&amp;"!$A:$A"),0)+$D17,match(I$2,indirect($C17&amp;"!$9:$9"),0))</f>
        <v>0.5593975047</v>
      </c>
      <c r="J17" s="40">
        <f t="shared" si="24"/>
        <v>0.2159576039</v>
      </c>
      <c r="K17" s="40">
        <f t="shared" si="24"/>
        <v>0.1456687839</v>
      </c>
      <c r="L17" s="40">
        <f t="shared" si="6"/>
        <v>0.9210238924</v>
      </c>
      <c r="M17" s="41" t="str">
        <f t="shared" si="13"/>
        <v>OK</v>
      </c>
      <c r="N17" s="38" t="str">
        <f t="shared" si="14"/>
        <v>N/A</v>
      </c>
      <c r="O17" s="42" t="str">
        <f t="shared" si="9"/>
        <v>Assess qualitatively</v>
      </c>
      <c r="P17" s="38" t="s">
        <v>69</v>
      </c>
    </row>
    <row r="18">
      <c r="A18" s="38" t="s">
        <v>29</v>
      </c>
      <c r="B18" s="38" t="s">
        <v>29</v>
      </c>
      <c r="C18" s="38" t="s">
        <v>49</v>
      </c>
      <c r="D18" s="38">
        <v>1.0</v>
      </c>
      <c r="E18" s="38" t="s">
        <v>75</v>
      </c>
      <c r="F18" s="39" t="str">
        <f t="shared" si="2"/>
        <v>Nigeria - Niger state</v>
      </c>
      <c r="G18" s="39" t="str">
        <f t="shared" si="3"/>
        <v>Helen Keller International: Nigeria - Niger state</v>
      </c>
      <c r="H18" t="str">
        <f t="shared" si="4"/>
        <v>OK</v>
      </c>
      <c r="I18" s="40">
        <f t="shared" ref="I18:K18" si="25">index(indirect($C18&amp;"!$A$1:$Z$99"),match("Project",indirect($C18&amp;"!$A:$A"),0)+$D18,match(I$2,indirect($C18&amp;"!$9:$9"),0))</f>
        <v>0</v>
      </c>
      <c r="J18" s="40">
        <f t="shared" si="25"/>
        <v>1.016646</v>
      </c>
      <c r="K18" s="40">
        <f t="shared" si="25"/>
        <v>1.016646</v>
      </c>
      <c r="L18" s="40">
        <f t="shared" si="6"/>
        <v>2.033292</v>
      </c>
      <c r="M18" s="41" t="str">
        <f t="shared" si="13"/>
        <v>OK</v>
      </c>
      <c r="N18" s="38" t="str">
        <f t="shared" si="14"/>
        <v>Expansion</v>
      </c>
      <c r="O18" s="41">
        <f t="shared" si="9"/>
        <v>25.23301191</v>
      </c>
      <c r="P18" s="38" t="s">
        <v>79</v>
      </c>
    </row>
    <row r="19">
      <c r="A19" s="38" t="s">
        <v>29</v>
      </c>
      <c r="B19" s="38" t="s">
        <v>29</v>
      </c>
      <c r="C19" s="38" t="s">
        <v>49</v>
      </c>
      <c r="D19" s="38">
        <v>2.0</v>
      </c>
      <c r="E19" s="38" t="s">
        <v>75</v>
      </c>
      <c r="F19" s="39" t="str">
        <f t="shared" si="2"/>
        <v>Nigeria - Plateau state</v>
      </c>
      <c r="G19" s="39" t="str">
        <f t="shared" si="3"/>
        <v>Helen Keller International: Nigeria - Plateau state</v>
      </c>
      <c r="H19" t="str">
        <f t="shared" si="4"/>
        <v>OK</v>
      </c>
      <c r="I19" s="40">
        <f t="shared" ref="I19:K19" si="26">index(indirect($C19&amp;"!$A$1:$Z$99"),match("Project",indirect($C19&amp;"!$A:$A"),0)+$D19,match(I$2,indirect($C19&amp;"!$9:$9"),0))</f>
        <v>0</v>
      </c>
      <c r="J19" s="40">
        <f t="shared" si="26"/>
        <v>0.769566</v>
      </c>
      <c r="K19" s="40">
        <f t="shared" si="26"/>
        <v>0.769566</v>
      </c>
      <c r="L19" s="40">
        <f t="shared" si="6"/>
        <v>1.539132</v>
      </c>
      <c r="M19" s="41" t="str">
        <f t="shared" si="13"/>
        <v>OK</v>
      </c>
      <c r="N19" s="38" t="str">
        <f t="shared" si="14"/>
        <v>Expansion</v>
      </c>
      <c r="O19" s="41">
        <f t="shared" si="9"/>
        <v>25.23301191</v>
      </c>
      <c r="P19" s="38" t="s">
        <v>79</v>
      </c>
    </row>
    <row r="20">
      <c r="A20" s="38" t="s">
        <v>29</v>
      </c>
      <c r="B20" s="38" t="s">
        <v>29</v>
      </c>
      <c r="C20" s="38" t="s">
        <v>49</v>
      </c>
      <c r="D20" s="38">
        <v>3.0</v>
      </c>
      <c r="E20" s="38" t="s">
        <v>75</v>
      </c>
      <c r="F20" s="39" t="str">
        <f t="shared" si="2"/>
        <v>Nigeria - Akwa Ibom state</v>
      </c>
      <c r="G20" s="39" t="str">
        <f t="shared" si="3"/>
        <v>Helen Keller International: Nigeria - Akwa Ibom state</v>
      </c>
      <c r="H20" t="str">
        <f t="shared" si="4"/>
        <v>OK</v>
      </c>
      <c r="I20" s="40">
        <f t="shared" ref="I20:K20" si="27">index(indirect($C20&amp;"!$A$1:$Z$99"),match("Project",indirect($C20&amp;"!$A:$A"),0)+$D20,match(I$2,indirect($C20&amp;"!$9:$9"),0))</f>
        <v>0</v>
      </c>
      <c r="J20" s="40">
        <f t="shared" si="27"/>
        <v>0</v>
      </c>
      <c r="K20" s="40">
        <f t="shared" si="27"/>
        <v>1.008915</v>
      </c>
      <c r="L20" s="40">
        <f t="shared" si="6"/>
        <v>1.008915</v>
      </c>
      <c r="M20" s="41" t="str">
        <f t="shared" si="13"/>
        <v>OK</v>
      </c>
      <c r="N20" s="38" t="str">
        <f t="shared" si="14"/>
        <v>Expansion</v>
      </c>
      <c r="O20" s="41">
        <f t="shared" si="9"/>
        <v>25.23301191</v>
      </c>
      <c r="P20" s="38" t="s">
        <v>79</v>
      </c>
    </row>
    <row r="21">
      <c r="A21" s="38" t="s">
        <v>29</v>
      </c>
      <c r="B21" s="38" t="s">
        <v>29</v>
      </c>
      <c r="C21" s="38" t="s">
        <v>49</v>
      </c>
      <c r="D21" s="38">
        <v>4.0</v>
      </c>
      <c r="E21" s="38" t="s">
        <v>75</v>
      </c>
      <c r="F21" s="39" t="str">
        <f t="shared" si="2"/>
        <v>Nigeria - Adamawa state</v>
      </c>
      <c r="G21" s="39" t="str">
        <f t="shared" si="3"/>
        <v>Helen Keller International: Nigeria - Adamawa state</v>
      </c>
      <c r="H21" t="str">
        <f t="shared" si="4"/>
        <v>OK</v>
      </c>
      <c r="I21" s="40">
        <f t="shared" ref="I21:K21" si="28">index(indirect($C21&amp;"!$A$1:$Z$99"),match("Project",indirect($C21&amp;"!$A:$A"),0)+$D21,match(I$2,indirect($C21&amp;"!$9:$9"),0))</f>
        <v>0</v>
      </c>
      <c r="J21" s="40">
        <f t="shared" si="28"/>
        <v>0</v>
      </c>
      <c r="K21" s="40">
        <f t="shared" si="28"/>
        <v>0.780545</v>
      </c>
      <c r="L21" s="40">
        <f t="shared" si="6"/>
        <v>0.780545</v>
      </c>
      <c r="M21" s="41" t="str">
        <f t="shared" si="13"/>
        <v>OK</v>
      </c>
      <c r="N21" s="38" t="str">
        <f t="shared" si="14"/>
        <v>Expansion</v>
      </c>
      <c r="O21" s="41">
        <f t="shared" si="9"/>
        <v>25.23301191</v>
      </c>
      <c r="P21" s="38" t="s">
        <v>79</v>
      </c>
    </row>
    <row r="22">
      <c r="A22" s="38" t="s">
        <v>80</v>
      </c>
      <c r="B22" s="38" t="s">
        <v>81</v>
      </c>
      <c r="C22" s="38" t="s">
        <v>82</v>
      </c>
      <c r="D22" s="38">
        <v>1.0</v>
      </c>
      <c r="E22" s="38" t="s">
        <v>81</v>
      </c>
      <c r="F22" s="38" t="s">
        <v>83</v>
      </c>
      <c r="G22" s="39" t="str">
        <f t="shared" si="3"/>
        <v>New Incentives: Scale up in Northern Nigeria</v>
      </c>
      <c r="H22" t="str">
        <f t="shared" si="4"/>
        <v>OK</v>
      </c>
      <c r="I22" s="40">
        <f t="shared" ref="I22:K22" si="29">index(indirect($C22&amp;"!$A$1:$Z$99"),match("Project",indirect($C22&amp;"!$A:$A"),0)+$D22,match(I$2,indirect($C22&amp;"!$9:$9"),0))</f>
        <v>0</v>
      </c>
      <c r="J22" s="40">
        <f t="shared" si="29"/>
        <v>7.898436376</v>
      </c>
      <c r="K22" s="40">
        <f t="shared" si="29"/>
        <v>8.324401883</v>
      </c>
      <c r="L22" s="40">
        <f t="shared" si="6"/>
        <v>16.22283826</v>
      </c>
      <c r="M22" s="41" t="str">
        <f t="shared" si="13"/>
        <v>OK</v>
      </c>
      <c r="N22" s="38" t="str">
        <f t="shared" si="14"/>
        <v>Expansion</v>
      </c>
      <c r="O22" s="42">
        <v>10.9</v>
      </c>
      <c r="P22" s="38" t="s">
        <v>79</v>
      </c>
    </row>
    <row r="23">
      <c r="A23" s="38" t="s">
        <v>27</v>
      </c>
      <c r="B23" s="38" t="s">
        <v>27</v>
      </c>
      <c r="C23" s="39" t="s">
        <v>47</v>
      </c>
      <c r="D23" s="38">
        <v>1.0</v>
      </c>
      <c r="E23" s="38" t="s">
        <v>70</v>
      </c>
      <c r="F23" s="39" t="str">
        <f t="shared" ref="F23:F31" si="31">index(indirect(C23&amp;"!A:A"),match("Project",indirect(C23&amp;"!A:A"),0)+D23)</f>
        <v>Expansion in Chad in 2022</v>
      </c>
      <c r="G23" s="39" t="str">
        <f t="shared" si="3"/>
        <v>Malaria Consortium: Expansion in Chad in 2022</v>
      </c>
      <c r="H23" t="str">
        <f t="shared" si="4"/>
        <v>OK</v>
      </c>
      <c r="I23" s="40" t="str">
        <f t="shared" ref="I23:K23" si="30">index(indirect($C23&amp;"!$A$1:$Z$99"),match("Project",indirect($C23&amp;"!$A:$A"),0)+$D23,match(I$2,indirect($C23&amp;"!$9:$9"),0))</f>
        <v>-</v>
      </c>
      <c r="J23" s="40">
        <f t="shared" si="30"/>
        <v>0.6494476932</v>
      </c>
      <c r="K23" s="40" t="str">
        <f t="shared" si="30"/>
        <v>-</v>
      </c>
      <c r="L23" s="40">
        <f t="shared" si="6"/>
        <v>0.6494476932</v>
      </c>
      <c r="M23" s="41" t="str">
        <f t="shared" si="13"/>
        <v>OK</v>
      </c>
      <c r="N23" s="38" t="str">
        <f t="shared" si="14"/>
        <v>Expansion</v>
      </c>
      <c r="O23" s="41">
        <f t="shared" ref="O23:O28" si="33">if(E23="Assess qualitatively","Assess qualitatively",ifna(index(indirect(B23&amp;"!b$"&amp;match("Cost-effectiveness in multiples of cash transfers, after accounting for leverage/funging",indirect(B23&amp;"!A:A"),0)&amp;":$xxx$"&amp;match("Cost-effectiveness in multiples of cash transfers, after accounting for leverage/funging",indirect(B23&amp;"!A:A"),0)),,match(E23,indirect(B23&amp;"!$b$1:$xxx$1"),0)),"'"&amp;E23&amp;"' not found in CEA"))</f>
        <v>6.873245551</v>
      </c>
      <c r="P23" s="38" t="s">
        <v>84</v>
      </c>
    </row>
    <row r="24">
      <c r="A24" s="38" t="s">
        <v>27</v>
      </c>
      <c r="B24" s="38" t="s">
        <v>27</v>
      </c>
      <c r="C24" s="39" t="s">
        <v>47</v>
      </c>
      <c r="D24" s="38">
        <v>3.0</v>
      </c>
      <c r="E24" s="38" t="s">
        <v>70</v>
      </c>
      <c r="F24" s="39" t="str">
        <f t="shared" si="31"/>
        <v>Maintain 2020 scale in Chad in 2023</v>
      </c>
      <c r="G24" s="39" t="str">
        <f t="shared" si="3"/>
        <v>Malaria Consortium: Maintain 2020 scale in Chad in 2023</v>
      </c>
      <c r="H24" t="str">
        <f t="shared" si="4"/>
        <v>OK</v>
      </c>
      <c r="I24" s="40" t="str">
        <f t="shared" ref="I24:K24" si="32">index(indirect($C24&amp;"!$A$1:$Z$99"),match("Project",indirect($C24&amp;"!$A:$A"),0)+$D24,match(I$2,indirect($C24&amp;"!$9:$9"),0))</f>
        <v>-</v>
      </c>
      <c r="J24" s="40" t="str">
        <f t="shared" si="32"/>
        <v>-</v>
      </c>
      <c r="K24" s="40">
        <f t="shared" si="32"/>
        <v>6.662133693</v>
      </c>
      <c r="L24" s="40">
        <f t="shared" si="6"/>
        <v>6.662133693</v>
      </c>
      <c r="M24" s="41" t="str">
        <f t="shared" si="13"/>
        <v>OK</v>
      </c>
      <c r="N24" s="38" t="str">
        <f t="shared" si="14"/>
        <v>Extension</v>
      </c>
      <c r="O24" s="41">
        <f t="shared" si="33"/>
        <v>6.873245551</v>
      </c>
      <c r="P24" s="38" t="s">
        <v>84</v>
      </c>
    </row>
    <row r="25">
      <c r="A25" s="38" t="s">
        <v>27</v>
      </c>
      <c r="B25" s="38" t="s">
        <v>27</v>
      </c>
      <c r="C25" s="39" t="s">
        <v>47</v>
      </c>
      <c r="D25" s="38">
        <v>7.0</v>
      </c>
      <c r="E25" s="38" t="s">
        <v>70</v>
      </c>
      <c r="F25" s="39" t="str">
        <f t="shared" si="31"/>
        <v>Maintain 2021 expansion in Chad in 2023</v>
      </c>
      <c r="G25" s="39" t="str">
        <f t="shared" si="3"/>
        <v>Malaria Consortium: Maintain 2021 expansion in Chad in 2023</v>
      </c>
      <c r="H25" t="str">
        <f t="shared" si="4"/>
        <v>OK</v>
      </c>
      <c r="I25" s="40" t="str">
        <f t="shared" ref="I25:K25" si="34">index(indirect($C25&amp;"!$A$1:$Z$99"),match("Project",indirect($C25&amp;"!$A:$A"),0)+$D25,match(I$2,indirect($C25&amp;"!$9:$9"),0))</f>
        <v>-</v>
      </c>
      <c r="J25" s="40" t="str">
        <f t="shared" si="34"/>
        <v>-</v>
      </c>
      <c r="K25" s="40">
        <f t="shared" si="34"/>
        <v>0.4402435891</v>
      </c>
      <c r="L25" s="40">
        <f t="shared" si="6"/>
        <v>0.4402435891</v>
      </c>
      <c r="M25" s="41" t="str">
        <f t="shared" si="13"/>
        <v>OK</v>
      </c>
      <c r="N25" s="38" t="str">
        <f t="shared" si="14"/>
        <v>Extension of expansion</v>
      </c>
      <c r="O25" s="41">
        <f t="shared" si="33"/>
        <v>6.873245551</v>
      </c>
      <c r="P25" s="38" t="s">
        <v>84</v>
      </c>
    </row>
    <row r="26">
      <c r="A26" s="38" t="s">
        <v>27</v>
      </c>
      <c r="B26" s="38" t="s">
        <v>27</v>
      </c>
      <c r="C26" s="39" t="s">
        <v>47</v>
      </c>
      <c r="D26" s="38">
        <v>9.0</v>
      </c>
      <c r="E26" s="38" t="s">
        <v>70</v>
      </c>
      <c r="F26" s="39" t="str">
        <f t="shared" si="31"/>
        <v>Maintain 2022 expansion in Chad in 2023</v>
      </c>
      <c r="G26" s="39" t="str">
        <f t="shared" si="3"/>
        <v>Malaria Consortium: Maintain 2022 expansion in Chad in 2023</v>
      </c>
      <c r="H26" t="str">
        <f t="shared" si="4"/>
        <v>OK</v>
      </c>
      <c r="I26" s="40" t="str">
        <f t="shared" ref="I26:K26" si="35">index(indirect($C26&amp;"!$A$1:$Z$99"),match("Project",indirect($C26&amp;"!$A:$A"),0)+$D26,match(I$2,indirect($C26&amp;"!$9:$9"),0))</f>
        <v>-</v>
      </c>
      <c r="J26" s="40" t="str">
        <f t="shared" si="35"/>
        <v>-</v>
      </c>
      <c r="K26" s="40">
        <f t="shared" si="35"/>
        <v>0.6623851492</v>
      </c>
      <c r="L26" s="40">
        <f t="shared" si="6"/>
        <v>0.6623851492</v>
      </c>
      <c r="M26" s="41" t="str">
        <f t="shared" si="13"/>
        <v>OK</v>
      </c>
      <c r="N26" s="38" t="str">
        <f t="shared" si="14"/>
        <v>Extension of expansion</v>
      </c>
      <c r="O26" s="41">
        <f t="shared" si="33"/>
        <v>6.873245551</v>
      </c>
      <c r="P26" s="38" t="s">
        <v>84</v>
      </c>
    </row>
    <row r="27">
      <c r="A27" s="38" t="s">
        <v>19</v>
      </c>
      <c r="B27" s="38" t="s">
        <v>19</v>
      </c>
      <c r="C27" s="38" t="s">
        <v>39</v>
      </c>
      <c r="D27" s="38">
        <v>1.0</v>
      </c>
      <c r="E27" s="38" t="s">
        <v>85</v>
      </c>
      <c r="F27" s="39" t="str">
        <f t="shared" si="31"/>
        <v>Nigeria, Lagos State, program expansion and extension</v>
      </c>
      <c r="G27" s="39" t="str">
        <f t="shared" si="3"/>
        <v>Deworm the World: Nigeria, Lagos State, program expansion and extension</v>
      </c>
      <c r="H27" t="str">
        <f t="shared" si="4"/>
        <v>OK</v>
      </c>
      <c r="I27" s="40" t="str">
        <f t="shared" ref="I27:K27" si="36">index(indirect($C27&amp;"!$A$1:$Z$99"),match("Project",indirect($C27&amp;"!$A:$A"),0)+$D27,match(I$2,indirect($C27&amp;"!$9:$9"),0))</f>
        <v>-</v>
      </c>
      <c r="J27" s="40" t="str">
        <f t="shared" si="36"/>
        <v>-</v>
      </c>
      <c r="K27" s="40">
        <f t="shared" si="36"/>
        <v>0.2694848662</v>
      </c>
      <c r="L27" s="40">
        <f t="shared" si="6"/>
        <v>0.2694848662</v>
      </c>
      <c r="M27" s="41" t="str">
        <f t="shared" si="13"/>
        <v>OK</v>
      </c>
      <c r="N27" s="38" t="str">
        <f t="shared" si="14"/>
        <v>Expansion and extension</v>
      </c>
      <c r="O27" s="41">
        <f t="shared" si="33"/>
        <v>5.350531431</v>
      </c>
      <c r="P27" s="38" t="s">
        <v>84</v>
      </c>
    </row>
    <row r="28">
      <c r="A28" s="38" t="s">
        <v>19</v>
      </c>
      <c r="B28" s="38" t="s">
        <v>19</v>
      </c>
      <c r="C28" s="38" t="s">
        <v>39</v>
      </c>
      <c r="D28" s="38">
        <v>2.0</v>
      </c>
      <c r="E28" s="38" t="s">
        <v>86</v>
      </c>
      <c r="F28" s="39" t="str">
        <f t="shared" si="31"/>
        <v>Pakistan, program extension</v>
      </c>
      <c r="G28" s="39" t="str">
        <f t="shared" si="3"/>
        <v>Deworm the World: Pakistan, program extension</v>
      </c>
      <c r="H28" t="str">
        <f t="shared" si="4"/>
        <v>OK</v>
      </c>
      <c r="I28" s="40" t="str">
        <f t="shared" ref="I28:K28" si="37">index(indirect($C28&amp;"!$A$1:$Z$99"),match("Project",indirect($C28&amp;"!$A:$A"),0)+$D28,match(I$2,indirect($C28&amp;"!$9:$9"),0))</f>
        <v>-</v>
      </c>
      <c r="J28" s="40" t="str">
        <f t="shared" si="37"/>
        <v>-</v>
      </c>
      <c r="K28" s="40">
        <f t="shared" si="37"/>
        <v>2.249172092</v>
      </c>
      <c r="L28" s="40">
        <f t="shared" si="6"/>
        <v>2.249172092</v>
      </c>
      <c r="M28" s="41" t="str">
        <f t="shared" si="13"/>
        <v>OK</v>
      </c>
      <c r="N28" s="38" t="str">
        <f t="shared" si="14"/>
        <v>Extension</v>
      </c>
      <c r="O28" s="41">
        <f t="shared" si="33"/>
        <v>5.122114167</v>
      </c>
      <c r="P28" s="38" t="s">
        <v>84</v>
      </c>
    </row>
    <row r="29">
      <c r="A29" s="38" t="s">
        <v>17</v>
      </c>
      <c r="B29" s="38" t="s">
        <v>17</v>
      </c>
      <c r="C29" s="38" t="s">
        <v>37</v>
      </c>
      <c r="D29" s="38">
        <v>1.0</v>
      </c>
      <c r="E29" s="38" t="s">
        <v>87</v>
      </c>
      <c r="F29" s="39" t="str">
        <f t="shared" si="31"/>
        <v>Maintain rolling programs</v>
      </c>
      <c r="G29" s="39" t="str">
        <f t="shared" si="3"/>
        <v>GiveDirectly: Maintain rolling programs</v>
      </c>
      <c r="H29" t="str">
        <f t="shared" si="4"/>
        <v>OK</v>
      </c>
      <c r="I29" s="40">
        <f t="shared" ref="I29:K29" si="38">index(indirect($C29&amp;"!$A$1:$Z$99"),match("Project",indirect($C29&amp;"!$A:$A"),0)+$D29,match(I$2,indirect($C29&amp;"!$9:$9"),0))</f>
        <v>10.07121759</v>
      </c>
      <c r="J29" s="40">
        <f t="shared" si="38"/>
        <v>6.689808</v>
      </c>
      <c r="K29" s="40">
        <f t="shared" si="38"/>
        <v>6.689808</v>
      </c>
      <c r="L29" s="40">
        <f t="shared" si="6"/>
        <v>23.45083359</v>
      </c>
      <c r="M29" s="41" t="str">
        <f t="shared" si="13"/>
        <v>OK</v>
      </c>
      <c r="N29" s="38" t="str">
        <f t="shared" si="14"/>
        <v>Extension</v>
      </c>
      <c r="O29" s="42">
        <f t="shared" ref="O29:O31" si="40">if(E29="Assess qualitatively","Assess qualitatively",if(E29="N/A (incentive grant)","N/A (incentive grant)",ifna(index(indirect(B29&amp;"!b$"&amp;match("Cost-effectiveness in multiples of cash, after accounting for downside adjustments and adjustments for excluded effects",indirect(B29&amp;"!A:A"),0)&amp;":$xxx$"&amp;match("Cost-effectiveness in multiples of cash, after accounting for downside adjustments and adjustments for excluded effects",indirect(B29&amp;"!A:A"),0)),,match(E29,indirect(B29&amp;"!$b$1:$xxx$1"),0)),"'"&amp;E29&amp;"' not found in CEA")))</f>
        <v>0.9752</v>
      </c>
      <c r="P29" s="38" t="s">
        <v>88</v>
      </c>
    </row>
    <row r="30">
      <c r="A30" s="38" t="s">
        <v>17</v>
      </c>
      <c r="B30" s="38" t="s">
        <v>17</v>
      </c>
      <c r="C30" s="38" t="s">
        <v>37</v>
      </c>
      <c r="D30" s="38">
        <v>2.0</v>
      </c>
      <c r="E30" s="38" t="s">
        <v>87</v>
      </c>
      <c r="F30" s="39" t="str">
        <f t="shared" si="31"/>
        <v>Scale rolling programs</v>
      </c>
      <c r="G30" s="39" t="str">
        <f t="shared" si="3"/>
        <v>GiveDirectly: Scale rolling programs</v>
      </c>
      <c r="H30" t="str">
        <f t="shared" si="4"/>
        <v>OK</v>
      </c>
      <c r="I30" s="40">
        <f t="shared" ref="I30:K30" si="39">index(indirect($C30&amp;"!$A$1:$Z$99"),match("Project",indirect($C30&amp;"!$A:$A"),0)+$D30,match(I$2,indirect($C30&amp;"!$9:$9"),0))</f>
        <v>88</v>
      </c>
      <c r="J30" s="40">
        <f t="shared" si="39"/>
        <v>117</v>
      </c>
      <c r="K30" s="40">
        <f t="shared" si="39"/>
        <v>154</v>
      </c>
      <c r="L30" s="40">
        <f t="shared" si="6"/>
        <v>359</v>
      </c>
      <c r="M30" s="41" t="str">
        <f t="shared" si="13"/>
        <v>OK</v>
      </c>
      <c r="N30" s="38" t="str">
        <f t="shared" si="14"/>
        <v>Expansion</v>
      </c>
      <c r="O30" s="42">
        <f t="shared" si="40"/>
        <v>0.9752</v>
      </c>
      <c r="P30" s="38" t="s">
        <v>88</v>
      </c>
    </row>
    <row r="31">
      <c r="A31" s="38" t="s">
        <v>17</v>
      </c>
      <c r="B31" s="38" t="s">
        <v>17</v>
      </c>
      <c r="C31" s="38" t="s">
        <v>37</v>
      </c>
      <c r="D31" s="38">
        <v>3.0</v>
      </c>
      <c r="E31" s="38" t="s">
        <v>87</v>
      </c>
      <c r="F31" s="39" t="str">
        <f t="shared" si="31"/>
        <v>Expand to new countries</v>
      </c>
      <c r="G31" s="39" t="str">
        <f t="shared" si="3"/>
        <v>GiveDirectly: Expand to new countries</v>
      </c>
      <c r="H31" t="str">
        <f t="shared" si="4"/>
        <v>OK</v>
      </c>
      <c r="I31" s="40">
        <f t="shared" ref="I31:K31" si="41">index(indirect($C31&amp;"!$A$1:$Z$99"),match("Project",indirect($C31&amp;"!$A:$A"),0)+$D31,match(I$2,indirect($C31&amp;"!$9:$9"),0))</f>
        <v>12</v>
      </c>
      <c r="J31" s="40">
        <f t="shared" si="41"/>
        <v>23</v>
      </c>
      <c r="K31" s="40">
        <f t="shared" si="41"/>
        <v>38</v>
      </c>
      <c r="L31" s="40">
        <f t="shared" si="6"/>
        <v>73</v>
      </c>
      <c r="M31" s="41" t="str">
        <f t="shared" si="13"/>
        <v>OK</v>
      </c>
      <c r="N31" s="38" t="str">
        <f t="shared" si="14"/>
        <v>Expansion</v>
      </c>
      <c r="O31" s="42">
        <f t="shared" si="40"/>
        <v>0.9752</v>
      </c>
      <c r="P31" s="38" t="s">
        <v>88</v>
      </c>
    </row>
    <row r="32">
      <c r="A32" s="38"/>
      <c r="B32" s="10"/>
      <c r="C32" s="10"/>
      <c r="D32" s="10"/>
      <c r="E32" s="10"/>
      <c r="F32" s="10"/>
      <c r="G32" s="10"/>
      <c r="I32" s="43"/>
      <c r="J32" s="43"/>
      <c r="K32" s="43"/>
      <c r="L32" s="10"/>
      <c r="M32" s="10"/>
      <c r="N32" s="10"/>
      <c r="O32" s="10"/>
      <c r="P32" s="10"/>
    </row>
    <row r="33">
      <c r="A33" s="27"/>
      <c r="B33" s="27"/>
      <c r="C33" s="27"/>
      <c r="D33" s="27"/>
      <c r="E33" s="27"/>
      <c r="F33" s="27"/>
      <c r="G33" s="27" t="s">
        <v>89</v>
      </c>
      <c r="H33" s="27"/>
      <c r="I33" s="27" t="str">
        <f t="shared" ref="I33:I34" si="42">I1</f>
        <v>Size of gap (USD Millions)</v>
      </c>
      <c r="J33" s="28"/>
      <c r="K33" s="28"/>
      <c r="L33" s="28"/>
      <c r="M33" s="28"/>
      <c r="N33" s="44"/>
      <c r="O33" s="45"/>
      <c r="P33" s="46"/>
    </row>
    <row r="34">
      <c r="A34" s="27"/>
      <c r="B34" s="27"/>
      <c r="C34" s="27"/>
      <c r="D34" s="27"/>
      <c r="E34" s="27"/>
      <c r="F34" s="27"/>
      <c r="G34" s="27"/>
      <c r="H34" s="27"/>
      <c r="I34" s="27">
        <f t="shared" si="42"/>
        <v>2021</v>
      </c>
      <c r="J34" s="27">
        <f t="shared" ref="J34:L34" si="43">J2</f>
        <v>2022</v>
      </c>
      <c r="K34" s="27">
        <f t="shared" si="43"/>
        <v>2023</v>
      </c>
      <c r="L34" s="27" t="str">
        <f t="shared" si="43"/>
        <v>Total</v>
      </c>
      <c r="M34" s="28"/>
      <c r="N34" s="27"/>
      <c r="O34" s="45"/>
      <c r="P34" s="47"/>
    </row>
    <row r="35">
      <c r="A35" s="10"/>
      <c r="B35" s="10"/>
      <c r="C35" s="10"/>
      <c r="D35" s="10"/>
      <c r="E35" s="10"/>
      <c r="F35" s="10"/>
      <c r="G35" s="10"/>
      <c r="I35" s="48"/>
      <c r="J35" s="48"/>
      <c r="K35" s="48"/>
      <c r="L35" s="48"/>
      <c r="M35" s="48"/>
      <c r="N35" s="38"/>
    </row>
    <row r="36">
      <c r="C36" s="38" t="s">
        <v>35</v>
      </c>
      <c r="D36" s="10"/>
      <c r="E36" s="10"/>
      <c r="F36" s="10"/>
      <c r="G36" s="38" t="s">
        <v>71</v>
      </c>
      <c r="H36" s="10"/>
      <c r="I36" s="40">
        <f t="shared" ref="I36:L36" si="44">sumifs(I$3:I$31,$A$3:$A$31,$G36)</f>
        <v>0</v>
      </c>
      <c r="J36" s="40">
        <f t="shared" si="44"/>
        <v>0</v>
      </c>
      <c r="K36" s="40">
        <f t="shared" si="44"/>
        <v>37.80389109</v>
      </c>
      <c r="L36" s="40">
        <f t="shared" si="44"/>
        <v>37.80389109</v>
      </c>
      <c r="M36" s="49"/>
      <c r="N36" s="50"/>
      <c r="P36" s="41"/>
    </row>
    <row r="37">
      <c r="C37" s="38" t="s">
        <v>37</v>
      </c>
      <c r="D37" s="10"/>
      <c r="E37" s="10"/>
      <c r="F37" s="10"/>
      <c r="G37" s="38" t="s">
        <v>17</v>
      </c>
      <c r="H37" s="10"/>
      <c r="I37" s="40">
        <f t="shared" ref="I37:L37" si="45">sumifs(I$3:I$31,$A$3:$A$31,$G37)</f>
        <v>110.0712176</v>
      </c>
      <c r="J37" s="40">
        <f t="shared" si="45"/>
        <v>146.689808</v>
      </c>
      <c r="K37" s="40">
        <f t="shared" si="45"/>
        <v>198.689808</v>
      </c>
      <c r="L37" s="40">
        <f t="shared" si="45"/>
        <v>455.4508336</v>
      </c>
      <c r="M37" s="49"/>
      <c r="N37" s="50"/>
      <c r="P37" s="38"/>
    </row>
    <row r="38">
      <c r="C38" s="38" t="s">
        <v>39</v>
      </c>
      <c r="D38" s="10"/>
      <c r="E38" s="10"/>
      <c r="F38" s="10"/>
      <c r="G38" s="38" t="s">
        <v>19</v>
      </c>
      <c r="H38" s="10"/>
      <c r="I38" s="40">
        <f t="shared" ref="I38:L38" si="46">sumifs(I$3:I$31,$A$3:$A$31,$G38)</f>
        <v>0</v>
      </c>
      <c r="J38" s="40">
        <f t="shared" si="46"/>
        <v>0</v>
      </c>
      <c r="K38" s="40">
        <f t="shared" si="46"/>
        <v>2.518656958</v>
      </c>
      <c r="L38" s="40">
        <f t="shared" si="46"/>
        <v>2.518656958</v>
      </c>
      <c r="M38" s="49"/>
      <c r="N38" s="50"/>
      <c r="P38" s="38"/>
    </row>
    <row r="39">
      <c r="C39" s="38" t="s">
        <v>43</v>
      </c>
      <c r="D39" s="10"/>
      <c r="E39" s="10"/>
      <c r="F39" s="10"/>
      <c r="G39" s="38" t="s">
        <v>23</v>
      </c>
      <c r="H39" s="10"/>
      <c r="I39" s="40">
        <f t="shared" ref="I39:L39" si="47">sumifs(I$3:I$31,$A$3:$A$31,$G39)</f>
        <v>0</v>
      </c>
      <c r="J39" s="40">
        <f t="shared" si="47"/>
        <v>5.932825688</v>
      </c>
      <c r="K39" s="40">
        <f t="shared" si="47"/>
        <v>16.95354643</v>
      </c>
      <c r="L39" s="40">
        <f t="shared" si="47"/>
        <v>22.88637212</v>
      </c>
      <c r="M39" s="49"/>
      <c r="N39" s="50"/>
      <c r="P39" s="38"/>
    </row>
    <row r="40">
      <c r="C40" s="38" t="s">
        <v>45</v>
      </c>
      <c r="D40" s="10"/>
      <c r="E40" s="10"/>
      <c r="F40" s="10"/>
      <c r="G40" s="38" t="s">
        <v>25</v>
      </c>
      <c r="H40" s="10"/>
      <c r="I40" s="40">
        <f t="shared" ref="I40:L40" si="48">sumifs(I$3:I$31,$A$3:$A$31,$G40)</f>
        <v>3.482155912</v>
      </c>
      <c r="J40" s="40">
        <f t="shared" si="48"/>
        <v>1.649483007</v>
      </c>
      <c r="K40" s="40">
        <f t="shared" si="48"/>
        <v>2.469824023</v>
      </c>
      <c r="L40" s="40">
        <f t="shared" si="48"/>
        <v>7.601462942</v>
      </c>
      <c r="M40" s="49"/>
      <c r="N40" s="50"/>
      <c r="P40" s="10"/>
    </row>
    <row r="41">
      <c r="C41" s="38" t="s">
        <v>47</v>
      </c>
      <c r="D41" s="10"/>
      <c r="E41" s="10"/>
      <c r="F41" s="10"/>
      <c r="G41" s="38" t="s">
        <v>27</v>
      </c>
      <c r="H41" s="10"/>
      <c r="I41" s="40">
        <f t="shared" ref="I41:L41" si="49">sumifs(I$3:I$31,$A$3:$A$31,$G41)</f>
        <v>0</v>
      </c>
      <c r="J41" s="40">
        <f t="shared" si="49"/>
        <v>0.6494476932</v>
      </c>
      <c r="K41" s="40">
        <f t="shared" si="49"/>
        <v>44.08010084</v>
      </c>
      <c r="L41" s="40">
        <f t="shared" si="49"/>
        <v>44.72954853</v>
      </c>
      <c r="M41" s="49"/>
      <c r="N41" s="50"/>
      <c r="P41" s="10"/>
    </row>
    <row r="42">
      <c r="C42" s="38" t="s">
        <v>49</v>
      </c>
      <c r="D42" s="10"/>
      <c r="E42" s="10"/>
      <c r="F42" s="10"/>
      <c r="G42" s="38" t="s">
        <v>29</v>
      </c>
      <c r="H42" s="10"/>
      <c r="I42" s="40">
        <f t="shared" ref="I42:L42" si="50">sumifs(I$3:I$31,$A$3:$A$31,$G42)</f>
        <v>2.6540488</v>
      </c>
      <c r="J42" s="40">
        <f t="shared" si="50"/>
        <v>4.125317</v>
      </c>
      <c r="K42" s="40">
        <f t="shared" si="50"/>
        <v>5.914777</v>
      </c>
      <c r="L42" s="40">
        <f t="shared" si="50"/>
        <v>12.6941428</v>
      </c>
      <c r="M42" s="49"/>
      <c r="N42" s="50"/>
      <c r="P42" s="10"/>
    </row>
    <row r="43">
      <c r="C43" s="51"/>
      <c r="D43" s="51"/>
      <c r="E43" s="51"/>
      <c r="F43" s="51"/>
      <c r="G43" s="38" t="s">
        <v>21</v>
      </c>
      <c r="H43" s="51"/>
      <c r="I43" s="52"/>
      <c r="J43" s="52"/>
      <c r="K43" s="52"/>
      <c r="L43" s="40"/>
      <c r="M43" s="49"/>
      <c r="N43" s="50"/>
      <c r="P43" s="10"/>
    </row>
    <row r="44">
      <c r="C44" s="38" t="s">
        <v>82</v>
      </c>
      <c r="D44" s="51"/>
      <c r="E44" s="51"/>
      <c r="F44" s="51"/>
      <c r="G44" s="38" t="s">
        <v>80</v>
      </c>
      <c r="H44" s="51"/>
      <c r="I44" s="40">
        <f t="shared" ref="I44:L44" si="51">sumifs(I$3:I$31,$A$3:$A$31,$G44)</f>
        <v>0</v>
      </c>
      <c r="J44" s="40">
        <f t="shared" si="51"/>
        <v>7.898436376</v>
      </c>
      <c r="K44" s="40">
        <f t="shared" si="51"/>
        <v>8.324401883</v>
      </c>
      <c r="L44" s="40">
        <f t="shared" si="51"/>
        <v>16.22283826</v>
      </c>
      <c r="M44" s="49"/>
      <c r="N44" s="50"/>
      <c r="P44" s="10"/>
    </row>
    <row r="45">
      <c r="C45" s="51"/>
      <c r="D45" s="51"/>
      <c r="E45" s="51"/>
      <c r="F45" s="51"/>
      <c r="G45" s="38" t="s">
        <v>90</v>
      </c>
      <c r="H45" s="51"/>
      <c r="I45" s="52"/>
      <c r="J45" s="52"/>
      <c r="K45" s="52"/>
      <c r="L45" s="40"/>
      <c r="M45" s="49"/>
      <c r="N45" s="50"/>
      <c r="P45" s="10"/>
    </row>
    <row r="46">
      <c r="C46" s="51"/>
      <c r="D46" s="51"/>
      <c r="E46" s="51"/>
      <c r="F46" s="51"/>
      <c r="G46" s="53" t="s">
        <v>63</v>
      </c>
      <c r="H46" s="51"/>
      <c r="I46" s="54">
        <f t="shared" ref="I46:L46" si="52">sum(I36:I42)</f>
        <v>116.2074223</v>
      </c>
      <c r="J46" s="54">
        <f t="shared" si="52"/>
        <v>159.0468814</v>
      </c>
      <c r="K46" s="54">
        <f t="shared" si="52"/>
        <v>308.4306043</v>
      </c>
      <c r="L46" s="54">
        <f t="shared" si="52"/>
        <v>583.684908</v>
      </c>
      <c r="M46" s="55"/>
      <c r="N46" s="10"/>
      <c r="P46" s="10"/>
    </row>
    <row r="47">
      <c r="C47" s="10"/>
      <c r="D47" s="10"/>
      <c r="E47" s="10"/>
      <c r="F47" s="10"/>
      <c r="G47" s="10"/>
      <c r="H47" s="10"/>
      <c r="I47" s="10"/>
      <c r="J47" s="48"/>
      <c r="K47" s="48"/>
      <c r="L47" s="48"/>
      <c r="M47" s="48"/>
      <c r="N47" s="10"/>
      <c r="O47" s="10"/>
      <c r="P47" s="10"/>
    </row>
    <row r="48">
      <c r="C48" s="10"/>
      <c r="D48" s="10"/>
      <c r="E48" s="10"/>
      <c r="F48" s="10"/>
    </row>
    <row r="49">
      <c r="C49" s="10"/>
      <c r="D49" s="10"/>
      <c r="E49" s="10"/>
      <c r="F49" s="10"/>
    </row>
    <row r="50">
      <c r="C50" s="10"/>
      <c r="D50" s="10"/>
      <c r="E50" s="10"/>
      <c r="F50" s="10"/>
    </row>
    <row r="51">
      <c r="C51" s="10"/>
      <c r="D51" s="10"/>
      <c r="E51" s="10"/>
      <c r="F51" s="10"/>
    </row>
    <row r="52">
      <c r="C52" s="10"/>
      <c r="D52" s="10"/>
      <c r="E52" s="10"/>
      <c r="F52" s="10"/>
    </row>
    <row r="53">
      <c r="C53" s="10"/>
      <c r="D53" s="10"/>
      <c r="E53" s="10"/>
      <c r="F53" s="10"/>
    </row>
    <row r="54">
      <c r="C54" s="10"/>
      <c r="D54" s="10"/>
      <c r="E54" s="10"/>
      <c r="F54" s="10"/>
    </row>
    <row r="55">
      <c r="C55" s="10"/>
      <c r="D55" s="10"/>
      <c r="E55" s="10"/>
      <c r="F55" s="10"/>
    </row>
    <row r="56">
      <c r="C56" s="10"/>
      <c r="D56" s="10"/>
      <c r="E56" s="10"/>
      <c r="F56" s="10"/>
    </row>
    <row r="57">
      <c r="C57" s="10"/>
      <c r="D57" s="10"/>
      <c r="E57" s="10"/>
      <c r="F57" s="10"/>
    </row>
    <row r="58">
      <c r="C58" s="10"/>
      <c r="D58" s="10"/>
      <c r="E58" s="10"/>
      <c r="F58" s="10"/>
      <c r="G58" s="56"/>
      <c r="H58" s="56"/>
      <c r="I58" s="56"/>
      <c r="J58" s="57"/>
      <c r="K58" s="57"/>
      <c r="L58" s="57"/>
      <c r="M58" s="57"/>
      <c r="N58" s="58"/>
      <c r="O58" s="59"/>
      <c r="P58" s="38"/>
    </row>
  </sheetData>
  <autoFilter ref="$G$2:$P$31"/>
  <conditionalFormatting sqref="N3:O31">
    <cfRule type="containsText" dxfId="0" priority="1" operator="containsText" text="High">
      <formula>NOT(ISERROR(SEARCH(("High"),(N3))))</formula>
    </cfRule>
  </conditionalFormatting>
  <conditionalFormatting sqref="N3:O31">
    <cfRule type="containsText" dxfId="1" priority="2" operator="containsText" text="Medium">
      <formula>NOT(ISERROR(SEARCH(("Medium"),(N3))))</formula>
    </cfRule>
  </conditionalFormatting>
  <conditionalFormatting sqref="N3:O31">
    <cfRule type="containsText" dxfId="2" priority="3" operator="containsText" text="Low">
      <formula>NOT(ISERROR(SEARCH(("Low"),(N3))))</formula>
    </cfRule>
  </conditionalFormatting>
  <conditionalFormatting sqref="N3:O31">
    <cfRule type="containsText" dxfId="3" priority="4" operator="containsText" text="None">
      <formula>NOT(ISERROR(SEARCH(("None"),(N3))))</formula>
    </cfRule>
  </conditionalFormatting>
  <conditionalFormatting sqref="H2:H32 H35">
    <cfRule type="cellIs" dxfId="4" priority="5" operator="equal">
      <formula>"Error"</formula>
    </cfRule>
  </conditionalFormatting>
  <conditionalFormatting sqref="M1:M47 M58">
    <cfRule type="cellIs" dxfId="4" priority="6" operator="equal">
      <formula>"Error"</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74.14"/>
    <col customWidth="1" min="2" max="2" width="10.86"/>
    <col customWidth="1" min="3" max="3" width="15.29"/>
    <col customWidth="1" min="4" max="4" width="12.43"/>
    <col customWidth="1" min="5" max="5" width="17.86"/>
    <col customWidth="1" hidden="1" min="6" max="19" width="17.86"/>
    <col customWidth="1" min="20" max="20" width="10.86"/>
    <col customWidth="1" min="21" max="21" width="15.57"/>
    <col customWidth="1" min="22" max="22" width="61.71"/>
  </cols>
  <sheetData>
    <row r="1" ht="13.5" customHeight="1">
      <c r="A1" s="60" t="s">
        <v>11</v>
      </c>
      <c r="B1" s="61" t="s">
        <v>87</v>
      </c>
      <c r="C1" s="61" t="s">
        <v>91</v>
      </c>
      <c r="D1" s="61" t="s">
        <v>92</v>
      </c>
      <c r="E1" s="61" t="s">
        <v>93</v>
      </c>
      <c r="F1" s="61" t="s">
        <v>94</v>
      </c>
      <c r="G1" s="61" t="s">
        <v>95</v>
      </c>
      <c r="H1" s="61" t="s">
        <v>96</v>
      </c>
      <c r="I1" s="61" t="s">
        <v>97</v>
      </c>
      <c r="J1" s="61" t="s">
        <v>98</v>
      </c>
      <c r="K1" s="61" t="s">
        <v>99</v>
      </c>
      <c r="L1" s="61" t="s">
        <v>100</v>
      </c>
      <c r="M1" s="61" t="s">
        <v>101</v>
      </c>
      <c r="N1" s="61" t="s">
        <v>102</v>
      </c>
      <c r="O1" s="61" t="s">
        <v>103</v>
      </c>
      <c r="P1" s="61" t="s">
        <v>104</v>
      </c>
      <c r="Q1" s="61" t="s">
        <v>105</v>
      </c>
      <c r="R1" s="61" t="s">
        <v>106</v>
      </c>
      <c r="S1" s="61" t="s">
        <v>107</v>
      </c>
      <c r="T1" s="62" t="s">
        <v>108</v>
      </c>
      <c r="U1" s="63"/>
      <c r="V1" s="63"/>
    </row>
    <row r="2" ht="13.5" customHeight="1">
      <c r="A2" s="64" t="s">
        <v>109</v>
      </c>
      <c r="B2" s="65"/>
      <c r="C2" s="65"/>
      <c r="D2" s="65"/>
      <c r="E2" s="65"/>
      <c r="F2" s="65"/>
      <c r="G2" s="65"/>
      <c r="H2" s="65"/>
      <c r="I2" s="65"/>
      <c r="J2" s="65"/>
      <c r="K2" s="65"/>
      <c r="L2" s="65"/>
      <c r="M2" s="65"/>
      <c r="N2" s="65"/>
      <c r="O2" s="65"/>
      <c r="P2" s="65"/>
      <c r="Q2" s="65"/>
      <c r="R2" s="65"/>
      <c r="S2" s="65"/>
      <c r="T2" s="65"/>
      <c r="U2" s="66"/>
      <c r="V2" s="66"/>
    </row>
    <row r="3" ht="13.5" customHeight="1">
      <c r="A3" s="67"/>
      <c r="B3" s="68"/>
      <c r="C3" s="68"/>
      <c r="D3" s="68"/>
      <c r="E3" s="68"/>
      <c r="F3" s="68"/>
      <c r="G3" s="68"/>
      <c r="H3" s="68"/>
      <c r="I3" s="68"/>
      <c r="J3" s="68"/>
      <c r="K3" s="68"/>
      <c r="L3" s="68"/>
      <c r="M3" s="68"/>
      <c r="N3" s="68"/>
      <c r="O3" s="68"/>
      <c r="P3" s="68"/>
      <c r="Q3" s="68"/>
      <c r="R3" s="68"/>
      <c r="S3" s="68"/>
      <c r="T3" s="69"/>
      <c r="U3" s="70"/>
      <c r="V3" s="70"/>
    </row>
    <row r="4" ht="13.5" customHeight="1">
      <c r="A4" s="67" t="s">
        <v>110</v>
      </c>
      <c r="B4" s="68"/>
      <c r="C4" s="68"/>
      <c r="D4" s="68"/>
      <c r="E4" s="68"/>
      <c r="F4" s="68"/>
      <c r="G4" s="68"/>
      <c r="H4" s="68"/>
      <c r="I4" s="68"/>
      <c r="J4" s="68"/>
      <c r="K4" s="68"/>
      <c r="L4" s="68"/>
      <c r="M4" s="68"/>
      <c r="N4" s="68"/>
      <c r="O4" s="68"/>
      <c r="P4" s="68"/>
      <c r="Q4" s="68"/>
      <c r="R4" s="68"/>
      <c r="S4" s="68"/>
      <c r="T4" s="69"/>
      <c r="U4" s="70"/>
      <c r="V4" s="70"/>
    </row>
    <row r="5" ht="8.25" customHeight="1">
      <c r="A5" s="71" t="s">
        <v>111</v>
      </c>
      <c r="B5" s="72">
        <f t="array" ref="B5">index($A$1:$V$35,match($A5,$A$1:$A$35,0),match($A$13,$A$1:$T$1,0))</f>
        <v>1</v>
      </c>
      <c r="C5" s="73">
        <v>1.0</v>
      </c>
      <c r="D5" s="74"/>
      <c r="E5" s="74">
        <f>1/2.5</f>
        <v>0.4</v>
      </c>
      <c r="F5" s="74"/>
      <c r="G5" s="74"/>
      <c r="H5" s="74"/>
      <c r="I5" s="74"/>
      <c r="J5" s="74"/>
      <c r="K5" s="74"/>
      <c r="L5" s="74"/>
      <c r="M5" s="74"/>
      <c r="N5" s="74"/>
      <c r="O5" s="74"/>
      <c r="P5" s="74"/>
      <c r="Q5" s="74"/>
      <c r="R5" s="74"/>
      <c r="S5" s="74"/>
      <c r="T5" s="75"/>
      <c r="U5" s="70"/>
      <c r="V5" s="70"/>
    </row>
    <row r="6" ht="13.5" customHeight="1">
      <c r="A6" s="67"/>
      <c r="B6" s="76"/>
      <c r="C6" s="77"/>
      <c r="D6" s="77"/>
      <c r="E6" s="78"/>
      <c r="F6" s="78"/>
      <c r="G6" s="78"/>
      <c r="H6" s="78"/>
      <c r="I6" s="78"/>
      <c r="J6" s="78"/>
      <c r="K6" s="78"/>
      <c r="L6" s="78"/>
      <c r="M6" s="78"/>
      <c r="N6" s="78"/>
      <c r="O6" s="78"/>
      <c r="P6" s="78"/>
      <c r="Q6" s="78"/>
      <c r="R6" s="78"/>
      <c r="S6" s="78"/>
      <c r="T6" s="79"/>
      <c r="U6" s="70"/>
      <c r="V6" s="70"/>
    </row>
    <row r="7" ht="13.5" customHeight="1">
      <c r="A7" s="67" t="s">
        <v>112</v>
      </c>
      <c r="B7" s="76"/>
      <c r="C7" s="77"/>
      <c r="D7" s="77"/>
      <c r="E7" s="78"/>
      <c r="F7" s="78"/>
      <c r="G7" s="78"/>
      <c r="H7" s="78"/>
      <c r="I7" s="78"/>
      <c r="J7" s="78"/>
      <c r="K7" s="78"/>
      <c r="L7" s="78"/>
      <c r="M7" s="78"/>
      <c r="N7" s="78"/>
      <c r="O7" s="78"/>
      <c r="P7" s="78"/>
      <c r="Q7" s="78"/>
      <c r="R7" s="78"/>
      <c r="S7" s="78"/>
      <c r="T7" s="79"/>
      <c r="U7" s="70"/>
      <c r="V7" s="70"/>
    </row>
    <row r="8" ht="13.5" customHeight="1">
      <c r="A8" s="73" t="s">
        <v>113</v>
      </c>
      <c r="B8" s="80">
        <f t="shared" ref="B8:B10" si="1">index($A$1:$V$35,match($A8,$A$1:$A$35,0),match($A$13,$A$1:$T$1,0))</f>
        <v>116.9</v>
      </c>
      <c r="C8" s="73">
        <v>116.9</v>
      </c>
      <c r="D8" s="73"/>
      <c r="E8" s="73">
        <v>36.53</v>
      </c>
      <c r="F8" s="73"/>
      <c r="G8" s="73"/>
      <c r="H8" s="73"/>
      <c r="I8" s="73"/>
      <c r="J8" s="73"/>
      <c r="K8" s="73"/>
      <c r="L8" s="73"/>
      <c r="M8" s="73"/>
      <c r="N8" s="73"/>
      <c r="O8" s="73"/>
      <c r="P8" s="73"/>
      <c r="Q8" s="73"/>
      <c r="R8" s="73"/>
      <c r="S8" s="73"/>
      <c r="T8" s="81" t="str">
        <f>HYPERLINK("http://journals.plos.org/plosone/article/figure/image?size=large&amp;id=info:doi/10.1371/journal.pone.0008988.g002","Chart from Carneiro et al. 2010 showing malaria deaths by age")</f>
        <v>Chart from Carneiro et al. 2010 showing malaria deaths by age</v>
      </c>
      <c r="U8" s="70"/>
      <c r="V8" s="70"/>
    </row>
    <row r="9" ht="13.5" customHeight="1">
      <c r="A9" s="73" t="s">
        <v>114</v>
      </c>
      <c r="B9" s="80">
        <f t="shared" si="1"/>
        <v>83.1</v>
      </c>
      <c r="C9" s="73">
        <v>83.1</v>
      </c>
      <c r="D9" s="73"/>
      <c r="E9" s="73">
        <v>29.77</v>
      </c>
      <c r="F9" s="73"/>
      <c r="G9" s="73"/>
      <c r="H9" s="73"/>
      <c r="I9" s="73"/>
      <c r="J9" s="73"/>
      <c r="K9" s="73"/>
      <c r="L9" s="73"/>
      <c r="M9" s="73"/>
      <c r="N9" s="73"/>
      <c r="O9" s="73"/>
      <c r="P9" s="73"/>
      <c r="Q9" s="73"/>
      <c r="R9" s="73"/>
      <c r="S9" s="73"/>
      <c r="T9" s="81" t="str">
        <f>HYPERLINK("https://docs.google.com/spreadsheets/d/1i_f1yJE0x5zHIG89fkcA579Ij37keQPRYfMUxIXg2MU/edit?usp=sharing","Malaria deaths by age based on 2015 Global Burden of Disease estimates")</f>
        <v>Malaria deaths by age based on 2015 Global Burden of Disease estimates</v>
      </c>
      <c r="U9" s="70"/>
      <c r="V9" s="70"/>
    </row>
    <row r="10" ht="13.5" customHeight="1">
      <c r="A10" s="82" t="s">
        <v>115</v>
      </c>
      <c r="B10" s="80">
        <f t="shared" si="1"/>
        <v>118.4</v>
      </c>
      <c r="C10" s="83">
        <v>118.4</v>
      </c>
      <c r="D10" s="84"/>
      <c r="E10" s="73">
        <v>36.53</v>
      </c>
      <c r="F10" s="83"/>
      <c r="G10" s="83"/>
      <c r="H10" s="83"/>
      <c r="I10" s="83"/>
      <c r="J10" s="83"/>
      <c r="K10" s="83"/>
      <c r="L10" s="83"/>
      <c r="M10" s="83"/>
      <c r="N10" s="83"/>
      <c r="O10" s="83"/>
      <c r="P10" s="83"/>
      <c r="Q10" s="83"/>
      <c r="R10" s="83"/>
      <c r="S10" s="83"/>
      <c r="T10" s="85" t="s">
        <v>116</v>
      </c>
      <c r="U10" s="70"/>
      <c r="V10" s="70"/>
    </row>
    <row r="11" ht="13.5" customHeight="1">
      <c r="A11" s="67"/>
      <c r="B11" s="86"/>
      <c r="C11" s="84"/>
      <c r="D11" s="84"/>
      <c r="E11" s="83"/>
      <c r="F11" s="83"/>
      <c r="G11" s="83"/>
      <c r="H11" s="83"/>
      <c r="I11" s="83"/>
      <c r="J11" s="83"/>
      <c r="K11" s="83"/>
      <c r="L11" s="83"/>
      <c r="M11" s="83"/>
      <c r="N11" s="83"/>
      <c r="O11" s="83"/>
      <c r="P11" s="83"/>
      <c r="Q11" s="83"/>
      <c r="R11" s="83"/>
      <c r="S11" s="83"/>
      <c r="T11" s="79"/>
      <c r="U11" s="70"/>
      <c r="V11" s="70"/>
    </row>
    <row r="12">
      <c r="A12" s="87" t="s">
        <v>117</v>
      </c>
      <c r="B12" s="88"/>
      <c r="C12" s="88"/>
      <c r="D12" s="88"/>
      <c r="E12" s="88"/>
      <c r="F12" s="88"/>
      <c r="G12" s="88"/>
      <c r="H12" s="88"/>
      <c r="I12" s="88"/>
      <c r="J12" s="88"/>
      <c r="K12" s="88"/>
      <c r="L12" s="88"/>
      <c r="M12" s="88"/>
      <c r="N12" s="88"/>
      <c r="O12" s="88"/>
      <c r="P12" s="88"/>
      <c r="Q12" s="88"/>
      <c r="R12" s="88"/>
      <c r="S12" s="88"/>
      <c r="T12" s="89"/>
      <c r="U12" s="70"/>
      <c r="V12" s="70"/>
    </row>
    <row r="13">
      <c r="A13" s="90" t="str">
        <f>Results!B6</f>
        <v>GiveWell 2020</v>
      </c>
      <c r="B13" s="88"/>
      <c r="C13" s="88"/>
      <c r="D13" s="88"/>
      <c r="E13" s="88"/>
      <c r="F13" s="88"/>
      <c r="G13" s="88"/>
      <c r="H13" s="88"/>
      <c r="I13" s="88"/>
      <c r="J13" s="88"/>
      <c r="K13" s="88"/>
      <c r="L13" s="88"/>
      <c r="M13" s="88"/>
      <c r="N13" s="88"/>
      <c r="O13" s="88"/>
      <c r="P13" s="88"/>
      <c r="Q13" s="88"/>
      <c r="R13" s="88"/>
      <c r="S13" s="88"/>
      <c r="T13" s="89"/>
      <c r="U13" s="70"/>
      <c r="V13" s="70"/>
    </row>
    <row r="14">
      <c r="A14" s="67"/>
      <c r="B14" s="88"/>
      <c r="C14" s="88"/>
      <c r="D14" s="88"/>
      <c r="E14" s="88"/>
      <c r="F14" s="88"/>
      <c r="G14" s="88"/>
      <c r="H14" s="88"/>
      <c r="I14" s="88"/>
      <c r="J14" s="88"/>
      <c r="K14" s="88"/>
      <c r="L14" s="88"/>
      <c r="M14" s="88"/>
      <c r="N14" s="88"/>
      <c r="O14" s="88"/>
      <c r="P14" s="88"/>
      <c r="Q14" s="88"/>
      <c r="R14" s="88"/>
      <c r="S14" s="88"/>
      <c r="T14" s="89"/>
      <c r="U14" s="70"/>
      <c r="V14" s="70"/>
    </row>
    <row r="15" ht="13.5" customHeight="1">
      <c r="A15" s="91" t="s">
        <v>118</v>
      </c>
      <c r="B15" s="65"/>
      <c r="C15" s="65"/>
      <c r="D15" s="65"/>
      <c r="E15" s="65"/>
      <c r="F15" s="65"/>
      <c r="G15" s="65"/>
      <c r="H15" s="65"/>
      <c r="I15" s="65"/>
      <c r="J15" s="65"/>
      <c r="K15" s="65"/>
      <c r="L15" s="65"/>
      <c r="M15" s="65"/>
      <c r="N15" s="65"/>
      <c r="O15" s="65"/>
      <c r="P15" s="65"/>
      <c r="Q15" s="65"/>
      <c r="R15" s="65"/>
      <c r="S15" s="65"/>
      <c r="T15" s="65"/>
      <c r="U15" s="66"/>
      <c r="V15" s="66"/>
    </row>
    <row r="16" ht="13.5" customHeight="1">
      <c r="A16" s="92" t="s">
        <v>119</v>
      </c>
      <c r="B16" s="93">
        <f>B5*(ln(1.1)/ln(2))</f>
        <v>0.1375035237</v>
      </c>
      <c r="C16" s="93">
        <f t="shared" ref="C16:D16" si="2">if(C5&gt;0,C5*(ln(1.1)/ln(2)),"")</f>
        <v>0.1375035237</v>
      </c>
      <c r="D16" s="93" t="str">
        <f t="shared" si="2"/>
        <v/>
      </c>
      <c r="E16" s="93">
        <f>E5*(ln(1.1)/ln(2))</f>
        <v>0.0550014095</v>
      </c>
      <c r="F16" s="93"/>
      <c r="G16" s="93"/>
      <c r="H16" s="93"/>
      <c r="I16" s="93"/>
      <c r="J16" s="93"/>
      <c r="K16" s="93"/>
      <c r="L16" s="93"/>
      <c r="M16" s="93"/>
      <c r="N16" s="93"/>
      <c r="O16" s="93"/>
      <c r="P16" s="93"/>
      <c r="Q16" s="93"/>
      <c r="R16" s="93"/>
      <c r="S16" s="93"/>
      <c r="T16" s="94"/>
      <c r="U16" s="95"/>
      <c r="V16" s="70"/>
    </row>
    <row r="17" ht="13.5" customHeight="1">
      <c r="A17" s="92" t="s">
        <v>120</v>
      </c>
      <c r="B17" s="93">
        <f>B5*(ln(1.25)/ln(2))</f>
        <v>0.3219280949</v>
      </c>
      <c r="C17" s="93">
        <f t="shared" ref="C17:D17" si="3">if(C5&gt;0,C5*(ln(1.25)/ln(2)),"")</f>
        <v>0.3219280949</v>
      </c>
      <c r="D17" s="93" t="str">
        <f t="shared" si="3"/>
        <v/>
      </c>
      <c r="E17" s="93">
        <f>E5*(ln(1.25)/ln(2))</f>
        <v>0.128771238</v>
      </c>
      <c r="F17" s="93"/>
      <c r="G17" s="93"/>
      <c r="H17" s="93"/>
      <c r="I17" s="93"/>
      <c r="J17" s="93"/>
      <c r="K17" s="93"/>
      <c r="L17" s="93"/>
      <c r="M17" s="93"/>
      <c r="N17" s="93"/>
      <c r="O17" s="93"/>
      <c r="P17" s="93"/>
      <c r="Q17" s="93"/>
      <c r="R17" s="93"/>
      <c r="S17" s="93"/>
      <c r="T17" s="94"/>
      <c r="U17" s="95"/>
      <c r="V17" s="70"/>
    </row>
    <row r="18" ht="13.5" customHeight="1">
      <c r="A18" s="96" t="s">
        <v>121</v>
      </c>
      <c r="B18" s="93">
        <f>B5/ln(2)</f>
        <v>1.442695041</v>
      </c>
      <c r="C18" s="93">
        <f t="shared" ref="C18:D18" si="4">if(C5&gt;0,C5/ln(2),"")</f>
        <v>1.442695041</v>
      </c>
      <c r="D18" s="93" t="str">
        <f t="shared" si="4"/>
        <v/>
      </c>
      <c r="E18" s="93">
        <f>E5/ln(2)</f>
        <v>0.5770780164</v>
      </c>
      <c r="F18" s="93"/>
      <c r="G18" s="93"/>
      <c r="H18" s="93"/>
      <c r="I18" s="93"/>
      <c r="J18" s="93"/>
      <c r="K18" s="93"/>
      <c r="L18" s="93"/>
      <c r="M18" s="93"/>
      <c r="N18" s="93"/>
      <c r="O18" s="93"/>
      <c r="P18" s="93"/>
      <c r="Q18" s="93"/>
      <c r="R18" s="93"/>
      <c r="S18" s="93"/>
      <c r="T18" s="94"/>
      <c r="U18" s="95"/>
      <c r="V18" s="70"/>
    </row>
    <row r="19" ht="13.5" customHeight="1">
      <c r="A19" s="97"/>
      <c r="B19" s="98"/>
      <c r="C19" s="98"/>
      <c r="D19" s="98"/>
      <c r="E19" s="98"/>
      <c r="F19" s="98"/>
      <c r="G19" s="98"/>
      <c r="H19" s="98"/>
      <c r="I19" s="98"/>
      <c r="J19" s="98"/>
      <c r="K19" s="98"/>
      <c r="L19" s="98"/>
      <c r="M19" s="98"/>
      <c r="N19" s="98"/>
      <c r="O19" s="98"/>
      <c r="P19" s="98"/>
      <c r="Q19" s="98"/>
      <c r="R19" s="98"/>
      <c r="S19" s="98"/>
      <c r="T19" s="98"/>
      <c r="U19" s="95"/>
      <c r="V19" s="70"/>
    </row>
    <row r="20" ht="13.5" customHeight="1">
      <c r="A20" s="99" t="s">
        <v>122</v>
      </c>
      <c r="B20" s="100">
        <f>100*B5*(ln(1.1)/ln(2))</f>
        <v>13.75035237</v>
      </c>
      <c r="C20" s="100">
        <f t="shared" ref="C20:D20" si="5">if(C5&gt;0,100*C5*(ln(1.1)/ln(2)),"")</f>
        <v>13.75035237</v>
      </c>
      <c r="D20" s="100" t="str">
        <f t="shared" si="5"/>
        <v/>
      </c>
      <c r="E20" s="100">
        <f>100*E5*(ln(1.1)/ln(2))</f>
        <v>5.50014095</v>
      </c>
      <c r="F20" s="100"/>
      <c r="G20" s="100"/>
      <c r="H20" s="100"/>
      <c r="I20" s="100"/>
      <c r="J20" s="100"/>
      <c r="K20" s="100"/>
      <c r="L20" s="100"/>
      <c r="M20" s="100"/>
      <c r="N20" s="100"/>
      <c r="O20" s="100"/>
      <c r="P20" s="100"/>
      <c r="Q20" s="100"/>
      <c r="R20" s="100"/>
      <c r="S20" s="100"/>
      <c r="T20" s="98"/>
      <c r="U20" s="95"/>
      <c r="V20" s="70"/>
    </row>
    <row r="21" ht="13.5" customHeight="1">
      <c r="A21" s="99" t="s">
        <v>123</v>
      </c>
      <c r="B21" s="100">
        <f>100*B5*(ln(1.25)/ln(2))</f>
        <v>32.19280949</v>
      </c>
      <c r="C21" s="100">
        <f t="shared" ref="C21:D21" si="6">if(C5&gt;0,100*C5*(ln(1.25)/ln(2)),"")</f>
        <v>32.19280949</v>
      </c>
      <c r="D21" s="100" t="str">
        <f t="shared" si="6"/>
        <v/>
      </c>
      <c r="E21" s="100">
        <f>100*E5*(ln(1.25)/ln(2))</f>
        <v>12.8771238</v>
      </c>
      <c r="F21" s="100"/>
      <c r="G21" s="100"/>
      <c r="H21" s="100"/>
      <c r="I21" s="100"/>
      <c r="J21" s="100"/>
      <c r="K21" s="100"/>
      <c r="L21" s="100"/>
      <c r="M21" s="100"/>
      <c r="N21" s="100"/>
      <c r="O21" s="100"/>
      <c r="P21" s="100"/>
      <c r="Q21" s="100"/>
      <c r="R21" s="100"/>
      <c r="S21" s="100"/>
      <c r="T21" s="98"/>
      <c r="U21" s="95"/>
      <c r="V21" s="70"/>
    </row>
    <row r="22" ht="13.5" customHeight="1">
      <c r="A22" s="101"/>
      <c r="B22" s="102"/>
      <c r="C22" s="102"/>
      <c r="D22" s="103"/>
      <c r="E22" s="102"/>
      <c r="F22" s="102"/>
      <c r="G22" s="102"/>
      <c r="H22" s="102"/>
      <c r="I22" s="102"/>
      <c r="J22" s="102"/>
      <c r="K22" s="102"/>
      <c r="L22" s="102"/>
      <c r="M22" s="102"/>
      <c r="N22" s="102"/>
      <c r="O22" s="102"/>
      <c r="P22" s="102"/>
      <c r="Q22" s="102"/>
      <c r="R22" s="102"/>
      <c r="S22" s="102"/>
      <c r="T22" s="104"/>
      <c r="U22" s="95"/>
      <c r="V22" s="70"/>
    </row>
    <row r="23" ht="13.5" customHeight="1">
      <c r="A23" s="105" t="s">
        <v>124</v>
      </c>
      <c r="B23" s="106"/>
      <c r="C23" s="106"/>
      <c r="D23" s="106"/>
      <c r="E23" s="106"/>
      <c r="F23" s="106"/>
      <c r="G23" s="106"/>
      <c r="H23" s="106"/>
      <c r="I23" s="106"/>
      <c r="J23" s="106"/>
      <c r="K23" s="106"/>
      <c r="L23" s="106"/>
      <c r="M23" s="106"/>
      <c r="N23" s="106"/>
      <c r="O23" s="106"/>
      <c r="P23" s="106"/>
      <c r="Q23" s="106"/>
      <c r="R23" s="106"/>
      <c r="S23" s="106"/>
      <c r="T23" s="107"/>
      <c r="U23" s="108"/>
      <c r="V23" s="66"/>
    </row>
    <row r="24" ht="13.5" customHeight="1">
      <c r="A24" s="109" t="s">
        <v>125</v>
      </c>
      <c r="B24" s="110">
        <f t="shared" ref="B24:E24" si="7">iferror(B9/B8, " ")</f>
        <v>0.7108639863</v>
      </c>
      <c r="C24" s="110">
        <f t="shared" si="7"/>
        <v>0.7108639863</v>
      </c>
      <c r="D24" s="110" t="str">
        <f t="shared" si="7"/>
        <v> </v>
      </c>
      <c r="E24" s="110">
        <f t="shared" si="7"/>
        <v>0.8149466192</v>
      </c>
      <c r="F24" s="110"/>
      <c r="G24" s="110"/>
      <c r="H24" s="110"/>
      <c r="I24" s="110"/>
      <c r="J24" s="110"/>
      <c r="K24" s="110"/>
      <c r="L24" s="110"/>
      <c r="M24" s="110"/>
      <c r="N24" s="110"/>
      <c r="O24" s="110"/>
      <c r="P24" s="110"/>
      <c r="Q24" s="110"/>
      <c r="R24" s="110"/>
      <c r="S24" s="110"/>
      <c r="T24" s="111"/>
      <c r="U24" s="95"/>
      <c r="V24" s="70"/>
    </row>
    <row r="25" ht="13.5" customHeight="1">
      <c r="A25" s="112" t="s">
        <v>126</v>
      </c>
      <c r="B25" s="110">
        <f t="shared" ref="B25:E25" si="8">iferror(B5/B8, " ")</f>
        <v>0.008554319932</v>
      </c>
      <c r="C25" s="110">
        <f t="shared" si="8"/>
        <v>0.008554319932</v>
      </c>
      <c r="D25" s="110" t="str">
        <f t="shared" si="8"/>
        <v> </v>
      </c>
      <c r="E25" s="110">
        <f t="shared" si="8"/>
        <v>0.01094990419</v>
      </c>
      <c r="F25" s="110"/>
      <c r="G25" s="110"/>
      <c r="H25" s="110"/>
      <c r="I25" s="110"/>
      <c r="J25" s="110"/>
      <c r="K25" s="110"/>
      <c r="L25" s="110"/>
      <c r="M25" s="110"/>
      <c r="N25" s="110"/>
      <c r="O25" s="110"/>
      <c r="P25" s="110"/>
      <c r="Q25" s="110"/>
      <c r="R25" s="110"/>
      <c r="S25" s="110"/>
      <c r="T25" s="111"/>
      <c r="U25" s="95"/>
      <c r="V25" s="70"/>
    </row>
    <row r="26" ht="13.5" customHeight="1">
      <c r="A26" s="112"/>
      <c r="B26" s="110" t="str">
        <f t="shared" ref="B26:E26" si="9">iferror(B8/#REF!, " ")</f>
        <v> </v>
      </c>
      <c r="C26" s="110" t="str">
        <f t="shared" si="9"/>
        <v> </v>
      </c>
      <c r="D26" s="110" t="str">
        <f t="shared" si="9"/>
        <v> </v>
      </c>
      <c r="E26" s="110" t="str">
        <f t="shared" si="9"/>
        <v> </v>
      </c>
      <c r="F26" s="110"/>
      <c r="G26" s="110"/>
      <c r="H26" s="110"/>
      <c r="I26" s="110"/>
      <c r="J26" s="110"/>
      <c r="K26" s="110"/>
      <c r="L26" s="110"/>
      <c r="M26" s="110"/>
      <c r="N26" s="110"/>
      <c r="O26" s="110"/>
      <c r="P26" s="110"/>
      <c r="Q26" s="110"/>
      <c r="R26" s="110"/>
      <c r="S26" s="110"/>
      <c r="T26" s="111"/>
      <c r="U26" s="95"/>
      <c r="V26" s="70"/>
    </row>
    <row r="27" ht="13.5" customHeight="1">
      <c r="A27" s="64" t="s">
        <v>127</v>
      </c>
      <c r="B27" s="65"/>
      <c r="C27" s="65"/>
      <c r="D27" s="65"/>
      <c r="E27" s="65"/>
      <c r="F27" s="65"/>
      <c r="G27" s="65"/>
      <c r="H27" s="65"/>
      <c r="I27" s="65"/>
      <c r="J27" s="65"/>
      <c r="K27" s="65"/>
      <c r="L27" s="65"/>
      <c r="M27" s="65"/>
      <c r="N27" s="65"/>
      <c r="O27" s="65"/>
      <c r="P27" s="65"/>
      <c r="Q27" s="65"/>
      <c r="R27" s="65"/>
      <c r="S27" s="65"/>
      <c r="T27" s="65"/>
      <c r="U27" s="66"/>
      <c r="V27" s="66"/>
    </row>
    <row r="28" ht="13.5" customHeight="1">
      <c r="A28" s="112" t="s">
        <v>128</v>
      </c>
      <c r="B28" s="113">
        <f t="shared" ref="B28:B33" si="10">index($A$1:$V$35,match($A28,$A$1:$A$35,0),match($A$13,$A$1:$T$1,0))</f>
        <v>0.017</v>
      </c>
      <c r="C28" s="114">
        <v>0.017</v>
      </c>
      <c r="D28" s="115"/>
      <c r="E28" s="116"/>
      <c r="F28" s="116"/>
      <c r="G28" s="116"/>
      <c r="H28" s="116"/>
      <c r="I28" s="116"/>
      <c r="J28" s="116"/>
      <c r="K28" s="116"/>
      <c r="L28" s="116"/>
      <c r="M28" s="116"/>
      <c r="N28" s="116"/>
      <c r="O28" s="116"/>
      <c r="P28" s="116"/>
      <c r="Q28" s="116"/>
      <c r="R28" s="116"/>
      <c r="S28" s="116"/>
      <c r="T28" s="116"/>
      <c r="U28" s="116"/>
      <c r="V28" s="117"/>
    </row>
    <row r="29" ht="13.5" customHeight="1">
      <c r="A29" s="118" t="s">
        <v>129</v>
      </c>
      <c r="B29" s="113">
        <f t="shared" si="10"/>
        <v>0.009</v>
      </c>
      <c r="C29" s="114">
        <v>0.009</v>
      </c>
      <c r="D29" s="116"/>
      <c r="E29" s="116"/>
      <c r="F29" s="116"/>
      <c r="G29" s="116"/>
      <c r="H29" s="116"/>
      <c r="I29" s="116"/>
      <c r="J29" s="116"/>
      <c r="K29" s="116"/>
      <c r="L29" s="116"/>
      <c r="M29" s="116"/>
      <c r="N29" s="116"/>
      <c r="O29" s="116"/>
      <c r="P29" s="116"/>
      <c r="Q29" s="116"/>
      <c r="R29" s="116"/>
      <c r="S29" s="116"/>
      <c r="T29" s="116"/>
      <c r="U29" s="116"/>
      <c r="V29" s="79"/>
    </row>
    <row r="30" ht="13.5" customHeight="1">
      <c r="A30" s="118" t="s">
        <v>130</v>
      </c>
      <c r="B30" s="113">
        <f t="shared" si="10"/>
        <v>0.014</v>
      </c>
      <c r="C30" s="114">
        <v>0.014</v>
      </c>
      <c r="D30" s="116"/>
      <c r="E30" s="116"/>
      <c r="F30" s="116"/>
      <c r="G30" s="116"/>
      <c r="H30" s="116"/>
      <c r="I30" s="116"/>
      <c r="J30" s="116"/>
      <c r="K30" s="116"/>
      <c r="L30" s="116"/>
      <c r="M30" s="116"/>
      <c r="N30" s="116"/>
      <c r="O30" s="116"/>
      <c r="P30" s="116"/>
      <c r="Q30" s="116"/>
      <c r="R30" s="116"/>
      <c r="S30" s="116"/>
      <c r="T30" s="116"/>
      <c r="U30" s="116"/>
      <c r="V30" s="79"/>
    </row>
    <row r="31" ht="13.5" customHeight="1">
      <c r="A31" s="118" t="s">
        <v>131</v>
      </c>
      <c r="B31" s="113">
        <f t="shared" si="10"/>
        <v>0</v>
      </c>
      <c r="C31" s="114">
        <v>0.0</v>
      </c>
      <c r="D31" s="116"/>
      <c r="E31" s="116"/>
      <c r="F31" s="116"/>
      <c r="G31" s="116"/>
      <c r="H31" s="116"/>
      <c r="I31" s="116"/>
      <c r="J31" s="116"/>
      <c r="K31" s="116"/>
      <c r="L31" s="116"/>
      <c r="M31" s="116"/>
      <c r="N31" s="116"/>
      <c r="O31" s="116"/>
      <c r="P31" s="116"/>
      <c r="Q31" s="116"/>
      <c r="R31" s="116"/>
      <c r="S31" s="116"/>
      <c r="T31" s="116"/>
      <c r="U31" s="116"/>
      <c r="V31" s="79"/>
    </row>
    <row r="32" ht="13.5" customHeight="1">
      <c r="A32" s="118" t="s">
        <v>132</v>
      </c>
      <c r="B32" s="113">
        <f t="shared" si="10"/>
        <v>0</v>
      </c>
      <c r="C32" s="114">
        <v>0.0</v>
      </c>
      <c r="D32" s="116"/>
      <c r="E32" s="116"/>
      <c r="F32" s="116"/>
      <c r="G32" s="116"/>
      <c r="H32" s="116"/>
      <c r="I32" s="116"/>
      <c r="J32" s="116"/>
      <c r="K32" s="116"/>
      <c r="L32" s="116"/>
      <c r="M32" s="116"/>
      <c r="N32" s="116"/>
      <c r="O32" s="116"/>
      <c r="P32" s="116"/>
      <c r="Q32" s="116"/>
      <c r="R32" s="116"/>
      <c r="S32" s="116"/>
      <c r="T32" s="116"/>
      <c r="U32" s="116"/>
      <c r="V32" s="79"/>
    </row>
    <row r="33" ht="13.5" customHeight="1">
      <c r="A33" s="118" t="s">
        <v>133</v>
      </c>
      <c r="B33" s="113">
        <f t="shared" si="10"/>
        <v>0.04</v>
      </c>
      <c r="C33" s="119">
        <f>sum(C28:C32)</f>
        <v>0.04</v>
      </c>
      <c r="D33" s="116"/>
      <c r="E33" s="114">
        <f>C33</f>
        <v>0.04</v>
      </c>
      <c r="F33" s="116"/>
      <c r="G33" s="116"/>
      <c r="H33" s="116"/>
      <c r="I33" s="116"/>
      <c r="J33" s="116"/>
      <c r="K33" s="116"/>
      <c r="L33" s="116"/>
      <c r="M33" s="116"/>
      <c r="N33" s="116"/>
      <c r="O33" s="116"/>
      <c r="P33" s="116"/>
      <c r="Q33" s="116"/>
      <c r="R33" s="116"/>
      <c r="S33" s="116"/>
      <c r="T33" s="116"/>
      <c r="U33" s="116"/>
      <c r="V33" s="79"/>
    </row>
    <row r="34" ht="13.5" customHeight="1">
      <c r="A34" s="70"/>
      <c r="B34" s="116"/>
      <c r="C34" s="116"/>
      <c r="D34" s="116"/>
      <c r="E34" s="116"/>
      <c r="F34" s="116"/>
      <c r="G34" s="116"/>
      <c r="H34" s="116"/>
      <c r="I34" s="116"/>
      <c r="J34" s="116"/>
      <c r="K34" s="116"/>
      <c r="L34" s="116"/>
      <c r="M34" s="116"/>
      <c r="N34" s="116"/>
      <c r="O34" s="116"/>
      <c r="P34" s="116"/>
      <c r="Q34" s="116"/>
      <c r="R34" s="116"/>
      <c r="S34" s="116"/>
      <c r="T34" s="116"/>
      <c r="U34" s="116"/>
      <c r="V34" s="79"/>
    </row>
    <row r="35" ht="13.5" customHeight="1">
      <c r="A35" s="70"/>
      <c r="B35" s="116"/>
      <c r="C35" s="116"/>
      <c r="D35" s="116"/>
      <c r="E35" s="116"/>
      <c r="F35" s="116"/>
      <c r="G35" s="116"/>
      <c r="H35" s="116"/>
      <c r="I35" s="116"/>
      <c r="J35" s="116"/>
      <c r="K35" s="116"/>
      <c r="L35" s="116"/>
      <c r="M35" s="116"/>
      <c r="N35" s="116"/>
      <c r="O35" s="116"/>
      <c r="P35" s="116"/>
      <c r="Q35" s="116"/>
      <c r="R35" s="116"/>
      <c r="S35" s="116"/>
      <c r="T35" s="116"/>
      <c r="U35" s="116"/>
      <c r="V35" s="79"/>
    </row>
  </sheetData>
  <hyperlinks>
    <hyperlink r:id="rId2" ref="T10"/>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76.0"/>
    <col customWidth="1" min="2" max="2" width="47.57"/>
    <col customWidth="1" min="3" max="3" width="51.29"/>
  </cols>
  <sheetData>
    <row r="1" ht="14.25" customHeight="1">
      <c r="A1" s="120" t="s">
        <v>13</v>
      </c>
      <c r="B1" s="121"/>
      <c r="C1" s="120"/>
    </row>
    <row r="2">
      <c r="A2" s="122"/>
      <c r="B2" s="97"/>
      <c r="C2" s="123"/>
    </row>
    <row r="3">
      <c r="A3" s="124" t="s">
        <v>134</v>
      </c>
      <c r="B3" s="97"/>
      <c r="C3" s="123"/>
    </row>
    <row r="4">
      <c r="A4" s="122"/>
      <c r="B4" s="97"/>
      <c r="C4" s="123"/>
    </row>
    <row r="5">
      <c r="A5" s="125" t="s">
        <v>135</v>
      </c>
      <c r="B5" s="126"/>
      <c r="C5" s="126"/>
    </row>
    <row r="6">
      <c r="A6" s="7" t="s">
        <v>11</v>
      </c>
      <c r="B6" s="123" t="s">
        <v>91</v>
      </c>
    </row>
    <row r="7">
      <c r="A7" s="7"/>
      <c r="B7" s="127"/>
      <c r="C7" s="127"/>
    </row>
    <row r="8">
      <c r="A8" s="7" t="s">
        <v>136</v>
      </c>
      <c r="B8" s="127" t="s">
        <v>72</v>
      </c>
      <c r="C8" s="127" t="s">
        <v>72</v>
      </c>
    </row>
    <row r="9">
      <c r="A9" s="7" t="s">
        <v>137</v>
      </c>
      <c r="B9" s="127" t="s">
        <v>72</v>
      </c>
      <c r="C9" s="127" t="s">
        <v>72</v>
      </c>
    </row>
    <row r="10">
      <c r="A10" s="7" t="s">
        <v>138</v>
      </c>
      <c r="B10" s="127" t="s">
        <v>72</v>
      </c>
      <c r="C10" s="127" t="s">
        <v>72</v>
      </c>
    </row>
    <row r="11">
      <c r="A11" s="7" t="s">
        <v>139</v>
      </c>
      <c r="B11" s="127" t="s">
        <v>72</v>
      </c>
      <c r="C11" s="127" t="s">
        <v>72</v>
      </c>
    </row>
    <row r="12">
      <c r="A12" s="7" t="s">
        <v>140</v>
      </c>
      <c r="B12" s="127" t="s">
        <v>72</v>
      </c>
      <c r="C12" s="127" t="s">
        <v>72</v>
      </c>
    </row>
    <row r="13">
      <c r="A13" s="7" t="s">
        <v>141</v>
      </c>
      <c r="B13" s="127" t="s">
        <v>72</v>
      </c>
      <c r="C13" s="127" t="s">
        <v>72</v>
      </c>
    </row>
    <row r="14">
      <c r="A14" s="7" t="s">
        <v>142</v>
      </c>
      <c r="B14" s="123" t="s">
        <v>72</v>
      </c>
      <c r="C14" s="123" t="s">
        <v>72</v>
      </c>
    </row>
    <row r="15">
      <c r="A15" s="128"/>
      <c r="B15" s="129"/>
      <c r="C15" s="127"/>
    </row>
    <row r="16">
      <c r="A16" s="7" t="s">
        <v>143</v>
      </c>
      <c r="B16" s="130" t="s">
        <v>144</v>
      </c>
      <c r="C16" s="130" t="s">
        <v>144</v>
      </c>
    </row>
    <row r="17">
      <c r="A17" s="128"/>
      <c r="B17" s="127"/>
      <c r="C17" s="127"/>
    </row>
    <row r="18">
      <c r="A18" s="125" t="s">
        <v>145</v>
      </c>
      <c r="B18" s="126"/>
      <c r="C18" s="131"/>
    </row>
    <row r="19">
      <c r="A19" s="132" t="s">
        <v>146</v>
      </c>
      <c r="B19" s="133">
        <f t="array" ref="B19">ifs(B16="Core model only",index(AMF!$1:$1012,match("Initial cost-effectiveness estimate in multiples of cash transfers", AMF!$A:$A,0),match(B8,AMF!$1:$1,0)),
B16="Include downside adjustments", index(AMF!$1:$1012,match("Cost-effectiveness in multiples of cash transfers, after downside adjustments", AMF!$A:$A,0),match(B8,AMF!$1:$1,0)),
B16="Include downside adjustments and adjustments for excluded effects", index(AMF!$1:$1012,match("Cost-effectiveness in multiples of cash transfers, after adjustments for excluded effects", AMF!$A:$A,0),match(B8,AMF!$1:$1,0)),
B16="Include leverage/funging and all other adjustments", index(AMF!$1:$1012,match("Cost-effectiveness in multiples of cash transfers, after accounting for leverage/funging", AMF!$A:$A,0),match(B8,AMF!$1:$1,0)))</f>
        <v>15.43791559</v>
      </c>
      <c r="C19" s="133">
        <f t="array" ref="C19">ifs(C16="Core model only",index(AMF!$1:$1012,match("Initial cost-effectiveness estimate in multiples of cash transfers", AMF!$A:$A,0),match(C8,AMF!$1:$1,0)),
C16="Include downside adjustments", index(AMF!$1:$1012,match("Cost-effectiveness in multiples of cash transfers, after downside adjustments", AMF!$A:$A,0),match(C8,AMF!$1:$1,0)),
C16="Include downside adjustments and adjustments for excluded effects", index(AMF!$1:$1012,match("Cost-effectiveness in multiples of cash transfers, after adjustments for excluded effects", AMF!$A:$A,0),match(C8,AMF!$1:$1,0)),
C16="Include leverage/funging and all other adjustments", index(AMF!$1:$1012,match("Cost-effectiveness in multiples of cash transfers, after accounting for leverage/funging", AMF!$A:$A,0),match(C8,AMF!$1:$1,0)))</f>
        <v>15.43791559</v>
      </c>
    </row>
    <row r="20">
      <c r="A20" s="132" t="s">
        <v>147</v>
      </c>
      <c r="B20" s="133">
        <f t="array" ref="B20">ifs(B16="Core model only",index(GiveDirectly!$1:$995,match("Initial cost-effectiveness estimate in multiples of cash transfers", GiveDirectly!$A:$A,0),match("Active",GiveDirectly!$1:$1,0)),
B16="Include downside adjustments", index(GiveDirectly!$1:$995,match("Cost-effectiveness in multiples of cash transfers, after downside adjustments", GiveDirectly!$A:$A,0),match("Active",GiveDirectly!$1:$1,0)),
B16="Include downside adjustments and adjustments for excluded effects", index(GiveDirectly!$1:$995,match("Cost-effectiveness in multiples of cash, after accounting for downside adjustments and adjustments for excluded effects", GiveDirectly!$A:$A,0),match("Active",GiveDirectly!$1:$1,0)),
B16="Include leverage/funging and all other adjustments", index(GiveDirectly!$1:$995,match("Cost-effectiveness in multiples of cash, after accounting for downside adjustments and adjustments for excluded effects", GiveDirectly!$A:$A,0),match("Active",GiveDirectly!$1:$1,0)))</f>
        <v>0.9752</v>
      </c>
      <c r="C20" s="133">
        <f t="array" ref="C20">ifs(C16="Core model only",index(GiveDirectly!$1:$995,match("Initial cost-effectiveness estimate in multiples of cash transfers", GiveDirectly!$A:$A,0),match("Active",GiveDirectly!$1:$1,0)),
C16="Include downside adjustments", index(GiveDirectly!$1:$995,match("Cost-effectiveness in multiples of cash transfers, after downside adjustments", GiveDirectly!$A:$A,0),match("Active",GiveDirectly!$1:$1,0)),
C16="Include downside adjustments and adjustments for excluded effects", index(GiveDirectly!$1:$995,match("Cost-effectiveness in multiples of cash, after accounting for downside adjustments and adjustments for excluded effects", GiveDirectly!$A:$A,0),match("Active",GiveDirectly!$1:$1,0)),
C16="Include leverage/funging and all other adjustments", index(GiveDirectly!$1:$995,match("Cost-effectiveness in multiples of cash, after accounting for downside adjustments and adjustments for excluded effects", GiveDirectly!$A:$A,0),match("Active",GiveDirectly!$1:$1,0)))</f>
        <v>0.9752</v>
      </c>
    </row>
    <row r="21">
      <c r="A21" s="132" t="s">
        <v>148</v>
      </c>
      <c r="B21" s="133">
        <f t="array" ref="B21">ifs(B16="Core model only",index('Deworm the World'!$1:$997,match("Initial cost-effectiveness estimate in multiples of cash transfers", 'Deworm the World'!$A:$A,0),match(B10,'Deworm the World'!$1:$1,0)),
B16="Include downside adjustments", index('Deworm the World'!$1:$997,match("Cost-effectiveness in multiples of cash transfers, after downside adjustments", 'Deworm the World'!$A:$A,0),match(B10,'Deworm the World'!$1:$1,0)),
B16="Include downside adjustments and adjustments for excluded effects", index('Deworm the World'!$1:$997,match("Cost-effectiveness in multiples of cash transfers, after adjustments for excluded effects", 'Deworm the World'!$A:$A,0),match(B10,'Deworm the World'!$1:$1,0)),
B16="Include leverage/funging and all other adjustments", index('Deworm the World'!$1:$997,match("Cost-effectiveness in multiples of cash transfers, after accounting for leverage/funging", 'Deworm the World'!$A:$A,0),match(B10,'Deworm the World'!$1:$1,0)))</f>
        <v>16.22237666</v>
      </c>
      <c r="C21" s="133">
        <f t="array" ref="C21">ifs(C16="Core model only",index('Deworm the World'!$1:$997,match("Initial cost-effectiveness estimate in multiples of cash transfers", 'Deworm the World'!$A:$A,0),match(C10,'Deworm the World'!$1:$1,0)),
C16="Include downside adjustments", index('Deworm the World'!$1:$997,match("Cost-effectiveness in multiples of cash transfers, after downside adjustments", 'Deworm the World'!$A:$A,0),match(C10,'Deworm the World'!$1:$1,0)),
C16="Include downside adjustments and adjustments for excluded effects", index('Deworm the World'!$1:$997,match("Cost-effectiveness in multiples of cash transfers, after adjustments for excluded effects", 'Deworm the World'!$A:$A,0),match(C10,'Deworm the World'!$1:$1,0)),
C16="Include leverage/funging and all other adjustments", index('Deworm the World'!$1:$997,match("Cost-effectiveness in multiples of cash transfers, after accounting for leverage/funging", 'Deworm the World'!$A:$A,0),match(C10,'Deworm the World'!$1:$1,0)))</f>
        <v>16.22237666</v>
      </c>
    </row>
    <row r="22">
      <c r="A22" s="132" t="s">
        <v>149</v>
      </c>
      <c r="B22" s="133">
        <f t="array" ref="B22">ifs(B16="Core model only",index('END Fund'!$1:$998,match("Initial cost-effectiveness estimate in multiples of cash transfers", 'END Fund'!$A:$A,0),match(B11,'END Fund'!$1:$1,0)),
B16="Include downside adjustments", index('END Fund'!$1:$998,match("Cost-effectiveness in multiples of cash transfers, after downside adjustments", 'END Fund'!$A:$A,0),match(B11,'END Fund'!$1:$1,0)),
B16="Include downside adjustments and adjustments for excluded effects", index('END Fund'!$1:$998,match("Cost-effectiveness in multiples of cash transfers, after adjustments for excluded effects", 'END Fund'!$A:$A,0),match(B11,'END Fund'!$1:$1,0)),
B16="Include leverage/funging and all other adjustments", index('END Fund'!$1:$998,match("Cost-effectiveness in multiples of cash transfers, after accounting for leverage/funging", 'END Fund'!$A:$A,0),match(B11,'END Fund'!$1:$1,0)))</f>
        <v>10.48781369</v>
      </c>
      <c r="C22" s="133">
        <f t="array" ref="C22">ifs(C16="Core model only",index('END Fund'!$1:$998,match("Initial cost-effectiveness estimate in multiples of cash transfers", 'END Fund'!$A:$A,0),match(C11,'END Fund'!$1:$1,0)),
C16="Include downside adjustments", index('END Fund'!$1:$998,match("Cost-effectiveness in multiples of cash transfers, after downside adjustments", 'END Fund'!$A:$A,0),match(C11,'END Fund'!$1:$1,0)),
C16="Include downside adjustments and adjustments for excluded effects", index('END Fund'!$1:$998,match("Cost-effectiveness in multiples of cash transfers, after adjustments for excluded effects", 'END Fund'!$A:$A,0),match(C11,'END Fund'!$1:$1,0)),
C16="Include leverage/funging and all other adjustments", index('END Fund'!$1:$998,match("Cost-effectiveness in multiples of cash transfers, after accounting for leverage/funging", 'END Fund'!$A:$A,0),match(C11,'END Fund'!$1:$1,0)))</f>
        <v>10.48781369</v>
      </c>
    </row>
    <row r="23">
      <c r="A23" s="132" t="s">
        <v>150</v>
      </c>
      <c r="B23" s="133">
        <f t="array" ref="B23">ifs(B16="Core model only",index('SCI Foundation'!$1:$998,match("Initial cost-effectiveness estimate in multiples of cash transfers", 'SCI Foundation'!$A:$A,0),match(B11,'SCI Foundation'!$1:$1,0)),
B16="Include downside adjustments", index('SCI Foundation'!$1:$998,match("Cost-effectiveness in multiples of cash transfers, after downside adjustments", 'SCI Foundation'!$A:$A,0),match(B11,'SCI Foundation'!$1:$1,0)),
B16="Include downside adjustments and adjustments for excluded effects", index('SCI Foundation'!$1:$998,match("Cost-effectiveness in multiples of cash, after adjustments for excluded effects", 'SCI Foundation'!$A:$A,0),match(B11,'SCI Foundation'!$1:$1,0)),
B16="Include leverage/funging and all other adjustments", index('SCI Foundation'!$1:$998,match("Cost-effectiveness in multiples of cash transfers, after accounting for leverage/funging", 'SCI Foundation'!$A:$A,0),match(B11,'SCI Foundation'!$1:$1,0)))</f>
        <v>9.88627329</v>
      </c>
      <c r="C23" s="133">
        <f t="array" ref="C23">ifs(C16="Core model only",index('SCI Foundation'!$1:$998,match("Initial cost-effectiveness estimate in multiples of cash transfers", 'SCI Foundation'!$A:$A,0),match(C11,'SCI Foundation'!$1:$1,0)),
C16="Include downside adjustments", index('SCI Foundation'!$1:$998,match("Cost-effectiveness in multiples of cash transfers, after downside adjustments", 'SCI Foundation'!$A:$A,0),match(C11,'SCI Foundation'!$1:$1,0)),
C16="Include downside adjustments and adjustments for excluded effects", index('SCI Foundation'!$1:$998,match("Cost-effectiveness in multiples of cash, after adjustments for excluded effects", 'SCI Foundation'!$A:$A,0),match(C11,'SCI Foundation'!$1:$1,0)),
C16="Include leverage/funging and all other adjustments", index('SCI Foundation'!$1:$998,match("Cost-effectiveness in multiples of cash transfers, after accounting for leverage/funging", 'SCI Foundation'!$A:$A,0),match(C11,'SCI Foundation'!$1:$1,0)))</f>
        <v>9.88627329</v>
      </c>
    </row>
    <row r="24" ht="13.5" customHeight="1">
      <c r="A24" s="132" t="s">
        <v>151</v>
      </c>
      <c r="B24" s="133">
        <f t="array" ref="B24">ifs(B16="Core model only",index(Sightsavers!$1:$998,match("Initial cost-effectiveness estimate in multiples of cash transfers", Sightsavers!$A:$A,0),match(B12,Sightsavers!$1:$1,0)),
B16="Include downside adjustments", index(Sightsavers!$1:$998,match("Cost-effectiveness in multiples of cash transfers, after downside adjustments", Sightsavers!$A:$A,0),match(B12,Sightsavers!$1:$1,0)),
B16="Include downside adjustments and adjustments for excluded effects", index(Sightsavers!$1:$998,match("Cost-effectiveness in multiples of cash transfers, after adjustments for excluded effects", Sightsavers!$A:$A,0),match(B12,Sightsavers!$1:$1,0)),
B16="Include leverage/funging and all other adjustments", index(Sightsavers!$1:$998,match("Cost-effectiveness in multiples of cash transfers, after accounting for leverage/funging", Sightsavers!$A:$A,0),match(B12,Sightsavers!$1:$1,0)))</f>
        <v>14.94776045</v>
      </c>
      <c r="C24" s="133">
        <f t="array" ref="C24">ifs(C16="Core model only",index(Sightsavers!$1:$998,match("Initial cost-effectiveness estimate in multiples of cash transfers", Sightsavers!$A:$A,0),match(C12,Sightsavers!$1:$1,0)),
C16="Include downside adjustments", index(Sightsavers!$1:$998,match("Cost-effectiveness in multiples of cash transfers, after downside adjustments", Sightsavers!$A:$A,0),match(C12,Sightsavers!$1:$1,0)),
C16="Include downside adjustments and adjustments for excluded effects", index(Sightsavers!$1:$998,match("Cost-effectiveness in multiples of cash transfers, after adjustments for excluded effects", Sightsavers!$A:$A,0),match(C12,Sightsavers!$1:$1,0)),
C16="Include leverage/funging and all other adjustments", index(Sightsavers!$1:$998,match("Cost-effectiveness in multiples of cash transfers, after accounting for leverage/funging", Sightsavers!$A:$A,0),match(C12,Sightsavers!$1:$1,0)))</f>
        <v>14.94776045</v>
      </c>
    </row>
    <row r="25">
      <c r="A25" s="132" t="s">
        <v>152</v>
      </c>
      <c r="B25" s="133">
        <f t="array" ref="B25">ifs(B16="Core model only",index('Malaria Consortium'!$1:$1007,match("Initial cost-effectiveness estimate in multiples of cash transfers", 'Malaria Consortium'!$A:$A,0),match(B13,'Malaria Consortium'!$1:$1,0)),
B16="Include downside adjustments", index('Malaria Consortium'!$1:$1007,match("Cost-effectiveness in multiples of cash transfers, after downside adjustments", 'Malaria Consortium'!$A:$A,0),match(B13,'Malaria Consortium'!$1:$1,0)),
B16="Include downside adjustments and adjustments for excluded effects", index('Malaria Consortium'!$1:$1007,match("Cost-effectiveness in multiples of cash transfers, after adjustments for excluded effects", 'Malaria Consortium'!$A:$A,0),match(B13,'Malaria Consortium'!$1:$1,0)),
B16="Include leverage/funging and all other adjustments", index('Malaria Consortium'!$1:$1007,match("Cost-effectiveness in multiples of cash transfers, after accounting for leverage/funging", 'Malaria Consortium'!$A:$A,0),match(B13,'Malaria Consortium'!$1:$1,0)))</f>
        <v>14.11631</v>
      </c>
      <c r="C25" s="133">
        <f t="array" ref="C25">ifs(C16="Core model only",index('Malaria Consortium'!$1:$1007,match("Initial cost-effectiveness estimate in multiples of cash transfers", 'Malaria Consortium'!$A:$A,0),match(C13,'Malaria Consortium'!$1:$1,0)),
C16="Include downside adjustments", index('Malaria Consortium'!$1:$1007,match("Cost-effectiveness in multiples of cash transfers, after downside adjustments", 'Malaria Consortium'!$A:$A,0),match(C13,'Malaria Consortium'!$1:$1,0)),
C16="Include downside adjustments and adjustments for excluded effects", index('Malaria Consortium'!$1:$1007,match("Cost-effectiveness in multiples of cash transfers, after adjustments for excluded effects", 'Malaria Consortium'!$A:$A,0),match(C13,'Malaria Consortium'!$1:$1,0)),
C16="Include leverage/funging and all other adjustments", index('Malaria Consortium'!$1:$1007,match("Cost-effectiveness in multiples of cash transfers, after accounting for leverage/funging", 'Malaria Consortium'!$A:$A,0),match(C13,'Malaria Consortium'!$1:$1,0)))</f>
        <v>14.11631</v>
      </c>
    </row>
    <row r="26">
      <c r="A26" s="132" t="s">
        <v>153</v>
      </c>
      <c r="B26" s="133">
        <f t="array" ref="B26">ifs(B16="Core model only",index('Helen Keller International'!$1:$1087,match("Initial cost-effectiveness estimate in multiples of cash transfers", 'Helen Keller International'!$A:$A,0),match(B14,'Helen Keller International'!$1:$1,0)),
B16="Include downside adjustments", index('Helen Keller International'!$1:$1087,match("Cost-effectiveness in multiples of cash transfers, after downside adjustments", 'Helen Keller International'!$A:$A,0),match(B14,'Helen Keller International'!$1:$1,0)),
B16="Include downside adjustments and adjustments for excluded effects", index('Helen Keller International'!$1:$1087,match("Cost-effectiveness in multiples of cash transfers, after adjustments for excluded effects", 'Helen Keller International'!$A:$A,0),match(B14,'Helen Keller International'!$1:$1,0)),
B16="Include leverage/funging and all other adjustments", index('Helen Keller International'!$1:$1087,match("Cost-effectiveness in multiples of cash transfers, after accounting for leverage/funging", 'Helen Keller International'!$A:$A,0),match(B14,'Helen Keller International'!$1:$1,0)))</f>
        <v>21.4227532</v>
      </c>
      <c r="C26" s="133">
        <f t="array" ref="C26">ifs(C16="Core model only",index('Helen Keller International'!$1:$1087,match("Initial cost-effectiveness estimate in multiples of cash transfers", 'Helen Keller International'!$A:$A,0),match(C14,'Helen Keller International'!$1:$1,0)),
C16="Include downside adjustments", index('Helen Keller International'!$1:$1087,match("Cost-effectiveness in multiples of cash transfers, after downside adjustments", 'Helen Keller International'!$A:$A,0),match(C14,'Helen Keller International'!$1:$1,0)),
C16="Include downside adjustments and adjustments for excluded effects", index('Helen Keller International'!$1:$1087,match("Cost-effectiveness in multiples of cash transfers, after adjustments for excluded effects", 'Helen Keller International'!$A:$A,0),match(C14,'Helen Keller International'!$1:$1,0)),
C16="Include leverage/funging and all other adjustments", index('Helen Keller International'!$1:$1087,match("Cost-effectiveness in multiples of cash transfers, after accounting for leverage/funging", 'Helen Keller International'!$A:$A,0),match(C14,'Helen Keller International'!$1:$1,0)))</f>
        <v>21.4227532</v>
      </c>
    </row>
    <row r="27">
      <c r="A27" s="120"/>
      <c r="B27" s="133"/>
      <c r="C27" s="134"/>
    </row>
    <row r="28">
      <c r="A28" s="135"/>
      <c r="B28" s="133"/>
      <c r="C28" s="134"/>
    </row>
    <row r="29">
      <c r="A29" s="125" t="s">
        <v>154</v>
      </c>
      <c r="B29" s="126"/>
      <c r="C29" s="131"/>
    </row>
    <row r="30">
      <c r="A30" s="135" t="s">
        <v>71</v>
      </c>
      <c r="B30" s="136">
        <f t="array" ref="B30">index(AMF!$1:$999,match("Cost per life saved, after downside adjustments, adjustments for excluded effects, and funging adjustments",AMF!$A:$A,0),match(B8,AMF!$1:$1,0))</f>
        <v>4105.968714</v>
      </c>
      <c r="C30" s="136">
        <f t="array" ref="C30">index(AMF!$1:$999,match("Cost per life saved, after downside adjustments, adjustments for excluded effects, and funging adjustments",AMF!$A:$A,0),match(C8,AMF!$1:$1,0))</f>
        <v>4105.968714</v>
      </c>
    </row>
    <row r="31">
      <c r="A31" s="135" t="s">
        <v>27</v>
      </c>
      <c r="B31" s="136">
        <f t="array" ref="B31">index('Malaria Consortium'!$1:$997,match("Cost per life saved, after downside adjustments, adjustments for excluded effects, and funging adjustments",'Malaria Consortium'!$A:$A,0),match(B13,'Malaria Consortium'!$1:$1,0))</f>
        <v>4133.443807</v>
      </c>
      <c r="C31" s="136">
        <f t="array" ref="C31">index('Malaria Consortium'!$1:$997,match("Cost per life saved, after downside adjustments, adjustments for excluded effects, and funging adjustments",'Malaria Consortium'!$A:$A,0),match(C13,'Malaria Consortium'!$1:$1,0))</f>
        <v>4133.443807</v>
      </c>
    </row>
    <row r="32">
      <c r="A32" s="135" t="s">
        <v>29</v>
      </c>
      <c r="B32" s="136">
        <f t="array" ref="B32">index('Helen Keller International'!$1:$1081,match("Cost per life saved, after downside adjustments, adjustments for excluded effects, and funging adjustments",'Helen Keller International'!$A:$A,0),match(B14,'Helen Keller International'!$1:$1,0))</f>
        <v>2795.221011</v>
      </c>
      <c r="C32" s="136">
        <f t="array" ref="C32">index('Helen Keller International'!$1:$1081,match("Cost per life saved, after downside adjustments, adjustments for excluded effects, and funging adjustments",'Helen Keller International'!$A:$A,0),match(C14,'Helen Keller International'!$1:$1,0))</f>
        <v>2795.221011</v>
      </c>
    </row>
    <row r="33">
      <c r="A33" s="137"/>
      <c r="B33" s="138"/>
      <c r="C33" s="70"/>
    </row>
    <row r="34">
      <c r="A34" s="137"/>
      <c r="B34" s="138"/>
      <c r="C34" s="70"/>
    </row>
    <row r="35">
      <c r="A35" s="137"/>
      <c r="B35" s="138"/>
      <c r="C35" s="70"/>
    </row>
    <row r="36">
      <c r="A36" s="137"/>
      <c r="B36" s="138"/>
      <c r="C36" s="70"/>
    </row>
  </sheetData>
  <mergeCells count="1">
    <mergeCell ref="B6:C6"/>
  </mergeCells>
  <conditionalFormatting sqref="A1:A36 C1:C4 B6:C6 B14:C14 C18 C27:C36 B29:B36">
    <cfRule type="containsText" dxfId="5" priority="1" operator="containsText" text="N/A">
      <formula>NOT(ISERROR(SEARCH(("N/A"),(A1))))</formula>
    </cfRule>
  </conditionalFormatting>
  <dataValidations>
    <dataValidation type="list" allowBlank="1" sqref="B13:C13">
      <formula1>'Malaria Consortium'!$C$1:$F$1</formula1>
    </dataValidation>
    <dataValidation type="list" allowBlank="1" sqref="B11:C11">
      <formula1>'SCI Foundation'!$C$1:$Q$1</formula1>
    </dataValidation>
    <dataValidation type="list" allowBlank="1" sqref="B7:C8">
      <formula1>AMF!$C$1:$G$1</formula1>
    </dataValidation>
    <dataValidation type="list" allowBlank="1" sqref="B14:C14">
      <formula1>'Helen Keller International'!$C$1:$L$1</formula1>
    </dataValidation>
    <dataValidation type="list" allowBlank="1" sqref="B9:C9">
      <formula1>'Deworm the World'!$C$1:$I$1</formula1>
    </dataValidation>
    <dataValidation type="list" allowBlank="1" sqref="B10:C10">
      <formula1>'END Fund'!$C$1:$H$1</formula1>
    </dataValidation>
    <dataValidation type="list" allowBlank="1" sqref="B16:C16">
      <formula1>"Core model only,Include downside adjustments,Include downside adjustments and adjustments for excluded effects,Include leverage/funging and all other adjustments"</formula1>
    </dataValidation>
    <dataValidation type="list" allowBlank="1" sqref="B12:C12">
      <formula1>Sightsavers!$C$1:$Q$1</formula1>
    </dataValidation>
    <dataValidation type="list" allowBlank="1" sqref="B6">
      <formula1>'Moral weights and discount rate'!$C$1:$E$1</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14"/>
    <col customWidth="1" min="2" max="7" width="17.29"/>
  </cols>
  <sheetData>
    <row r="1" ht="1.5" customHeight="1">
      <c r="A1" s="139" t="s">
        <v>155</v>
      </c>
      <c r="B1" s="140" t="s">
        <v>87</v>
      </c>
      <c r="C1" s="140" t="s">
        <v>72</v>
      </c>
      <c r="D1" s="140" t="s">
        <v>156</v>
      </c>
      <c r="E1" s="140" t="s">
        <v>157</v>
      </c>
      <c r="F1" s="140" t="s">
        <v>76</v>
      </c>
      <c r="G1" s="140" t="s">
        <v>158</v>
      </c>
    </row>
    <row r="2" ht="12.0" customHeight="1">
      <c r="A2" s="141" t="s">
        <v>159</v>
      </c>
      <c r="B2" s="142"/>
      <c r="C2" s="143"/>
      <c r="D2" s="143"/>
      <c r="E2" s="143"/>
      <c r="F2" s="143"/>
      <c r="G2" s="143"/>
    </row>
    <row r="3" ht="12.0" customHeight="1">
      <c r="A3" s="144" t="str">
        <f>Results!C8</f>
        <v>Overall</v>
      </c>
      <c r="B3" s="142"/>
      <c r="C3" s="143"/>
      <c r="D3" s="143"/>
      <c r="E3" s="143"/>
      <c r="F3" s="143"/>
      <c r="G3" s="143"/>
    </row>
    <row r="4" ht="12.0" customHeight="1">
      <c r="A4" s="141"/>
      <c r="B4" s="142"/>
      <c r="C4" s="143"/>
      <c r="D4" s="143"/>
      <c r="E4" s="143"/>
      <c r="F4" s="143"/>
      <c r="G4" s="143"/>
    </row>
    <row r="5" ht="12.0" customHeight="1">
      <c r="A5" s="145" t="s">
        <v>160</v>
      </c>
      <c r="B5" s="146"/>
      <c r="C5" s="147"/>
      <c r="D5" s="147"/>
      <c r="E5" s="147"/>
      <c r="F5" s="147"/>
      <c r="G5" s="147"/>
    </row>
    <row r="6" ht="12.0" customHeight="1">
      <c r="A6" s="118"/>
      <c r="B6" s="148"/>
      <c r="C6" s="149"/>
      <c r="D6" s="150"/>
      <c r="E6" s="150"/>
      <c r="F6" s="150"/>
      <c r="G6" s="150"/>
    </row>
    <row r="7" ht="12.0" customHeight="1">
      <c r="A7" s="96" t="s">
        <v>161</v>
      </c>
      <c r="B7" s="151">
        <f t="shared" ref="B7:B9" si="1">index(C7:V7,,match($A$3,$C$1:$V$1,0))</f>
        <v>1</v>
      </c>
      <c r="C7" s="152">
        <f>sum(D7:G7)</f>
        <v>1</v>
      </c>
      <c r="D7" s="153">
        <v>0.715759605447646</v>
      </c>
      <c r="E7" s="153">
        <v>0.0625632341603649</v>
      </c>
      <c r="F7" s="153">
        <v>0.05317047643080345</v>
      </c>
      <c r="G7" s="153">
        <v>0.16850668396118557</v>
      </c>
    </row>
    <row r="8" ht="12.0" customHeight="1">
      <c r="A8" s="154" t="s">
        <v>162</v>
      </c>
      <c r="B8" s="151">
        <f t="shared" si="1"/>
        <v>0.4560677158</v>
      </c>
      <c r="C8" s="152">
        <f>C13/C14</f>
        <v>0.4560677158</v>
      </c>
      <c r="D8" s="155">
        <v>0.433293687612552</v>
      </c>
      <c r="E8" s="156">
        <v>0.5231854800241279</v>
      </c>
      <c r="F8" s="156">
        <v>0.4937973342367664</v>
      </c>
      <c r="G8" s="156">
        <v>0.537510479303246</v>
      </c>
    </row>
    <row r="9" ht="12.0" customHeight="1">
      <c r="A9" s="154" t="s">
        <v>163</v>
      </c>
      <c r="B9" s="151">
        <f t="shared" si="1"/>
        <v>0.02456593754</v>
      </c>
      <c r="C9" s="152">
        <f>sumproduct(D9:G9,D14:G14)/sum(D14:G14)</f>
        <v>0.02456593754</v>
      </c>
      <c r="D9" s="155">
        <v>0.03260762667</v>
      </c>
      <c r="E9" s="156">
        <v>0.0</v>
      </c>
      <c r="F9" s="156">
        <v>0.0</v>
      </c>
      <c r="G9" s="156">
        <v>0.0</v>
      </c>
    </row>
    <row r="10" ht="12.0" customHeight="1">
      <c r="A10" s="157"/>
      <c r="B10" s="142"/>
      <c r="C10" s="143"/>
      <c r="D10" s="143"/>
      <c r="E10" s="143"/>
      <c r="F10" s="143"/>
      <c r="G10" s="143"/>
    </row>
    <row r="11" ht="12.0" customHeight="1">
      <c r="A11" s="145" t="s">
        <v>164</v>
      </c>
      <c r="B11" s="146"/>
      <c r="C11" s="147"/>
      <c r="D11" s="147"/>
      <c r="E11" s="147"/>
      <c r="F11" s="147"/>
      <c r="G11" s="147"/>
    </row>
    <row r="12" ht="12.0" customHeight="1">
      <c r="A12" s="118"/>
      <c r="B12" s="158"/>
      <c r="C12" s="159"/>
      <c r="D12" s="159"/>
      <c r="E12" s="159"/>
      <c r="F12" s="159"/>
      <c r="G12" s="159"/>
    </row>
    <row r="13" ht="12.0" customHeight="1">
      <c r="A13" s="154" t="s">
        <v>165</v>
      </c>
      <c r="B13" s="158">
        <f t="shared" ref="B13:B19" si="3">index(C13:V13,,match($A$3,$C$1:$V$1,0))</f>
        <v>100000</v>
      </c>
      <c r="C13" s="160">
        <v>100000.0</v>
      </c>
      <c r="D13" s="159">
        <f t="shared" ref="D13:G13" si="2">if($C$13*D7&lt;&gt;0,$C$13*D7,0.01)</f>
        <v>71575.96054</v>
      </c>
      <c r="E13" s="159">
        <f t="shared" si="2"/>
        <v>6256.323416</v>
      </c>
      <c r="F13" s="159">
        <f t="shared" si="2"/>
        <v>5317.047643</v>
      </c>
      <c r="G13" s="159">
        <f t="shared" si="2"/>
        <v>16850.6684</v>
      </c>
    </row>
    <row r="14" ht="12.0" customHeight="1">
      <c r="A14" s="154" t="s">
        <v>166</v>
      </c>
      <c r="B14" s="158">
        <f t="shared" si="3"/>
        <v>219265.6848</v>
      </c>
      <c r="C14" s="159">
        <f>sum(D14:G14)</f>
        <v>219265.6848</v>
      </c>
      <c r="D14" s="159">
        <f t="shared" ref="D14:G14" si="4">D13/D8</f>
        <v>165190.4069</v>
      </c>
      <c r="E14" s="159">
        <f t="shared" si="4"/>
        <v>11958.13656</v>
      </c>
      <c r="F14" s="159">
        <f t="shared" si="4"/>
        <v>10767.67182</v>
      </c>
      <c r="G14" s="159">
        <f t="shared" si="4"/>
        <v>31349.46954</v>
      </c>
    </row>
    <row r="15" ht="12.0" customHeight="1">
      <c r="A15" s="161" t="s">
        <v>167</v>
      </c>
      <c r="B15" s="162">
        <f t="shared" si="3"/>
        <v>5.021502718</v>
      </c>
      <c r="C15" s="163">
        <f>IFERROR(__xludf.DUMMYFUNCTION("average.weighted(D15:G15,D18:G18)"),5.021502718068689)</f>
        <v>5.021502718</v>
      </c>
      <c r="D15" s="164">
        <v>5.24628684170494</v>
      </c>
      <c r="E15" s="165">
        <v>4.497279901743963</v>
      </c>
      <c r="F15" s="165">
        <v>4.858036490688317</v>
      </c>
      <c r="G15" s="165">
        <v>4.292797675093723</v>
      </c>
    </row>
    <row r="16" ht="12.0" customHeight="1">
      <c r="A16" s="161" t="s">
        <v>168</v>
      </c>
      <c r="B16" s="166">
        <f t="shared" si="3"/>
        <v>1.8</v>
      </c>
      <c r="C16" s="167">
        <v>1.8</v>
      </c>
      <c r="D16" s="168">
        <f t="shared" ref="D16:G16" si="5">$C$16</f>
        <v>1.8</v>
      </c>
      <c r="E16" s="168">
        <f t="shared" si="5"/>
        <v>1.8</v>
      </c>
      <c r="F16" s="168">
        <f t="shared" si="5"/>
        <v>1.8</v>
      </c>
      <c r="G16" s="168">
        <f t="shared" si="5"/>
        <v>1.8</v>
      </c>
    </row>
    <row r="17">
      <c r="A17" s="118" t="s">
        <v>169</v>
      </c>
      <c r="B17" s="169">
        <f t="shared" si="3"/>
        <v>2.789723732</v>
      </c>
      <c r="C17" s="170">
        <f t="shared" ref="C17:G17" si="6">C15/C16</f>
        <v>2.789723732</v>
      </c>
      <c r="D17" s="170">
        <f t="shared" si="6"/>
        <v>2.914603801</v>
      </c>
      <c r="E17" s="170">
        <f t="shared" si="6"/>
        <v>2.498488834</v>
      </c>
      <c r="F17" s="170">
        <f t="shared" si="6"/>
        <v>2.698909161</v>
      </c>
      <c r="G17" s="170">
        <f t="shared" si="6"/>
        <v>2.384887597</v>
      </c>
    </row>
    <row r="18">
      <c r="A18" s="118" t="s">
        <v>170</v>
      </c>
      <c r="B18" s="171">
        <f t="shared" si="3"/>
        <v>78597.63397</v>
      </c>
      <c r="C18" s="172">
        <f t="shared" ref="C18:C19" si="8">sum(D18:V18)</f>
        <v>78597.63397</v>
      </c>
      <c r="D18" s="172">
        <f t="shared" ref="D18:G18" si="7">D14/D17</f>
        <v>56676.79662</v>
      </c>
      <c r="E18" s="172">
        <f t="shared" si="7"/>
        <v>4786.147689</v>
      </c>
      <c r="F18" s="172">
        <f t="shared" si="7"/>
        <v>3989.638473</v>
      </c>
      <c r="G18" s="172">
        <f t="shared" si="7"/>
        <v>13145.05118</v>
      </c>
    </row>
    <row r="19" ht="12.0" customHeight="1">
      <c r="A19" s="118" t="s">
        <v>171</v>
      </c>
      <c r="B19" s="148">
        <f t="shared" si="3"/>
        <v>1</v>
      </c>
      <c r="C19" s="149">
        <f t="shared" si="8"/>
        <v>1</v>
      </c>
      <c r="D19" s="149">
        <f t="shared" ref="D19:G19" si="9">D18/$C$18</f>
        <v>0.7211005441</v>
      </c>
      <c r="E19" s="149">
        <f t="shared" si="9"/>
        <v>0.06089429728</v>
      </c>
      <c r="F19" s="149">
        <f t="shared" si="9"/>
        <v>0.05076028719</v>
      </c>
      <c r="G19" s="149">
        <f t="shared" si="9"/>
        <v>0.1672448714</v>
      </c>
    </row>
    <row r="20" ht="12.0" customHeight="1">
      <c r="A20" s="118"/>
      <c r="B20" s="148"/>
      <c r="C20" s="149"/>
      <c r="D20" s="149"/>
      <c r="E20" s="149"/>
      <c r="F20" s="149"/>
      <c r="G20" s="149"/>
    </row>
    <row r="21">
      <c r="A21" s="173" t="s">
        <v>172</v>
      </c>
      <c r="B21" s="174"/>
      <c r="C21" s="175"/>
      <c r="D21" s="175"/>
      <c r="E21" s="175"/>
      <c r="F21" s="175"/>
      <c r="G21" s="175"/>
    </row>
    <row r="22">
      <c r="A22" s="176"/>
      <c r="B22" s="151"/>
      <c r="C22" s="152"/>
      <c r="D22" s="177"/>
      <c r="E22" s="178"/>
      <c r="F22" s="177"/>
      <c r="G22" s="177"/>
    </row>
    <row r="23">
      <c r="A23" s="179" t="s">
        <v>173</v>
      </c>
      <c r="B23" s="180">
        <f t="shared" ref="B23:B26" si="10">index(C23:V23,,match($A$3,$C$1:$V$1,0))</f>
        <v>0.1644806032</v>
      </c>
      <c r="C23" s="152">
        <f t="shared" ref="C23:C25" si="11">sumproduct($D$19:$V$19,D23:V23)</f>
        <v>0.1644806032</v>
      </c>
      <c r="D23" s="156">
        <f>13169078.7169635/80884670.6650421
</f>
        <v>0.162813035</v>
      </c>
      <c r="E23" s="155">
        <f>1966232.67393298/11819986.8900984
</f>
        <v>0.1663481265</v>
      </c>
      <c r="F23" s="155">
        <f>1069541.2576137/7516030.25407419
</f>
        <v>0.1423013508</v>
      </c>
      <c r="G23" s="156">
        <f>6945095.66448517/39078381.5066312
</f>
        <v>0.1777221931</v>
      </c>
    </row>
    <row r="24">
      <c r="A24" s="179" t="s">
        <v>174</v>
      </c>
      <c r="B24" s="180">
        <f t="shared" si="10"/>
        <v>0.1474855654</v>
      </c>
      <c r="C24" s="152">
        <f t="shared" si="11"/>
        <v>0.1474855654</v>
      </c>
      <c r="D24" s="156">
        <f>11788276.4270344/80884670.6650421</f>
        <v>0.1457417868</v>
      </c>
      <c r="E24" s="156">
        <f>1799360.0276805/11819986.8900984</f>
        <v>0.1522302896</v>
      </c>
      <c r="F24" s="156">
        <f>1038855.74134748/7516030.25407419</f>
        <v>0.1382186748</v>
      </c>
      <c r="G24" s="156">
        <f>6099710.8202998/39078381.5066312</f>
        <v>0.1560891364</v>
      </c>
    </row>
    <row r="25">
      <c r="A25" s="179" t="s">
        <v>175</v>
      </c>
      <c r="B25" s="180">
        <f t="shared" si="10"/>
        <v>0.1282776056</v>
      </c>
      <c r="C25" s="152">
        <f t="shared" si="11"/>
        <v>0.1282776056</v>
      </c>
      <c r="D25" s="156">
        <f>10208254.8004927/80884670.6650421</f>
        <v>0.1262075337</v>
      </c>
      <c r="E25" s="156">
        <f>1525578.53981579/11819986.8900984</f>
        <v>0.1290677015</v>
      </c>
      <c r="F25" s="156">
        <f>916402.78300582/7516030.25407419</f>
        <v>0.1219264362</v>
      </c>
      <c r="G25" s="156">
        <f>5425758.9755405/39078381.5066312</f>
        <v>0.1388429809</v>
      </c>
    </row>
    <row r="26">
      <c r="A26" s="179" t="s">
        <v>176</v>
      </c>
      <c r="B26" s="180">
        <f t="shared" si="10"/>
        <v>0.2757631711</v>
      </c>
      <c r="C26" s="152">
        <f>sumproduct($D$19:$G$19,D26:G26)</f>
        <v>0.2757631711</v>
      </c>
      <c r="D26" s="155">
        <f>21996531.2275271/80884670.6650421</f>
        <v>0.2719493205</v>
      </c>
      <c r="E26" s="155">
        <f>3324938.56749629/11819986.8900984</f>
        <v>0.2812979911</v>
      </c>
      <c r="F26" s="155">
        <f>1955258.5243533/7516030.25407419</f>
        <v>0.260145111</v>
      </c>
      <c r="G26" s="155">
        <f>11525469.7958403/39078381.5066312</f>
        <v>0.2949321172</v>
      </c>
    </row>
    <row r="27">
      <c r="A27" s="143"/>
      <c r="B27" s="171"/>
      <c r="C27" s="172"/>
      <c r="D27" s="172"/>
      <c r="E27" s="172"/>
      <c r="F27" s="172"/>
      <c r="G27" s="172"/>
    </row>
    <row r="28">
      <c r="A28" s="143" t="s">
        <v>177</v>
      </c>
      <c r="B28" s="171">
        <f t="shared" ref="B28:B30" si="13">index(C28:V28,,match($A$3,$C$1:$V$1,0))</f>
        <v>12927.78624</v>
      </c>
      <c r="C28" s="172">
        <f t="shared" ref="C28:C29" si="14">sum(D28:JV28)</f>
        <v>12927.78624</v>
      </c>
      <c r="D28" s="172">
        <f t="shared" ref="D28:G28" si="12">D18*D23</f>
        <v>9227.721273</v>
      </c>
      <c r="E28" s="172">
        <f t="shared" si="12"/>
        <v>796.166701</v>
      </c>
      <c r="F28" s="172">
        <f t="shared" si="12"/>
        <v>567.7309438</v>
      </c>
      <c r="G28" s="172">
        <f t="shared" si="12"/>
        <v>2336.167325</v>
      </c>
    </row>
    <row r="29">
      <c r="A29" s="89" t="s">
        <v>178</v>
      </c>
      <c r="B29" s="171">
        <f t="shared" si="13"/>
        <v>21674.33278</v>
      </c>
      <c r="C29" s="172">
        <f t="shared" si="14"/>
        <v>21674.33278</v>
      </c>
      <c r="D29" s="172">
        <f t="shared" ref="D29:G29" si="15">D18*D26</f>
        <v>15413.21633</v>
      </c>
      <c r="E29" s="172">
        <f t="shared" si="15"/>
        <v>1346.33373</v>
      </c>
      <c r="F29" s="172">
        <f t="shared" si="15"/>
        <v>1037.884943</v>
      </c>
      <c r="G29" s="172">
        <f t="shared" si="15"/>
        <v>3876.897777</v>
      </c>
    </row>
    <row r="30">
      <c r="A30" s="181" t="s">
        <v>179</v>
      </c>
      <c r="B30" s="182">
        <f t="shared" si="13"/>
        <v>1.957847785</v>
      </c>
      <c r="C30" s="183">
        <f>sumproduct(D30:V30,D19:V19)</f>
        <v>1.957847785</v>
      </c>
      <c r="D30" s="184">
        <f>2.11-(2.11*0.1)</f>
        <v>1.899</v>
      </c>
      <c r="E30" s="185">
        <v>2.11</v>
      </c>
      <c r="F30" s="185">
        <v>2.11</v>
      </c>
      <c r="G30" s="185">
        <v>2.11</v>
      </c>
    </row>
    <row r="31">
      <c r="A31" s="89"/>
      <c r="B31" s="171"/>
      <c r="C31" s="172"/>
      <c r="D31" s="186"/>
      <c r="E31" s="172"/>
      <c r="F31" s="172"/>
      <c r="G31" s="172"/>
    </row>
    <row r="32">
      <c r="A32" s="181" t="s">
        <v>180</v>
      </c>
      <c r="B32" s="171">
        <f t="shared" ref="B32:B34" si="17">index(C32:V32,,match($A$3,$C$1:$V$1,0))</f>
        <v>25330.57978</v>
      </c>
      <c r="C32" s="172">
        <f t="shared" ref="C32:C34" si="18">sum(D32:V32)</f>
        <v>25330.57978</v>
      </c>
      <c r="D32" s="172">
        <f t="shared" ref="D32:G32" si="16">D28*D30</f>
        <v>17523.4427</v>
      </c>
      <c r="E32" s="172">
        <f t="shared" si="16"/>
        <v>1679.911739</v>
      </c>
      <c r="F32" s="172">
        <f t="shared" si="16"/>
        <v>1197.912291</v>
      </c>
      <c r="G32" s="172">
        <f t="shared" si="16"/>
        <v>4929.313056</v>
      </c>
    </row>
    <row r="33">
      <c r="A33" s="89" t="s">
        <v>181</v>
      </c>
      <c r="B33" s="171">
        <f t="shared" si="17"/>
        <v>42480.65352</v>
      </c>
      <c r="C33" s="172">
        <f t="shared" si="18"/>
        <v>42480.65352</v>
      </c>
      <c r="D33" s="172">
        <f t="shared" ref="D33:G33" si="19">D29*D30</f>
        <v>29269.69781</v>
      </c>
      <c r="E33" s="172">
        <f t="shared" si="19"/>
        <v>2840.764171</v>
      </c>
      <c r="F33" s="172">
        <f t="shared" si="19"/>
        <v>2189.93723</v>
      </c>
      <c r="G33" s="172">
        <f t="shared" si="19"/>
        <v>8180.25431</v>
      </c>
    </row>
    <row r="34">
      <c r="A34" s="181" t="s">
        <v>182</v>
      </c>
      <c r="B34" s="171">
        <f t="shared" si="17"/>
        <v>67811.2333</v>
      </c>
      <c r="C34" s="172">
        <f t="shared" si="18"/>
        <v>67811.2333</v>
      </c>
      <c r="D34" s="172">
        <f t="shared" ref="D34:G34" si="20">D33+D32</f>
        <v>46793.14051</v>
      </c>
      <c r="E34" s="172">
        <f t="shared" si="20"/>
        <v>4520.67591</v>
      </c>
      <c r="F34" s="172">
        <f t="shared" si="20"/>
        <v>3387.849521</v>
      </c>
      <c r="G34" s="172">
        <f t="shared" si="20"/>
        <v>13109.56737</v>
      </c>
    </row>
    <row r="35">
      <c r="A35" s="187"/>
      <c r="B35" s="188"/>
      <c r="C35" s="189"/>
      <c r="D35" s="189"/>
      <c r="E35" s="189"/>
      <c r="F35" s="189"/>
      <c r="G35" s="189"/>
    </row>
    <row r="36" ht="12.0" customHeight="1">
      <c r="A36" s="145" t="s">
        <v>183</v>
      </c>
      <c r="B36" s="146"/>
      <c r="C36" s="147"/>
      <c r="D36" s="147"/>
      <c r="E36" s="147"/>
      <c r="F36" s="147"/>
      <c r="G36" s="147"/>
    </row>
    <row r="37" ht="12.0" customHeight="1">
      <c r="A37" s="190"/>
      <c r="B37" s="191"/>
      <c r="C37" s="192"/>
      <c r="D37" s="192"/>
      <c r="E37" s="192"/>
      <c r="F37" s="192"/>
      <c r="G37" s="192"/>
    </row>
    <row r="38" ht="12.0" customHeight="1">
      <c r="A38" s="193" t="s">
        <v>184</v>
      </c>
      <c r="B38" s="194">
        <f t="array" ref="B38">index(C38:V38,,match($A$3,$C$1:$V$1,0))</f>
        <v>0.17</v>
      </c>
      <c r="C38" s="195">
        <v>0.17</v>
      </c>
      <c r="D38" s="196">
        <f t="shared" ref="D38:G38" si="21">$C$38</f>
        <v>0.17</v>
      </c>
      <c r="E38" s="196">
        <f t="shared" si="21"/>
        <v>0.17</v>
      </c>
      <c r="F38" s="196">
        <f t="shared" si="21"/>
        <v>0.17</v>
      </c>
      <c r="G38" s="196">
        <f t="shared" si="21"/>
        <v>0.17</v>
      </c>
    </row>
    <row r="39" ht="12.0" customHeight="1">
      <c r="A39" s="161"/>
      <c r="B39" s="197"/>
      <c r="C39" s="198"/>
      <c r="D39" s="199"/>
      <c r="E39" s="199"/>
      <c r="F39" s="199"/>
      <c r="G39" s="199"/>
    </row>
    <row r="40" ht="12.0" customHeight="1">
      <c r="A40" s="200" t="s">
        <v>185</v>
      </c>
      <c r="B40" s="197"/>
      <c r="C40" s="198"/>
      <c r="D40" s="199"/>
      <c r="E40" s="199"/>
      <c r="F40" s="199"/>
      <c r="G40" s="199"/>
    </row>
    <row r="41" ht="12.0" customHeight="1">
      <c r="A41" s="201" t="s">
        <v>186</v>
      </c>
      <c r="B41" s="202">
        <f t="shared" ref="B41:B45" si="22">index(C41:V41,,match($A$3,$C$1:$V$1,0))</f>
        <v>23.70761469</v>
      </c>
      <c r="C41" s="100">
        <f t="shared" ref="C41:C42" si="23">sumproduct($D$19:$V$19,D41:V41)</f>
        <v>23.70761469</v>
      </c>
      <c r="D41" s="203">
        <v>25.0</v>
      </c>
      <c r="E41" s="203">
        <v>25.6</v>
      </c>
      <c r="F41" s="203">
        <v>17.6</v>
      </c>
      <c r="G41" s="203">
        <v>19.3</v>
      </c>
    </row>
    <row r="42" ht="12.0" customHeight="1">
      <c r="A42" s="204" t="s">
        <v>187</v>
      </c>
      <c r="B42" s="205">
        <f t="shared" si="22"/>
        <v>12.12489375</v>
      </c>
      <c r="C42" s="98">
        <f t="shared" si="23"/>
        <v>12.12489375</v>
      </c>
      <c r="D42" s="203">
        <v>13.3</v>
      </c>
      <c r="E42" s="203">
        <v>14.1</v>
      </c>
      <c r="F42" s="203">
        <v>8.3</v>
      </c>
      <c r="G42" s="203">
        <v>7.5</v>
      </c>
    </row>
    <row r="43" ht="12.0" customHeight="1">
      <c r="A43" s="206" t="s">
        <v>188</v>
      </c>
      <c r="B43" s="207">
        <f t="shared" si="22"/>
        <v>0.5114345711</v>
      </c>
      <c r="C43" s="208">
        <f t="shared" ref="C43:G43" si="24">C42/C41</f>
        <v>0.5114345711</v>
      </c>
      <c r="D43" s="208">
        <f t="shared" si="24"/>
        <v>0.532</v>
      </c>
      <c r="E43" s="208">
        <f t="shared" si="24"/>
        <v>0.55078125</v>
      </c>
      <c r="F43" s="208">
        <f t="shared" si="24"/>
        <v>0.4715909091</v>
      </c>
      <c r="G43" s="208">
        <f t="shared" si="24"/>
        <v>0.3886010363</v>
      </c>
    </row>
    <row r="44" ht="12.0" customHeight="1">
      <c r="A44" s="201" t="s">
        <v>189</v>
      </c>
      <c r="B44" s="207">
        <f t="shared" si="22"/>
        <v>0.25</v>
      </c>
      <c r="C44" s="150">
        <v>0.25</v>
      </c>
      <c r="D44" s="209">
        <f t="shared" ref="D44:G44" si="25">$C$44</f>
        <v>0.25</v>
      </c>
      <c r="E44" s="209">
        <f t="shared" si="25"/>
        <v>0.25</v>
      </c>
      <c r="F44" s="209">
        <f t="shared" si="25"/>
        <v>0.25</v>
      </c>
      <c r="G44" s="209">
        <f t="shared" si="25"/>
        <v>0.25</v>
      </c>
    </row>
    <row r="45" ht="12.0" customHeight="1">
      <c r="A45" s="201" t="s">
        <v>190</v>
      </c>
      <c r="B45" s="210">
        <f t="shared" si="22"/>
        <v>15.02057398</v>
      </c>
      <c r="C45" s="211">
        <f t="shared" ref="C45:G45" si="26">C42+C41*(1-C43)*C44</f>
        <v>15.02057398</v>
      </c>
      <c r="D45" s="211">
        <f t="shared" si="26"/>
        <v>16.225</v>
      </c>
      <c r="E45" s="211">
        <f t="shared" si="26"/>
        <v>16.975</v>
      </c>
      <c r="F45" s="211">
        <f t="shared" si="26"/>
        <v>10.625</v>
      </c>
      <c r="G45" s="211">
        <f t="shared" si="26"/>
        <v>10.45</v>
      </c>
    </row>
    <row r="46" ht="12.0" customHeight="1">
      <c r="A46" s="212"/>
      <c r="B46" s="213"/>
      <c r="C46" s="214"/>
      <c r="D46" s="214"/>
      <c r="E46" s="214"/>
      <c r="F46" s="214"/>
      <c r="G46" s="214"/>
    </row>
    <row r="47" ht="12.0" customHeight="1">
      <c r="A47" s="200" t="s">
        <v>191</v>
      </c>
      <c r="B47" s="213"/>
      <c r="C47" s="214"/>
      <c r="D47" s="214"/>
      <c r="E47" s="214"/>
      <c r="F47" s="214"/>
      <c r="G47" s="214"/>
    </row>
    <row r="48" ht="12.0" customHeight="1">
      <c r="A48" s="89" t="s">
        <v>192</v>
      </c>
      <c r="B48" s="215">
        <f t="shared" ref="B48:B50" si="28">index(C48:V48,,match($A$3,$C$1:$V$1,0))</f>
        <v>0.2</v>
      </c>
      <c r="C48" s="216">
        <v>0.2</v>
      </c>
      <c r="D48" s="217">
        <f t="shared" ref="D48:G48" si="27">$C$48</f>
        <v>0.2</v>
      </c>
      <c r="E48" s="217">
        <f t="shared" si="27"/>
        <v>0.2</v>
      </c>
      <c r="F48" s="217">
        <f t="shared" si="27"/>
        <v>0.2</v>
      </c>
      <c r="G48" s="217">
        <f t="shared" si="27"/>
        <v>0.2</v>
      </c>
    </row>
    <row r="49" ht="12.0" customHeight="1">
      <c r="A49" s="89" t="s">
        <v>193</v>
      </c>
      <c r="B49" s="218">
        <f t="shared" si="28"/>
        <v>0.5</v>
      </c>
      <c r="C49" s="219">
        <v>0.5</v>
      </c>
      <c r="D49" s="220">
        <f t="shared" ref="D49:G49" si="29">$C$49</f>
        <v>0.5</v>
      </c>
      <c r="E49" s="220">
        <f t="shared" si="29"/>
        <v>0.5</v>
      </c>
      <c r="F49" s="220">
        <f t="shared" si="29"/>
        <v>0.5</v>
      </c>
      <c r="G49" s="220">
        <f t="shared" si="29"/>
        <v>0.5</v>
      </c>
    </row>
    <row r="50" ht="12.0" customHeight="1">
      <c r="A50" s="181" t="s">
        <v>194</v>
      </c>
      <c r="B50" s="221">
        <f t="shared" si="28"/>
        <v>0.9</v>
      </c>
      <c r="C50" s="222">
        <f t="shared" ref="C50:G50" si="30">(1-C49*C48)</f>
        <v>0.9</v>
      </c>
      <c r="D50" s="222">
        <f t="shared" si="30"/>
        <v>0.9</v>
      </c>
      <c r="E50" s="222">
        <f t="shared" si="30"/>
        <v>0.9</v>
      </c>
      <c r="F50" s="222">
        <f t="shared" si="30"/>
        <v>0.9</v>
      </c>
      <c r="G50" s="222">
        <f t="shared" si="30"/>
        <v>0.9</v>
      </c>
    </row>
    <row r="51" ht="12.0" customHeight="1">
      <c r="A51" s="212"/>
      <c r="B51" s="213"/>
      <c r="C51" s="214"/>
      <c r="D51" s="214"/>
      <c r="E51" s="214"/>
      <c r="F51" s="214"/>
      <c r="G51" s="214"/>
    </row>
    <row r="52" ht="12.0" customHeight="1">
      <c r="A52" s="200" t="s">
        <v>195</v>
      </c>
      <c r="B52" s="213"/>
      <c r="C52" s="214"/>
      <c r="D52" s="214"/>
      <c r="E52" s="214"/>
      <c r="F52" s="214"/>
      <c r="G52" s="214"/>
    </row>
    <row r="53" ht="12.0" customHeight="1">
      <c r="A53" s="161" t="s">
        <v>196</v>
      </c>
      <c r="B53" s="207">
        <f t="shared" ref="B53:B57" si="32">index(C53:V53,,match($A$3,$C$1:$V$1,0))</f>
        <v>0.9</v>
      </c>
      <c r="C53" s="150">
        <v>0.9</v>
      </c>
      <c r="D53" s="209">
        <f t="shared" ref="D53:G53" si="31">$C$53</f>
        <v>0.9</v>
      </c>
      <c r="E53" s="209">
        <f t="shared" si="31"/>
        <v>0.9</v>
      </c>
      <c r="F53" s="209">
        <f t="shared" si="31"/>
        <v>0.9</v>
      </c>
      <c r="G53" s="209">
        <f t="shared" si="31"/>
        <v>0.9</v>
      </c>
    </row>
    <row r="54" ht="12.0" customHeight="1">
      <c r="A54" s="161" t="s">
        <v>197</v>
      </c>
      <c r="B54" s="207">
        <f t="shared" si="32"/>
        <v>0.95</v>
      </c>
      <c r="C54" s="150">
        <v>0.95</v>
      </c>
      <c r="D54" s="209">
        <f t="shared" ref="D54:G54" si="33">$C$54</f>
        <v>0.95</v>
      </c>
      <c r="E54" s="209">
        <f t="shared" si="33"/>
        <v>0.95</v>
      </c>
      <c r="F54" s="209">
        <f t="shared" si="33"/>
        <v>0.95</v>
      </c>
      <c r="G54" s="209">
        <f t="shared" si="33"/>
        <v>0.95</v>
      </c>
    </row>
    <row r="55" ht="12.0" customHeight="1">
      <c r="A55" s="161" t="s">
        <v>198</v>
      </c>
      <c r="B55" s="207">
        <f t="shared" si="32"/>
        <v>0.95</v>
      </c>
      <c r="C55" s="150">
        <v>0.95</v>
      </c>
      <c r="D55" s="209">
        <f t="shared" ref="D55:G55" si="34">$C$55</f>
        <v>0.95</v>
      </c>
      <c r="E55" s="209">
        <f t="shared" si="34"/>
        <v>0.95</v>
      </c>
      <c r="F55" s="209">
        <f t="shared" si="34"/>
        <v>0.95</v>
      </c>
      <c r="G55" s="209">
        <f t="shared" si="34"/>
        <v>0.95</v>
      </c>
    </row>
    <row r="56" ht="12.0" customHeight="1">
      <c r="A56" s="223" t="s">
        <v>199</v>
      </c>
      <c r="B56" s="151">
        <f t="shared" si="32"/>
        <v>1.314894403</v>
      </c>
      <c r="C56" s="152">
        <f>sumproduct($D$19:$V$19,D56:V56)</f>
        <v>1.314894403</v>
      </c>
      <c r="D56" s="155">
        <v>1.32</v>
      </c>
      <c r="E56" s="155">
        <v>1.17</v>
      </c>
      <c r="F56" s="155">
        <v>1.63</v>
      </c>
      <c r="G56" s="155">
        <v>1.25</v>
      </c>
    </row>
    <row r="57" ht="12.0" customHeight="1">
      <c r="A57" s="161" t="s">
        <v>200</v>
      </c>
      <c r="B57" s="207">
        <f t="shared" si="32"/>
        <v>0.1756249475</v>
      </c>
      <c r="C57" s="224">
        <f>sumproduct(D57:V57,D19:V19)</f>
        <v>0.1756249475</v>
      </c>
      <c r="D57" s="209">
        <v>0.1395882077</v>
      </c>
      <c r="E57" s="209">
        <v>0.316487728760146</v>
      </c>
      <c r="F57" s="209">
        <v>0.2791928529</v>
      </c>
      <c r="G57" s="209">
        <v>0.2482803052</v>
      </c>
    </row>
    <row r="58" ht="12.0" customHeight="1">
      <c r="A58" s="212"/>
      <c r="B58" s="213"/>
      <c r="C58" s="214"/>
      <c r="D58" s="214"/>
      <c r="E58" s="214"/>
      <c r="F58" s="214"/>
      <c r="G58" s="214"/>
    </row>
    <row r="59" ht="12.0" customHeight="1">
      <c r="A59" s="225" t="s">
        <v>201</v>
      </c>
      <c r="B59" s="226">
        <f t="array" ref="B59">index(C59:V59,,match($A$3,$C$1:$V$1,0))</f>
        <v>2.023407694</v>
      </c>
      <c r="C59" s="227">
        <f t="shared" ref="C59:G59" si="35">C38*C45*C50*C53*C54*C55*C56*(1-C57)</f>
        <v>2.023407694</v>
      </c>
      <c r="D59" s="227">
        <f t="shared" si="35"/>
        <v>2.290056205</v>
      </c>
      <c r="E59" s="227">
        <f t="shared" si="35"/>
        <v>1.687031188</v>
      </c>
      <c r="F59" s="227">
        <f t="shared" si="35"/>
        <v>1.551374963</v>
      </c>
      <c r="G59" s="227">
        <f t="shared" si="35"/>
        <v>1.220290929</v>
      </c>
    </row>
    <row r="60">
      <c r="B60" s="228"/>
    </row>
    <row r="61">
      <c r="A61" s="229" t="s">
        <v>202</v>
      </c>
      <c r="B61" s="230">
        <f t="array" ref="B61">index(C61:V61,,match($A$3,$C$1:$V$1,0))</f>
        <v>50.83733933</v>
      </c>
      <c r="C61" s="231">
        <f>sum(D61:V61)</f>
        <v>50.83733933</v>
      </c>
      <c r="D61" s="232">
        <f t="shared" ref="D61:G61" si="36">(D32/1000)*D59</f>
        <v>40.12966869</v>
      </c>
      <c r="E61" s="232">
        <f t="shared" si="36"/>
        <v>2.834063497</v>
      </c>
      <c r="F61" s="232">
        <f t="shared" si="36"/>
        <v>1.858411136</v>
      </c>
      <c r="G61" s="232">
        <f t="shared" si="36"/>
        <v>6.015196009</v>
      </c>
    </row>
    <row r="62">
      <c r="A62" s="143"/>
      <c r="B62" s="233"/>
      <c r="C62" s="234"/>
      <c r="D62" s="234"/>
      <c r="E62" s="234"/>
      <c r="F62" s="234"/>
      <c r="G62" s="234"/>
    </row>
    <row r="63">
      <c r="A63" s="235" t="s">
        <v>203</v>
      </c>
      <c r="B63" s="233"/>
      <c r="C63" s="234"/>
      <c r="D63" s="234"/>
      <c r="E63" s="234"/>
      <c r="F63" s="234"/>
      <c r="G63" s="234"/>
    </row>
    <row r="64">
      <c r="A64" s="143" t="s">
        <v>113</v>
      </c>
      <c r="B64" s="233">
        <f t="shared" ref="B64:B65" si="38">index(C64:V64,,match($A$3,$C$1:$V$1,0))</f>
        <v>116.9</v>
      </c>
      <c r="C64" s="234">
        <f t="array" ref="C64">index('Moral weights and discount rate'!$A$1:$ZU$35,match($A64,'Moral weights and discount rate'!$A$1:$A$35,0),match(B$1,'Moral weights and discount rate'!$A$1:$ZU1,0))</f>
        <v>116.9</v>
      </c>
      <c r="D64" s="234">
        <f t="shared" ref="D64:G64" si="37">$C$64</f>
        <v>116.9</v>
      </c>
      <c r="E64" s="234">
        <f t="shared" si="37"/>
        <v>116.9</v>
      </c>
      <c r="F64" s="234">
        <f t="shared" si="37"/>
        <v>116.9</v>
      </c>
      <c r="G64" s="234">
        <f t="shared" si="37"/>
        <v>116.9</v>
      </c>
    </row>
    <row r="65">
      <c r="A65" s="236" t="s">
        <v>204</v>
      </c>
      <c r="B65" s="230">
        <f t="shared" si="38"/>
        <v>5942.884968</v>
      </c>
      <c r="C65" s="231">
        <f>sum(D65:V65)</f>
        <v>5942.884968</v>
      </c>
      <c r="D65" s="237">
        <f t="shared" ref="D65:G65" si="39">D61*D64</f>
        <v>4691.158269</v>
      </c>
      <c r="E65" s="237">
        <f t="shared" si="39"/>
        <v>331.3020228</v>
      </c>
      <c r="F65" s="237">
        <f t="shared" si="39"/>
        <v>217.2482618</v>
      </c>
      <c r="G65" s="237">
        <f t="shared" si="39"/>
        <v>703.1764135</v>
      </c>
    </row>
    <row r="66">
      <c r="A66" s="238"/>
      <c r="B66" s="239"/>
      <c r="C66" s="240"/>
      <c r="D66" s="240"/>
      <c r="E66" s="240"/>
      <c r="F66" s="240"/>
      <c r="G66" s="240"/>
    </row>
    <row r="67">
      <c r="A67" s="241" t="s">
        <v>205</v>
      </c>
      <c r="B67" s="242"/>
      <c r="C67" s="243"/>
      <c r="D67" s="243"/>
      <c r="E67" s="243"/>
      <c r="F67" s="243"/>
      <c r="G67" s="243"/>
    </row>
    <row r="68">
      <c r="A68" s="244"/>
      <c r="B68" s="245"/>
      <c r="C68" s="70"/>
      <c r="D68" s="246"/>
      <c r="E68" s="246"/>
      <c r="F68" s="246"/>
      <c r="G68" s="246"/>
    </row>
    <row r="69">
      <c r="A69" s="247" t="s">
        <v>206</v>
      </c>
      <c r="B69" s="245"/>
      <c r="C69" s="70"/>
      <c r="D69" s="248"/>
      <c r="E69" s="248"/>
      <c r="F69" s="248"/>
      <c r="G69" s="248"/>
    </row>
    <row r="70">
      <c r="A70" s="244" t="s">
        <v>207</v>
      </c>
      <c r="B70" s="249">
        <f t="shared" ref="B70:B74" si="40">index(C70:V70,,match($A$3,$C$1:$V$1,0))</f>
        <v>121723.0149</v>
      </c>
      <c r="C70" s="250">
        <f t="shared" ref="C70:C72" si="41">sum(D70:V70)</f>
        <v>121723.0149</v>
      </c>
      <c r="D70" s="248">
        <v>81226.47666</v>
      </c>
      <c r="E70" s="251">
        <v>11355.46</v>
      </c>
      <c r="F70" s="248">
        <v>6904.311841</v>
      </c>
      <c r="G70" s="248">
        <v>22236.76643</v>
      </c>
    </row>
    <row r="71">
      <c r="A71" s="244" t="s">
        <v>208</v>
      </c>
      <c r="B71" s="249">
        <f t="shared" si="40"/>
        <v>72504.17041</v>
      </c>
      <c r="C71" s="250">
        <f t="shared" si="41"/>
        <v>72504.17041</v>
      </c>
      <c r="D71" s="248">
        <v>48656.10581</v>
      </c>
      <c r="E71" s="251">
        <v>6745.967</v>
      </c>
      <c r="F71" s="248">
        <v>3176.565652</v>
      </c>
      <c r="G71" s="248">
        <v>13925.53195</v>
      </c>
    </row>
    <row r="72">
      <c r="A72" s="244" t="s">
        <v>209</v>
      </c>
      <c r="B72" s="249">
        <f t="shared" si="40"/>
        <v>49218.84452</v>
      </c>
      <c r="C72" s="250">
        <f t="shared" si="41"/>
        <v>49218.84452</v>
      </c>
      <c r="D72" s="252">
        <f t="shared" ref="D72:G72" si="42">D70-D71</f>
        <v>32570.37085</v>
      </c>
      <c r="E72" s="252">
        <f t="shared" si="42"/>
        <v>4609.493</v>
      </c>
      <c r="F72" s="252">
        <f t="shared" si="42"/>
        <v>3727.746189</v>
      </c>
      <c r="G72" s="252">
        <f t="shared" si="42"/>
        <v>8311.23448</v>
      </c>
    </row>
    <row r="73">
      <c r="A73" s="154" t="s">
        <v>210</v>
      </c>
      <c r="B73" s="151">
        <f t="shared" si="40"/>
        <v>0.6788415651</v>
      </c>
      <c r="C73" s="152">
        <f t="shared" ref="C73:G73" si="43">C72/C71</f>
        <v>0.6788415651</v>
      </c>
      <c r="D73" s="152">
        <f t="shared" si="43"/>
        <v>0.6693994578</v>
      </c>
      <c r="E73" s="152">
        <f t="shared" si="43"/>
        <v>0.6832961086</v>
      </c>
      <c r="F73" s="152">
        <f t="shared" si="43"/>
        <v>1.173514606</v>
      </c>
      <c r="G73" s="152">
        <f t="shared" si="43"/>
        <v>0.5968342545</v>
      </c>
    </row>
    <row r="74" ht="15.75" customHeight="1">
      <c r="A74" s="181" t="s">
        <v>211</v>
      </c>
      <c r="B74" s="215">
        <f t="shared" si="40"/>
        <v>0.8</v>
      </c>
      <c r="C74" s="216">
        <v>0.8</v>
      </c>
      <c r="D74" s="217">
        <f t="shared" ref="D74:G74" si="44">$C$74</f>
        <v>0.8</v>
      </c>
      <c r="E74" s="217">
        <f t="shared" si="44"/>
        <v>0.8</v>
      </c>
      <c r="F74" s="217">
        <f t="shared" si="44"/>
        <v>0.8</v>
      </c>
      <c r="G74" s="217">
        <f t="shared" si="44"/>
        <v>0.8</v>
      </c>
    </row>
    <row r="75">
      <c r="A75" s="143"/>
      <c r="B75" s="233"/>
      <c r="C75" s="253"/>
      <c r="D75" s="253"/>
      <c r="E75" s="253"/>
      <c r="F75" s="253"/>
      <c r="G75" s="253"/>
    </row>
    <row r="76">
      <c r="A76" s="236" t="s">
        <v>212</v>
      </c>
      <c r="B76" s="254">
        <f t="array" ref="B76">index(C76:V76,,match($A$3,$C$1:$V$1,0))</f>
        <v>27.65618453</v>
      </c>
      <c r="C76" s="237">
        <f>sum(D76:V76)</f>
        <v>27.65618453</v>
      </c>
      <c r="D76" s="237">
        <f t="shared" ref="D76:G76" si="45">D61*D73*D74</f>
        <v>21.49022277</v>
      </c>
      <c r="E76" s="237">
        <f t="shared" si="45"/>
        <v>1.549203647</v>
      </c>
      <c r="F76" s="237">
        <f t="shared" si="45"/>
        <v>1.74469809</v>
      </c>
      <c r="G76" s="237">
        <f t="shared" si="45"/>
        <v>2.872060021</v>
      </c>
    </row>
    <row r="77">
      <c r="A77" s="143"/>
      <c r="B77" s="255"/>
      <c r="C77" s="256"/>
      <c r="D77" s="256"/>
      <c r="E77" s="256"/>
      <c r="F77" s="256"/>
      <c r="G77" s="256"/>
    </row>
    <row r="78">
      <c r="A78" s="235" t="s">
        <v>203</v>
      </c>
      <c r="B78" s="233"/>
      <c r="C78" s="253"/>
      <c r="D78" s="253"/>
      <c r="E78" s="257"/>
      <c r="F78" s="253"/>
      <c r="G78" s="253"/>
    </row>
    <row r="79">
      <c r="A79" s="143" t="s">
        <v>114</v>
      </c>
      <c r="B79" s="233">
        <f t="shared" ref="B79:B80" si="47">index(C79:V79,,match($A$3,$C$1:$V$1,0))</f>
        <v>83.1</v>
      </c>
      <c r="C79" s="234">
        <f t="array" ref="C79">index('Moral weights and discount rate'!$A$1:$ZU$35,match($A79,'Moral weights and discount rate'!$A$1:$A$35,0),match(B$1,'Moral weights and discount rate'!$A$1:$ZU1,0))</f>
        <v>83.1</v>
      </c>
      <c r="D79" s="234">
        <f t="shared" ref="D79:G79" si="46">$C$79</f>
        <v>83.1</v>
      </c>
      <c r="E79" s="234">
        <f t="shared" si="46"/>
        <v>83.1</v>
      </c>
      <c r="F79" s="234">
        <f t="shared" si="46"/>
        <v>83.1</v>
      </c>
      <c r="G79" s="234">
        <f t="shared" si="46"/>
        <v>83.1</v>
      </c>
    </row>
    <row r="80">
      <c r="A80" s="236" t="s">
        <v>213</v>
      </c>
      <c r="B80" s="254">
        <f t="shared" si="47"/>
        <v>2298.228934</v>
      </c>
      <c r="C80" s="237">
        <f>sum(D80:V80)</f>
        <v>2298.228934</v>
      </c>
      <c r="D80" s="237">
        <f t="shared" ref="D80:G80" si="48">D79*D76</f>
        <v>1785.837512</v>
      </c>
      <c r="E80" s="237">
        <f t="shared" si="48"/>
        <v>128.7388231</v>
      </c>
      <c r="F80" s="237">
        <f t="shared" si="48"/>
        <v>144.9844112</v>
      </c>
      <c r="G80" s="237">
        <f t="shared" si="48"/>
        <v>238.6681877</v>
      </c>
    </row>
    <row r="81">
      <c r="A81" s="258"/>
      <c r="B81" s="259"/>
      <c r="C81" s="79"/>
      <c r="D81" s="79"/>
      <c r="E81" s="79"/>
      <c r="F81" s="79"/>
      <c r="G81" s="79"/>
    </row>
    <row r="82">
      <c r="A82" s="241" t="s">
        <v>214</v>
      </c>
      <c r="B82" s="242"/>
      <c r="C82" s="243"/>
      <c r="D82" s="243"/>
      <c r="E82" s="243"/>
      <c r="F82" s="243"/>
      <c r="G82" s="243"/>
    </row>
    <row r="83">
      <c r="A83" s="181"/>
      <c r="B83" s="260"/>
      <c r="C83" s="138"/>
      <c r="D83" s="138"/>
      <c r="E83" s="138"/>
      <c r="F83" s="138"/>
      <c r="G83" s="138"/>
    </row>
    <row r="84">
      <c r="A84" s="229" t="s">
        <v>215</v>
      </c>
      <c r="B84" s="254">
        <f t="array" ref="B84">index(C84:V84,,match($A$3,$C$1:$V$1,0))</f>
        <v>78.49352386</v>
      </c>
      <c r="C84" s="237">
        <f>sum(D84:V84)</f>
        <v>78.49352386</v>
      </c>
      <c r="D84" s="261">
        <f t="shared" ref="D84:G84" si="49">D76+D61</f>
        <v>61.61989146</v>
      </c>
      <c r="E84" s="261">
        <f t="shared" si="49"/>
        <v>4.383267145</v>
      </c>
      <c r="F84" s="261">
        <f t="shared" si="49"/>
        <v>3.603109226</v>
      </c>
      <c r="G84" s="261">
        <f t="shared" si="49"/>
        <v>8.88725603</v>
      </c>
    </row>
    <row r="85">
      <c r="A85" s="258"/>
      <c r="B85" s="259"/>
      <c r="C85" s="79"/>
      <c r="D85" s="79"/>
      <c r="E85" s="79"/>
      <c r="F85" s="79"/>
      <c r="G85" s="79"/>
    </row>
    <row r="86">
      <c r="A86" s="262" t="s">
        <v>216</v>
      </c>
      <c r="B86" s="263"/>
      <c r="C86" s="264"/>
      <c r="D86" s="264"/>
      <c r="E86" s="264"/>
      <c r="F86" s="264"/>
      <c r="G86" s="264"/>
    </row>
    <row r="87">
      <c r="A87" s="121"/>
      <c r="B87" s="151"/>
      <c r="C87" s="152"/>
      <c r="D87" s="152"/>
      <c r="E87" s="152"/>
      <c r="F87" s="152"/>
      <c r="G87" s="152"/>
    </row>
    <row r="88">
      <c r="A88" s="265" t="s">
        <v>217</v>
      </c>
      <c r="B88" s="151"/>
      <c r="C88" s="155"/>
      <c r="D88" s="266"/>
      <c r="E88" s="266"/>
      <c r="F88" s="266"/>
      <c r="G88" s="266"/>
    </row>
    <row r="89">
      <c r="A89" s="265" t="s">
        <v>218</v>
      </c>
      <c r="B89" s="151">
        <f t="shared" ref="B89:B90" si="51">index(C89:V89,,match($A$3,$C$1:$V$1,0))</f>
        <v>0.45</v>
      </c>
      <c r="C89" s="155">
        <v>0.45</v>
      </c>
      <c r="D89" s="266">
        <f t="shared" ref="D89:G89" si="50">$C$89</f>
        <v>0.45</v>
      </c>
      <c r="E89" s="266">
        <f t="shared" si="50"/>
        <v>0.45</v>
      </c>
      <c r="F89" s="266">
        <f t="shared" si="50"/>
        <v>0.45</v>
      </c>
      <c r="G89" s="266">
        <f t="shared" si="50"/>
        <v>0.45</v>
      </c>
    </row>
    <row r="90">
      <c r="A90" s="121" t="s">
        <v>219</v>
      </c>
      <c r="B90" s="151">
        <f t="shared" si="51"/>
        <v>0.3567498167</v>
      </c>
      <c r="C90" s="152">
        <f>sumproduct($D$19:$V$19,D90:V90)</f>
        <v>0.3567498167</v>
      </c>
      <c r="D90" s="152">
        <f t="shared" ref="D90:G90" si="52">D89*D53*D54*D55*D56*(1-D57)*D50</f>
        <v>0.3736156231</v>
      </c>
      <c r="E90" s="152">
        <f t="shared" si="52"/>
        <v>0.2630733898</v>
      </c>
      <c r="F90" s="152">
        <f t="shared" si="52"/>
        <v>0.3865017208</v>
      </c>
      <c r="G90" s="152">
        <f t="shared" si="52"/>
        <v>0.3091083131</v>
      </c>
    </row>
    <row r="91">
      <c r="A91" s="121"/>
      <c r="B91" s="151"/>
      <c r="C91" s="152"/>
      <c r="D91" s="177"/>
      <c r="E91" s="177"/>
      <c r="F91" s="177"/>
      <c r="G91" s="177"/>
    </row>
    <row r="92">
      <c r="A92" s="265" t="s">
        <v>220</v>
      </c>
      <c r="B92" s="151"/>
      <c r="C92" s="152"/>
      <c r="D92" s="177"/>
      <c r="E92" s="177"/>
      <c r="F92" s="177"/>
      <c r="G92" s="177"/>
    </row>
    <row r="93">
      <c r="A93" s="154" t="s">
        <v>221</v>
      </c>
      <c r="B93" s="151">
        <f t="shared" ref="B93:B99" si="53">index(C93:V93,,match($A$3,$C$1:$V$1,0))</f>
        <v>0.2580875975</v>
      </c>
      <c r="C93" s="152">
        <f t="shared" ref="C93:C96" si="54">sumproduct($D$19:$V$19,D93:V93)</f>
        <v>0.2580875975</v>
      </c>
      <c r="D93" s="156">
        <v>0.253975303</v>
      </c>
      <c r="E93" s="156">
        <f>27538.6/100000</f>
        <v>0.275386</v>
      </c>
      <c r="F93" s="156">
        <v>0.37706719</v>
      </c>
      <c r="G93" s="156">
        <v>0.233408607</v>
      </c>
    </row>
    <row r="94">
      <c r="A94" s="154" t="s">
        <v>222</v>
      </c>
      <c r="B94" s="151">
        <f t="shared" si="53"/>
        <v>0.2855843474</v>
      </c>
      <c r="C94" s="152">
        <f t="shared" si="54"/>
        <v>0.2855843474</v>
      </c>
      <c r="D94" s="156">
        <v>0.281138851</v>
      </c>
      <c r="E94" s="156">
        <f>30473.63/100000</f>
        <v>0.3047363</v>
      </c>
      <c r="F94" s="156">
        <v>0.415704916</v>
      </c>
      <c r="G94" s="156">
        <v>0.258285739</v>
      </c>
    </row>
    <row r="95">
      <c r="A95" s="154" t="s">
        <v>223</v>
      </c>
      <c r="B95" s="151">
        <f t="shared" si="53"/>
        <v>0.2664780206</v>
      </c>
      <c r="C95" s="152">
        <f t="shared" si="54"/>
        <v>0.2664780206</v>
      </c>
      <c r="D95" s="156">
        <v>0.262442795</v>
      </c>
      <c r="E95" s="156">
        <f>28410.33/100000</f>
        <v>0.2841033</v>
      </c>
      <c r="F95" s="156">
        <v>0.387410053</v>
      </c>
      <c r="G95" s="156">
        <v>0.240755137</v>
      </c>
    </row>
    <row r="96">
      <c r="A96" s="154" t="s">
        <v>224</v>
      </c>
      <c r="B96" s="151">
        <f t="shared" si="53"/>
        <v>0.2766978084</v>
      </c>
      <c r="C96" s="152">
        <f t="shared" si="54"/>
        <v>0.2766978084</v>
      </c>
      <c r="D96" s="177">
        <f t="shared" ref="D96:G96" si="55">(D94*(D24/(D24+D25)))+(D95*(D25/(D24+D25)))</f>
        <v>0.2724622964</v>
      </c>
      <c r="E96" s="177">
        <f t="shared" si="55"/>
        <v>0.2952692794</v>
      </c>
      <c r="F96" s="177">
        <f t="shared" si="55"/>
        <v>0.4024435028</v>
      </c>
      <c r="G96" s="177">
        <f t="shared" si="55"/>
        <v>0.250032989</v>
      </c>
    </row>
    <row r="97">
      <c r="A97" s="267" t="s">
        <v>225</v>
      </c>
      <c r="B97" s="151">
        <f t="shared" si="53"/>
        <v>0.2</v>
      </c>
      <c r="C97" s="155">
        <v>0.2</v>
      </c>
      <c r="D97" s="266">
        <f t="shared" ref="D97:G97" si="56">$C$97</f>
        <v>0.2</v>
      </c>
      <c r="E97" s="266">
        <f t="shared" si="56"/>
        <v>0.2</v>
      </c>
      <c r="F97" s="266">
        <f t="shared" si="56"/>
        <v>0.2</v>
      </c>
      <c r="G97" s="266">
        <f t="shared" si="56"/>
        <v>0.2</v>
      </c>
    </row>
    <row r="98">
      <c r="A98" s="154" t="s">
        <v>226</v>
      </c>
      <c r="B98" s="151">
        <f t="shared" si="53"/>
        <v>0.3097051169</v>
      </c>
      <c r="C98" s="152">
        <f t="shared" ref="C98:C99" si="58">sumproduct($D$19:$V$19,D98:V98)</f>
        <v>0.3097051169</v>
      </c>
      <c r="D98" s="152">
        <f t="shared" ref="D98:G98" si="57">D93*(1+D97)</f>
        <v>0.3047703636</v>
      </c>
      <c r="E98" s="152">
        <f t="shared" si="57"/>
        <v>0.3304632</v>
      </c>
      <c r="F98" s="152">
        <f t="shared" si="57"/>
        <v>0.452480628</v>
      </c>
      <c r="G98" s="152">
        <f t="shared" si="57"/>
        <v>0.2800903284</v>
      </c>
    </row>
    <row r="99">
      <c r="A99" s="154" t="s">
        <v>227</v>
      </c>
      <c r="B99" s="151">
        <f t="shared" si="53"/>
        <v>0.33203737</v>
      </c>
      <c r="C99" s="152">
        <f t="shared" si="58"/>
        <v>0.33203737</v>
      </c>
      <c r="D99" s="152">
        <f t="shared" ref="D99:G99" si="59">D96*(1+D97)</f>
        <v>0.3269547557</v>
      </c>
      <c r="E99" s="152">
        <f t="shared" si="59"/>
        <v>0.3543231352</v>
      </c>
      <c r="F99" s="152">
        <f t="shared" si="59"/>
        <v>0.4829322034</v>
      </c>
      <c r="G99" s="152">
        <f t="shared" si="59"/>
        <v>0.3000395868</v>
      </c>
    </row>
    <row r="100">
      <c r="A100" s="154"/>
      <c r="B100" s="151"/>
      <c r="C100" s="152"/>
      <c r="D100" s="152"/>
      <c r="E100" s="152"/>
      <c r="F100" s="152"/>
      <c r="G100" s="152"/>
    </row>
    <row r="101">
      <c r="A101" s="265" t="s">
        <v>228</v>
      </c>
      <c r="B101" s="151"/>
      <c r="C101" s="152"/>
      <c r="D101" s="152"/>
      <c r="E101" s="152"/>
      <c r="F101" s="152"/>
      <c r="G101" s="152"/>
    </row>
    <row r="102">
      <c r="A102" s="154" t="s">
        <v>229</v>
      </c>
      <c r="B102" s="151">
        <f t="shared" ref="B102:B103" si="61">index(C102:V102,,match($A$3,$C$1:$V$1,0))</f>
        <v>0.1107604023</v>
      </c>
      <c r="C102" s="152">
        <f t="shared" ref="C102:C103" si="62">sumproduct($D$19:$G$19,D102:G102)</f>
        <v>0.1107604023</v>
      </c>
      <c r="D102" s="152">
        <f t="shared" ref="D102:G102" si="60">D90*D98</f>
        <v>0.1138669693</v>
      </c>
      <c r="E102" s="152">
        <f t="shared" si="60"/>
        <v>0.08693607424</v>
      </c>
      <c r="F102" s="152">
        <f t="shared" si="60"/>
        <v>0.1748845413</v>
      </c>
      <c r="G102" s="152">
        <f t="shared" si="60"/>
        <v>0.08657824892</v>
      </c>
    </row>
    <row r="103">
      <c r="A103" s="154" t="s">
        <v>230</v>
      </c>
      <c r="B103" s="151">
        <f t="shared" si="61"/>
        <v>0.1187481659</v>
      </c>
      <c r="C103" s="152">
        <f t="shared" si="62"/>
        <v>0.1187481659</v>
      </c>
      <c r="D103" s="152">
        <f t="shared" ref="D103:G103" si="63">D90*D99</f>
        <v>0.1221554048</v>
      </c>
      <c r="E103" s="152">
        <f t="shared" si="63"/>
        <v>0.09321298828</v>
      </c>
      <c r="F103" s="152">
        <f t="shared" si="63"/>
        <v>0.1866541276</v>
      </c>
      <c r="G103" s="152">
        <f t="shared" si="63"/>
        <v>0.09274473052</v>
      </c>
    </row>
    <row r="104">
      <c r="A104" s="258"/>
      <c r="B104" s="259"/>
      <c r="C104" s="79"/>
      <c r="D104" s="79"/>
      <c r="E104" s="79"/>
      <c r="F104" s="79"/>
      <c r="G104" s="79"/>
    </row>
    <row r="105">
      <c r="A105" s="241" t="s">
        <v>231</v>
      </c>
      <c r="B105" s="268"/>
      <c r="C105" s="241"/>
      <c r="D105" s="269"/>
      <c r="E105" s="269"/>
      <c r="F105" s="269"/>
      <c r="G105" s="269"/>
    </row>
    <row r="106">
      <c r="A106" s="270"/>
      <c r="B106" s="271"/>
      <c r="C106" s="272"/>
      <c r="D106" s="272"/>
      <c r="E106" s="272"/>
      <c r="F106" s="272"/>
      <c r="G106" s="272"/>
    </row>
    <row r="107">
      <c r="A107" s="273" t="s">
        <v>232</v>
      </c>
      <c r="B107" s="228"/>
    </row>
    <row r="108">
      <c r="A108" s="270" t="s">
        <v>233</v>
      </c>
      <c r="B108" s="271">
        <f t="shared" ref="B108:B109" si="65">index(C108:V108,,match($A$3,$C$1:$V$1,0))</f>
        <v>2777.653878</v>
      </c>
      <c r="C108" s="272">
        <f>sum(D108:V108)</f>
        <v>2777.653878</v>
      </c>
      <c r="D108" s="272">
        <f t="shared" ref="D108:G108" si="64">D32*D102</f>
        <v>1995.341312</v>
      </c>
      <c r="E108" s="272">
        <f t="shared" si="64"/>
        <v>146.0449317</v>
      </c>
      <c r="F108" s="272">
        <f t="shared" si="64"/>
        <v>209.4963416</v>
      </c>
      <c r="G108" s="272">
        <f t="shared" si="64"/>
        <v>426.7712927</v>
      </c>
    </row>
    <row r="109">
      <c r="A109" s="270" t="s">
        <v>234</v>
      </c>
      <c r="B109" s="271">
        <f t="shared" si="65"/>
        <v>5044.499693</v>
      </c>
      <c r="C109" s="272">
        <f t="shared" ref="C109:G109" si="66">C33*C103</f>
        <v>5044.499693</v>
      </c>
      <c r="D109" s="272">
        <f t="shared" si="66"/>
        <v>3575.451784</v>
      </c>
      <c r="E109" s="272">
        <f t="shared" si="66"/>
        <v>264.7961173</v>
      </c>
      <c r="F109" s="272">
        <f t="shared" si="66"/>
        <v>408.7608232</v>
      </c>
      <c r="G109" s="272">
        <f t="shared" si="66"/>
        <v>758.6754815</v>
      </c>
    </row>
    <row r="110">
      <c r="A110" s="270"/>
      <c r="B110" s="274"/>
      <c r="C110" s="275"/>
      <c r="D110" s="276"/>
      <c r="E110" s="276"/>
      <c r="F110" s="276"/>
      <c r="G110" s="276"/>
    </row>
    <row r="111">
      <c r="A111" s="277" t="s">
        <v>235</v>
      </c>
      <c r="B111" s="274"/>
      <c r="C111" s="275"/>
      <c r="D111" s="276"/>
      <c r="E111" s="276"/>
      <c r="F111" s="276"/>
      <c r="G111" s="276"/>
    </row>
    <row r="112">
      <c r="A112" s="270" t="s">
        <v>236</v>
      </c>
      <c r="B112" s="274">
        <f t="shared" ref="B112:B114" si="68">index(C112:V112,,match($A$3,$C$1:$V$1,0))</f>
        <v>0.023</v>
      </c>
      <c r="C112" s="275">
        <v>0.023</v>
      </c>
      <c r="D112" s="276">
        <f t="shared" ref="D112:G112" si="67">$C$112</f>
        <v>0.023</v>
      </c>
      <c r="E112" s="276">
        <f t="shared" si="67"/>
        <v>0.023</v>
      </c>
      <c r="F112" s="276">
        <f t="shared" si="67"/>
        <v>0.023</v>
      </c>
      <c r="G112" s="276">
        <f t="shared" si="67"/>
        <v>0.023</v>
      </c>
    </row>
    <row r="113">
      <c r="A113" s="270" t="s">
        <v>237</v>
      </c>
      <c r="B113" s="151">
        <f t="shared" si="68"/>
        <v>0.52</v>
      </c>
      <c r="C113" s="155">
        <v>0.52</v>
      </c>
      <c r="D113" s="266">
        <f t="shared" ref="D113:G113" si="69">$C$113</f>
        <v>0.52</v>
      </c>
      <c r="E113" s="266">
        <f t="shared" si="69"/>
        <v>0.52</v>
      </c>
      <c r="F113" s="266">
        <f t="shared" si="69"/>
        <v>0.52</v>
      </c>
      <c r="G113" s="266">
        <f t="shared" si="69"/>
        <v>0.52</v>
      </c>
    </row>
    <row r="114">
      <c r="A114" s="270" t="s">
        <v>238</v>
      </c>
      <c r="B114" s="278">
        <f t="shared" si="68"/>
        <v>0.01182453322</v>
      </c>
      <c r="C114" s="279">
        <f t="shared" ref="C114:G114" si="70">(ln(1+C112)-ln(1))*C113</f>
        <v>0.01182453322</v>
      </c>
      <c r="D114" s="279">
        <f t="shared" si="70"/>
        <v>0.01182453322</v>
      </c>
      <c r="E114" s="279">
        <f t="shared" si="70"/>
        <v>0.01182453322</v>
      </c>
      <c r="F114" s="279">
        <f t="shared" si="70"/>
        <v>0.01182453322</v>
      </c>
      <c r="G114" s="279">
        <f t="shared" si="70"/>
        <v>0.01182453322</v>
      </c>
    </row>
    <row r="115">
      <c r="A115" s="280"/>
      <c r="B115" s="281"/>
      <c r="C115" s="282"/>
      <c r="D115" s="283"/>
      <c r="E115" s="283"/>
      <c r="F115" s="283"/>
      <c r="G115" s="283"/>
    </row>
    <row r="116">
      <c r="A116" s="284" t="s">
        <v>239</v>
      </c>
      <c r="B116" s="281"/>
      <c r="C116" s="283"/>
      <c r="D116" s="283"/>
      <c r="E116" s="283"/>
      <c r="F116" s="283"/>
      <c r="G116" s="283"/>
    </row>
    <row r="117">
      <c r="A117" s="280" t="s">
        <v>240</v>
      </c>
      <c r="B117" s="281">
        <f t="shared" ref="B117:B122" si="72">index(C117:V117,,match($A$3,$C$1:$V$1,0))</f>
        <v>10</v>
      </c>
      <c r="C117" s="285">
        <v>10.0</v>
      </c>
      <c r="D117" s="286">
        <f t="shared" ref="D117:G117" si="71">$C$117</f>
        <v>10</v>
      </c>
      <c r="E117" s="286">
        <f t="shared" si="71"/>
        <v>10</v>
      </c>
      <c r="F117" s="286">
        <f t="shared" si="71"/>
        <v>10</v>
      </c>
      <c r="G117" s="286">
        <f t="shared" si="71"/>
        <v>10</v>
      </c>
    </row>
    <row r="118">
      <c r="A118" s="287" t="s">
        <v>127</v>
      </c>
      <c r="B118" s="288">
        <f t="shared" si="72"/>
        <v>0.04</v>
      </c>
      <c r="C118" s="289">
        <f t="array" ref="C118">index('Moral weights and discount rate'!1:35,match("Overall discount rate",'Moral weights and discount rate'!A:A,0), match("Active",'Moral weights and discount rate'!1:1,0))</f>
        <v>0.04</v>
      </c>
      <c r="D118" s="289">
        <f t="shared" ref="D118:G118" si="73">$C$118</f>
        <v>0.04</v>
      </c>
      <c r="E118" s="289">
        <f t="shared" si="73"/>
        <v>0.04</v>
      </c>
      <c r="F118" s="289">
        <f t="shared" si="73"/>
        <v>0.04</v>
      </c>
      <c r="G118" s="289">
        <f t="shared" si="73"/>
        <v>0.04</v>
      </c>
    </row>
    <row r="119">
      <c r="A119" s="287" t="s">
        <v>241</v>
      </c>
      <c r="B119" s="278">
        <f t="shared" si="72"/>
        <v>0.007988230959</v>
      </c>
      <c r="C119" s="279">
        <f t="shared" ref="C119:G119" si="74">C114/(1+C118)^C117</f>
        <v>0.007988230959</v>
      </c>
      <c r="D119" s="279">
        <f t="shared" si="74"/>
        <v>0.007988230959</v>
      </c>
      <c r="E119" s="279">
        <f t="shared" si="74"/>
        <v>0.007988230959</v>
      </c>
      <c r="F119" s="279">
        <f t="shared" si="74"/>
        <v>0.007988230959</v>
      </c>
      <c r="G119" s="279">
        <f t="shared" si="74"/>
        <v>0.007988230959</v>
      </c>
    </row>
    <row r="120">
      <c r="A120" s="287" t="s">
        <v>242</v>
      </c>
      <c r="B120" s="290">
        <f t="shared" si="72"/>
        <v>40</v>
      </c>
      <c r="C120" s="291">
        <v>40.0</v>
      </c>
      <c r="D120" s="286">
        <f t="shared" ref="D120:G120" si="75">$C$120</f>
        <v>40</v>
      </c>
      <c r="E120" s="286">
        <f t="shared" si="75"/>
        <v>40</v>
      </c>
      <c r="F120" s="286">
        <f t="shared" si="75"/>
        <v>40</v>
      </c>
      <c r="G120" s="286">
        <f t="shared" si="75"/>
        <v>40</v>
      </c>
    </row>
    <row r="121">
      <c r="A121" s="270" t="s">
        <v>243</v>
      </c>
      <c r="B121" s="292">
        <f t="shared" si="72"/>
        <v>0.1644336191</v>
      </c>
      <c r="C121" s="293">
        <f t="shared" ref="C121:G121" si="76">pv(C118,C120,-C119,,1)</f>
        <v>0.1644336191</v>
      </c>
      <c r="D121" s="293">
        <f t="shared" si="76"/>
        <v>0.1644336191</v>
      </c>
      <c r="E121" s="293">
        <f t="shared" si="76"/>
        <v>0.1644336191</v>
      </c>
      <c r="F121" s="293">
        <f t="shared" si="76"/>
        <v>0.1644336191</v>
      </c>
      <c r="G121" s="293">
        <f t="shared" si="76"/>
        <v>0.1644336191</v>
      </c>
    </row>
    <row r="122">
      <c r="A122" s="287" t="s">
        <v>244</v>
      </c>
      <c r="B122" s="294">
        <f t="shared" si="72"/>
        <v>2</v>
      </c>
      <c r="C122" s="248">
        <v>2.0</v>
      </c>
      <c r="D122" s="295">
        <f t="shared" ref="D122:G122" si="77">$C$122</f>
        <v>2</v>
      </c>
      <c r="E122" s="295">
        <f t="shared" si="77"/>
        <v>2</v>
      </c>
      <c r="F122" s="295">
        <f t="shared" si="77"/>
        <v>2</v>
      </c>
      <c r="G122" s="295">
        <f t="shared" si="77"/>
        <v>2</v>
      </c>
    </row>
    <row r="123">
      <c r="A123" s="270"/>
      <c r="B123" s="292"/>
      <c r="C123" s="293"/>
      <c r="D123" s="293"/>
      <c r="E123" s="293"/>
      <c r="F123" s="293"/>
      <c r="G123" s="293"/>
    </row>
    <row r="124">
      <c r="A124" s="270" t="s">
        <v>245</v>
      </c>
      <c r="B124" s="292">
        <f t="array" ref="B124">index(C124:V124,,match($A$3,$C$1:$V$1,0))</f>
        <v>0.3288672381</v>
      </c>
      <c r="C124" s="293">
        <f t="shared" ref="C124:G124" si="78">C122*C121</f>
        <v>0.3288672381</v>
      </c>
      <c r="D124" s="293">
        <f t="shared" si="78"/>
        <v>0.3288672381</v>
      </c>
      <c r="E124" s="293">
        <f t="shared" si="78"/>
        <v>0.3288672381</v>
      </c>
      <c r="F124" s="293">
        <f t="shared" si="78"/>
        <v>0.3288672381</v>
      </c>
      <c r="G124" s="293">
        <f t="shared" si="78"/>
        <v>0.3288672381</v>
      </c>
    </row>
    <row r="125">
      <c r="A125" s="244"/>
      <c r="B125" s="271"/>
      <c r="C125" s="272"/>
      <c r="D125" s="272"/>
      <c r="E125" s="272"/>
      <c r="F125" s="272"/>
      <c r="G125" s="272"/>
    </row>
    <row r="126">
      <c r="A126" s="244" t="s">
        <v>246</v>
      </c>
      <c r="B126" s="271">
        <f t="shared" ref="B126:B127" si="80">index(C126:V126,,match($A$3,$C$1:$V$1,0))</f>
        <v>913.4793592</v>
      </c>
      <c r="C126" s="272">
        <f t="shared" ref="C126:C127" si="81">sum(D126:V126)</f>
        <v>913.4793592</v>
      </c>
      <c r="D126" s="272">
        <f t="shared" ref="D126:G126" si="79">D108*D124</f>
        <v>656.2023863</v>
      </c>
      <c r="E126" s="272">
        <f t="shared" si="79"/>
        <v>48.02939332</v>
      </c>
      <c r="F126" s="272">
        <f t="shared" si="79"/>
        <v>68.89648328</v>
      </c>
      <c r="G126" s="272">
        <f t="shared" si="79"/>
        <v>140.3510964</v>
      </c>
    </row>
    <row r="127">
      <c r="A127" s="244" t="s">
        <v>247</v>
      </c>
      <c r="B127" s="271">
        <f t="shared" si="80"/>
        <v>1646.863274</v>
      </c>
      <c r="C127" s="272">
        <f t="shared" si="81"/>
        <v>1646.863274</v>
      </c>
      <c r="D127" s="272">
        <f t="shared" ref="D127:G127" si="82">D109*D124</f>
        <v>1175.848953</v>
      </c>
      <c r="E127" s="272">
        <f t="shared" si="82"/>
        <v>87.08276778</v>
      </c>
      <c r="F127" s="272">
        <f t="shared" si="82"/>
        <v>134.428043</v>
      </c>
      <c r="G127" s="272">
        <f t="shared" si="82"/>
        <v>249.5035103</v>
      </c>
    </row>
    <row r="128">
      <c r="A128" s="287"/>
      <c r="B128" s="292"/>
      <c r="C128" s="296"/>
      <c r="D128" s="296"/>
      <c r="E128" s="296"/>
      <c r="F128" s="296"/>
      <c r="G128" s="296"/>
    </row>
    <row r="129">
      <c r="A129" s="277" t="s">
        <v>203</v>
      </c>
      <c r="B129" s="292"/>
      <c r="C129" s="296"/>
      <c r="D129" s="296"/>
      <c r="E129" s="296"/>
      <c r="F129" s="296"/>
      <c r="G129" s="296"/>
    </row>
    <row r="130">
      <c r="A130" s="287" t="s">
        <v>121</v>
      </c>
      <c r="B130" s="292">
        <f t="shared" ref="B130:B131" si="84">index(C130:V130,,match($A$3,$C$1:$V$1,0))</f>
        <v>1.442695041</v>
      </c>
      <c r="C130" s="196">
        <f t="array" ref="C130">index('Moral weights and discount rate'!$A$1:$ZW$35,match($A130,'Moral weights and discount rate'!$A$1:$A$35,0),match(B$1,'Moral weights and discount rate'!$A$1:$ZW1,0))</f>
        <v>1.442695041</v>
      </c>
      <c r="D130" s="196">
        <f t="shared" ref="D130:G130" si="83">$C$130</f>
        <v>1.442695041</v>
      </c>
      <c r="E130" s="196">
        <f t="shared" si="83"/>
        <v>1.442695041</v>
      </c>
      <c r="F130" s="196">
        <f t="shared" si="83"/>
        <v>1.442695041</v>
      </c>
      <c r="G130" s="196">
        <f t="shared" si="83"/>
        <v>1.442695041</v>
      </c>
    </row>
    <row r="131">
      <c r="A131" s="297" t="s">
        <v>248</v>
      </c>
      <c r="B131" s="298">
        <f t="shared" si="84"/>
        <v>3693.79362</v>
      </c>
      <c r="C131" s="232">
        <f>sum(D131:G131)</f>
        <v>3693.79362</v>
      </c>
      <c r="D131" s="232">
        <f t="shared" ref="D131:G131" si="85">D130*sum(D126:D127)</f>
        <v>2643.091382</v>
      </c>
      <c r="E131" s="232">
        <f t="shared" si="85"/>
        <v>194.9256448</v>
      </c>
      <c r="F131" s="232">
        <f t="shared" si="85"/>
        <v>293.3352857</v>
      </c>
      <c r="G131" s="232">
        <f t="shared" si="85"/>
        <v>562.4413076</v>
      </c>
    </row>
    <row r="132">
      <c r="A132" s="299"/>
      <c r="B132" s="300"/>
      <c r="C132" s="299"/>
      <c r="D132" s="299"/>
      <c r="E132" s="299"/>
      <c r="F132" s="299"/>
      <c r="G132" s="299"/>
    </row>
    <row r="133">
      <c r="A133" s="241" t="s">
        <v>249</v>
      </c>
      <c r="B133" s="242"/>
      <c r="C133" s="243"/>
      <c r="D133" s="243"/>
      <c r="E133" s="243"/>
      <c r="F133" s="243"/>
      <c r="G133" s="243"/>
    </row>
    <row r="134">
      <c r="A134" s="141"/>
      <c r="B134" s="298"/>
      <c r="C134" s="232"/>
      <c r="D134" s="232"/>
      <c r="E134" s="232"/>
      <c r="F134" s="232"/>
      <c r="G134" s="232"/>
    </row>
    <row r="135">
      <c r="A135" s="118" t="s">
        <v>250</v>
      </c>
      <c r="B135" s="301">
        <f t="array" ref="B135">index(C135:V135,,match($A$3,$C$1:$V$1,0))</f>
        <v>2793.42389</v>
      </c>
      <c r="C135" s="302">
        <f t="shared" ref="C135:G135" si="86">C14/(C61+C76)</f>
        <v>2793.42389</v>
      </c>
      <c r="D135" s="302">
        <f t="shared" si="86"/>
        <v>2680.796784</v>
      </c>
      <c r="E135" s="302">
        <f t="shared" si="86"/>
        <v>2728.133186</v>
      </c>
      <c r="F135" s="302">
        <f t="shared" si="86"/>
        <v>2988.438915</v>
      </c>
      <c r="G135" s="302">
        <f t="shared" si="86"/>
        <v>3527.463306</v>
      </c>
    </row>
    <row r="136">
      <c r="A136" s="141"/>
      <c r="B136" s="298"/>
      <c r="C136" s="232"/>
      <c r="D136" s="303"/>
      <c r="E136" s="232"/>
      <c r="F136" s="232"/>
      <c r="G136" s="232"/>
    </row>
    <row r="137">
      <c r="A137" s="118" t="s">
        <v>251</v>
      </c>
      <c r="B137" s="271">
        <f t="shared" ref="B137:B138" si="88">index(C137:V137,,match($A$3,$C$1:$V$1,0))</f>
        <v>11934.90752</v>
      </c>
      <c r="C137" s="272">
        <f t="shared" ref="C137:G137" si="87">sum(C65,C80,C131)</f>
        <v>11934.90752</v>
      </c>
      <c r="D137" s="272">
        <f t="shared" si="87"/>
        <v>9120.087164</v>
      </c>
      <c r="E137" s="272">
        <f t="shared" si="87"/>
        <v>654.9664907</v>
      </c>
      <c r="F137" s="272">
        <f t="shared" si="87"/>
        <v>655.5679588</v>
      </c>
      <c r="G137" s="272">
        <f t="shared" si="87"/>
        <v>1504.285909</v>
      </c>
    </row>
    <row r="138">
      <c r="A138" s="118" t="s">
        <v>252</v>
      </c>
      <c r="B138" s="292">
        <f t="shared" si="88"/>
        <v>0.05443126011</v>
      </c>
      <c r="C138" s="293">
        <f t="shared" ref="C138:G138" si="89">C137/C14</f>
        <v>0.05443126011</v>
      </c>
      <c r="D138" s="293">
        <f t="shared" si="89"/>
        <v>0.05520954478</v>
      </c>
      <c r="E138" s="293">
        <f t="shared" si="89"/>
        <v>0.05477161826</v>
      </c>
      <c r="F138" s="293">
        <f t="shared" si="89"/>
        <v>0.06088298097</v>
      </c>
      <c r="G138" s="293">
        <f t="shared" si="89"/>
        <v>0.04798441349</v>
      </c>
    </row>
    <row r="139">
      <c r="A139" s="304"/>
      <c r="B139" s="298"/>
      <c r="C139" s="305"/>
      <c r="D139" s="305"/>
      <c r="E139" s="305"/>
      <c r="F139" s="305"/>
      <c r="G139" s="305"/>
    </row>
    <row r="140">
      <c r="A140" s="304" t="s">
        <v>253</v>
      </c>
      <c r="B140" s="306">
        <f t="array" ref="B140">index(C140:V140,,match($A$3,$C$1:$V$1,0))</f>
        <v>15.82376742</v>
      </c>
      <c r="C140" s="307">
        <f t="array" ref="C140">C138/index(GiveDirectly!$B:$B,match("Units of value generated per dollar spent",GiveDirectly!$A:$A,0))</f>
        <v>15.82376742</v>
      </c>
      <c r="D140" s="307">
        <f t="array" ref="D140">D138/index(GiveDirectly!$B:$B,match("Units of value generated per dollar spent",GiveDirectly!$A:$A,0))</f>
        <v>16.05002335</v>
      </c>
      <c r="E140" s="307">
        <f t="array" ref="E140">E138/index(GiveDirectly!$B:$B,match("Units of value generated per dollar spent",GiveDirectly!$A:$A,0))</f>
        <v>15.92271328</v>
      </c>
      <c r="F140" s="307">
        <f t="array" ref="F140">F138/index(GiveDirectly!$B:$B,match("Units of value generated per dollar spent",GiveDirectly!$A:$A,0))</f>
        <v>17.6993538</v>
      </c>
      <c r="G140" s="307">
        <f t="array" ref="G140">G138/index(GiveDirectly!$B:$B,match("Units of value generated per dollar spent",GiveDirectly!$A:$A,0))</f>
        <v>13.94959803</v>
      </c>
    </row>
    <row r="141">
      <c r="A141" s="118"/>
      <c r="B141" s="271"/>
      <c r="C141" s="252"/>
      <c r="D141" s="272"/>
      <c r="E141" s="272"/>
      <c r="F141" s="272"/>
      <c r="G141" s="272"/>
    </row>
    <row r="142">
      <c r="A142" s="308" t="s">
        <v>254</v>
      </c>
      <c r="B142" s="309"/>
      <c r="C142" s="308"/>
      <c r="D142" s="308"/>
      <c r="E142" s="308"/>
      <c r="F142" s="308"/>
      <c r="G142" s="308"/>
    </row>
    <row r="143" outlineLevel="1">
      <c r="A143" s="310"/>
      <c r="B143" s="228"/>
      <c r="E143" s="311"/>
      <c r="F143" s="311"/>
      <c r="G143" s="311"/>
    </row>
    <row r="144" outlineLevel="1">
      <c r="A144" s="312" t="s">
        <v>255</v>
      </c>
      <c r="B144" s="313"/>
      <c r="C144" s="314"/>
      <c r="D144" s="311"/>
      <c r="E144" s="311"/>
      <c r="F144" s="311"/>
      <c r="G144" s="311"/>
    </row>
    <row r="145" outlineLevel="1">
      <c r="A145" s="138" t="s">
        <v>256</v>
      </c>
      <c r="B145" s="315">
        <f t="shared" ref="B145:B148" si="91">index(C145:V145,,match($A$3,$C$1:$V$1,0))</f>
        <v>0</v>
      </c>
      <c r="C145" s="316">
        <v>0.0</v>
      </c>
      <c r="D145" s="317">
        <f t="shared" ref="D145:G145" si="90">$C145</f>
        <v>0</v>
      </c>
      <c r="E145" s="317">
        <f t="shared" si="90"/>
        <v>0</v>
      </c>
      <c r="F145" s="317">
        <f t="shared" si="90"/>
        <v>0</v>
      </c>
      <c r="G145" s="317">
        <f t="shared" si="90"/>
        <v>0</v>
      </c>
    </row>
    <row r="146" outlineLevel="1">
      <c r="A146" s="138" t="s">
        <v>257</v>
      </c>
      <c r="B146" s="315">
        <f t="shared" si="91"/>
        <v>0</v>
      </c>
      <c r="C146" s="318">
        <v>0.0</v>
      </c>
      <c r="D146" s="317">
        <f t="shared" ref="D146:G146" si="92">$C146</f>
        <v>0</v>
      </c>
      <c r="E146" s="317">
        <f t="shared" si="92"/>
        <v>0</v>
      </c>
      <c r="F146" s="317">
        <f t="shared" si="92"/>
        <v>0</v>
      </c>
      <c r="G146" s="317">
        <f t="shared" si="92"/>
        <v>0</v>
      </c>
    </row>
    <row r="147" outlineLevel="1">
      <c r="A147" s="138" t="s">
        <v>258</v>
      </c>
      <c r="B147" s="315">
        <f t="shared" si="91"/>
        <v>0.05</v>
      </c>
      <c r="C147" s="316">
        <v>0.05</v>
      </c>
      <c r="D147" s="317">
        <f t="shared" ref="D147:G147" si="93">$C147</f>
        <v>0.05</v>
      </c>
      <c r="E147" s="317">
        <f t="shared" si="93"/>
        <v>0.05</v>
      </c>
      <c r="F147" s="317">
        <f t="shared" si="93"/>
        <v>0.05</v>
      </c>
      <c r="G147" s="317">
        <f t="shared" si="93"/>
        <v>0.05</v>
      </c>
    </row>
    <row r="148" outlineLevel="1">
      <c r="A148" s="319" t="s">
        <v>259</v>
      </c>
      <c r="B148" s="320">
        <f t="shared" si="91"/>
        <v>0.05</v>
      </c>
      <c r="C148" s="321">
        <f t="shared" ref="C148:G148" si="94">SUM(C145:C147)</f>
        <v>0.05</v>
      </c>
      <c r="D148" s="321">
        <f t="shared" si="94"/>
        <v>0.05</v>
      </c>
      <c r="E148" s="321">
        <f t="shared" si="94"/>
        <v>0.05</v>
      </c>
      <c r="F148" s="321">
        <f t="shared" si="94"/>
        <v>0.05</v>
      </c>
      <c r="G148" s="321">
        <f t="shared" si="94"/>
        <v>0.05</v>
      </c>
    </row>
    <row r="149" outlineLevel="1">
      <c r="A149" s="138"/>
      <c r="B149" s="315"/>
      <c r="C149" s="153"/>
      <c r="D149" s="311"/>
      <c r="E149" s="311"/>
      <c r="F149" s="311"/>
      <c r="G149" s="311"/>
    </row>
    <row r="150" outlineLevel="1">
      <c r="A150" s="310" t="s">
        <v>260</v>
      </c>
      <c r="C150" s="153"/>
      <c r="D150" s="311"/>
      <c r="E150" s="311"/>
      <c r="F150" s="311"/>
      <c r="G150" s="311"/>
    </row>
    <row r="151" outlineLevel="1">
      <c r="A151" s="138" t="s">
        <v>261</v>
      </c>
      <c r="B151" s="315">
        <f t="shared" ref="B151:B153" si="96">index(C151:V151,,match($A$3,$C$1:$V$1,0))</f>
        <v>0.02</v>
      </c>
      <c r="C151" s="318">
        <v>0.02</v>
      </c>
      <c r="D151" s="317">
        <f t="shared" ref="D151:G151" si="95">$C151</f>
        <v>0.02</v>
      </c>
      <c r="E151" s="317">
        <f t="shared" si="95"/>
        <v>0.02</v>
      </c>
      <c r="F151" s="317">
        <f t="shared" si="95"/>
        <v>0.02</v>
      </c>
      <c r="G151" s="317">
        <f t="shared" si="95"/>
        <v>0.02</v>
      </c>
    </row>
    <row r="152" outlineLevel="1">
      <c r="A152" s="138" t="s">
        <v>262</v>
      </c>
      <c r="B152" s="315">
        <f t="shared" si="96"/>
        <v>0.02</v>
      </c>
      <c r="C152" s="318">
        <v>0.02</v>
      </c>
      <c r="D152" s="317">
        <f t="shared" ref="D152:G152" si="97">$C152</f>
        <v>0.02</v>
      </c>
      <c r="E152" s="317">
        <f t="shared" si="97"/>
        <v>0.02</v>
      </c>
      <c r="F152" s="317">
        <f t="shared" si="97"/>
        <v>0.02</v>
      </c>
      <c r="G152" s="317">
        <f t="shared" si="97"/>
        <v>0.02</v>
      </c>
    </row>
    <row r="153" outlineLevel="1">
      <c r="A153" s="319" t="s">
        <v>263</v>
      </c>
      <c r="B153" s="320">
        <f t="shared" si="96"/>
        <v>0.04</v>
      </c>
      <c r="C153" s="321">
        <f t="shared" ref="C153:G153" si="98">sum(C150:C152)</f>
        <v>0.04</v>
      </c>
      <c r="D153" s="321">
        <f t="shared" si="98"/>
        <v>0.04</v>
      </c>
      <c r="E153" s="321">
        <f t="shared" si="98"/>
        <v>0.04</v>
      </c>
      <c r="F153" s="321">
        <f t="shared" si="98"/>
        <v>0.04</v>
      </c>
      <c r="G153" s="321">
        <f t="shared" si="98"/>
        <v>0.04</v>
      </c>
    </row>
    <row r="154" outlineLevel="1">
      <c r="A154" s="138"/>
      <c r="B154" s="315"/>
      <c r="C154" s="153"/>
      <c r="D154" s="311"/>
      <c r="E154" s="311"/>
      <c r="F154" s="311"/>
      <c r="G154" s="311"/>
    </row>
    <row r="155" outlineLevel="1">
      <c r="A155" s="312" t="s">
        <v>264</v>
      </c>
      <c r="B155" s="315"/>
      <c r="C155" s="153"/>
      <c r="D155" s="311"/>
      <c r="E155" s="311"/>
      <c r="F155" s="311"/>
      <c r="G155" s="311"/>
    </row>
    <row r="156" outlineLevel="1">
      <c r="A156" s="138" t="s">
        <v>265</v>
      </c>
      <c r="B156" s="315">
        <f t="shared" ref="B156:B159" si="100">index(C156:V156,,match($A$3,$C$1:$V$1,0))</f>
        <v>0</v>
      </c>
      <c r="C156" s="316">
        <v>0.0</v>
      </c>
      <c r="D156" s="317">
        <f t="shared" ref="D156:G156" si="99">$C156</f>
        <v>0</v>
      </c>
      <c r="E156" s="317">
        <f t="shared" si="99"/>
        <v>0</v>
      </c>
      <c r="F156" s="317">
        <f t="shared" si="99"/>
        <v>0</v>
      </c>
      <c r="G156" s="317">
        <f t="shared" si="99"/>
        <v>0</v>
      </c>
    </row>
    <row r="157" outlineLevel="1">
      <c r="A157" s="138" t="s">
        <v>266</v>
      </c>
      <c r="B157" s="315">
        <f t="shared" si="100"/>
        <v>0</v>
      </c>
      <c r="C157" s="316">
        <v>0.0</v>
      </c>
      <c r="D157" s="317">
        <f t="shared" ref="D157:G157" si="101">$C157</f>
        <v>0</v>
      </c>
      <c r="E157" s="317">
        <f t="shared" si="101"/>
        <v>0</v>
      </c>
      <c r="F157" s="317">
        <f t="shared" si="101"/>
        <v>0</v>
      </c>
      <c r="G157" s="317">
        <f t="shared" si="101"/>
        <v>0</v>
      </c>
    </row>
    <row r="158" outlineLevel="1">
      <c r="A158" s="138" t="s">
        <v>267</v>
      </c>
      <c r="B158" s="315">
        <f t="shared" si="100"/>
        <v>0</v>
      </c>
      <c r="C158" s="316">
        <v>0.0</v>
      </c>
      <c r="D158" s="317">
        <f t="shared" ref="D158:G158" si="102">$C158</f>
        <v>0</v>
      </c>
      <c r="E158" s="317">
        <f t="shared" si="102"/>
        <v>0</v>
      </c>
      <c r="F158" s="317">
        <f t="shared" si="102"/>
        <v>0</v>
      </c>
      <c r="G158" s="317">
        <f t="shared" si="102"/>
        <v>0</v>
      </c>
    </row>
    <row r="159" outlineLevel="1">
      <c r="A159" s="322" t="s">
        <v>268</v>
      </c>
      <c r="B159" s="320">
        <f t="shared" si="100"/>
        <v>0</v>
      </c>
      <c r="C159" s="321">
        <f t="shared" ref="C159:G159" si="103">sum(C156:C158)</f>
        <v>0</v>
      </c>
      <c r="D159" s="321">
        <f t="shared" si="103"/>
        <v>0</v>
      </c>
      <c r="E159" s="321">
        <f t="shared" si="103"/>
        <v>0</v>
      </c>
      <c r="F159" s="321">
        <f t="shared" si="103"/>
        <v>0</v>
      </c>
      <c r="G159" s="321">
        <f t="shared" si="103"/>
        <v>0</v>
      </c>
    </row>
    <row r="160" outlineLevel="1">
      <c r="A160" s="138"/>
      <c r="B160" s="315"/>
      <c r="C160" s="153"/>
      <c r="D160" s="311"/>
      <c r="E160" s="311"/>
      <c r="F160" s="311"/>
      <c r="G160" s="311"/>
    </row>
    <row r="161" outlineLevel="1">
      <c r="A161" s="112" t="s">
        <v>269</v>
      </c>
      <c r="B161" s="315">
        <f t="array" ref="B161">index(C161:V161,,match($A$3,$C$1:$V$1,0))</f>
        <v>0.91</v>
      </c>
      <c r="C161" s="153">
        <f t="shared" ref="C161:G161" si="104">1-sum(C148,C153,C159)</f>
        <v>0.91</v>
      </c>
      <c r="D161" s="153">
        <f t="shared" si="104"/>
        <v>0.91</v>
      </c>
      <c r="E161" s="153">
        <f t="shared" si="104"/>
        <v>0.91</v>
      </c>
      <c r="F161" s="153">
        <f t="shared" si="104"/>
        <v>0.91</v>
      </c>
      <c r="G161" s="153">
        <f t="shared" si="104"/>
        <v>0.91</v>
      </c>
    </row>
    <row r="162">
      <c r="A162" s="118"/>
      <c r="B162" s="271"/>
      <c r="C162" s="252"/>
      <c r="D162" s="272"/>
      <c r="E162" s="272"/>
      <c r="F162" s="272"/>
      <c r="G162" s="272"/>
    </row>
    <row r="163">
      <c r="A163" s="241" t="s">
        <v>270</v>
      </c>
      <c r="B163" s="242"/>
      <c r="C163" s="243"/>
      <c r="D163" s="243"/>
      <c r="E163" s="243"/>
      <c r="F163" s="243"/>
      <c r="G163" s="243"/>
    </row>
    <row r="164">
      <c r="A164" s="96"/>
      <c r="B164" s="271"/>
      <c r="C164" s="252"/>
      <c r="D164" s="272"/>
      <c r="E164" s="272"/>
      <c r="F164" s="272"/>
      <c r="G164" s="272"/>
    </row>
    <row r="165">
      <c r="A165" s="96" t="s">
        <v>271</v>
      </c>
      <c r="B165" s="323">
        <f t="shared" ref="B165:B166" si="106">index(C165:V165,,match($A$3,$C$1:$V$1,0))</f>
        <v>71.42910671</v>
      </c>
      <c r="C165" s="252">
        <f>sum(D165:G165)</f>
        <v>71.42910671</v>
      </c>
      <c r="D165" s="272">
        <f t="shared" ref="D165:G165" si="105">D84*D161</f>
        <v>56.07410123</v>
      </c>
      <c r="E165" s="272">
        <f t="shared" si="105"/>
        <v>3.988773102</v>
      </c>
      <c r="F165" s="272">
        <f t="shared" si="105"/>
        <v>3.278829395</v>
      </c>
      <c r="G165" s="272">
        <f t="shared" si="105"/>
        <v>8.087402988</v>
      </c>
    </row>
    <row r="166">
      <c r="A166" s="154" t="s">
        <v>272</v>
      </c>
      <c r="B166" s="324">
        <f t="shared" si="106"/>
        <v>3069.696583</v>
      </c>
      <c r="C166" s="302">
        <f t="shared" ref="C166:G166" si="107">C14/C165</f>
        <v>3069.696583</v>
      </c>
      <c r="D166" s="302">
        <f t="shared" si="107"/>
        <v>2945.930532</v>
      </c>
      <c r="E166" s="302">
        <f t="shared" si="107"/>
        <v>2997.948556</v>
      </c>
      <c r="F166" s="302">
        <f t="shared" si="107"/>
        <v>3283.998808</v>
      </c>
      <c r="G166" s="302">
        <f t="shared" si="107"/>
        <v>3876.333303</v>
      </c>
    </row>
    <row r="167">
      <c r="A167" s="96"/>
      <c r="B167" s="271"/>
      <c r="C167" s="252"/>
      <c r="D167" s="272"/>
      <c r="E167" s="272"/>
      <c r="F167" s="272"/>
      <c r="G167" s="272"/>
    </row>
    <row r="168">
      <c r="A168" s="154" t="s">
        <v>273</v>
      </c>
      <c r="B168" s="323">
        <f t="shared" ref="B168:B170" si="109">index(C168:V168,,match($A$3,$C$1:$V$1,0))</f>
        <v>10860.76585</v>
      </c>
      <c r="C168" s="252">
        <f>sum(D168:G168)</f>
        <v>10860.76585</v>
      </c>
      <c r="D168" s="272">
        <f t="shared" ref="D168:G168" si="108">D137*D161</f>
        <v>8299.279319</v>
      </c>
      <c r="E168" s="272">
        <f t="shared" si="108"/>
        <v>596.0195065</v>
      </c>
      <c r="F168" s="272">
        <f t="shared" si="108"/>
        <v>596.5668425</v>
      </c>
      <c r="G168" s="272">
        <f t="shared" si="108"/>
        <v>1368.900177</v>
      </c>
    </row>
    <row r="169">
      <c r="A169" s="154" t="s">
        <v>274</v>
      </c>
      <c r="B169" s="325">
        <f t="shared" si="109"/>
        <v>0.0495324467</v>
      </c>
      <c r="C169" s="293">
        <f t="shared" ref="C169:G169" si="110">C168/C14</f>
        <v>0.0495324467</v>
      </c>
      <c r="D169" s="293">
        <f t="shared" si="110"/>
        <v>0.05024068575</v>
      </c>
      <c r="E169" s="293">
        <f t="shared" si="110"/>
        <v>0.04984217261</v>
      </c>
      <c r="F169" s="293">
        <f t="shared" si="110"/>
        <v>0.05540351268</v>
      </c>
      <c r="G169" s="293">
        <f t="shared" si="110"/>
        <v>0.04366581627</v>
      </c>
    </row>
    <row r="170">
      <c r="A170" s="326" t="s">
        <v>275</v>
      </c>
      <c r="B170" s="327">
        <f t="shared" si="109"/>
        <v>14.39962835</v>
      </c>
      <c r="C170" s="328">
        <f t="array" ref="C170">C169/index(GiveDirectly!$B:$B,match("Units of value generated per dollar spent",GiveDirectly!$A:$A,0))</f>
        <v>14.39962835</v>
      </c>
      <c r="D170" s="328">
        <f t="array" ref="D170">D169/index(GiveDirectly!$B:$B,match("Units of value generated per dollar spent",GiveDirectly!$A:$A,0))</f>
        <v>14.60552125</v>
      </c>
      <c r="E170" s="328">
        <f t="array" ref="E170">E169/index(GiveDirectly!$B:$B,match("Units of value generated per dollar spent",GiveDirectly!$A:$A,0))</f>
        <v>14.48966909</v>
      </c>
      <c r="F170" s="328">
        <f t="array" ref="F170">F169/index(GiveDirectly!$B:$B,match("Units of value generated per dollar spent",GiveDirectly!$A:$A,0))</f>
        <v>16.10641196</v>
      </c>
      <c r="G170" s="328">
        <f t="array" ref="G170">G169/index(GiveDirectly!$B:$B,match("Units of value generated per dollar spent",GiveDirectly!$A:$A,0))</f>
        <v>12.69413421</v>
      </c>
    </row>
    <row r="171">
      <c r="A171" s="118"/>
      <c r="B171" s="271"/>
      <c r="C171" s="329"/>
      <c r="D171" s="272"/>
      <c r="E171" s="272"/>
      <c r="F171" s="272"/>
      <c r="G171" s="272"/>
    </row>
    <row r="172">
      <c r="A172" s="308" t="s">
        <v>276</v>
      </c>
      <c r="B172" s="309"/>
      <c r="C172" s="308"/>
      <c r="D172" s="308"/>
      <c r="E172" s="308"/>
      <c r="F172" s="308"/>
      <c r="G172" s="308"/>
    </row>
    <row r="173" outlineLevel="1">
      <c r="A173" s="310" t="s">
        <v>277</v>
      </c>
      <c r="B173" s="330"/>
      <c r="C173" s="331"/>
      <c r="D173" s="331"/>
      <c r="E173" s="331"/>
      <c r="F173" s="331"/>
      <c r="G173" s="331"/>
    </row>
    <row r="174" outlineLevel="1">
      <c r="A174" s="118" t="str">
        <f>IFERROR(__xludf.DUMMYFUNCTION("filter(InclusionExclusion!C:C,InclusionExclusion!A:A=""AMF"",InclusionExclusion!D:D=""Included"")"),"Malaria child mortality")</f>
        <v>Malaria child mortality</v>
      </c>
      <c r="B174" s="330"/>
      <c r="C174" s="332"/>
      <c r="D174" s="331"/>
      <c r="E174" s="331"/>
      <c r="F174" s="331"/>
      <c r="G174" s="331"/>
    </row>
    <row r="175" outlineLevel="1">
      <c r="A175" t="str">
        <f>IFERROR(__xludf.DUMMYFUNCTION("""COMPUTED_VALUE"""),"Malaria adult mortality")</f>
        <v>Malaria adult mortality</v>
      </c>
      <c r="B175" s="330"/>
      <c r="C175" s="331"/>
      <c r="D175" s="331"/>
      <c r="E175" s="331"/>
      <c r="F175" s="331"/>
      <c r="G175" s="331"/>
    </row>
    <row r="176" outlineLevel="1">
      <c r="A176" s="112" t="str">
        <f>IFERROR(__xludf.DUMMYFUNCTION("""COMPUTED_VALUE"""),"Developmental effects")</f>
        <v>Developmental effects</v>
      </c>
      <c r="B176" s="330"/>
      <c r="C176" s="331"/>
      <c r="D176" s="331"/>
      <c r="E176" s="331"/>
      <c r="F176" s="331"/>
      <c r="G176" s="331"/>
    </row>
    <row r="177" outlineLevel="1">
      <c r="A177" s="333"/>
      <c r="B177" s="330"/>
      <c r="C177" s="331"/>
      <c r="D177" s="331"/>
      <c r="E177" s="331"/>
      <c r="F177" s="331"/>
      <c r="G177" s="331"/>
    </row>
    <row r="178" outlineLevel="1">
      <c r="A178" s="310" t="s">
        <v>278</v>
      </c>
      <c r="B178" s="330"/>
      <c r="C178" s="331"/>
      <c r="D178" s="331"/>
      <c r="E178" s="331"/>
      <c r="F178" s="331"/>
      <c r="G178" s="331"/>
    </row>
    <row r="179" outlineLevel="1">
      <c r="A179" s="112" t="str">
        <f>IFERROR(__xludf.DUMMYFUNCTION("filter(InclusionExclusion!C:C,InclusionExclusion!A:A=""AMF"",InclusionExclusion!D:D=""Excluded"")"),"Malaria morbidity")</f>
        <v>Malaria morbidity</v>
      </c>
      <c r="B179" s="313">
        <f t="shared" ref="B179:B191" si="112">index(C179:V179,,match($A$3,$C$1:$V$1,0))</f>
        <v>0.09</v>
      </c>
      <c r="C179" s="314">
        <f t="array" ref="C179">iferror(if(isblank(A179),"",index(InclusionExclusion!$M:M,match(1,(InclusionExclusion!C:C=A179)*(InclusionExclusion!A:A="AMF"),0))),"Not specified")</f>
        <v>0.09</v>
      </c>
      <c r="D179" s="334">
        <f t="shared" ref="D179:G179" si="111">$C179</f>
        <v>0.09</v>
      </c>
      <c r="E179" s="334">
        <f t="shared" si="111"/>
        <v>0.09</v>
      </c>
      <c r="F179" s="334">
        <f t="shared" si="111"/>
        <v>0.09</v>
      </c>
      <c r="G179" s="334">
        <f t="shared" si="111"/>
        <v>0.09</v>
      </c>
    </row>
    <row r="180" outlineLevel="1">
      <c r="A180" s="112" t="str">
        <f>IFERROR(__xludf.DUMMYFUNCTION("""COMPUTED_VALUE"""),"Short-term anemia effects")</f>
        <v>Short-term anemia effects</v>
      </c>
      <c r="B180" s="313">
        <f t="shared" si="112"/>
        <v>0.09</v>
      </c>
      <c r="C180" s="314">
        <f t="array" ref="C180">iferror(if(isblank(A180),"",index(InclusionExclusion!$M:M,match(1,(InclusionExclusion!C:C=A180)*(InclusionExclusion!A:A="AMF"),0))),"Not specified")</f>
        <v>0.09</v>
      </c>
      <c r="D180" s="334">
        <f t="shared" ref="D180:G180" si="113">$C180</f>
        <v>0.09</v>
      </c>
      <c r="E180" s="334">
        <f t="shared" si="113"/>
        <v>0.09</v>
      </c>
      <c r="F180" s="334">
        <f t="shared" si="113"/>
        <v>0.09</v>
      </c>
      <c r="G180" s="334">
        <f t="shared" si="113"/>
        <v>0.09</v>
      </c>
    </row>
    <row r="181" outlineLevel="1">
      <c r="A181" s="118" t="str">
        <f>IFERROR(__xludf.DUMMYFUNCTION("""COMPUTED_VALUE"""),"Prevention of diseases other than malaria (e.g. dengue, yellow fever, zika, encephalitis)")</f>
        <v>Prevention of diseases other than malaria (e.g. dengue, yellow fever, zika, encephalitis)</v>
      </c>
      <c r="B181" s="313">
        <f t="shared" si="112"/>
        <v>0.02</v>
      </c>
      <c r="C181" s="314">
        <f t="array" ref="C181">iferror(if(isblank(A181),"",index(InclusionExclusion!$M:M,match(1,(InclusionExclusion!C:C=A181)*(InclusionExclusion!A:A="AMF"),0))),"Not specified")</f>
        <v>0.02</v>
      </c>
      <c r="D181" s="334">
        <f t="shared" ref="D181:G181" si="114">$C181</f>
        <v>0.02</v>
      </c>
      <c r="E181" s="334">
        <f t="shared" si="114"/>
        <v>0.02</v>
      </c>
      <c r="F181" s="334">
        <f t="shared" si="114"/>
        <v>0.02</v>
      </c>
      <c r="G181" s="334">
        <f t="shared" si="114"/>
        <v>0.02</v>
      </c>
    </row>
    <row r="182" outlineLevel="1">
      <c r="A182" s="118" t="str">
        <f>IFERROR(__xludf.DUMMYFUNCTION("""COMPUTED_VALUE"""),"Prevention of stillbirths")</f>
        <v>Prevention of stillbirths</v>
      </c>
      <c r="B182" s="313">
        <f t="shared" si="112"/>
        <v>0.09</v>
      </c>
      <c r="C182" s="314">
        <f t="array" ref="C182">iferror(if(isblank(A182),"",index(InclusionExclusion!$M:M,match(1,(InclusionExclusion!C:C=A182)*(InclusionExclusion!A:A="AMF"),0))),"Not specified")</f>
        <v>0.09</v>
      </c>
      <c r="D182" s="334">
        <f t="shared" ref="D182:G182" si="115">$C182</f>
        <v>0.09</v>
      </c>
      <c r="E182" s="334">
        <f t="shared" si="115"/>
        <v>0.09</v>
      </c>
      <c r="F182" s="334">
        <f t="shared" si="115"/>
        <v>0.09</v>
      </c>
      <c r="G182" s="334">
        <f t="shared" si="115"/>
        <v>0.09</v>
      </c>
    </row>
    <row r="183" outlineLevel="1">
      <c r="A183" s="112" t="str">
        <f>IFERROR(__xludf.DUMMYFUNCTION("""COMPUTED_VALUE"""),"Investment of income increases")</f>
        <v>Investment of income increases</v>
      </c>
      <c r="B183" s="313">
        <f t="shared" si="112"/>
        <v>0.025</v>
      </c>
      <c r="C183" s="314">
        <f t="array" ref="C183">iferror(if(isblank(A183),"",index(InclusionExclusion!$M:M,match(1,(InclusionExclusion!C:C=A183)*(InclusionExclusion!A:A="AMF"),0))),"Not specified")</f>
        <v>0.025</v>
      </c>
      <c r="D183" s="334">
        <f t="shared" ref="D183:G183" si="116">$C183</f>
        <v>0.025</v>
      </c>
      <c r="E183" s="334">
        <f t="shared" si="116"/>
        <v>0.025</v>
      </c>
      <c r="F183" s="334">
        <f t="shared" si="116"/>
        <v>0.025</v>
      </c>
      <c r="G183" s="334">
        <f t="shared" si="116"/>
        <v>0.025</v>
      </c>
    </row>
    <row r="184" outlineLevel="1">
      <c r="A184" s="112" t="str">
        <f>IFERROR(__xludf.DUMMYFUNCTION("""COMPUTED_VALUE"""),"Rebound effects / decreased immunity development")</f>
        <v>Rebound effects / decreased immunity development</v>
      </c>
      <c r="B184" s="313">
        <f t="shared" si="112"/>
        <v>-0.04</v>
      </c>
      <c r="C184" s="314">
        <f t="array" ref="C184">iferror(if(isblank(A184),"",index(InclusionExclusion!$M:M,match(1,(InclusionExclusion!C:C=A184)*(InclusionExclusion!A:A="AMF"),0))),"Not specified")</f>
        <v>-0.04</v>
      </c>
      <c r="D184" s="334">
        <f t="shared" ref="D184:G184" si="117">$C184</f>
        <v>-0.04</v>
      </c>
      <c r="E184" s="334">
        <f t="shared" si="117"/>
        <v>-0.04</v>
      </c>
      <c r="F184" s="334">
        <f t="shared" si="117"/>
        <v>-0.04</v>
      </c>
      <c r="G184" s="334">
        <f t="shared" si="117"/>
        <v>-0.04</v>
      </c>
    </row>
    <row r="185" outlineLevel="1">
      <c r="A185" s="112" t="str">
        <f>IFERROR(__xludf.DUMMYFUNCTION("""COMPUTED_VALUE"""),"Effect on fertility")</f>
        <v>Effect on fertility</v>
      </c>
      <c r="B185" s="313" t="str">
        <f t="shared" si="112"/>
        <v>Not specified</v>
      </c>
      <c r="C185" s="314" t="str">
        <f t="array" ref="C185">iferror(if(isblank(A185),"",index(InclusionExclusion!$M:M,match(1,(InclusionExclusion!C:C=A185)*(InclusionExclusion!A:A="AMF"),0))),"Not specified")</f>
        <v>Not specified</v>
      </c>
      <c r="D185" s="334" t="str">
        <f t="shared" ref="D185:G185" si="118">$C185</f>
        <v>Not specified</v>
      </c>
      <c r="E185" s="334" t="str">
        <f t="shared" si="118"/>
        <v>Not specified</v>
      </c>
      <c r="F185" s="334" t="str">
        <f t="shared" si="118"/>
        <v>Not specified</v>
      </c>
      <c r="G185" s="334" t="str">
        <f t="shared" si="118"/>
        <v>Not specified</v>
      </c>
    </row>
    <row r="186" outlineLevel="1">
      <c r="A186" s="112" t="str">
        <f>IFERROR(__xludf.DUMMYFUNCTION("""COMPUTED_VALUE"""),"Treatment costs averted from prevention")</f>
        <v>Treatment costs averted from prevention</v>
      </c>
      <c r="B186" s="313">
        <f t="shared" si="112"/>
        <v>0.06</v>
      </c>
      <c r="C186" s="314">
        <f t="array" ref="C186">iferror(if(isblank(A186),"",index(InclusionExclusion!$M:M,match(1,(InclusionExclusion!C:C=A186)*(InclusionExclusion!A:A="AMF"),0))),"Not specified")</f>
        <v>0.06</v>
      </c>
      <c r="D186" s="334">
        <f t="shared" ref="D186:G186" si="119">$C186</f>
        <v>0.06</v>
      </c>
      <c r="E186" s="334">
        <f t="shared" si="119"/>
        <v>0.06</v>
      </c>
      <c r="F186" s="334">
        <f t="shared" si="119"/>
        <v>0.06</v>
      </c>
      <c r="G186" s="334">
        <f t="shared" si="119"/>
        <v>0.06</v>
      </c>
    </row>
    <row r="187" outlineLevel="1">
      <c r="A187" s="176" t="str">
        <f>IFERROR(__xludf.DUMMYFUNCTION("""COMPUTED_VALUE"""),"Subnational adjustments")</f>
        <v>Subnational adjustments</v>
      </c>
      <c r="B187" s="313">
        <f t="shared" si="112"/>
        <v>0.024</v>
      </c>
      <c r="C187" s="314">
        <f t="array" ref="C187">iferror(if(isblank(A187),"",index(InclusionExclusion!$M:M,match(1,(InclusionExclusion!C:C=A187)*(InclusionExclusion!A:A="AMF"),0))),"Not specified")</f>
        <v>0.024</v>
      </c>
      <c r="D187" s="334">
        <f t="shared" ref="D187:G187" si="120">$C187</f>
        <v>0.024</v>
      </c>
      <c r="E187" s="334">
        <f t="shared" si="120"/>
        <v>0.024</v>
      </c>
      <c r="F187" s="334">
        <f t="shared" si="120"/>
        <v>0.024</v>
      </c>
      <c r="G187" s="334">
        <f t="shared" si="120"/>
        <v>0.024</v>
      </c>
    </row>
    <row r="188" outlineLevel="1">
      <c r="A188" s="176" t="str">
        <f>IFERROR(__xludf.DUMMYFUNCTION("""COMPUTED_VALUE"""),"Marginal funding goes to lower priority areas")</f>
        <v>Marginal funding goes to lower priority areas</v>
      </c>
      <c r="B188" s="313">
        <f t="shared" si="112"/>
        <v>-0.15</v>
      </c>
      <c r="C188" s="314">
        <f t="array" ref="C188">iferror(if(isblank(A188),"",index(InclusionExclusion!$M:M,match(1,(InclusionExclusion!C:C=A188)*(InclusionExclusion!A:A="AMF"),0))),"Not specified")</f>
        <v>-0.15</v>
      </c>
      <c r="D188" s="334">
        <f t="shared" ref="D188:G188" si="121">$C188</f>
        <v>-0.15</v>
      </c>
      <c r="E188" s="334">
        <f t="shared" si="121"/>
        <v>-0.15</v>
      </c>
      <c r="F188" s="334">
        <f t="shared" si="121"/>
        <v>-0.15</v>
      </c>
      <c r="G188" s="334">
        <f t="shared" si="121"/>
        <v>-0.15</v>
      </c>
    </row>
    <row r="189" outlineLevel="1">
      <c r="A189" s="176" t="str">
        <f>IFERROR(__xludf.DUMMYFUNCTION("""COMPUTED_VALUE"""),"Mosquito insecticide resistance in trials underlying our estimates")</f>
        <v>Mosquito insecticide resistance in trials underlying our estimates</v>
      </c>
      <c r="B189" s="313">
        <f t="shared" si="112"/>
        <v>0.05</v>
      </c>
      <c r="C189" s="314">
        <f t="array" ref="C189">iferror(if(isblank(A189),"",index(InclusionExclusion!$M:M,match(1,(InclusionExclusion!C:C=A189)*(InclusionExclusion!A:A="AMF"),0))),"Not specified")</f>
        <v>0.05</v>
      </c>
      <c r="D189" s="334">
        <f t="shared" ref="D189:G189" si="122">$C189</f>
        <v>0.05</v>
      </c>
      <c r="E189" s="334">
        <f t="shared" si="122"/>
        <v>0.05</v>
      </c>
      <c r="F189" s="334">
        <f t="shared" si="122"/>
        <v>0.05</v>
      </c>
      <c r="G189" s="334">
        <f t="shared" si="122"/>
        <v>0.05</v>
      </c>
    </row>
    <row r="190" outlineLevel="1">
      <c r="A190" s="176" t="str">
        <f>IFERROR(__xludf.DUMMYFUNCTION("""COMPUTED_VALUE"""),"Differences in mosquito species")</f>
        <v>Differences in mosquito species</v>
      </c>
      <c r="B190" s="313">
        <f t="shared" si="112"/>
        <v>-0.02</v>
      </c>
      <c r="C190" s="314">
        <f t="array" ref="C190">iferror(if(isblank(A190),"",index(InclusionExclusion!$M:M,match(1,(InclusionExclusion!C:C=A190)*(InclusionExclusion!A:A="AMF"),0))),"Not specified")</f>
        <v>-0.02</v>
      </c>
      <c r="D190" s="334">
        <f t="shared" ref="D190:G190" si="123">$C190</f>
        <v>-0.02</v>
      </c>
      <c r="E190" s="334">
        <f t="shared" si="123"/>
        <v>-0.02</v>
      </c>
      <c r="F190" s="334">
        <f t="shared" si="123"/>
        <v>-0.02</v>
      </c>
      <c r="G190" s="334">
        <f t="shared" si="123"/>
        <v>-0.02</v>
      </c>
    </row>
    <row r="191" outlineLevel="1">
      <c r="A191" s="176"/>
      <c r="B191" s="313" t="str">
        <f t="shared" si="112"/>
        <v/>
      </c>
      <c r="C191" s="314" t="str">
        <f t="array" ref="C191">iferror(if(isblank(A191),"",index(InclusionExclusion!$M:M,match(1,(InclusionExclusion!C:C=A191)*(InclusionExclusion!A:A="AMF"),0))),"Not specified")</f>
        <v/>
      </c>
      <c r="D191" s="334" t="str">
        <f t="shared" ref="D191:G191" si="124">$C191</f>
        <v/>
      </c>
      <c r="E191" s="334" t="str">
        <f t="shared" si="124"/>
        <v/>
      </c>
      <c r="F191" s="334" t="str">
        <f t="shared" si="124"/>
        <v/>
      </c>
      <c r="G191" s="334" t="str">
        <f t="shared" si="124"/>
        <v/>
      </c>
    </row>
    <row r="192" outlineLevel="1">
      <c r="A192" s="333"/>
      <c r="B192" s="330"/>
      <c r="C192" s="331"/>
      <c r="D192" s="334" t="str">
        <f t="shared" ref="D192:G192" si="125">$C192</f>
        <v/>
      </c>
      <c r="E192" s="334" t="str">
        <f t="shared" si="125"/>
        <v/>
      </c>
      <c r="F192" s="334" t="str">
        <f t="shared" si="125"/>
        <v/>
      </c>
      <c r="G192" s="334" t="str">
        <f t="shared" si="125"/>
        <v/>
      </c>
    </row>
    <row r="193" outlineLevel="1">
      <c r="A193" s="335" t="s">
        <v>279</v>
      </c>
      <c r="B193" s="315">
        <f t="array" ref="B193">index(C193:V193,,match($A$3,$C$1:$V$1,0))</f>
        <v>1.239</v>
      </c>
      <c r="C193" s="153">
        <f t="shared" ref="C193:G193" si="126">1+sum(C177:C191)</f>
        <v>1.239</v>
      </c>
      <c r="D193" s="153">
        <f t="shared" si="126"/>
        <v>1.239</v>
      </c>
      <c r="E193" s="153">
        <f t="shared" si="126"/>
        <v>1.239</v>
      </c>
      <c r="F193" s="153">
        <f t="shared" si="126"/>
        <v>1.239</v>
      </c>
      <c r="G193" s="153">
        <f t="shared" si="126"/>
        <v>1.239</v>
      </c>
    </row>
    <row r="194">
      <c r="A194" s="118"/>
      <c r="B194" s="271"/>
      <c r="C194" s="252"/>
      <c r="D194" s="272"/>
      <c r="E194" s="272"/>
      <c r="F194" s="272"/>
      <c r="G194" s="272"/>
    </row>
    <row r="195">
      <c r="A195" s="308" t="s">
        <v>280</v>
      </c>
      <c r="B195" s="309"/>
      <c r="C195" s="308"/>
      <c r="D195" s="308"/>
      <c r="E195" s="308"/>
      <c r="F195" s="308"/>
      <c r="G195" s="308"/>
    </row>
    <row r="196">
      <c r="A196" s="118"/>
      <c r="B196" s="271"/>
      <c r="C196" s="252"/>
      <c r="D196" s="272"/>
      <c r="E196" s="272"/>
      <c r="F196" s="272"/>
      <c r="G196" s="272"/>
    </row>
    <row r="197">
      <c r="A197" s="96" t="s">
        <v>281</v>
      </c>
      <c r="B197" s="323">
        <f t="shared" ref="B197:B199" si="128">index(C197:V197,,match($A$3,$C$1:$V$1,0))</f>
        <v>13456.48888</v>
      </c>
      <c r="C197" s="252">
        <f>sum(D197:G197)</f>
        <v>13456.48888</v>
      </c>
      <c r="D197" s="272">
        <f t="shared" ref="D197:G197" si="127">D168*D193</f>
        <v>10282.80708</v>
      </c>
      <c r="E197" s="272">
        <f t="shared" si="127"/>
        <v>738.4681686</v>
      </c>
      <c r="F197" s="272">
        <f t="shared" si="127"/>
        <v>739.1463179</v>
      </c>
      <c r="G197" s="272">
        <f t="shared" si="127"/>
        <v>1696.067319</v>
      </c>
    </row>
    <row r="198">
      <c r="A198" s="96" t="s">
        <v>252</v>
      </c>
      <c r="B198" s="325">
        <f t="shared" si="128"/>
        <v>0.06137070147</v>
      </c>
      <c r="C198" s="293">
        <f t="shared" ref="C198:G198" si="129">C197/C14</f>
        <v>0.06137070147</v>
      </c>
      <c r="D198" s="293">
        <f t="shared" si="129"/>
        <v>0.06224820964</v>
      </c>
      <c r="E198" s="293">
        <f t="shared" si="129"/>
        <v>0.06175445187</v>
      </c>
      <c r="F198" s="293">
        <f t="shared" si="129"/>
        <v>0.06864495221</v>
      </c>
      <c r="G198" s="293">
        <f t="shared" si="129"/>
        <v>0.05410194636</v>
      </c>
    </row>
    <row r="199">
      <c r="A199" s="326" t="s">
        <v>282</v>
      </c>
      <c r="B199" s="327">
        <f t="shared" si="128"/>
        <v>17.84113953</v>
      </c>
      <c r="C199" s="328">
        <f t="array" ref="C199">C198/index(GiveDirectly!$B:$B,match("Units of value generated per dollar spent",GiveDirectly!$A:$A,0))</f>
        <v>17.84113953</v>
      </c>
      <c r="D199" s="328">
        <f t="array" ref="D199">D198/index(GiveDirectly!$B:$B,match("Units of value generated per dollar spent",GiveDirectly!$A:$A,0))</f>
        <v>18.09624083</v>
      </c>
      <c r="E199" s="328">
        <f t="array" ref="E199">E198/index(GiveDirectly!$B:$B,match("Units of value generated per dollar spent",GiveDirectly!$A:$A,0))</f>
        <v>17.9527</v>
      </c>
      <c r="F199" s="328">
        <f t="array" ref="F199">F198/index(GiveDirectly!$B:$B,match("Units of value generated per dollar spent",GiveDirectly!$A:$A,0))</f>
        <v>19.95584442</v>
      </c>
      <c r="G199" s="328">
        <f t="array" ref="G199">G198/index(GiveDirectly!$B:$B,match("Units of value generated per dollar spent",GiveDirectly!$A:$A,0))</f>
        <v>15.72803228</v>
      </c>
    </row>
    <row r="200">
      <c r="A200" s="118"/>
      <c r="B200" s="271"/>
      <c r="C200" s="252"/>
      <c r="D200" s="272"/>
      <c r="E200" s="272"/>
      <c r="F200" s="272"/>
      <c r="G200" s="272"/>
    </row>
    <row r="201">
      <c r="A201" s="336" t="s">
        <v>283</v>
      </c>
      <c r="B201" s="337"/>
      <c r="C201" s="338"/>
      <c r="D201" s="338"/>
      <c r="E201" s="338"/>
      <c r="F201" s="338"/>
      <c r="G201" s="338"/>
    </row>
    <row r="202">
      <c r="A202" s="118"/>
      <c r="B202" s="339"/>
      <c r="C202" s="272"/>
      <c r="D202" s="340"/>
      <c r="E202" s="340"/>
      <c r="F202" s="340"/>
      <c r="G202" s="340"/>
    </row>
    <row r="203">
      <c r="A203" s="341" t="s">
        <v>284</v>
      </c>
      <c r="B203" s="339"/>
      <c r="D203" s="340"/>
      <c r="E203" s="340"/>
      <c r="F203" s="340"/>
      <c r="G203" s="340"/>
    </row>
    <row r="204">
      <c r="A204" s="342" t="s">
        <v>285</v>
      </c>
      <c r="B204" s="315">
        <f t="shared" ref="B204:B207" si="130">index(C204:V204,,match($A$3,$C$1:$V$1,0))</f>
        <v>0</v>
      </c>
      <c r="C204" s="155">
        <f t="shared" ref="C204:C205" si="131">sumproduct(D204:G204,$D$7:$G$7)</f>
        <v>0</v>
      </c>
      <c r="D204" s="156">
        <v>0.0</v>
      </c>
      <c r="E204" s="156">
        <v>0.0</v>
      </c>
      <c r="F204" s="156">
        <v>0.0</v>
      </c>
      <c r="G204" s="156">
        <v>0.0</v>
      </c>
    </row>
    <row r="205">
      <c r="A205" s="343" t="s">
        <v>286</v>
      </c>
      <c r="B205" s="315">
        <f t="shared" si="130"/>
        <v>0.335929973</v>
      </c>
      <c r="C205" s="155">
        <f t="shared" si="131"/>
        <v>0.335929973</v>
      </c>
      <c r="D205" s="156">
        <v>0.3</v>
      </c>
      <c r="E205" s="156">
        <v>0.35</v>
      </c>
      <c r="F205" s="156">
        <v>0.6</v>
      </c>
      <c r="G205" s="156">
        <v>0.4</v>
      </c>
    </row>
    <row r="206">
      <c r="A206" s="342" t="s">
        <v>287</v>
      </c>
      <c r="B206" s="315">
        <f t="shared" si="130"/>
        <v>0</v>
      </c>
      <c r="C206" s="155">
        <v>0.0</v>
      </c>
      <c r="D206" s="155">
        <v>0.0</v>
      </c>
      <c r="E206" s="155">
        <v>0.0</v>
      </c>
      <c r="F206" s="155">
        <v>0.0</v>
      </c>
      <c r="G206" s="155">
        <v>0.0</v>
      </c>
    </row>
    <row r="207">
      <c r="A207" s="342" t="s">
        <v>288</v>
      </c>
      <c r="B207" s="315">
        <f t="shared" si="130"/>
        <v>0.664070027</v>
      </c>
      <c r="C207" s="155">
        <f>sumproduct(D207:G207,$D$7:$G$7)</f>
        <v>0.664070027</v>
      </c>
      <c r="D207" s="155">
        <f t="shared" ref="D207:G207" si="132">1-sum(D204:D206)</f>
        <v>0.7</v>
      </c>
      <c r="E207" s="155">
        <f t="shared" si="132"/>
        <v>0.65</v>
      </c>
      <c r="F207" s="155">
        <f t="shared" si="132"/>
        <v>0.4</v>
      </c>
      <c r="G207" s="155">
        <f t="shared" si="132"/>
        <v>0.6</v>
      </c>
    </row>
    <row r="208">
      <c r="A208" s="342"/>
      <c r="B208" s="339"/>
      <c r="C208" s="272"/>
      <c r="D208" s="340"/>
      <c r="E208" s="340"/>
      <c r="F208" s="340"/>
      <c r="G208" s="340"/>
    </row>
    <row r="209">
      <c r="A209" s="118" t="s">
        <v>289</v>
      </c>
      <c r="B209" s="339">
        <f t="shared" ref="B209:B212" si="133">index(C209:V209,,match($A$3,$C$1:$V$1,0))</f>
        <v>5596.441979</v>
      </c>
      <c r="C209" s="340">
        <v>5596.44197862406</v>
      </c>
      <c r="D209" s="340">
        <v>4301.791054528761</v>
      </c>
      <c r="E209" s="340">
        <v>324.77396897153267</v>
      </c>
      <c r="F209" s="340">
        <v>228.70093921756964</v>
      </c>
      <c r="G209" s="340">
        <v>741.1760159061956</v>
      </c>
    </row>
    <row r="210">
      <c r="A210" s="344" t="s">
        <v>290</v>
      </c>
      <c r="B210" s="345">
        <f t="shared" si="133"/>
        <v>0.05310399079</v>
      </c>
      <c r="C210" s="346">
        <f t="shared" ref="C210:G210" si="134">C209/(sum(C8:C9)*C14)</f>
        <v>0.05310399079</v>
      </c>
      <c r="D210" s="346">
        <f t="shared" si="134"/>
        <v>0.05589469024</v>
      </c>
      <c r="E210" s="346">
        <f t="shared" si="134"/>
        <v>0.05191131394</v>
      </c>
      <c r="F210" s="346">
        <f t="shared" si="134"/>
        <v>0.04301276847</v>
      </c>
      <c r="G210" s="346">
        <f t="shared" si="134"/>
        <v>0.04398496241</v>
      </c>
    </row>
    <row r="211">
      <c r="A211" s="347" t="s">
        <v>291</v>
      </c>
      <c r="B211" s="348">
        <f t="shared" si="133"/>
        <v>15.43791559</v>
      </c>
      <c r="C211" s="349">
        <f t="array" ref="C211">C210/index(GiveDirectly!$B:$B,match("Units of value generated per dollar spent",GiveDirectly!$A:$A,0))</f>
        <v>15.43791559</v>
      </c>
      <c r="D211" s="349">
        <f t="array" ref="D211">D210/index(GiveDirectly!$B:$B,match("Units of value generated per dollar spent",GiveDirectly!$A:$A,0))</f>
        <v>16.24920269</v>
      </c>
      <c r="E211" s="349">
        <f t="array" ref="E211">E210/index(GiveDirectly!$B:$B,match("Units of value generated per dollar spent",GiveDirectly!$A:$A,0))</f>
        <v>15.09119128</v>
      </c>
      <c r="F211" s="349">
        <f t="array" ref="F211">F210/index(GiveDirectly!$B:$B,match("Units of value generated per dollar spent",GiveDirectly!$A:$A,0))</f>
        <v>12.50428601</v>
      </c>
      <c r="G211" s="349">
        <f t="array" ref="G211">G210/index(GiveDirectly!$B:$B,match("Units of value generated per dollar spent",GiveDirectly!$A:$A,0))</f>
        <v>12.7869135</v>
      </c>
    </row>
    <row r="212">
      <c r="A212" s="350" t="s">
        <v>292</v>
      </c>
      <c r="B212" s="351">
        <f t="shared" si="133"/>
        <v>-0.1347012578</v>
      </c>
      <c r="C212" s="352">
        <f t="shared" ref="C212:G212" si="135">(C211-C199)/C199</f>
        <v>-0.1347012578</v>
      </c>
      <c r="D212" s="352">
        <f t="shared" si="135"/>
        <v>-0.1020675041</v>
      </c>
      <c r="E212" s="352">
        <f t="shared" si="135"/>
        <v>-0.159391552</v>
      </c>
      <c r="F212" s="352">
        <f t="shared" si="135"/>
        <v>-0.3734023102</v>
      </c>
      <c r="G212" s="352">
        <f t="shared" si="135"/>
        <v>-0.1869985211</v>
      </c>
    </row>
    <row r="213">
      <c r="A213" s="350"/>
      <c r="B213" s="353"/>
      <c r="C213" s="354"/>
      <c r="D213" s="354"/>
      <c r="E213" s="354"/>
      <c r="F213" s="354"/>
      <c r="G213" s="354"/>
    </row>
    <row r="214">
      <c r="A214" s="336" t="s">
        <v>154</v>
      </c>
      <c r="B214" s="337"/>
      <c r="C214" s="338"/>
      <c r="D214" s="338"/>
      <c r="E214" s="338"/>
      <c r="F214" s="338"/>
      <c r="G214" s="338"/>
    </row>
    <row r="215">
      <c r="A215" s="350" t="s">
        <v>293</v>
      </c>
      <c r="B215" s="339">
        <f t="shared" ref="B215:B218" si="137">index(C215:V215,,match($A$3,$C$1:$V$1,0))</f>
        <v>71.42910671</v>
      </c>
      <c r="C215" s="355">
        <f t="shared" ref="C215:G215" si="136">C165</f>
        <v>71.42910671</v>
      </c>
      <c r="D215" s="355">
        <f t="shared" si="136"/>
        <v>56.07410123</v>
      </c>
      <c r="E215" s="355">
        <f t="shared" si="136"/>
        <v>3.988773102</v>
      </c>
      <c r="F215" s="355">
        <f t="shared" si="136"/>
        <v>3.278829395</v>
      </c>
      <c r="G215" s="355">
        <f t="shared" si="136"/>
        <v>8.087402988</v>
      </c>
    </row>
    <row r="216">
      <c r="A216" s="350" t="s">
        <v>294</v>
      </c>
      <c r="B216" s="356">
        <f t="shared" si="137"/>
        <v>-0.136</v>
      </c>
      <c r="C216" s="357">
        <f>sumif(InclusionExclusion!$N$19:$N$33,"Yes",InclusionExclusion!$M$19:$M$33)</f>
        <v>-0.136</v>
      </c>
      <c r="D216" s="357">
        <f>sumif(InclusionExclusion!$N$19:$N$33,"Yes",InclusionExclusion!$M$19:$M$33)</f>
        <v>-0.136</v>
      </c>
      <c r="E216" s="357">
        <f>sumif(InclusionExclusion!$N$19:$N$33,"Yes",InclusionExclusion!$M$19:$M$33)</f>
        <v>-0.136</v>
      </c>
      <c r="F216" s="357">
        <f>sumif(InclusionExclusion!$N$19:$N$33,"Yes",InclusionExclusion!$M$19:$M$33)</f>
        <v>-0.136</v>
      </c>
      <c r="G216" s="357">
        <f>sumif(InclusionExclusion!$N$19:$N$33,"Yes",InclusionExclusion!$M$19:$M$33)</f>
        <v>-0.136</v>
      </c>
    </row>
    <row r="217">
      <c r="A217" s="350" t="s">
        <v>295</v>
      </c>
      <c r="B217" s="356">
        <f t="shared" si="137"/>
        <v>-0.1347012578</v>
      </c>
      <c r="C217" s="358">
        <f t="shared" ref="C217:G217" si="138">if(C212&lt;0,C212,0)</f>
        <v>-0.1347012578</v>
      </c>
      <c r="D217" s="358">
        <f t="shared" si="138"/>
        <v>-0.1020675041</v>
      </c>
      <c r="E217" s="358">
        <f t="shared" si="138"/>
        <v>-0.159391552</v>
      </c>
      <c r="F217" s="358">
        <f t="shared" si="138"/>
        <v>-0.3734023102</v>
      </c>
      <c r="G217" s="358">
        <f t="shared" si="138"/>
        <v>-0.1869985211</v>
      </c>
    </row>
    <row r="218">
      <c r="A218" s="350" t="s">
        <v>296</v>
      </c>
      <c r="B218" s="359">
        <f t="shared" si="137"/>
        <v>4105.968714</v>
      </c>
      <c r="C218" s="360">
        <f t="shared" ref="C218:G218" si="139">C14/((C215)*(1+C216)*(1+C217))</f>
        <v>4105.968714</v>
      </c>
      <c r="D218" s="360">
        <f t="shared" si="139"/>
        <v>3797.213972</v>
      </c>
      <c r="E218" s="360">
        <f t="shared" si="139"/>
        <v>4127.78134</v>
      </c>
      <c r="F218" s="360">
        <f t="shared" si="139"/>
        <v>6065.972805</v>
      </c>
      <c r="G218" s="360">
        <f t="shared" si="139"/>
        <v>5518.436307</v>
      </c>
    </row>
    <row r="219">
      <c r="A219" s="350"/>
      <c r="B219" s="353"/>
      <c r="C219" s="354"/>
      <c r="D219" s="354"/>
      <c r="E219" s="354"/>
      <c r="F219" s="354"/>
      <c r="G219" s="35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96.14"/>
    <col customWidth="1" min="2" max="2" width="17.29"/>
  </cols>
  <sheetData>
    <row r="1" ht="13.5" customHeight="1">
      <c r="A1" s="361" t="s">
        <v>297</v>
      </c>
      <c r="B1" s="362" t="s">
        <v>87</v>
      </c>
    </row>
    <row r="2" ht="13.5" customHeight="1">
      <c r="A2" s="363"/>
      <c r="B2" s="364"/>
    </row>
    <row r="3" ht="13.5" customHeight="1">
      <c r="A3" s="365" t="s">
        <v>298</v>
      </c>
      <c r="B3" s="364"/>
    </row>
    <row r="4" ht="13.5" customHeight="1">
      <c r="A4" s="363" t="s">
        <v>299</v>
      </c>
      <c r="B4" s="364">
        <v>100000.0</v>
      </c>
    </row>
    <row r="5" ht="13.5" customHeight="1">
      <c r="A5" s="366" t="s">
        <v>300</v>
      </c>
      <c r="B5" s="367">
        <v>0.83</v>
      </c>
    </row>
    <row r="6" ht="13.5" customHeight="1">
      <c r="A6" s="363" t="s">
        <v>301</v>
      </c>
      <c r="B6" s="368">
        <f>B4*B5</f>
        <v>83000</v>
      </c>
    </row>
    <row r="7" ht="13.5" customHeight="1">
      <c r="A7" s="363" t="s">
        <v>302</v>
      </c>
      <c r="B7" s="369">
        <v>1000.0</v>
      </c>
    </row>
    <row r="8" ht="13.5" customHeight="1">
      <c r="A8" s="370" t="s">
        <v>303</v>
      </c>
      <c r="B8" s="371">
        <v>4.7</v>
      </c>
    </row>
    <row r="9" ht="13.5" customHeight="1">
      <c r="A9" s="366" t="s">
        <v>304</v>
      </c>
      <c r="B9" s="372">
        <f>B7/B8</f>
        <v>212.7659574</v>
      </c>
    </row>
    <row r="10" ht="13.5" customHeight="1">
      <c r="A10" s="366"/>
      <c r="B10" s="373"/>
    </row>
    <row r="11" ht="13.5" customHeight="1">
      <c r="A11" s="374" t="s">
        <v>305</v>
      </c>
      <c r="B11" s="373"/>
    </row>
    <row r="12" ht="13.5" customHeight="1">
      <c r="A12" s="366" t="s">
        <v>306</v>
      </c>
      <c r="B12" s="367">
        <v>0.39</v>
      </c>
    </row>
    <row r="13" ht="13.5" customHeight="1">
      <c r="A13" s="375" t="s">
        <v>307</v>
      </c>
      <c r="B13" s="376">
        <f>B9*B12</f>
        <v>82.9787234</v>
      </c>
    </row>
    <row r="14" ht="13.5" customHeight="1">
      <c r="A14" s="375" t="s">
        <v>308</v>
      </c>
      <c r="B14" s="376">
        <f>(1-B12)*B9</f>
        <v>129.787234</v>
      </c>
    </row>
    <row r="15">
      <c r="A15" s="366" t="s">
        <v>309</v>
      </c>
      <c r="B15" s="367">
        <v>0.1</v>
      </c>
    </row>
    <row r="16" ht="1.5" customHeight="1">
      <c r="A16" s="377" t="s">
        <v>310</v>
      </c>
      <c r="B16" s="378">
        <f>B13*B15</f>
        <v>8.29787234</v>
      </c>
    </row>
    <row r="17">
      <c r="A17" s="366"/>
      <c r="B17" s="379"/>
    </row>
    <row r="18">
      <c r="A18" s="374" t="s">
        <v>311</v>
      </c>
      <c r="B18" s="379"/>
    </row>
    <row r="19" ht="1.5" customHeight="1">
      <c r="A19" s="366" t="s">
        <v>312</v>
      </c>
      <c r="B19" s="379">
        <v>285.92228810603416</v>
      </c>
    </row>
    <row r="20" ht="1.5" customHeight="1">
      <c r="A20" s="377" t="s">
        <v>313</v>
      </c>
      <c r="B20" s="380">
        <f>LN(B19+B14)-LN(B19)</f>
        <v>0.3742666983</v>
      </c>
    </row>
    <row r="21" ht="1.5" customHeight="1">
      <c r="A21" s="377" t="s">
        <v>314</v>
      </c>
      <c r="B21" s="381">
        <f>LN(B19+B16)-LN(B19)</f>
        <v>0.02860827816</v>
      </c>
    </row>
    <row r="22" ht="13.5" customHeight="1">
      <c r="A22" s="382" t="s">
        <v>127</v>
      </c>
      <c r="B22" s="383">
        <f t="array" ref="B22">index('Moral weights and discount rate'!1:35,match("Overall discount rate",'Moral weights and discount rate'!A:A,0), match("Active",'Moral weights and discount rate'!1:1,0))</f>
        <v>0.04</v>
      </c>
    </row>
    <row r="23" ht="1.5" customHeight="1">
      <c r="A23" s="384" t="s">
        <v>315</v>
      </c>
      <c r="B23" s="385">
        <v>10.0</v>
      </c>
    </row>
    <row r="24" ht="1.5" customHeight="1">
      <c r="A24" s="386" t="s">
        <v>316</v>
      </c>
      <c r="B24" s="381">
        <f>PV(B22,B23-1,-B21)</f>
        <v>0.2127120349</v>
      </c>
    </row>
    <row r="25" ht="7.5" customHeight="1">
      <c r="A25" s="366" t="s">
        <v>317</v>
      </c>
      <c r="B25" s="367">
        <v>0.2</v>
      </c>
    </row>
    <row r="26" ht="1.5" customHeight="1">
      <c r="A26" s="387" t="s">
        <v>318</v>
      </c>
      <c r="B26" s="388">
        <f>(LN(B19+B13*(B15+B25))-LN(B19))/(1+B22)^B23</f>
        <v>0.05639659538</v>
      </c>
    </row>
    <row r="27" ht="1.5" customHeight="1">
      <c r="A27" s="377" t="s">
        <v>319</v>
      </c>
      <c r="B27" s="380">
        <f>B26+B24</f>
        <v>0.2691086303</v>
      </c>
    </row>
    <row r="28" ht="8.25" customHeight="1">
      <c r="A28" s="366" t="s">
        <v>320</v>
      </c>
      <c r="B28" s="389">
        <f>B27+B20</f>
        <v>0.6433753286</v>
      </c>
    </row>
    <row r="29" ht="3.75" customHeight="1">
      <c r="A29" s="390" t="s">
        <v>321</v>
      </c>
      <c r="B29" s="391">
        <v>0.05</v>
      </c>
    </row>
    <row r="30" ht="3.75" customHeight="1">
      <c r="A30" s="390" t="s">
        <v>322</v>
      </c>
      <c r="B30" s="392">
        <f>(1-B29)*B28</f>
        <v>0.6112065622</v>
      </c>
    </row>
    <row r="31" ht="15.0" customHeight="1">
      <c r="A31" s="393" t="s">
        <v>323</v>
      </c>
      <c r="B31" s="394">
        <f>B30*B8</f>
        <v>2.872670842</v>
      </c>
    </row>
    <row r="32" ht="15.0" customHeight="1">
      <c r="A32" s="393"/>
      <c r="B32" s="394"/>
    </row>
    <row r="33" ht="15.0" customHeight="1">
      <c r="A33" s="393" t="s">
        <v>324</v>
      </c>
      <c r="B33" s="395">
        <f>B6/B7</f>
        <v>83</v>
      </c>
    </row>
    <row r="34" ht="15.0" customHeight="1">
      <c r="A34" s="393" t="s">
        <v>325</v>
      </c>
      <c r="B34" s="395">
        <f>B31*B33</f>
        <v>238.4316799</v>
      </c>
    </row>
    <row r="35" ht="15.0" customHeight="1">
      <c r="A35" s="396" t="s">
        <v>121</v>
      </c>
      <c r="B35" s="397">
        <f t="array" ref="B35">index('Moral weights and discount rate'!$A$1:$ZU$35,match($A35,'Moral weights and discount rate'!$A$1:$A$35,0),match(B$1,'Moral weights and discount rate'!$A$1:$ZU1,0))</f>
        <v>1.442695041</v>
      </c>
    </row>
    <row r="36" ht="15.0" customHeight="1">
      <c r="A36" s="398"/>
      <c r="B36" s="399"/>
    </row>
    <row r="37" ht="15.0" customHeight="1">
      <c r="A37" s="393" t="s">
        <v>281</v>
      </c>
      <c r="B37" s="395">
        <f>B34*B35</f>
        <v>343.9842022</v>
      </c>
    </row>
    <row r="38" ht="15.0" customHeight="1">
      <c r="A38" s="400" t="s">
        <v>252</v>
      </c>
      <c r="B38" s="401">
        <f>B37/B4</f>
        <v>0.003439842022</v>
      </c>
    </row>
    <row r="39">
      <c r="A39" s="112"/>
      <c r="B39" s="402"/>
    </row>
    <row r="40">
      <c r="A40" s="403" t="s">
        <v>326</v>
      </c>
      <c r="B40" s="404"/>
    </row>
    <row r="41">
      <c r="A41" s="405"/>
      <c r="B41" s="134"/>
    </row>
    <row r="42">
      <c r="A42" s="112" t="s">
        <v>327</v>
      </c>
      <c r="B42" s="406">
        <f>if(B12&lt;&gt;"", iferror(B20/(B20+B27)," "), "")</f>
        <v>0.5817237337</v>
      </c>
    </row>
    <row r="43">
      <c r="A43" s="112" t="s">
        <v>328</v>
      </c>
      <c r="B43" s="406">
        <f>if(B12&lt;&gt;"", iferror(B27/(B27+B20)," "), "")</f>
        <v>0.4182762663</v>
      </c>
    </row>
    <row r="44">
      <c r="A44" s="138"/>
      <c r="B44" s="407"/>
    </row>
    <row r="45">
      <c r="A45" s="408" t="s">
        <v>253</v>
      </c>
      <c r="B45" s="307">
        <f t="array" ref="B45">B37/index(GiveDirectly!B:B,match("Total units of value generated",GiveDirectly!A:A,0))</f>
        <v>1</v>
      </c>
    </row>
    <row r="46">
      <c r="A46" s="138"/>
      <c r="B46" s="407"/>
    </row>
    <row r="47">
      <c r="A47" s="241" t="s">
        <v>329</v>
      </c>
      <c r="B47" s="409"/>
    </row>
    <row r="48" outlineLevel="1">
      <c r="A48" s="121"/>
      <c r="B48" s="121"/>
    </row>
    <row r="49" outlineLevel="1">
      <c r="A49" s="312" t="s">
        <v>255</v>
      </c>
      <c r="B49" s="410"/>
    </row>
    <row r="50" outlineLevel="1">
      <c r="A50" s="138" t="s">
        <v>256</v>
      </c>
      <c r="B50" s="156">
        <v>0.0</v>
      </c>
    </row>
    <row r="51" outlineLevel="1">
      <c r="A51" s="138" t="s">
        <v>257</v>
      </c>
      <c r="B51" s="156">
        <v>0.0</v>
      </c>
    </row>
    <row r="52" outlineLevel="1">
      <c r="A52" s="138" t="s">
        <v>258</v>
      </c>
      <c r="B52" s="411">
        <v>0.03</v>
      </c>
    </row>
    <row r="53" outlineLevel="1">
      <c r="A53" s="319" t="s">
        <v>259</v>
      </c>
      <c r="B53" s="412">
        <f>sum(B50:B52)</f>
        <v>0.03</v>
      </c>
    </row>
    <row r="54" outlineLevel="1">
      <c r="A54" s="138"/>
      <c r="B54" s="299"/>
    </row>
    <row r="55" outlineLevel="1">
      <c r="A55" s="312" t="s">
        <v>260</v>
      </c>
      <c r="B55" s="299"/>
    </row>
    <row r="56" outlineLevel="1">
      <c r="A56" s="138" t="s">
        <v>261</v>
      </c>
      <c r="B56" s="156">
        <v>0.0</v>
      </c>
    </row>
    <row r="57" outlineLevel="1">
      <c r="A57" s="138" t="s">
        <v>262</v>
      </c>
      <c r="B57" s="411">
        <v>0.0</v>
      </c>
    </row>
    <row r="58" outlineLevel="1">
      <c r="A58" s="319" t="s">
        <v>263</v>
      </c>
      <c r="B58" s="412">
        <f>sum(B55:B57)</f>
        <v>0</v>
      </c>
    </row>
    <row r="59" outlineLevel="1">
      <c r="A59" s="138"/>
      <c r="B59" s="299"/>
    </row>
    <row r="60" outlineLevel="1">
      <c r="A60" s="312" t="s">
        <v>264</v>
      </c>
      <c r="B60" s="299"/>
    </row>
    <row r="61" outlineLevel="1">
      <c r="A61" s="138" t="s">
        <v>265</v>
      </c>
      <c r="B61" s="156">
        <v>0.0</v>
      </c>
    </row>
    <row r="62" outlineLevel="1">
      <c r="A62" s="138" t="s">
        <v>266</v>
      </c>
      <c r="B62" s="156">
        <v>0.0</v>
      </c>
    </row>
    <row r="63" outlineLevel="1">
      <c r="A63" s="138" t="s">
        <v>267</v>
      </c>
      <c r="B63" s="411">
        <v>0.05</v>
      </c>
    </row>
    <row r="64" outlineLevel="1">
      <c r="A64" s="322" t="s">
        <v>268</v>
      </c>
      <c r="B64" s="412">
        <f>sum(B61:B63)</f>
        <v>0.05</v>
      </c>
    </row>
    <row r="65" outlineLevel="1">
      <c r="A65" s="413"/>
      <c r="B65" s="299"/>
    </row>
    <row r="66">
      <c r="A66" s="179" t="s">
        <v>269</v>
      </c>
      <c r="B66" s="153">
        <f>1-sum(B53,B58,B64)</f>
        <v>0.92</v>
      </c>
    </row>
    <row r="67">
      <c r="A67" s="413"/>
      <c r="B67" s="299"/>
    </row>
    <row r="68">
      <c r="A68" s="241" t="s">
        <v>270</v>
      </c>
      <c r="B68" s="264"/>
    </row>
    <row r="69">
      <c r="A69" s="413"/>
      <c r="B69" s="299"/>
    </row>
    <row r="70">
      <c r="A70" s="414" t="s">
        <v>275</v>
      </c>
      <c r="B70" s="415">
        <f>B45*B66</f>
        <v>0.92</v>
      </c>
    </row>
    <row r="71">
      <c r="A71" s="333"/>
      <c r="B71" s="331"/>
    </row>
    <row r="72">
      <c r="A72" s="241" t="s">
        <v>330</v>
      </c>
      <c r="B72" s="264"/>
    </row>
    <row r="73" outlineLevel="1">
      <c r="A73" s="416" t="s">
        <v>277</v>
      </c>
      <c r="B73" s="417"/>
    </row>
    <row r="74" outlineLevel="1">
      <c r="A74" s="96" t="str">
        <f>IFERROR(__xludf.DUMMYFUNCTION("filter(InclusionExclusion!C:C,InclusionExclusion!A:A=""Cash"",InclusionExclusion!D:D=""Included"")"),"Immediate consumption benefit")</f>
        <v>Immediate consumption benefit</v>
      </c>
      <c r="B74" s="417"/>
    </row>
    <row r="75" outlineLevel="1">
      <c r="A75" s="176" t="str">
        <f>IFERROR(__xludf.DUMMYFUNCTION("""COMPUTED_VALUE"""),"Investment of income increases")</f>
        <v>Investment of income increases</v>
      </c>
      <c r="B75" s="417"/>
    </row>
    <row r="76" outlineLevel="1">
      <c r="A76" s="416"/>
      <c r="B76" s="417"/>
    </row>
    <row r="77" outlineLevel="1">
      <c r="A77" s="326" t="s">
        <v>278</v>
      </c>
      <c r="B77" s="417"/>
    </row>
    <row r="78" outlineLevel="1">
      <c r="A78" s="96" t="str">
        <f>IFERROR(__xludf.DUMMYFUNCTION("filter(InclusionExclusion!C:C,InclusionExclusion!A:A=""Cash"",InclusionExclusion!D:D=""Excluded"")"),"Changes in PPP and exchange rates")</f>
        <v>Changes in PPP and exchange rates</v>
      </c>
      <c r="B78" s="177">
        <f t="array" ref="B78">iferror(if(isblank(A78),"",index(InclusionExclusion!$M:M,match(1,(InclusionExclusion!C:C=A78)*(InclusionExclusion!A:A="Cash"),0))),"Not specified")</f>
        <v>-0.07</v>
      </c>
    </row>
    <row r="79" outlineLevel="1">
      <c r="A79" s="176" t="str">
        <f>IFERROR(__xludf.DUMMYFUNCTION("""COMPUTED_VALUE"""),"Developmental effects")</f>
        <v>Developmental effects</v>
      </c>
      <c r="B79" s="177">
        <f t="array" ref="B79">iferror(if(isblank(A79),"",index(InclusionExclusion!$M:M,match(1,(InclusionExclusion!C:C=A79)*(InclusionExclusion!A:A="Cash"),0))),"Not specified")</f>
        <v>0.05</v>
      </c>
    </row>
    <row r="80" outlineLevel="1">
      <c r="A80" s="176" t="str">
        <f>IFERROR(__xludf.DUMMYFUNCTION("""COMPUTED_VALUE"""),"Reduced morbidity")</f>
        <v>Reduced morbidity</v>
      </c>
      <c r="B80" s="177">
        <f t="array" ref="B80">iferror(if(isblank(A80),"",index(InclusionExclusion!$M:M,match(1,(InclusionExclusion!C:C=A80)*(InclusionExclusion!A:A="Cash"),0))),"Not specified")</f>
        <v>0.04</v>
      </c>
    </row>
    <row r="81" outlineLevel="1">
      <c r="A81" s="176" t="str">
        <f>IFERROR(__xludf.DUMMYFUNCTION("""COMPUTED_VALUE"""),"Child mortality effects")</f>
        <v>Child mortality effects</v>
      </c>
      <c r="B81" s="177">
        <f t="array" ref="B81">iferror(if(isblank(A81),"",index(InclusionExclusion!$M:M,match(1,(InclusionExclusion!C:C=A81)*(InclusionExclusion!A:A="Cash"),0))),"Not specified")</f>
        <v>0.04</v>
      </c>
    </row>
    <row r="82" outlineLevel="1">
      <c r="A82" s="176"/>
      <c r="B82" s="177" t="str">
        <f t="array" ref="B82">iferror(if(isblank(A82),"",index(InclusionExclusion!$M:M,match(1,(InclusionExclusion!C:C=A82)*(InclusionExclusion!A:A="Cash"),0))),"Not specified")</f>
        <v/>
      </c>
    </row>
    <row r="83">
      <c r="A83" s="299" t="s">
        <v>279</v>
      </c>
      <c r="B83" s="152">
        <f>1+sum(B77:B82)</f>
        <v>1.06</v>
      </c>
    </row>
    <row r="84">
      <c r="A84" s="96"/>
      <c r="B84" s="417"/>
    </row>
    <row r="85">
      <c r="A85" s="418" t="s">
        <v>331</v>
      </c>
      <c r="B85" s="419"/>
    </row>
    <row r="86">
      <c r="A86" s="154" t="s">
        <v>332</v>
      </c>
      <c r="B86" s="272">
        <f>B37*(B66)*B83</f>
        <v>335.453394</v>
      </c>
    </row>
    <row r="87">
      <c r="A87" s="154" t="s">
        <v>333</v>
      </c>
      <c r="B87" s="420">
        <f>B86/B4</f>
        <v>0.00335453394</v>
      </c>
    </row>
    <row r="88">
      <c r="A88" s="96"/>
      <c r="B88" s="417"/>
    </row>
    <row r="89">
      <c r="A89" s="421" t="s">
        <v>334</v>
      </c>
      <c r="B89" s="422">
        <f t="array" ref="B89">B86/index(GiveDirectly!$B:$B,match("Total units of value generated",GiveDirectly!$A:$A,0))</f>
        <v>0.9752</v>
      </c>
    </row>
    <row r="90">
      <c r="A90" s="96"/>
      <c r="B90" s="417"/>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86"/>
    <col customWidth="1" min="2" max="2" width="17.29"/>
    <col customWidth="1" min="3" max="3" width="17.71"/>
    <col customWidth="1" min="4" max="9" width="17.29"/>
  </cols>
  <sheetData>
    <row r="1" ht="13.5" customHeight="1">
      <c r="A1" s="423" t="s">
        <v>335</v>
      </c>
      <c r="B1" s="424" t="str">
        <f>"Active"</f>
        <v>Active</v>
      </c>
      <c r="C1" s="425" t="s">
        <v>72</v>
      </c>
      <c r="D1" s="425" t="s">
        <v>73</v>
      </c>
      <c r="E1" s="425" t="s">
        <v>86</v>
      </c>
      <c r="F1" s="426" t="s">
        <v>85</v>
      </c>
      <c r="G1" s="426" t="s">
        <v>336</v>
      </c>
      <c r="H1" s="426" t="s">
        <v>337</v>
      </c>
      <c r="I1" s="426" t="s">
        <v>338</v>
      </c>
    </row>
    <row r="2" ht="12.0" customHeight="1">
      <c r="A2" s="427" t="s">
        <v>159</v>
      </c>
      <c r="B2" s="428"/>
      <c r="C2" s="417"/>
      <c r="D2" s="417"/>
      <c r="E2" s="417"/>
      <c r="F2" s="417"/>
      <c r="G2" s="417"/>
      <c r="H2" s="417"/>
      <c r="I2" s="417"/>
    </row>
    <row r="3" ht="12.0" customHeight="1">
      <c r="A3" s="97" t="str">
        <f>Results!C9</f>
        <v>Overall</v>
      </c>
      <c r="B3" s="428"/>
      <c r="C3" s="417"/>
      <c r="D3" s="417"/>
      <c r="E3" s="417"/>
      <c r="F3" s="417"/>
      <c r="G3" s="417"/>
      <c r="H3" s="417"/>
      <c r="I3" s="417"/>
    </row>
    <row r="4" ht="12.0" customHeight="1">
      <c r="A4" s="121"/>
      <c r="B4" s="428"/>
      <c r="C4" s="417"/>
      <c r="D4" s="417"/>
      <c r="E4" s="417"/>
      <c r="F4" s="417"/>
      <c r="G4" s="417"/>
      <c r="H4" s="417"/>
      <c r="I4" s="417"/>
    </row>
    <row r="5" ht="12.0" customHeight="1">
      <c r="A5" s="429" t="s">
        <v>339</v>
      </c>
      <c r="B5" s="263"/>
      <c r="C5" s="264"/>
      <c r="D5" s="264"/>
      <c r="E5" s="264"/>
      <c r="F5" s="264"/>
      <c r="G5" s="264"/>
      <c r="H5" s="264"/>
      <c r="I5" s="264"/>
    </row>
    <row r="6" ht="15.0" customHeight="1">
      <c r="A6" s="96"/>
      <c r="B6" s="428"/>
      <c r="C6" s="417"/>
      <c r="D6" s="417"/>
      <c r="E6" s="417"/>
      <c r="F6" s="417"/>
      <c r="G6" s="417"/>
      <c r="H6" s="417"/>
      <c r="I6" s="417"/>
    </row>
    <row r="7" ht="15.0" customHeight="1">
      <c r="A7" s="176" t="s">
        <v>340</v>
      </c>
      <c r="B7" s="430">
        <f t="shared" ref="B7:B14" si="2">index(A7:I7,,match($A$3,$A$1:$I$1,0))</f>
        <v>0.109</v>
      </c>
      <c r="C7" s="431">
        <v>0.109</v>
      </c>
      <c r="D7" s="432">
        <f t="shared" ref="D7:I7" si="1">$C7</f>
        <v>0.109</v>
      </c>
      <c r="E7" s="432">
        <f t="shared" si="1"/>
        <v>0.109</v>
      </c>
      <c r="F7" s="432">
        <f t="shared" si="1"/>
        <v>0.109</v>
      </c>
      <c r="G7" s="432">
        <f t="shared" si="1"/>
        <v>0.109</v>
      </c>
      <c r="H7" s="432">
        <f t="shared" si="1"/>
        <v>0.109</v>
      </c>
      <c r="I7" s="432">
        <f t="shared" si="1"/>
        <v>0.109</v>
      </c>
    </row>
    <row r="8" ht="15.0" customHeight="1">
      <c r="A8" s="433" t="s">
        <v>341</v>
      </c>
      <c r="B8" s="151">
        <f t="shared" si="2"/>
        <v>0.75</v>
      </c>
      <c r="C8" s="155">
        <v>0.75</v>
      </c>
      <c r="D8" s="266">
        <f t="shared" ref="D8:I8" si="3">$C8</f>
        <v>0.75</v>
      </c>
      <c r="E8" s="266">
        <f t="shared" si="3"/>
        <v>0.75</v>
      </c>
      <c r="F8" s="266">
        <f t="shared" si="3"/>
        <v>0.75</v>
      </c>
      <c r="G8" s="266">
        <f t="shared" si="3"/>
        <v>0.75</v>
      </c>
      <c r="H8" s="266">
        <f t="shared" si="3"/>
        <v>0.75</v>
      </c>
      <c r="I8" s="266">
        <f t="shared" si="3"/>
        <v>0.75</v>
      </c>
    </row>
    <row r="9" ht="15.0" customHeight="1">
      <c r="A9" s="433" t="s">
        <v>342</v>
      </c>
      <c r="B9" s="151">
        <f t="shared" si="2"/>
        <v>0.05</v>
      </c>
      <c r="C9" s="155">
        <v>0.05</v>
      </c>
      <c r="D9" s="266">
        <f t="shared" ref="D9:I9" si="4">$C9</f>
        <v>0.05</v>
      </c>
      <c r="E9" s="266">
        <f t="shared" si="4"/>
        <v>0.05</v>
      </c>
      <c r="F9" s="266">
        <f t="shared" si="4"/>
        <v>0.05</v>
      </c>
      <c r="G9" s="266">
        <f t="shared" si="4"/>
        <v>0.05</v>
      </c>
      <c r="H9" s="266">
        <f t="shared" si="4"/>
        <v>0.05</v>
      </c>
      <c r="I9" s="266">
        <f t="shared" si="4"/>
        <v>0.05</v>
      </c>
    </row>
    <row r="10" ht="15.0" customHeight="1">
      <c r="A10" s="96" t="s">
        <v>343</v>
      </c>
      <c r="B10" s="430">
        <f t="shared" si="2"/>
        <v>0.1569361457</v>
      </c>
      <c r="C10" s="420">
        <f t="shared" ref="C10:I10" si="5">C7/((C8-C9)-C9*C7)</f>
        <v>0.1569361457</v>
      </c>
      <c r="D10" s="420">
        <f t="shared" si="5"/>
        <v>0.1569361457</v>
      </c>
      <c r="E10" s="420">
        <f t="shared" si="5"/>
        <v>0.1569361457</v>
      </c>
      <c r="F10" s="420">
        <f t="shared" si="5"/>
        <v>0.1569361457</v>
      </c>
      <c r="G10" s="420">
        <f t="shared" si="5"/>
        <v>0.1569361457</v>
      </c>
      <c r="H10" s="420">
        <f t="shared" si="5"/>
        <v>0.1569361457</v>
      </c>
      <c r="I10" s="420">
        <f t="shared" si="5"/>
        <v>0.1569361457</v>
      </c>
    </row>
    <row r="11" ht="15.0" customHeight="1">
      <c r="A11" s="434" t="s">
        <v>344</v>
      </c>
      <c r="B11" s="151">
        <f t="shared" si="2"/>
        <v>0.13</v>
      </c>
      <c r="C11" s="155">
        <v>0.13</v>
      </c>
      <c r="D11" s="266">
        <f t="shared" ref="D11:I11" si="6">$C11</f>
        <v>0.13</v>
      </c>
      <c r="E11" s="266">
        <f t="shared" si="6"/>
        <v>0.13</v>
      </c>
      <c r="F11" s="266">
        <f t="shared" si="6"/>
        <v>0.13</v>
      </c>
      <c r="G11" s="266">
        <f t="shared" si="6"/>
        <v>0.13</v>
      </c>
      <c r="H11" s="266">
        <f t="shared" si="6"/>
        <v>0.13</v>
      </c>
      <c r="I11" s="266">
        <f t="shared" si="6"/>
        <v>0.13</v>
      </c>
    </row>
    <row r="12" ht="15.0" customHeight="1">
      <c r="A12" s="434" t="s">
        <v>345</v>
      </c>
      <c r="B12" s="151">
        <f t="shared" si="2"/>
        <v>0.9</v>
      </c>
      <c r="C12" s="155">
        <v>0.9</v>
      </c>
      <c r="D12" s="266">
        <f t="shared" ref="D12:I12" si="7">$C12</f>
        <v>0.9</v>
      </c>
      <c r="E12" s="266">
        <f t="shared" si="7"/>
        <v>0.9</v>
      </c>
      <c r="F12" s="266">
        <f t="shared" si="7"/>
        <v>0.9</v>
      </c>
      <c r="G12" s="266">
        <f t="shared" si="7"/>
        <v>0.9</v>
      </c>
      <c r="H12" s="266">
        <f t="shared" si="7"/>
        <v>0.9</v>
      </c>
      <c r="I12" s="266">
        <f t="shared" si="7"/>
        <v>0.9</v>
      </c>
    </row>
    <row r="13" ht="15.0" customHeight="1">
      <c r="A13" s="433" t="s">
        <v>346</v>
      </c>
      <c r="B13" s="292">
        <f t="shared" si="2"/>
        <v>2.41</v>
      </c>
      <c r="C13" s="195">
        <v>2.41</v>
      </c>
      <c r="D13" s="435">
        <f t="shared" ref="D13:I13" si="8">$C13</f>
        <v>2.41</v>
      </c>
      <c r="E13" s="435">
        <f t="shared" si="8"/>
        <v>2.41</v>
      </c>
      <c r="F13" s="435">
        <f t="shared" si="8"/>
        <v>2.41</v>
      </c>
      <c r="G13" s="435">
        <f t="shared" si="8"/>
        <v>2.41</v>
      </c>
      <c r="H13" s="435">
        <f t="shared" si="8"/>
        <v>2.41</v>
      </c>
      <c r="I13" s="435">
        <f t="shared" si="8"/>
        <v>2.41</v>
      </c>
    </row>
    <row r="14" ht="15.0" customHeight="1">
      <c r="A14" s="244" t="s">
        <v>347</v>
      </c>
      <c r="B14" s="436">
        <f t="shared" si="2"/>
        <v>0.007618891721</v>
      </c>
      <c r="C14" s="437">
        <f t="shared" ref="C14:I14" si="9">C10*C11/C13*C12</f>
        <v>0.007618891721</v>
      </c>
      <c r="D14" s="437">
        <f t="shared" si="9"/>
        <v>0.007618891721</v>
      </c>
      <c r="E14" s="437">
        <f t="shared" si="9"/>
        <v>0.007618891721</v>
      </c>
      <c r="F14" s="437">
        <f t="shared" si="9"/>
        <v>0.007618891721</v>
      </c>
      <c r="G14" s="437">
        <f t="shared" si="9"/>
        <v>0.007618891721</v>
      </c>
      <c r="H14" s="437">
        <f t="shared" si="9"/>
        <v>0.007618891721</v>
      </c>
      <c r="I14" s="437">
        <f t="shared" si="9"/>
        <v>0.007618891721</v>
      </c>
    </row>
    <row r="15" ht="15.0" customHeight="1">
      <c r="A15" s="438"/>
      <c r="B15" s="439"/>
      <c r="C15" s="410"/>
      <c r="D15" s="440"/>
      <c r="E15" s="440"/>
      <c r="F15" s="440"/>
      <c r="G15" s="440"/>
      <c r="H15" s="440"/>
      <c r="I15" s="440"/>
    </row>
    <row r="16" ht="15.0" customHeight="1">
      <c r="A16" s="441" t="s">
        <v>127</v>
      </c>
      <c r="B16" s="288">
        <f t="shared" ref="B16:B19" si="11">index(A16:I16,,match($A$3,$A$1:$I$1,0))</f>
        <v>0.04</v>
      </c>
      <c r="C16" s="289">
        <f t="array" ref="C16">index('Moral weights and discount rate'!1:35,match("Overall discount rate",'Moral weights and discount rate'!A:A,0), match("Active",'Moral weights and discount rate'!1:1,0))</f>
        <v>0.04</v>
      </c>
      <c r="D16" s="289">
        <f t="shared" ref="D16:I16" si="10">$C16</f>
        <v>0.04</v>
      </c>
      <c r="E16" s="289">
        <f t="shared" si="10"/>
        <v>0.04</v>
      </c>
      <c r="F16" s="289">
        <f t="shared" si="10"/>
        <v>0.04</v>
      </c>
      <c r="G16" s="289">
        <f t="shared" si="10"/>
        <v>0.04</v>
      </c>
      <c r="H16" s="289">
        <f t="shared" si="10"/>
        <v>0.04</v>
      </c>
      <c r="I16" s="289">
        <f t="shared" si="10"/>
        <v>0.04</v>
      </c>
    </row>
    <row r="17" ht="15.0" customHeight="1">
      <c r="A17" s="442" t="s">
        <v>348</v>
      </c>
      <c r="B17" s="271">
        <f t="shared" si="11"/>
        <v>8</v>
      </c>
      <c r="C17" s="443">
        <v>8.0</v>
      </c>
      <c r="D17" s="295">
        <f t="shared" ref="D17:I17" si="12">$C17</f>
        <v>8</v>
      </c>
      <c r="E17" s="295">
        <f t="shared" si="12"/>
        <v>8</v>
      </c>
      <c r="F17" s="295">
        <f t="shared" si="12"/>
        <v>8</v>
      </c>
      <c r="G17" s="295">
        <f t="shared" si="12"/>
        <v>8</v>
      </c>
      <c r="H17" s="295">
        <f t="shared" si="12"/>
        <v>8</v>
      </c>
      <c r="I17" s="295">
        <f t="shared" si="12"/>
        <v>8</v>
      </c>
    </row>
    <row r="18" ht="15.0" customHeight="1">
      <c r="A18" s="444" t="s">
        <v>349</v>
      </c>
      <c r="B18" s="278">
        <f t="shared" si="11"/>
        <v>0.005567049553</v>
      </c>
      <c r="C18" s="445">
        <f t="shared" ref="C18:I18" si="13">C14/(1+C16)^C17</f>
        <v>0.005567049553</v>
      </c>
      <c r="D18" s="445">
        <f t="shared" si="13"/>
        <v>0.005567049553</v>
      </c>
      <c r="E18" s="445">
        <f t="shared" si="13"/>
        <v>0.005567049553</v>
      </c>
      <c r="F18" s="445">
        <f t="shared" si="13"/>
        <v>0.005567049553</v>
      </c>
      <c r="G18" s="445">
        <f t="shared" si="13"/>
        <v>0.005567049553</v>
      </c>
      <c r="H18" s="445">
        <f t="shared" si="13"/>
        <v>0.005567049553</v>
      </c>
      <c r="I18" s="445">
        <f t="shared" si="13"/>
        <v>0.005567049553</v>
      </c>
    </row>
    <row r="19" ht="15.0" customHeight="1">
      <c r="A19" s="442" t="s">
        <v>350</v>
      </c>
      <c r="B19" s="271">
        <f t="shared" si="11"/>
        <v>40</v>
      </c>
      <c r="C19" s="443">
        <v>40.0</v>
      </c>
      <c r="D19" s="295">
        <f t="shared" ref="D19:I19" si="14">$C19</f>
        <v>40</v>
      </c>
      <c r="E19" s="295">
        <f t="shared" si="14"/>
        <v>40</v>
      </c>
      <c r="F19" s="295">
        <f t="shared" si="14"/>
        <v>40</v>
      </c>
      <c r="G19" s="295">
        <f t="shared" si="14"/>
        <v>40</v>
      </c>
      <c r="H19" s="295">
        <f t="shared" si="14"/>
        <v>40</v>
      </c>
      <c r="I19" s="295">
        <f t="shared" si="14"/>
        <v>40</v>
      </c>
    </row>
    <row r="20" ht="15.0" customHeight="1">
      <c r="A20" s="441"/>
      <c r="B20" s="446"/>
      <c r="C20" s="441"/>
      <c r="D20" s="441"/>
      <c r="E20" s="441"/>
      <c r="F20" s="441"/>
      <c r="G20" s="441"/>
      <c r="H20" s="441"/>
      <c r="I20" s="441"/>
    </row>
    <row r="21" ht="15.0" customHeight="1">
      <c r="A21" s="444" t="s">
        <v>351</v>
      </c>
      <c r="B21" s="278">
        <f t="array" ref="B21">index(A21:I21,,match($A$3,$A$1:$I$1,0))</f>
        <v>0.1145948471</v>
      </c>
      <c r="C21" s="445">
        <f t="shared" ref="C21:I21" si="15">pv(C16,C19,-C18,,1)</f>
        <v>0.1145948471</v>
      </c>
      <c r="D21" s="445">
        <f t="shared" si="15"/>
        <v>0.1145948471</v>
      </c>
      <c r="E21" s="445">
        <f t="shared" si="15"/>
        <v>0.1145948471</v>
      </c>
      <c r="F21" s="445">
        <f t="shared" si="15"/>
        <v>0.1145948471</v>
      </c>
      <c r="G21" s="445">
        <f t="shared" si="15"/>
        <v>0.1145948471</v>
      </c>
      <c r="H21" s="445">
        <f t="shared" si="15"/>
        <v>0.1145948471</v>
      </c>
      <c r="I21" s="445">
        <f t="shared" si="15"/>
        <v>0.1145948471</v>
      </c>
    </row>
    <row r="22" ht="15.0" customHeight="1">
      <c r="A22" s="342"/>
      <c r="B22" s="447"/>
      <c r="C22" s="342"/>
      <c r="D22" s="342"/>
      <c r="E22" s="342"/>
      <c r="F22" s="342"/>
      <c r="G22" s="342"/>
      <c r="H22" s="342"/>
      <c r="I22" s="342"/>
    </row>
    <row r="23" ht="15.0" customHeight="1">
      <c r="A23" s="448" t="s">
        <v>244</v>
      </c>
      <c r="B23" s="271">
        <f t="array" ref="B23">index(A23:I23,,match($A$3,$A$1:$I$1,0))</f>
        <v>2</v>
      </c>
      <c r="C23" s="443">
        <v>2.0</v>
      </c>
      <c r="D23" s="295">
        <f t="shared" ref="D23:I23" si="16">$C$23</f>
        <v>2</v>
      </c>
      <c r="E23" s="295">
        <f t="shared" si="16"/>
        <v>2</v>
      </c>
      <c r="F23" s="295">
        <f t="shared" si="16"/>
        <v>2</v>
      </c>
      <c r="G23" s="295">
        <f t="shared" si="16"/>
        <v>2</v>
      </c>
      <c r="H23" s="295">
        <f t="shared" si="16"/>
        <v>2</v>
      </c>
      <c r="I23" s="295">
        <f t="shared" si="16"/>
        <v>2</v>
      </c>
    </row>
    <row r="24" ht="15.0" customHeight="1">
      <c r="A24" s="342"/>
      <c r="B24" s="447"/>
      <c r="C24" s="342"/>
      <c r="D24" s="342"/>
      <c r="E24" s="342"/>
      <c r="F24" s="342"/>
      <c r="G24" s="342"/>
      <c r="H24" s="342"/>
      <c r="I24" s="342"/>
    </row>
    <row r="25" ht="13.5" customHeight="1">
      <c r="A25" s="449" t="s">
        <v>352</v>
      </c>
      <c r="B25" s="450">
        <f t="array" ref="B25">index(A25:I25,,match($A$3,$A$1:$I$1,0))</f>
        <v>0.2291896943</v>
      </c>
      <c r="C25" s="293">
        <f t="shared" ref="C25:I25" si="17">C23*C21</f>
        <v>0.2291896943</v>
      </c>
      <c r="D25" s="293">
        <f t="shared" si="17"/>
        <v>0.2291896943</v>
      </c>
      <c r="E25" s="293">
        <f t="shared" si="17"/>
        <v>0.2291896943</v>
      </c>
      <c r="F25" s="293">
        <f t="shared" si="17"/>
        <v>0.2291896943</v>
      </c>
      <c r="G25" s="293">
        <f t="shared" si="17"/>
        <v>0.2291896943</v>
      </c>
      <c r="H25" s="293">
        <f t="shared" si="17"/>
        <v>0.2291896943</v>
      </c>
      <c r="I25" s="293">
        <f t="shared" si="17"/>
        <v>0.2291896943</v>
      </c>
    </row>
    <row r="26" ht="13.5" customHeight="1">
      <c r="A26" s="121"/>
      <c r="B26" s="451"/>
      <c r="C26" s="452"/>
      <c r="D26" s="453"/>
      <c r="E26" s="453"/>
      <c r="F26" s="453"/>
      <c r="G26" s="453"/>
      <c r="H26" s="453"/>
      <c r="I26" s="453"/>
    </row>
    <row r="27" ht="13.5" customHeight="1">
      <c r="A27" s="429" t="s">
        <v>160</v>
      </c>
      <c r="B27" s="454"/>
      <c r="C27" s="454"/>
      <c r="D27" s="454"/>
      <c r="E27" s="454"/>
      <c r="F27" s="454"/>
      <c r="G27" s="454"/>
      <c r="H27" s="454"/>
      <c r="I27" s="454"/>
    </row>
    <row r="28" ht="13.5" customHeight="1">
      <c r="A28" s="121"/>
      <c r="B28" s="440"/>
      <c r="C28" s="440"/>
      <c r="D28" s="440"/>
      <c r="E28" s="440"/>
      <c r="F28" s="440"/>
      <c r="G28" s="440"/>
      <c r="H28" s="440"/>
      <c r="I28" s="440"/>
    </row>
    <row r="29" ht="13.5" customHeight="1">
      <c r="A29" s="96" t="s">
        <v>161</v>
      </c>
      <c r="B29" s="151">
        <f t="shared" ref="B29:B34" si="18">index(A29:I29,,match($A$3,$A$1:$I$1,0))</f>
        <v>1</v>
      </c>
      <c r="C29" s="152">
        <f>sum(D29:I29)</f>
        <v>1</v>
      </c>
      <c r="D29" s="153">
        <v>0.30253942253010857</v>
      </c>
      <c r="E29" s="153">
        <v>0.35677559827256433</v>
      </c>
      <c r="F29" s="153">
        <v>0.042747117788897185</v>
      </c>
      <c r="G29" s="153">
        <v>0.10230373060039391</v>
      </c>
      <c r="H29" s="153">
        <v>0.09573907074873339</v>
      </c>
      <c r="I29" s="153">
        <v>0.09989506005930274</v>
      </c>
    </row>
    <row r="30" ht="13.5" customHeight="1">
      <c r="A30" s="154" t="s">
        <v>353</v>
      </c>
      <c r="B30" s="151">
        <f t="shared" si="18"/>
        <v>0.6281150778</v>
      </c>
      <c r="C30" s="152">
        <f t="shared" ref="C30:C34" si="19">sumproduct(D30:I30,$D$39:$I$39)/sum($D$39:$I$39)</f>
        <v>0.6281150778</v>
      </c>
      <c r="D30" s="156">
        <v>0.610546003576696</v>
      </c>
      <c r="E30" s="156">
        <v>0.6615351533931101</v>
      </c>
      <c r="F30" s="156">
        <v>0.6062993535882822</v>
      </c>
      <c r="G30" s="156">
        <v>0.5898036990015747</v>
      </c>
      <c r="H30" s="156">
        <v>0.6270353204610798</v>
      </c>
      <c r="I30" s="156">
        <v>0.6220757005833413</v>
      </c>
    </row>
    <row r="31" ht="13.5" customHeight="1">
      <c r="A31" s="154" t="s">
        <v>163</v>
      </c>
      <c r="B31" s="151">
        <f t="shared" si="18"/>
        <v>0.01116764915</v>
      </c>
      <c r="C31" s="152">
        <f t="shared" si="19"/>
        <v>0.01116764915</v>
      </c>
      <c r="D31" s="156">
        <v>0.021501231169078542</v>
      </c>
      <c r="E31" s="156">
        <v>0.0</v>
      </c>
      <c r="F31" s="156">
        <v>0.018476127658213996</v>
      </c>
      <c r="G31" s="156">
        <v>0.012170064893439976</v>
      </c>
      <c r="H31" s="156">
        <v>0.0</v>
      </c>
      <c r="I31" s="156">
        <v>0.023113655139338433</v>
      </c>
    </row>
    <row r="32" ht="13.5" customHeight="1">
      <c r="A32" s="154" t="s">
        <v>354</v>
      </c>
      <c r="B32" s="151">
        <f t="shared" si="18"/>
        <v>0.001053240413</v>
      </c>
      <c r="C32" s="152">
        <f t="shared" si="19"/>
        <v>0.001053240413</v>
      </c>
      <c r="D32" s="156">
        <v>0.0033300292428340107</v>
      </c>
      <c r="E32" s="156">
        <v>0.0</v>
      </c>
      <c r="F32" s="156">
        <v>3.79008228161288E-4</v>
      </c>
      <c r="G32" s="156">
        <v>0.0</v>
      </c>
      <c r="H32" s="156">
        <v>0.0</v>
      </c>
      <c r="I32" s="156">
        <v>0.0</v>
      </c>
    </row>
    <row r="33" ht="13.5" customHeight="1">
      <c r="A33" s="154" t="s">
        <v>355</v>
      </c>
      <c r="B33" s="151">
        <f t="shared" si="18"/>
        <v>0.3</v>
      </c>
      <c r="C33" s="152">
        <f t="shared" si="19"/>
        <v>0.3</v>
      </c>
      <c r="D33" s="156">
        <v>0.3</v>
      </c>
      <c r="E33" s="156">
        <v>0.3</v>
      </c>
      <c r="F33" s="156">
        <v>0.3</v>
      </c>
      <c r="G33" s="156">
        <v>0.3</v>
      </c>
      <c r="H33" s="156">
        <v>0.3</v>
      </c>
      <c r="I33" s="156">
        <v>0.3</v>
      </c>
    </row>
    <row r="34" ht="13.5" customHeight="1">
      <c r="A34" s="154" t="s">
        <v>356</v>
      </c>
      <c r="B34" s="151">
        <f t="shared" si="18"/>
        <v>0.05966401858</v>
      </c>
      <c r="C34" s="152">
        <f t="shared" si="19"/>
        <v>0.05966401858</v>
      </c>
      <c r="D34" s="156">
        <v>0.0646227360113913</v>
      </c>
      <c r="E34" s="156">
        <v>0.03846484660688976</v>
      </c>
      <c r="F34" s="156">
        <v>0.07484545533543696</v>
      </c>
      <c r="G34" s="156">
        <v>0.09802618529864403</v>
      </c>
      <c r="H34" s="156">
        <v>0.07296462213182583</v>
      </c>
      <c r="I34" s="156">
        <v>0.05481063816941772</v>
      </c>
    </row>
    <row r="35" ht="13.5" customHeight="1">
      <c r="A35" s="121"/>
      <c r="B35" s="440"/>
      <c r="C35" s="455"/>
      <c r="D35" s="440"/>
      <c r="E35" s="440"/>
      <c r="F35" s="456"/>
      <c r="G35" s="440"/>
      <c r="H35" s="440"/>
      <c r="I35" s="440"/>
    </row>
    <row r="36" ht="13.5" customHeight="1">
      <c r="A36" s="457" t="s">
        <v>357</v>
      </c>
      <c r="B36" s="458"/>
      <c r="C36" s="458"/>
      <c r="D36" s="458"/>
      <c r="E36" s="458"/>
      <c r="F36" s="458"/>
      <c r="G36" s="458"/>
      <c r="H36" s="458"/>
      <c r="I36" s="458"/>
    </row>
    <row r="37" ht="13.5" customHeight="1">
      <c r="A37" s="96"/>
      <c r="B37" s="459"/>
      <c r="C37" s="459"/>
      <c r="D37" s="459"/>
      <c r="E37" s="459"/>
      <c r="F37" s="459"/>
      <c r="G37" s="459"/>
      <c r="H37" s="459"/>
      <c r="I37" s="459"/>
    </row>
    <row r="38" ht="13.5" customHeight="1">
      <c r="A38" s="154" t="s">
        <v>358</v>
      </c>
      <c r="B38" s="301">
        <f t="shared" ref="B38:B47" si="21">index(A38:I38,,match($A$3,$A$1:$I$1,0))</f>
        <v>100000</v>
      </c>
      <c r="C38" s="460">
        <v>100000.0</v>
      </c>
      <c r="D38" s="302">
        <f t="shared" ref="D38:I38" si="20">if($C$38*D29&lt;&gt;0,$C$38*D29,0.01)</f>
        <v>30253.94225</v>
      </c>
      <c r="E38" s="302">
        <f t="shared" si="20"/>
        <v>35677.55983</v>
      </c>
      <c r="F38" s="302">
        <f t="shared" si="20"/>
        <v>4274.711779</v>
      </c>
      <c r="G38" s="302">
        <f t="shared" si="20"/>
        <v>10230.37306</v>
      </c>
      <c r="H38" s="302">
        <f t="shared" si="20"/>
        <v>9573.907075</v>
      </c>
      <c r="I38" s="302">
        <f t="shared" si="20"/>
        <v>9989.506006</v>
      </c>
    </row>
    <row r="39" ht="13.5" customHeight="1">
      <c r="A39" s="154" t="s">
        <v>166</v>
      </c>
      <c r="B39" s="301">
        <f t="shared" si="21"/>
        <v>159206.495</v>
      </c>
      <c r="C39" s="461">
        <f>sum(D39:I39)</f>
        <v>159206.495</v>
      </c>
      <c r="D39" s="302">
        <f t="shared" ref="D39:I39" si="22">D38/D30</f>
        <v>49552.27301</v>
      </c>
      <c r="E39" s="302">
        <f t="shared" si="22"/>
        <v>53931.46478</v>
      </c>
      <c r="F39" s="302">
        <f t="shared" si="22"/>
        <v>7050.497009</v>
      </c>
      <c r="G39" s="302">
        <f t="shared" si="22"/>
        <v>17345.3864</v>
      </c>
      <c r="H39" s="302">
        <f t="shared" si="22"/>
        <v>15268.52916</v>
      </c>
      <c r="I39" s="302">
        <f t="shared" si="22"/>
        <v>16058.34466</v>
      </c>
    </row>
    <row r="40" ht="1.5" customHeight="1">
      <c r="A40" s="462" t="s">
        <v>359</v>
      </c>
      <c r="B40" s="463">
        <f t="shared" si="21"/>
        <v>1</v>
      </c>
      <c r="C40" s="464">
        <v>1.0</v>
      </c>
      <c r="D40" s="465">
        <f t="shared" ref="D40:I40" si="23">$C$40</f>
        <v>1</v>
      </c>
      <c r="E40" s="465">
        <f t="shared" si="23"/>
        <v>1</v>
      </c>
      <c r="F40" s="465">
        <f t="shared" si="23"/>
        <v>1</v>
      </c>
      <c r="G40" s="465">
        <f t="shared" si="23"/>
        <v>1</v>
      </c>
      <c r="H40" s="465">
        <f t="shared" si="23"/>
        <v>1</v>
      </c>
      <c r="I40" s="465">
        <f t="shared" si="23"/>
        <v>1</v>
      </c>
    </row>
    <row r="41" ht="12.0" customHeight="1">
      <c r="A41" s="179" t="s">
        <v>360</v>
      </c>
      <c r="B41" s="288">
        <f t="shared" si="21"/>
        <v>0.1001712005</v>
      </c>
      <c r="C41" s="466">
        <f>sumproduct(ifna(D41:I41,0),D47:I47)</f>
        <v>0.1001712005</v>
      </c>
      <c r="D41" s="467">
        <v>0.1784563729927242</v>
      </c>
      <c r="E41" s="467">
        <v>0.029133960887934716</v>
      </c>
      <c r="F41" s="467">
        <v>0.04541513562610958</v>
      </c>
      <c r="G41" s="467">
        <v>0.11040078899638205</v>
      </c>
      <c r="H41" s="467">
        <v>0.17845637299272463</v>
      </c>
      <c r="I41" s="467">
        <v>0.0832610819812009</v>
      </c>
    </row>
    <row r="42">
      <c r="A42" s="468" t="s">
        <v>361</v>
      </c>
      <c r="B42" s="469">
        <f t="shared" si="21"/>
        <v>0.02295820682</v>
      </c>
      <c r="C42" s="470">
        <f t="shared" ref="C42:I42" si="24">$C$25*$C$40*C41</f>
        <v>0.02295820682</v>
      </c>
      <c r="D42" s="470">
        <f t="shared" si="24"/>
        <v>0.04090036157</v>
      </c>
      <c r="E42" s="470">
        <f t="shared" si="24"/>
        <v>0.006677203589</v>
      </c>
      <c r="F42" s="470">
        <f t="shared" si="24"/>
        <v>0.01040868105</v>
      </c>
      <c r="G42" s="470">
        <f t="shared" si="24"/>
        <v>0.02530272308</v>
      </c>
      <c r="H42" s="470">
        <f t="shared" si="24"/>
        <v>0.04090036157</v>
      </c>
      <c r="I42" s="470">
        <f t="shared" si="24"/>
        <v>0.01908258192</v>
      </c>
    </row>
    <row r="43" ht="1.5" customHeight="1">
      <c r="A43" s="448" t="s">
        <v>121</v>
      </c>
      <c r="B43" s="292">
        <f t="shared" si="21"/>
        <v>1.442695041</v>
      </c>
      <c r="C43" s="196">
        <f t="array" ref="C43">index('Moral weights and discount rate'!$A$1:$ZU$35,match($A43,'Moral weights and discount rate'!$A$1:$A$35,0),match(B$1,'Moral weights and discount rate'!$A$1:$ZU1,0))</f>
        <v>1.442695041</v>
      </c>
      <c r="D43" s="196">
        <f t="shared" ref="D43:I43" si="25">$C$43</f>
        <v>1.442695041</v>
      </c>
      <c r="E43" s="196">
        <f t="shared" si="25"/>
        <v>1.442695041</v>
      </c>
      <c r="F43" s="196">
        <f t="shared" si="25"/>
        <v>1.442695041</v>
      </c>
      <c r="G43" s="196">
        <f t="shared" si="25"/>
        <v>1.442695041</v>
      </c>
      <c r="H43" s="196">
        <f t="shared" si="25"/>
        <v>1.442695041</v>
      </c>
      <c r="I43" s="196">
        <f t="shared" si="25"/>
        <v>1.442695041</v>
      </c>
    </row>
    <row r="44">
      <c r="A44" s="471" t="s">
        <v>362</v>
      </c>
      <c r="B44" s="472">
        <f t="shared" si="21"/>
        <v>0.03312169112</v>
      </c>
      <c r="C44" s="473">
        <f>(C42*$C$43)</f>
        <v>0.03312169112</v>
      </c>
      <c r="D44" s="473">
        <f t="shared" ref="D44:I44" si="26">(D42*D43)</f>
        <v>0.0590067488</v>
      </c>
      <c r="E44" s="473">
        <f t="shared" si="26"/>
        <v>0.009633168504</v>
      </c>
      <c r="F44" s="473">
        <f t="shared" si="26"/>
        <v>0.01501655253</v>
      </c>
      <c r="G44" s="473">
        <f t="shared" si="26"/>
        <v>0.0365041131</v>
      </c>
      <c r="H44" s="473">
        <f t="shared" si="26"/>
        <v>0.0590067488</v>
      </c>
      <c r="I44" s="473">
        <f t="shared" si="26"/>
        <v>0.02753034631</v>
      </c>
    </row>
    <row r="45">
      <c r="A45" s="474" t="s">
        <v>363</v>
      </c>
      <c r="B45" s="475">
        <f t="shared" si="21"/>
        <v>0.7197660088</v>
      </c>
      <c r="C45" s="476">
        <f>C39/C46</f>
        <v>0.7197660088</v>
      </c>
      <c r="D45" s="477">
        <v>0.6555847527</v>
      </c>
      <c r="E45" s="477">
        <v>0.6229606886</v>
      </c>
      <c r="F45" s="477">
        <v>0.9687729239</v>
      </c>
      <c r="G45" s="477">
        <v>0.8573351642</v>
      </c>
      <c r="H45" s="477">
        <v>1.518246103</v>
      </c>
      <c r="I45" s="477">
        <v>0.7480077174</v>
      </c>
    </row>
    <row r="46">
      <c r="A46" s="474" t="s">
        <v>364</v>
      </c>
      <c r="B46" s="271">
        <f t="shared" si="21"/>
        <v>221192.0167</v>
      </c>
      <c r="C46" s="252">
        <f>sum(D46:I46)</f>
        <v>221192.0167</v>
      </c>
      <c r="D46" s="252">
        <f t="shared" ref="D46:I46" si="27">D39/D45</f>
        <v>75584.84666</v>
      </c>
      <c r="E46" s="252">
        <f t="shared" si="27"/>
        <v>86572.82196</v>
      </c>
      <c r="F46" s="252">
        <f t="shared" si="27"/>
        <v>7277.76018</v>
      </c>
      <c r="G46" s="252">
        <f t="shared" si="27"/>
        <v>20231.74498</v>
      </c>
      <c r="H46" s="252">
        <f t="shared" si="27"/>
        <v>10056.68918</v>
      </c>
      <c r="I46" s="252">
        <f t="shared" si="27"/>
        <v>21468.15372</v>
      </c>
    </row>
    <row r="47">
      <c r="A47" s="478" t="s">
        <v>365</v>
      </c>
      <c r="B47" s="151">
        <f t="shared" si="21"/>
        <v>1</v>
      </c>
      <c r="C47" s="177">
        <f>sum(D47:ZQ47)</f>
        <v>1</v>
      </c>
      <c r="D47" s="155">
        <f t="shared" ref="D47:I47" si="28">D46/$C$46</f>
        <v>0.3417159796</v>
      </c>
      <c r="E47" s="155">
        <f t="shared" si="28"/>
        <v>0.3913921635</v>
      </c>
      <c r="F47" s="155">
        <f t="shared" si="28"/>
        <v>0.03290245412</v>
      </c>
      <c r="G47" s="155">
        <f t="shared" si="28"/>
        <v>0.09146688601</v>
      </c>
      <c r="H47" s="155">
        <f t="shared" si="28"/>
        <v>0.04546587772</v>
      </c>
      <c r="I47" s="155">
        <f t="shared" si="28"/>
        <v>0.09705663904</v>
      </c>
    </row>
    <row r="48">
      <c r="A48" s="121"/>
      <c r="B48" s="479"/>
      <c r="C48" s="121"/>
      <c r="D48" s="96"/>
      <c r="E48" s="410"/>
      <c r="F48" s="410"/>
      <c r="G48" s="410"/>
      <c r="H48" s="410"/>
      <c r="I48" s="410"/>
    </row>
    <row r="49">
      <c r="A49" s="418" t="s">
        <v>366</v>
      </c>
      <c r="B49" s="242"/>
      <c r="C49" s="243"/>
      <c r="D49" s="243"/>
      <c r="E49" s="243"/>
      <c r="F49" s="243"/>
      <c r="G49" s="243"/>
      <c r="H49" s="243"/>
      <c r="I49" s="243"/>
    </row>
    <row r="50">
      <c r="A50" s="96"/>
      <c r="B50" s="479"/>
      <c r="C50" s="121"/>
      <c r="D50" s="121"/>
      <c r="E50" s="121"/>
      <c r="F50" s="121"/>
      <c r="G50" s="121"/>
      <c r="H50" s="121"/>
      <c r="I50" s="121"/>
    </row>
    <row r="51">
      <c r="A51" s="96" t="s">
        <v>367</v>
      </c>
      <c r="B51" s="480">
        <f t="array" ref="B51">index(A51:I51,,match($A$3,$A$1:$I$1,0))</f>
        <v>0.01172003046</v>
      </c>
      <c r="C51" s="481">
        <f t="shared" ref="C51:I51" si="29">product(C11:C12,C41)</f>
        <v>0.01172003046</v>
      </c>
      <c r="D51" s="481">
        <f t="shared" si="29"/>
        <v>0.02087939564</v>
      </c>
      <c r="E51" s="481">
        <f t="shared" si="29"/>
        <v>0.003408673424</v>
      </c>
      <c r="F51" s="481">
        <f t="shared" si="29"/>
        <v>0.005313570868</v>
      </c>
      <c r="G51" s="481">
        <f t="shared" si="29"/>
        <v>0.01291689231</v>
      </c>
      <c r="H51" s="481">
        <f t="shared" si="29"/>
        <v>0.02087939564</v>
      </c>
      <c r="I51" s="481">
        <f t="shared" si="29"/>
        <v>0.009741546592</v>
      </c>
    </row>
    <row r="52">
      <c r="A52" s="121"/>
      <c r="B52" s="479"/>
      <c r="C52" s="121"/>
      <c r="D52" s="410"/>
      <c r="E52" s="410"/>
      <c r="F52" s="410"/>
      <c r="G52" s="410"/>
      <c r="H52" s="410"/>
      <c r="I52" s="410"/>
    </row>
    <row r="53">
      <c r="A53" s="241" t="s">
        <v>249</v>
      </c>
      <c r="B53" s="242"/>
      <c r="C53" s="243"/>
      <c r="D53" s="243"/>
      <c r="E53" s="243"/>
      <c r="F53" s="243"/>
      <c r="G53" s="243"/>
      <c r="H53" s="243"/>
      <c r="I53" s="243"/>
    </row>
    <row r="54">
      <c r="A54" s="96"/>
      <c r="B54" s="479"/>
      <c r="C54" s="121"/>
      <c r="D54" s="121"/>
      <c r="E54" s="121"/>
      <c r="F54" s="121"/>
      <c r="G54" s="121"/>
      <c r="H54" s="121"/>
      <c r="I54" s="121"/>
    </row>
    <row r="55">
      <c r="A55" s="482" t="str">
        <f t="shared" ref="A55:A56" si="31">A42</f>
        <v>Present value of lifetime benefits from a year of deworming — in terms of increases in ln(consumption) — DtW</v>
      </c>
      <c r="B55" s="483">
        <f t="shared" ref="B55:B59" si="32">index(A55:I55,,match($A$3,$A$1:$I$1,0))</f>
        <v>0.02295820682</v>
      </c>
      <c r="C55" s="484">
        <f t="shared" ref="C55:I55" si="30">C42</f>
        <v>0.02295820682</v>
      </c>
      <c r="D55" s="484">
        <f t="shared" si="30"/>
        <v>0.04090036157</v>
      </c>
      <c r="E55" s="484">
        <f t="shared" si="30"/>
        <v>0.006677203589</v>
      </c>
      <c r="F55" s="484">
        <f t="shared" si="30"/>
        <v>0.01040868105</v>
      </c>
      <c r="G55" s="484">
        <f t="shared" si="30"/>
        <v>0.02530272308</v>
      </c>
      <c r="H55" s="484">
        <f t="shared" si="30"/>
        <v>0.04090036157</v>
      </c>
      <c r="I55" s="484">
        <f t="shared" si="30"/>
        <v>0.01908258192</v>
      </c>
    </row>
    <row r="56">
      <c r="A56" s="485" t="str">
        <f t="shared" si="31"/>
        <v>Value assigned to increasing ln(consumption) by one unit for one person for one year</v>
      </c>
      <c r="B56" s="486">
        <f t="shared" si="32"/>
        <v>1.442695041</v>
      </c>
      <c r="C56" s="487">
        <f t="shared" ref="C56:I56" si="33">C43</f>
        <v>1.442695041</v>
      </c>
      <c r="D56" s="487">
        <f t="shared" si="33"/>
        <v>1.442695041</v>
      </c>
      <c r="E56" s="487">
        <f t="shared" si="33"/>
        <v>1.442695041</v>
      </c>
      <c r="F56" s="487">
        <f t="shared" si="33"/>
        <v>1.442695041</v>
      </c>
      <c r="G56" s="487">
        <f t="shared" si="33"/>
        <v>1.442695041</v>
      </c>
      <c r="H56" s="487">
        <f t="shared" si="33"/>
        <v>1.442695041</v>
      </c>
      <c r="I56" s="487">
        <f t="shared" si="33"/>
        <v>1.442695041</v>
      </c>
    </row>
    <row r="57">
      <c r="A57" s="488" t="str">
        <f>A46</f>
        <v>Total number of children dewormed (per year) — DtW</v>
      </c>
      <c r="B57" s="489">
        <f t="shared" si="32"/>
        <v>221192.0167</v>
      </c>
      <c r="C57" s="490">
        <f t="shared" ref="C57:I57" si="34">C46</f>
        <v>221192.0167</v>
      </c>
      <c r="D57" s="490">
        <f t="shared" si="34"/>
        <v>75584.84666</v>
      </c>
      <c r="E57" s="490">
        <f t="shared" si="34"/>
        <v>86572.82196</v>
      </c>
      <c r="F57" s="490">
        <f t="shared" si="34"/>
        <v>7277.76018</v>
      </c>
      <c r="G57" s="490">
        <f t="shared" si="34"/>
        <v>20231.74498</v>
      </c>
      <c r="H57" s="490">
        <f t="shared" si="34"/>
        <v>10056.68918</v>
      </c>
      <c r="I57" s="490">
        <f t="shared" si="34"/>
        <v>21468.15372</v>
      </c>
    </row>
    <row r="58">
      <c r="A58" s="491" t="s">
        <v>281</v>
      </c>
      <c r="B58" s="492">
        <f t="shared" si="32"/>
        <v>7326.253656</v>
      </c>
      <c r="C58" s="493">
        <f>sum(ifna(D58:ZQ58,0))</f>
        <v>7326.253656</v>
      </c>
      <c r="D58" s="493">
        <f t="shared" ref="D58:I58" si="35">product(D55:D57)</f>
        <v>4460.01606</v>
      </c>
      <c r="E58" s="493">
        <f t="shared" si="35"/>
        <v>833.9705818</v>
      </c>
      <c r="F58" s="493">
        <f t="shared" si="35"/>
        <v>109.2868681</v>
      </c>
      <c r="G58" s="493">
        <f t="shared" si="35"/>
        <v>738.5419069</v>
      </c>
      <c r="H58" s="493">
        <f t="shared" si="35"/>
        <v>593.4125323</v>
      </c>
      <c r="I58" s="493">
        <f t="shared" si="35"/>
        <v>591.0257065</v>
      </c>
    </row>
    <row r="59">
      <c r="A59" s="494" t="s">
        <v>252</v>
      </c>
      <c r="B59" s="292">
        <f t="shared" si="32"/>
        <v>0.04601730385</v>
      </c>
      <c r="C59" s="342">
        <f t="shared" ref="C59:I59" si="36">C58/C39</f>
        <v>0.04601730385</v>
      </c>
      <c r="D59" s="342">
        <f t="shared" si="36"/>
        <v>0.09000628608</v>
      </c>
      <c r="E59" s="342">
        <f t="shared" si="36"/>
        <v>0.01546352552</v>
      </c>
      <c r="F59" s="342">
        <f t="shared" si="36"/>
        <v>0.01550059066</v>
      </c>
      <c r="G59" s="342">
        <f t="shared" si="36"/>
        <v>0.0425785791</v>
      </c>
      <c r="H59" s="342">
        <f t="shared" si="36"/>
        <v>0.03886507509</v>
      </c>
      <c r="I59" s="342">
        <f t="shared" si="36"/>
        <v>0.03680489608</v>
      </c>
    </row>
    <row r="60">
      <c r="A60" s="440"/>
      <c r="B60" s="495"/>
      <c r="C60" s="440"/>
      <c r="D60" s="440"/>
      <c r="E60" s="440"/>
      <c r="F60" s="440"/>
      <c r="G60" s="440"/>
      <c r="H60" s="440"/>
      <c r="I60" s="440"/>
    </row>
    <row r="61">
      <c r="A61" s="304" t="s">
        <v>253</v>
      </c>
      <c r="B61" s="306">
        <f t="array" ref="B61">index(C61:R61,,match($A$3,$C$1:$R$1,0))</f>
        <v>13.37773757</v>
      </c>
      <c r="C61" s="307">
        <f t="array" ref="C61">C59/index(GiveDirectly!$B:$B,match("Units of value generated per dollar spent",GiveDirectly!$A:$A,0))</f>
        <v>13.37773757</v>
      </c>
      <c r="D61" s="307">
        <f t="array" ref="D61">D59/index(GiveDirectly!$B:$B,match("Units of value generated per dollar spent",GiveDirectly!$A:$A,0))</f>
        <v>26.16581968</v>
      </c>
      <c r="E61" s="307">
        <f t="array" ref="E61">E59/index(GiveDirectly!$B:$B,match("Units of value generated per dollar spent",GiveDirectly!$A:$A,0))</f>
        <v>4.495417353</v>
      </c>
      <c r="F61" s="307">
        <f t="array" ref="F61">F59/index(GiveDirectly!$B:$B,match("Units of value generated per dollar spent",GiveDirectly!$A:$A,0))</f>
        <v>4.506192597</v>
      </c>
      <c r="G61" s="307">
        <f t="array" ref="G61">G59/index(GiveDirectly!$B:$B,match("Units of value generated per dollar spent",GiveDirectly!$A:$A,0))</f>
        <v>12.37806237</v>
      </c>
      <c r="H61" s="307">
        <f t="array" ref="H61">H59/index(GiveDirectly!$B:$B,match("Units of value generated per dollar spent",GiveDirectly!$A:$A,0))</f>
        <v>11.29850582</v>
      </c>
      <c r="I61" s="307">
        <f t="array" ref="I61">I59/index(GiveDirectly!$B:$B,match("Units of value generated per dollar spent",GiveDirectly!$A:$A,0))</f>
        <v>10.69958906</v>
      </c>
    </row>
    <row r="62">
      <c r="A62" s="121"/>
      <c r="B62" s="479"/>
      <c r="C62" s="121"/>
      <c r="D62" s="121"/>
      <c r="E62" s="121"/>
      <c r="F62" s="121"/>
      <c r="G62" s="121"/>
      <c r="H62" s="121"/>
      <c r="I62" s="121"/>
    </row>
    <row r="63">
      <c r="A63" s="308" t="s">
        <v>368</v>
      </c>
      <c r="B63" s="309"/>
      <c r="C63" s="308"/>
      <c r="D63" s="308"/>
      <c r="E63" s="308"/>
      <c r="F63" s="308"/>
      <c r="G63" s="308"/>
      <c r="H63" s="308"/>
      <c r="I63" s="308"/>
    </row>
    <row r="64" outlineLevel="1">
      <c r="A64" s="310"/>
      <c r="B64" s="228"/>
      <c r="D64" s="496"/>
      <c r="E64" s="496"/>
      <c r="F64" s="497"/>
      <c r="G64" s="496"/>
      <c r="H64" s="496"/>
      <c r="I64" s="496"/>
    </row>
    <row r="65" outlineLevel="1">
      <c r="A65" s="312" t="s">
        <v>255</v>
      </c>
      <c r="B65" s="313"/>
      <c r="C65" s="314"/>
      <c r="D65" s="496"/>
      <c r="E65" s="496"/>
      <c r="F65" s="497"/>
      <c r="G65" s="496"/>
      <c r="H65" s="496"/>
      <c r="I65" s="496"/>
    </row>
    <row r="66" outlineLevel="1">
      <c r="A66" s="138" t="s">
        <v>256</v>
      </c>
      <c r="B66" s="151">
        <f t="shared" ref="B66:B69" si="38">index(A66:I66,,match($A$3,$A$1:$I$1,0))</f>
        <v>0</v>
      </c>
      <c r="C66" s="155">
        <v>0.0</v>
      </c>
      <c r="D66" s="317">
        <f t="shared" ref="D66:I66" si="37">$C66</f>
        <v>0</v>
      </c>
      <c r="E66" s="317">
        <f t="shared" si="37"/>
        <v>0</v>
      </c>
      <c r="F66" s="317">
        <f t="shared" si="37"/>
        <v>0</v>
      </c>
      <c r="G66" s="317">
        <f t="shared" si="37"/>
        <v>0</v>
      </c>
      <c r="H66" s="317">
        <f t="shared" si="37"/>
        <v>0</v>
      </c>
      <c r="I66" s="317">
        <f t="shared" si="37"/>
        <v>0</v>
      </c>
    </row>
    <row r="67" outlineLevel="1">
      <c r="A67" s="138" t="s">
        <v>257</v>
      </c>
      <c r="B67" s="151">
        <f t="shared" si="38"/>
        <v>0.02</v>
      </c>
      <c r="C67" s="155">
        <v>0.02</v>
      </c>
      <c r="D67" s="317">
        <f t="shared" ref="D67:I67" si="39">$C67</f>
        <v>0.02</v>
      </c>
      <c r="E67" s="317">
        <f t="shared" si="39"/>
        <v>0.02</v>
      </c>
      <c r="F67" s="317">
        <f t="shared" si="39"/>
        <v>0.02</v>
      </c>
      <c r="G67" s="317">
        <f t="shared" si="39"/>
        <v>0.02</v>
      </c>
      <c r="H67" s="317">
        <f t="shared" si="39"/>
        <v>0.02</v>
      </c>
      <c r="I67" s="317">
        <f t="shared" si="39"/>
        <v>0.02</v>
      </c>
    </row>
    <row r="68" outlineLevel="1">
      <c r="A68" s="138" t="s">
        <v>258</v>
      </c>
      <c r="B68" s="498">
        <f t="shared" si="38"/>
        <v>0</v>
      </c>
      <c r="C68" s="499">
        <v>0.0</v>
      </c>
      <c r="D68" s="317">
        <f t="shared" ref="D68:I68" si="40">$C68</f>
        <v>0</v>
      </c>
      <c r="E68" s="317">
        <f t="shared" si="40"/>
        <v>0</v>
      </c>
      <c r="F68" s="317">
        <f t="shared" si="40"/>
        <v>0</v>
      </c>
      <c r="G68" s="317">
        <f t="shared" si="40"/>
        <v>0</v>
      </c>
      <c r="H68" s="317">
        <f t="shared" si="40"/>
        <v>0</v>
      </c>
      <c r="I68" s="317">
        <f t="shared" si="40"/>
        <v>0</v>
      </c>
    </row>
    <row r="69" outlineLevel="1">
      <c r="A69" s="319" t="s">
        <v>259</v>
      </c>
      <c r="B69" s="151">
        <f t="shared" si="38"/>
        <v>0.02</v>
      </c>
      <c r="C69" s="152">
        <f>sum(C66:C68)</f>
        <v>0.02</v>
      </c>
      <c r="D69" s="321">
        <f t="shared" ref="D69:I69" si="41">SUM(D66:D68)</f>
        <v>0.02</v>
      </c>
      <c r="E69" s="321">
        <f t="shared" si="41"/>
        <v>0.02</v>
      </c>
      <c r="F69" s="321">
        <f t="shared" si="41"/>
        <v>0.02</v>
      </c>
      <c r="G69" s="321">
        <f t="shared" si="41"/>
        <v>0.02</v>
      </c>
      <c r="H69" s="321">
        <f t="shared" si="41"/>
        <v>0.02</v>
      </c>
      <c r="I69" s="321">
        <f t="shared" si="41"/>
        <v>0.02</v>
      </c>
    </row>
    <row r="70" outlineLevel="1">
      <c r="A70" s="138"/>
      <c r="B70" s="300"/>
      <c r="C70" s="299"/>
      <c r="D70" s="311"/>
      <c r="E70" s="311"/>
      <c r="F70" s="311"/>
      <c r="G70" s="311"/>
      <c r="H70" s="311"/>
      <c r="I70" s="311"/>
    </row>
    <row r="71" outlineLevel="1">
      <c r="A71" s="312" t="s">
        <v>260</v>
      </c>
      <c r="B71" s="300"/>
      <c r="C71" s="299"/>
      <c r="D71" s="311"/>
      <c r="E71" s="311"/>
      <c r="F71" s="311"/>
      <c r="G71" s="311"/>
      <c r="H71" s="311"/>
      <c r="I71" s="311"/>
    </row>
    <row r="72" outlineLevel="1">
      <c r="A72" s="138" t="s">
        <v>261</v>
      </c>
      <c r="B72" s="151">
        <f t="shared" ref="B72:B74" si="43">index(A72:I72,,match($A$3,$A$1:$I$1,0))</f>
        <v>0.01</v>
      </c>
      <c r="C72" s="155">
        <v>0.01</v>
      </c>
      <c r="D72" s="317">
        <f t="shared" ref="D72:I72" si="42">$C72</f>
        <v>0.01</v>
      </c>
      <c r="E72" s="317">
        <f t="shared" si="42"/>
        <v>0.01</v>
      </c>
      <c r="F72" s="317">
        <f t="shared" si="42"/>
        <v>0.01</v>
      </c>
      <c r="G72" s="317">
        <f t="shared" si="42"/>
        <v>0.01</v>
      </c>
      <c r="H72" s="317">
        <f t="shared" si="42"/>
        <v>0.01</v>
      </c>
      <c r="I72" s="317">
        <f t="shared" si="42"/>
        <v>0.01</v>
      </c>
    </row>
    <row r="73" outlineLevel="1">
      <c r="A73" s="138" t="s">
        <v>262</v>
      </c>
      <c r="B73" s="498">
        <f t="shared" si="43"/>
        <v>0</v>
      </c>
      <c r="C73" s="499">
        <v>0.0</v>
      </c>
      <c r="D73" s="317">
        <f t="shared" ref="D73:I73" si="44">$C73</f>
        <v>0</v>
      </c>
      <c r="E73" s="317">
        <f t="shared" si="44"/>
        <v>0</v>
      </c>
      <c r="F73" s="317">
        <f t="shared" si="44"/>
        <v>0</v>
      </c>
      <c r="G73" s="317">
        <f t="shared" si="44"/>
        <v>0</v>
      </c>
      <c r="H73" s="317">
        <f t="shared" si="44"/>
        <v>0</v>
      </c>
      <c r="I73" s="317">
        <f t="shared" si="44"/>
        <v>0</v>
      </c>
    </row>
    <row r="74" outlineLevel="1">
      <c r="A74" s="319" t="s">
        <v>263</v>
      </c>
      <c r="B74" s="151">
        <f t="shared" si="43"/>
        <v>0.01</v>
      </c>
      <c r="C74" s="152">
        <f t="shared" ref="C74:I74" si="45">sum(C71:C73)</f>
        <v>0.01</v>
      </c>
      <c r="D74" s="321">
        <f t="shared" si="45"/>
        <v>0.01</v>
      </c>
      <c r="E74" s="321">
        <f t="shared" si="45"/>
        <v>0.01</v>
      </c>
      <c r="F74" s="321">
        <f t="shared" si="45"/>
        <v>0.01</v>
      </c>
      <c r="G74" s="321">
        <f t="shared" si="45"/>
        <v>0.01</v>
      </c>
      <c r="H74" s="321">
        <f t="shared" si="45"/>
        <v>0.01</v>
      </c>
      <c r="I74" s="321">
        <f t="shared" si="45"/>
        <v>0.01</v>
      </c>
    </row>
    <row r="75" outlineLevel="1">
      <c r="A75" s="138"/>
      <c r="B75" s="300"/>
      <c r="C75" s="299"/>
      <c r="D75" s="311"/>
      <c r="E75" s="311"/>
      <c r="F75" s="311"/>
      <c r="G75" s="311"/>
      <c r="H75" s="311"/>
      <c r="I75" s="311"/>
    </row>
    <row r="76" outlineLevel="1">
      <c r="A76" s="312" t="s">
        <v>264</v>
      </c>
      <c r="B76" s="300"/>
      <c r="C76" s="299"/>
      <c r="D76" s="311"/>
      <c r="E76" s="311"/>
      <c r="F76" s="311"/>
      <c r="G76" s="311"/>
      <c r="H76" s="311"/>
      <c r="I76" s="311"/>
    </row>
    <row r="77" outlineLevel="1">
      <c r="A77" s="138" t="s">
        <v>265</v>
      </c>
      <c r="B77" s="151">
        <f t="shared" ref="B77:B80" si="47">index(A77:I77,,match($A$3,$A$1:$I$1,0))</f>
        <v>0</v>
      </c>
      <c r="C77" s="155">
        <v>0.0</v>
      </c>
      <c r="D77" s="317">
        <f t="shared" ref="D77:I77" si="46">$C77</f>
        <v>0</v>
      </c>
      <c r="E77" s="317">
        <f t="shared" si="46"/>
        <v>0</v>
      </c>
      <c r="F77" s="317">
        <f t="shared" si="46"/>
        <v>0</v>
      </c>
      <c r="G77" s="317">
        <f t="shared" si="46"/>
        <v>0</v>
      </c>
      <c r="H77" s="317">
        <f t="shared" si="46"/>
        <v>0</v>
      </c>
      <c r="I77" s="317">
        <f t="shared" si="46"/>
        <v>0</v>
      </c>
    </row>
    <row r="78" outlineLevel="1">
      <c r="A78" s="138" t="s">
        <v>266</v>
      </c>
      <c r="B78" s="151">
        <f t="shared" si="47"/>
        <v>0</v>
      </c>
      <c r="C78" s="155">
        <v>0.0</v>
      </c>
      <c r="D78" s="317">
        <f t="shared" ref="D78:I78" si="48">$C78</f>
        <v>0</v>
      </c>
      <c r="E78" s="317">
        <f t="shared" si="48"/>
        <v>0</v>
      </c>
      <c r="F78" s="317">
        <f t="shared" si="48"/>
        <v>0</v>
      </c>
      <c r="G78" s="317">
        <f t="shared" si="48"/>
        <v>0</v>
      </c>
      <c r="H78" s="317">
        <f t="shared" si="48"/>
        <v>0</v>
      </c>
      <c r="I78" s="317">
        <f t="shared" si="48"/>
        <v>0</v>
      </c>
    </row>
    <row r="79" outlineLevel="1">
      <c r="A79" s="138" t="s">
        <v>267</v>
      </c>
      <c r="B79" s="498">
        <f t="shared" si="47"/>
        <v>0.05</v>
      </c>
      <c r="C79" s="499">
        <v>0.05</v>
      </c>
      <c r="D79" s="317">
        <f t="shared" ref="D79:I79" si="49">$C79</f>
        <v>0.05</v>
      </c>
      <c r="E79" s="317">
        <f t="shared" si="49"/>
        <v>0.05</v>
      </c>
      <c r="F79" s="317">
        <f t="shared" si="49"/>
        <v>0.05</v>
      </c>
      <c r="G79" s="317">
        <f t="shared" si="49"/>
        <v>0.05</v>
      </c>
      <c r="H79" s="317">
        <f t="shared" si="49"/>
        <v>0.05</v>
      </c>
      <c r="I79" s="317">
        <f t="shared" si="49"/>
        <v>0.05</v>
      </c>
    </row>
    <row r="80" outlineLevel="1">
      <c r="A80" s="322" t="s">
        <v>268</v>
      </c>
      <c r="B80" s="151">
        <f t="shared" si="47"/>
        <v>0.05</v>
      </c>
      <c r="C80" s="152">
        <f t="shared" ref="C80:I80" si="50">sum(C77:C79)</f>
        <v>0.05</v>
      </c>
      <c r="D80" s="321">
        <f t="shared" si="50"/>
        <v>0.05</v>
      </c>
      <c r="E80" s="321">
        <f t="shared" si="50"/>
        <v>0.05</v>
      </c>
      <c r="F80" s="321">
        <f t="shared" si="50"/>
        <v>0.05</v>
      </c>
      <c r="G80" s="321">
        <f t="shared" si="50"/>
        <v>0.05</v>
      </c>
      <c r="H80" s="321">
        <f t="shared" si="50"/>
        <v>0.05</v>
      </c>
      <c r="I80" s="321">
        <f t="shared" si="50"/>
        <v>0.05</v>
      </c>
    </row>
    <row r="81" outlineLevel="1">
      <c r="A81" s="138"/>
      <c r="B81" s="300"/>
      <c r="C81" s="299"/>
      <c r="D81" s="311"/>
      <c r="E81" s="311"/>
      <c r="F81" s="311"/>
      <c r="G81" s="311"/>
      <c r="H81" s="311"/>
      <c r="I81" s="311"/>
    </row>
    <row r="82">
      <c r="A82" s="112" t="s">
        <v>269</v>
      </c>
      <c r="B82" s="315">
        <f t="array" ref="B82">index(A82:I82,,match($A$3,$A$1:$I$1,0))</f>
        <v>0.92</v>
      </c>
      <c r="C82" s="153">
        <f t="shared" ref="C82:I82" si="51">1-sum(C69,C74,C80)</f>
        <v>0.92</v>
      </c>
      <c r="D82" s="153">
        <f t="shared" si="51"/>
        <v>0.92</v>
      </c>
      <c r="E82" s="153">
        <f t="shared" si="51"/>
        <v>0.92</v>
      </c>
      <c r="F82" s="153">
        <f t="shared" si="51"/>
        <v>0.92</v>
      </c>
      <c r="G82" s="153">
        <f t="shared" si="51"/>
        <v>0.92</v>
      </c>
      <c r="H82" s="153">
        <f t="shared" si="51"/>
        <v>0.92</v>
      </c>
      <c r="I82" s="153">
        <f t="shared" si="51"/>
        <v>0.92</v>
      </c>
    </row>
    <row r="83">
      <c r="A83" s="121"/>
      <c r="B83" s="479"/>
      <c r="C83" s="121"/>
      <c r="D83" s="121"/>
      <c r="E83" s="121"/>
      <c r="F83" s="121"/>
      <c r="G83" s="121"/>
      <c r="H83" s="121"/>
      <c r="I83" s="121"/>
    </row>
    <row r="84">
      <c r="A84" s="241" t="s">
        <v>270</v>
      </c>
      <c r="B84" s="242"/>
      <c r="C84" s="243"/>
      <c r="D84" s="243"/>
      <c r="E84" s="243"/>
      <c r="F84" s="243"/>
      <c r="G84" s="243"/>
      <c r="H84" s="243"/>
      <c r="I84" s="243"/>
    </row>
    <row r="85">
      <c r="A85" s="121"/>
      <c r="B85" s="479"/>
      <c r="C85" s="121"/>
      <c r="D85" s="121"/>
      <c r="E85" s="121"/>
      <c r="F85" s="121"/>
      <c r="G85" s="121"/>
      <c r="H85" s="121"/>
      <c r="I85" s="121"/>
    </row>
    <row r="86">
      <c r="A86" s="500" t="s">
        <v>281</v>
      </c>
      <c r="B86" s="298">
        <f t="shared" ref="B86:B88" si="53">index(C86:R86,,match($A$3,$C$1:$R$1,0))</f>
        <v>6740.153363</v>
      </c>
      <c r="C86" s="417">
        <f>sum(D86:I86)</f>
        <v>6740.153363</v>
      </c>
      <c r="D86" s="417">
        <f t="shared" ref="D86:I86" si="52">D58*D82</f>
        <v>4103.214775</v>
      </c>
      <c r="E86" s="417">
        <f t="shared" si="52"/>
        <v>767.2529353</v>
      </c>
      <c r="F86" s="417">
        <f t="shared" si="52"/>
        <v>100.5439186</v>
      </c>
      <c r="G86" s="417">
        <f t="shared" si="52"/>
        <v>679.4585543</v>
      </c>
      <c r="H86" s="417">
        <f t="shared" si="52"/>
        <v>545.9395298</v>
      </c>
      <c r="I86" s="417">
        <f t="shared" si="52"/>
        <v>543.74365</v>
      </c>
    </row>
    <row r="87">
      <c r="A87" s="82" t="s">
        <v>369</v>
      </c>
      <c r="B87" s="450">
        <f t="shared" si="53"/>
        <v>0.04233591954</v>
      </c>
      <c r="C87" s="342">
        <f t="shared" ref="C87:I87" si="54">C86/C39</f>
        <v>0.04233591954</v>
      </c>
      <c r="D87" s="342">
        <f t="shared" si="54"/>
        <v>0.08280578319</v>
      </c>
      <c r="E87" s="342">
        <f t="shared" si="54"/>
        <v>0.01422644348</v>
      </c>
      <c r="F87" s="342">
        <f t="shared" si="54"/>
        <v>0.0142605434</v>
      </c>
      <c r="G87" s="342">
        <f t="shared" si="54"/>
        <v>0.03917229277</v>
      </c>
      <c r="H87" s="342">
        <f t="shared" si="54"/>
        <v>0.03575586908</v>
      </c>
      <c r="I87" s="342">
        <f t="shared" si="54"/>
        <v>0.0338605044</v>
      </c>
    </row>
    <row r="88">
      <c r="A88" s="67" t="s">
        <v>275</v>
      </c>
      <c r="B88" s="306">
        <f t="shared" si="53"/>
        <v>12.30751856</v>
      </c>
      <c r="C88" s="501">
        <f t="array" ref="C88">C87/index(GiveDirectly!$B:$B,match("Units of value generated per dollar spent",GiveDirectly!$A:$A,0))</f>
        <v>12.30751856</v>
      </c>
      <c r="D88" s="501">
        <f t="array" ref="D88">D87/index(GiveDirectly!$B:$B,match("Units of value generated per dollar spent",GiveDirectly!$A:$A,0))</f>
        <v>24.07255411</v>
      </c>
      <c r="E88" s="501">
        <f t="array" ref="E88">E87/index(GiveDirectly!$B:$B,match("Units of value generated per dollar spent",GiveDirectly!$A:$A,0))</f>
        <v>4.135783965</v>
      </c>
      <c r="F88" s="501">
        <f t="array" ref="F88">F87/index(GiveDirectly!$B:$B,match("Units of value generated per dollar spent",GiveDirectly!$A:$A,0))</f>
        <v>4.14569719</v>
      </c>
      <c r="G88" s="501">
        <f t="array" ref="G88">G87/index(GiveDirectly!$B:$B,match("Units of value generated per dollar spent",GiveDirectly!$A:$A,0))</f>
        <v>11.38781738</v>
      </c>
      <c r="H88" s="501">
        <f t="array" ref="H88">H87/index(GiveDirectly!$B:$B,match("Units of value generated per dollar spent",GiveDirectly!$A:$A,0))</f>
        <v>10.39462535</v>
      </c>
      <c r="I88" s="501">
        <f t="array" ref="I88">I87/index(GiveDirectly!$B:$B,match("Units of value generated per dollar spent",GiveDirectly!$A:$A,0))</f>
        <v>9.843621939</v>
      </c>
    </row>
    <row r="89">
      <c r="A89" s="121"/>
      <c r="B89" s="479"/>
      <c r="C89" s="121"/>
      <c r="D89" s="121"/>
      <c r="E89" s="121"/>
      <c r="F89" s="121"/>
      <c r="G89" s="121"/>
      <c r="H89" s="121"/>
      <c r="I89" s="121"/>
    </row>
    <row r="90">
      <c r="A90" s="308" t="s">
        <v>370</v>
      </c>
      <c r="B90" s="309"/>
      <c r="C90" s="308"/>
      <c r="D90" s="308"/>
      <c r="E90" s="308"/>
      <c r="F90" s="308"/>
      <c r="G90" s="308"/>
      <c r="H90" s="308"/>
      <c r="I90" s="308"/>
    </row>
    <row r="91" outlineLevel="1">
      <c r="A91" s="310" t="s">
        <v>277</v>
      </c>
      <c r="B91" s="330"/>
      <c r="C91" s="331"/>
      <c r="D91" s="331"/>
      <c r="E91" s="331"/>
      <c r="F91" s="331"/>
      <c r="G91" s="331"/>
      <c r="H91" s="331"/>
      <c r="I91" s="331"/>
    </row>
    <row r="92" outlineLevel="1">
      <c r="A92" s="118" t="str">
        <f>IFERROR(__xludf.DUMMYFUNCTION("filter(InclusionExclusion!C:C,InclusionExclusion!A:A=""Deworming"",InclusionExclusion!D:D=""Included"")"),"Developmental effects")</f>
        <v>Developmental effects</v>
      </c>
      <c r="B92" s="330"/>
      <c r="C92" s="331"/>
      <c r="D92" s="331"/>
      <c r="E92" s="331"/>
      <c r="F92" s="331"/>
      <c r="G92" s="331"/>
      <c r="H92" s="331"/>
      <c r="I92" s="331"/>
    </row>
    <row r="93" outlineLevel="1">
      <c r="A93" s="112"/>
      <c r="B93" s="330"/>
      <c r="C93" s="311"/>
      <c r="D93" s="331"/>
      <c r="E93" s="331"/>
      <c r="F93" s="331"/>
      <c r="G93" s="331"/>
      <c r="H93" s="331"/>
      <c r="I93" s="331"/>
    </row>
    <row r="94" outlineLevel="1">
      <c r="A94" s="310" t="s">
        <v>278</v>
      </c>
      <c r="B94" s="330"/>
      <c r="C94" s="331"/>
      <c r="D94" s="331"/>
      <c r="E94" s="331"/>
      <c r="F94" s="331"/>
      <c r="G94" s="331"/>
      <c r="H94" s="331"/>
      <c r="I94" s="331"/>
    </row>
    <row r="95" outlineLevel="1">
      <c r="A95" s="118" t="str">
        <f>IFERROR(__xludf.DUMMYFUNCTION("filter(InclusionExclusion!C:C,InclusionExclusion!A:A=""Deworming"",InclusionExclusion!D:D=""Excluded"",InclusionExclusion!B:B=""SCIDTWI"")"),"Direct health effects")</f>
        <v>Direct health effects</v>
      </c>
      <c r="B95" s="313">
        <f t="shared" ref="B95:B106" si="56">index(A95:I95,,match($A$3,$A$1:$I$1,0))</f>
        <v>0.008</v>
      </c>
      <c r="C95" s="314">
        <f t="array" ref="C95">iferror(if(isblank(A95),"",index(InclusionExclusion!$M:M,match(1,(InclusionExclusion!C:C=A95)*(InclusionExclusion!A:A="Deworming"),0))),"Not specified")</f>
        <v>0.008</v>
      </c>
      <c r="D95" s="334">
        <f t="shared" ref="D95:I95" si="55">$C95</f>
        <v>0.008</v>
      </c>
      <c r="E95" s="334">
        <f t="shared" si="55"/>
        <v>0.008</v>
      </c>
      <c r="F95" s="334">
        <f t="shared" si="55"/>
        <v>0.008</v>
      </c>
      <c r="G95" s="334">
        <f t="shared" si="55"/>
        <v>0.008</v>
      </c>
      <c r="H95" s="334">
        <f t="shared" si="55"/>
        <v>0.008</v>
      </c>
      <c r="I95" s="334">
        <f t="shared" si="55"/>
        <v>0.008</v>
      </c>
    </row>
    <row r="96" outlineLevel="1">
      <c r="A96" s="176" t="str">
        <f>IFERROR(__xludf.DUMMYFUNCTION("""COMPUTED_VALUE"""),"HIV reduction")</f>
        <v>HIV reduction</v>
      </c>
      <c r="B96" s="313">
        <f t="shared" si="56"/>
        <v>0.06</v>
      </c>
      <c r="C96" s="314">
        <f t="array" ref="C96">iferror(if(isblank(A96),"",index(InclusionExclusion!$M:M,match(1,(InclusionExclusion!C:C=A96)*(InclusionExclusion!A:A="Deworming"),0))),"Not specified")</f>
        <v>0.06</v>
      </c>
      <c r="D96" s="334">
        <f t="shared" ref="D96:I96" si="57">$C96</f>
        <v>0.06</v>
      </c>
      <c r="E96" s="334">
        <f t="shared" si="57"/>
        <v>0.06</v>
      </c>
      <c r="F96" s="334">
        <f t="shared" si="57"/>
        <v>0.06</v>
      </c>
      <c r="G96" s="334">
        <f t="shared" si="57"/>
        <v>0.06</v>
      </c>
      <c r="H96" s="334">
        <f t="shared" si="57"/>
        <v>0.06</v>
      </c>
      <c r="I96" s="334">
        <f t="shared" si="57"/>
        <v>0.06</v>
      </c>
    </row>
    <row r="97" outlineLevel="1">
      <c r="A97" s="176" t="str">
        <f>IFERROR(__xludf.DUMMYFUNCTION("""COMPUTED_VALUE"""),"Possible increases in diseases of affluence (harms of deworming)")</f>
        <v>Possible increases in diseases of affluence (harms of deworming)</v>
      </c>
      <c r="B97" s="313">
        <f t="shared" si="56"/>
        <v>-0.025</v>
      </c>
      <c r="C97" s="314">
        <f t="array" ref="C97">iferror(if(isblank(A97),"",index(InclusionExclusion!$M:M,match(1,(InclusionExclusion!C:C=A97)*(InclusionExclusion!A:A="Deworming"),0))),"Not specified")</f>
        <v>-0.025</v>
      </c>
      <c r="D97" s="334">
        <f t="shared" ref="D97:I97" si="58">$C97</f>
        <v>-0.025</v>
      </c>
      <c r="E97" s="334">
        <f t="shared" si="58"/>
        <v>-0.025</v>
      </c>
      <c r="F97" s="334">
        <f t="shared" si="58"/>
        <v>-0.025</v>
      </c>
      <c r="G97" s="334">
        <f t="shared" si="58"/>
        <v>-0.025</v>
      </c>
      <c r="H97" s="334">
        <f t="shared" si="58"/>
        <v>-0.025</v>
      </c>
      <c r="I97" s="334">
        <f t="shared" si="58"/>
        <v>-0.025</v>
      </c>
    </row>
    <row r="98" outlineLevel="1">
      <c r="A98" s="176" t="str">
        <f>IFERROR(__xludf.DUMMYFUNCTION("""COMPUTED_VALUE"""),"Averted mortality")</f>
        <v>Averted mortality</v>
      </c>
      <c r="B98" s="313">
        <f t="shared" si="56"/>
        <v>0.035</v>
      </c>
      <c r="C98" s="314">
        <f t="array" ref="C98">iferror(if(isblank(A98),"",index(InclusionExclusion!$M:M,match(1,(InclusionExclusion!C:C=A98)*(InclusionExclusion!A:A="Deworming"),0))),"Not specified")</f>
        <v>0.035</v>
      </c>
      <c r="D98" s="334">
        <f t="shared" ref="D98:I98" si="59">$C98</f>
        <v>0.035</v>
      </c>
      <c r="E98" s="334">
        <f t="shared" si="59"/>
        <v>0.035</v>
      </c>
      <c r="F98" s="334">
        <f t="shared" si="59"/>
        <v>0.035</v>
      </c>
      <c r="G98" s="334">
        <f t="shared" si="59"/>
        <v>0.035</v>
      </c>
      <c r="H98" s="334">
        <f t="shared" si="59"/>
        <v>0.035</v>
      </c>
      <c r="I98" s="334">
        <f t="shared" si="59"/>
        <v>0.035</v>
      </c>
    </row>
    <row r="99" outlineLevel="1">
      <c r="A99" s="176" t="str">
        <f>IFERROR(__xludf.DUMMYFUNCTION("""COMPUTED_VALUE"""),"Short-term anemia effects")</f>
        <v>Short-term anemia effects</v>
      </c>
      <c r="B99" s="313">
        <f t="shared" si="56"/>
        <v>0.09</v>
      </c>
      <c r="C99" s="314">
        <f t="array" ref="C99">iferror(if(isblank(A99),"",index(InclusionExclusion!$M:M,match(1,(InclusionExclusion!C:C=A99)*(InclusionExclusion!A:A="Deworming"),0))),"Not specified")</f>
        <v>0.09</v>
      </c>
      <c r="D99" s="334">
        <f t="shared" ref="D99:I99" si="60">$C99</f>
        <v>0.09</v>
      </c>
      <c r="E99" s="334">
        <f t="shared" si="60"/>
        <v>0.09</v>
      </c>
      <c r="F99" s="334">
        <f t="shared" si="60"/>
        <v>0.09</v>
      </c>
      <c r="G99" s="334">
        <f t="shared" si="60"/>
        <v>0.09</v>
      </c>
      <c r="H99" s="334">
        <f t="shared" si="60"/>
        <v>0.09</v>
      </c>
      <c r="I99" s="334">
        <f t="shared" si="60"/>
        <v>0.09</v>
      </c>
    </row>
    <row r="100" outlineLevel="1">
      <c r="A100" s="96" t="str">
        <f>IFERROR(__xludf.DUMMYFUNCTION("""COMPUTED_VALUE"""),"Investment of income increases")</f>
        <v>Investment of income increases</v>
      </c>
      <c r="B100" s="313">
        <f t="shared" si="56"/>
        <v>0.1</v>
      </c>
      <c r="C100" s="314">
        <f t="array" ref="C100">iferror(if(isblank(A100),"",index(InclusionExclusion!$M:M,match(1,(InclusionExclusion!C:C=A100)*(InclusionExclusion!A:A="Deworming"),0))),"Not specified")</f>
        <v>0.1</v>
      </c>
      <c r="D100" s="334">
        <f t="shared" ref="D100:I100" si="61">$C100</f>
        <v>0.1</v>
      </c>
      <c r="E100" s="334">
        <f t="shared" si="61"/>
        <v>0.1</v>
      </c>
      <c r="F100" s="334">
        <f t="shared" si="61"/>
        <v>0.1</v>
      </c>
      <c r="G100" s="334">
        <f t="shared" si="61"/>
        <v>0.1</v>
      </c>
      <c r="H100" s="334">
        <f t="shared" si="61"/>
        <v>0.1</v>
      </c>
      <c r="I100" s="334">
        <f t="shared" si="61"/>
        <v>0.1</v>
      </c>
    </row>
    <row r="101" outlineLevel="1">
      <c r="A101" s="176" t="str">
        <f>IFERROR(__xludf.DUMMYFUNCTION("""COMPUTED_VALUE"""),"Non-income long-run benefits of deworming")</f>
        <v>Non-income long-run benefits of deworming</v>
      </c>
      <c r="B101" s="313">
        <f t="shared" si="56"/>
        <v>0.04</v>
      </c>
      <c r="C101" s="314">
        <f t="array" ref="C101">iferror(if(isblank(A101),"",index(InclusionExclusion!$M:M,match(1,(InclusionExclusion!C:C=A101)*(InclusionExclusion!A:A="Deworming"),0))),"Not specified")</f>
        <v>0.04</v>
      </c>
      <c r="D101" s="334">
        <f t="shared" ref="D101:I101" si="62">$C101</f>
        <v>0.04</v>
      </c>
      <c r="E101" s="334">
        <f t="shared" si="62"/>
        <v>0.04</v>
      </c>
      <c r="F101" s="334">
        <f t="shared" si="62"/>
        <v>0.04</v>
      </c>
      <c r="G101" s="334">
        <f t="shared" si="62"/>
        <v>0.04</v>
      </c>
      <c r="H101" s="334">
        <f t="shared" si="62"/>
        <v>0.04</v>
      </c>
      <c r="I101" s="334">
        <f t="shared" si="62"/>
        <v>0.04</v>
      </c>
    </row>
    <row r="102" outlineLevel="1">
      <c r="A102" s="176" t="str">
        <f>IFERROR(__xludf.DUMMYFUNCTION("""COMPUTED_VALUE"""),"Drug resistance")</f>
        <v>Drug resistance</v>
      </c>
      <c r="B102" s="313">
        <f t="shared" si="56"/>
        <v>-0.04</v>
      </c>
      <c r="C102" s="314">
        <f t="array" ref="C102">iferror(if(isblank(A102),"",index(InclusionExclusion!$M:M,match(1,(InclusionExclusion!C:C=A102)*(InclusionExclusion!A:A="Deworming"),0))),"Not specified")</f>
        <v>-0.04</v>
      </c>
      <c r="D102" s="334">
        <f t="shared" ref="D102:I102" si="63">$C102</f>
        <v>-0.04</v>
      </c>
      <c r="E102" s="334">
        <f t="shared" si="63"/>
        <v>-0.04</v>
      </c>
      <c r="F102" s="334">
        <f t="shared" si="63"/>
        <v>-0.04</v>
      </c>
      <c r="G102" s="334">
        <f t="shared" si="63"/>
        <v>-0.04</v>
      </c>
      <c r="H102" s="334">
        <f t="shared" si="63"/>
        <v>-0.04</v>
      </c>
      <c r="I102" s="334">
        <f t="shared" si="63"/>
        <v>-0.04</v>
      </c>
    </row>
    <row r="103" outlineLevel="1">
      <c r="A103" s="176" t="str">
        <f>IFERROR(__xludf.DUMMYFUNCTION("""COMPUTED_VALUE"""),"Unprogrammed deworming")</f>
        <v>Unprogrammed deworming</v>
      </c>
      <c r="B103" s="313">
        <f t="shared" si="56"/>
        <v>-0.14</v>
      </c>
      <c r="C103" s="502">
        <f t="array" ref="C103">iferror(if(isblank(A103),"",index(InclusionExclusion!$M:M,match(1,(InclusionExclusion!C:C=A103)*(InclusionExclusion!A:A="Deworming"),0))),"Not specified")</f>
        <v>-0.14</v>
      </c>
      <c r="D103" s="334">
        <f t="shared" ref="D103:I103" si="64">$C103</f>
        <v>-0.14</v>
      </c>
      <c r="E103" s="334">
        <f t="shared" si="64"/>
        <v>-0.14</v>
      </c>
      <c r="F103" s="334">
        <f t="shared" si="64"/>
        <v>-0.14</v>
      </c>
      <c r="G103" s="334">
        <f t="shared" si="64"/>
        <v>-0.14</v>
      </c>
      <c r="H103" s="334">
        <f t="shared" si="64"/>
        <v>-0.14</v>
      </c>
      <c r="I103" s="334">
        <f t="shared" si="64"/>
        <v>-0.14</v>
      </c>
    </row>
    <row r="104" outlineLevel="1">
      <c r="A104" s="176" t="str">
        <f>IFERROR(__xludf.DUMMYFUNCTION("""COMPUTED_VALUE"""),"Marginal funding goes to lower priority areas")</f>
        <v>Marginal funding goes to lower priority areas</v>
      </c>
      <c r="B104" s="313">
        <f t="shared" si="56"/>
        <v>-0.025</v>
      </c>
      <c r="C104" s="502">
        <f t="array" ref="C104">iferror(if(isblank(A104),"",index(InclusionExclusion!$M:M,match(1,(InclusionExclusion!C:C=A104)*(InclusionExclusion!A:A="Deworming"),0))),"Not specified")</f>
        <v>-0.025</v>
      </c>
      <c r="D104" s="334">
        <f t="shared" ref="D104:I104" si="65">$C104</f>
        <v>-0.025</v>
      </c>
      <c r="E104" s="334">
        <f t="shared" si="65"/>
        <v>-0.025</v>
      </c>
      <c r="F104" s="334">
        <f t="shared" si="65"/>
        <v>-0.025</v>
      </c>
      <c r="G104" s="334">
        <f t="shared" si="65"/>
        <v>-0.025</v>
      </c>
      <c r="H104" s="334">
        <f t="shared" si="65"/>
        <v>-0.025</v>
      </c>
      <c r="I104" s="334">
        <f t="shared" si="65"/>
        <v>-0.025</v>
      </c>
    </row>
    <row r="105" outlineLevel="1">
      <c r="A105" s="96" t="str">
        <f>IFERROR(__xludf.DUMMYFUNCTION("""COMPUTED_VALUE"""),"General equilibrium effects")</f>
        <v>General equilibrium effects</v>
      </c>
      <c r="B105" s="313">
        <f t="shared" si="56"/>
        <v>-0.03</v>
      </c>
      <c r="C105" s="502">
        <f t="array" ref="C105">iferror(if(isblank(A105),"",index(InclusionExclusion!$M:M,match(1,(InclusionExclusion!C:C=A105)*(InclusionExclusion!A:A="Deworming"),0))),"Not specified")</f>
        <v>-0.03</v>
      </c>
      <c r="D105" s="334">
        <f t="shared" ref="D105:I105" si="66">$C105</f>
        <v>-0.03</v>
      </c>
      <c r="E105" s="334">
        <f t="shared" si="66"/>
        <v>-0.03</v>
      </c>
      <c r="F105" s="334">
        <f t="shared" si="66"/>
        <v>-0.03</v>
      </c>
      <c r="G105" s="334">
        <f t="shared" si="66"/>
        <v>-0.03</v>
      </c>
      <c r="H105" s="334">
        <f t="shared" si="66"/>
        <v>-0.03</v>
      </c>
      <c r="I105" s="334">
        <f t="shared" si="66"/>
        <v>-0.03</v>
      </c>
    </row>
    <row r="106" outlineLevel="1">
      <c r="A106" s="96"/>
      <c r="B106" s="313" t="str">
        <f t="shared" si="56"/>
        <v/>
      </c>
      <c r="C106" s="502" t="str">
        <f t="array" ref="C106">iferror(if(isblank(A106),"",index(InclusionExclusion!$M:M,match(1,(InclusionExclusion!C:C=A106)*(InclusionExclusion!A:A="Deworming"),0))),"Not specified")</f>
        <v/>
      </c>
      <c r="D106" s="334" t="str">
        <f t="shared" ref="D106:I106" si="67">$C106</f>
        <v/>
      </c>
      <c r="E106" s="334" t="str">
        <f t="shared" si="67"/>
        <v/>
      </c>
      <c r="F106" s="334" t="str">
        <f t="shared" si="67"/>
        <v/>
      </c>
      <c r="G106" s="334" t="str">
        <f t="shared" si="67"/>
        <v/>
      </c>
      <c r="H106" s="334" t="str">
        <f t="shared" si="67"/>
        <v/>
      </c>
      <c r="I106" s="334" t="str">
        <f t="shared" si="67"/>
        <v/>
      </c>
    </row>
    <row r="107" outlineLevel="1">
      <c r="A107" s="96"/>
      <c r="B107" s="313"/>
      <c r="C107" s="314" t="str">
        <f t="array" ref="C107">iferror(if(isblank(A107),"",index(InclusionExclusion!$M:M,match(1,(InclusionExclusion!C:C=A107)*(InclusionExclusion!A:A="Deworming"),0))),"Not specified")</f>
        <v/>
      </c>
      <c r="D107" s="334" t="str">
        <f t="shared" ref="D107:I107" si="68">$C107</f>
        <v/>
      </c>
      <c r="E107" s="334" t="str">
        <f t="shared" si="68"/>
        <v/>
      </c>
      <c r="F107" s="334" t="str">
        <f t="shared" si="68"/>
        <v/>
      </c>
      <c r="G107" s="334" t="str">
        <f t="shared" si="68"/>
        <v/>
      </c>
      <c r="H107" s="334" t="str">
        <f t="shared" si="68"/>
        <v/>
      </c>
      <c r="I107" s="334" t="str">
        <f t="shared" si="68"/>
        <v/>
      </c>
    </row>
    <row r="108">
      <c r="A108" s="335" t="s">
        <v>279</v>
      </c>
      <c r="B108" s="315">
        <f t="array" ref="B108">index(A108:I108,,match($A$3,$A$1:$I$1,0))</f>
        <v>1.073</v>
      </c>
      <c r="C108" s="153">
        <f t="shared" ref="C108:I108" si="69">1+sum(C94:C107)</f>
        <v>1.073</v>
      </c>
      <c r="D108" s="153">
        <f t="shared" si="69"/>
        <v>1.073</v>
      </c>
      <c r="E108" s="153">
        <f t="shared" si="69"/>
        <v>1.073</v>
      </c>
      <c r="F108" s="153">
        <f t="shared" si="69"/>
        <v>1.073</v>
      </c>
      <c r="G108" s="153">
        <f t="shared" si="69"/>
        <v>1.073</v>
      </c>
      <c r="H108" s="153">
        <f t="shared" si="69"/>
        <v>1.073</v>
      </c>
      <c r="I108" s="153">
        <f t="shared" si="69"/>
        <v>1.073</v>
      </c>
    </row>
    <row r="109">
      <c r="A109" s="121"/>
      <c r="B109" s="479"/>
      <c r="C109" s="121"/>
      <c r="D109" s="121"/>
      <c r="E109" s="121"/>
      <c r="F109" s="121"/>
      <c r="G109" s="121"/>
      <c r="H109" s="121"/>
      <c r="I109" s="121"/>
    </row>
    <row r="110">
      <c r="A110" s="241" t="s">
        <v>280</v>
      </c>
      <c r="B110" s="242"/>
      <c r="C110" s="243"/>
      <c r="D110" s="243"/>
      <c r="E110" s="243"/>
      <c r="F110" s="243"/>
      <c r="G110" s="243"/>
      <c r="H110" s="243"/>
      <c r="I110" s="243"/>
    </row>
    <row r="111">
      <c r="A111" s="121"/>
      <c r="B111" s="479"/>
      <c r="C111" s="121"/>
      <c r="D111" s="121"/>
      <c r="E111" s="121"/>
      <c r="F111" s="121"/>
      <c r="G111" s="121"/>
      <c r="H111" s="121"/>
      <c r="I111" s="121"/>
    </row>
    <row r="112">
      <c r="A112" s="500" t="s">
        <v>281</v>
      </c>
      <c r="B112" s="298">
        <f t="shared" ref="B112:B114" si="71">index(C112:R112,,match($A$3,$C$1:$R$1,0))</f>
        <v>7232.184559</v>
      </c>
      <c r="C112" s="417">
        <f>sum(D112:I112)</f>
        <v>7232.184559</v>
      </c>
      <c r="D112" s="417">
        <f t="shared" ref="D112:I112" si="70">D86*D108</f>
        <v>4402.749454</v>
      </c>
      <c r="E112" s="417">
        <f t="shared" si="70"/>
        <v>823.2623995</v>
      </c>
      <c r="F112" s="417">
        <f t="shared" si="70"/>
        <v>107.8836247</v>
      </c>
      <c r="G112" s="417">
        <f t="shared" si="70"/>
        <v>729.0590288</v>
      </c>
      <c r="H112" s="417">
        <f t="shared" si="70"/>
        <v>585.7931154</v>
      </c>
      <c r="I112" s="417">
        <f t="shared" si="70"/>
        <v>583.4369365</v>
      </c>
    </row>
    <row r="113">
      <c r="A113" s="82" t="s">
        <v>369</v>
      </c>
      <c r="B113" s="450">
        <f t="shared" si="71"/>
        <v>0.04542644167</v>
      </c>
      <c r="C113" s="342">
        <f t="shared" ref="C113:I113" si="72">C112/C39</f>
        <v>0.04542644167</v>
      </c>
      <c r="D113" s="342">
        <f t="shared" si="72"/>
        <v>0.08885060537</v>
      </c>
      <c r="E113" s="342">
        <f t="shared" si="72"/>
        <v>0.01526497385</v>
      </c>
      <c r="F113" s="342">
        <f t="shared" si="72"/>
        <v>0.01530156307</v>
      </c>
      <c r="G113" s="342">
        <f t="shared" si="72"/>
        <v>0.04203187014</v>
      </c>
      <c r="H113" s="342">
        <f t="shared" si="72"/>
        <v>0.03836604753</v>
      </c>
      <c r="I113" s="342">
        <f t="shared" si="72"/>
        <v>0.03633232122</v>
      </c>
    </row>
    <row r="114">
      <c r="A114" s="67" t="s">
        <v>282</v>
      </c>
      <c r="B114" s="306">
        <f t="shared" si="71"/>
        <v>13.20596742</v>
      </c>
      <c r="C114" s="503">
        <f t="array" ref="C114">C113/index(GiveDirectly!$B:$B,match("Units of value generated per dollar spent",GiveDirectly!$A:$A,0))</f>
        <v>13.20596742</v>
      </c>
      <c r="D114" s="503">
        <f t="array" ref="D114">D113/index(GiveDirectly!$B:$B,match("Units of value generated per dollar spent",GiveDirectly!$A:$A,0))</f>
        <v>25.82985056</v>
      </c>
      <c r="E114" s="503">
        <f t="array" ref="E114">E113/index(GiveDirectly!$B:$B,match("Units of value generated per dollar spent",GiveDirectly!$A:$A,0))</f>
        <v>4.437696194</v>
      </c>
      <c r="F114" s="503">
        <f t="array" ref="F114">F113/index(GiveDirectly!$B:$B,match("Units of value generated per dollar spent",GiveDirectly!$A:$A,0))</f>
        <v>4.448333084</v>
      </c>
      <c r="G114" s="503">
        <f t="array" ref="G114">G113/index(GiveDirectly!$B:$B,match("Units of value generated per dollar spent",GiveDirectly!$A:$A,0))</f>
        <v>12.21912805</v>
      </c>
      <c r="H114" s="503">
        <f t="array" ref="H114">H113/index(GiveDirectly!$B:$B,match("Units of value generated per dollar spent",GiveDirectly!$A:$A,0))</f>
        <v>11.153433</v>
      </c>
      <c r="I114" s="503">
        <f t="array" ref="I114">I113/index(GiveDirectly!$B:$B,match("Units of value generated per dollar spent",GiveDirectly!$A:$A,0))</f>
        <v>10.56220634</v>
      </c>
    </row>
    <row r="115">
      <c r="A115" s="121"/>
      <c r="B115" s="479"/>
      <c r="C115" s="121"/>
      <c r="D115" s="121"/>
      <c r="E115" s="121"/>
      <c r="F115" s="121"/>
      <c r="G115" s="121"/>
      <c r="H115" s="121"/>
      <c r="I115" s="121"/>
    </row>
    <row r="116">
      <c r="A116" s="418" t="s">
        <v>371</v>
      </c>
      <c r="B116" s="242"/>
      <c r="C116" s="243"/>
      <c r="D116" s="243"/>
      <c r="E116" s="243"/>
      <c r="F116" s="243"/>
      <c r="G116" s="243"/>
      <c r="H116" s="243"/>
      <c r="I116" s="243"/>
    </row>
    <row r="117" outlineLevel="1">
      <c r="A117" s="287"/>
      <c r="B117" s="479"/>
      <c r="C117" s="121"/>
      <c r="D117" s="453"/>
      <c r="E117" s="453"/>
      <c r="F117" s="452"/>
      <c r="G117" s="453"/>
      <c r="H117" s="453"/>
      <c r="I117" s="453"/>
    </row>
    <row r="118" outlineLevel="1">
      <c r="A118" s="341" t="s">
        <v>372</v>
      </c>
      <c r="B118" s="479"/>
      <c r="C118" s="121"/>
      <c r="D118" s="453"/>
      <c r="E118" s="453"/>
      <c r="F118" s="452"/>
      <c r="G118" s="453"/>
      <c r="H118" s="453"/>
      <c r="I118" s="453"/>
    </row>
    <row r="119" outlineLevel="1">
      <c r="A119" s="343" t="s">
        <v>19</v>
      </c>
      <c r="B119" s="475">
        <f t="shared" ref="B119:B125" si="74">index(A119:I119,,match($A$3,$A$1:$I$1,0))</f>
        <v>0.4520958826</v>
      </c>
      <c r="C119" s="476">
        <f t="shared" ref="C119:I119" si="73">C30*C$45</f>
        <v>0.4520958826</v>
      </c>
      <c r="D119" s="476">
        <f t="shared" si="73"/>
        <v>0.4002646508</v>
      </c>
      <c r="E119" s="476">
        <f t="shared" si="73"/>
        <v>0.4121103947</v>
      </c>
      <c r="F119" s="476">
        <f t="shared" si="73"/>
        <v>0.5873663975</v>
      </c>
      <c r="G119" s="476">
        <f t="shared" si="73"/>
        <v>0.5056594511</v>
      </c>
      <c r="H119" s="476">
        <f t="shared" si="73"/>
        <v>0.9519939317</v>
      </c>
      <c r="I119" s="476">
        <f t="shared" si="73"/>
        <v>0.4653174248</v>
      </c>
    </row>
    <row r="120" outlineLevel="1">
      <c r="A120" s="343" t="s">
        <v>373</v>
      </c>
      <c r="B120" s="475">
        <f t="shared" si="74"/>
        <v>0.008038094254</v>
      </c>
      <c r="C120" s="476">
        <f t="shared" ref="C120:I120" si="75">C31*C$45</f>
        <v>0.008038094254</v>
      </c>
      <c r="D120" s="476">
        <f t="shared" si="75"/>
        <v>0.01409587932</v>
      </c>
      <c r="E120" s="476">
        <f t="shared" si="75"/>
        <v>0</v>
      </c>
      <c r="F120" s="476">
        <f t="shared" si="75"/>
        <v>0.01789917221</v>
      </c>
      <c r="G120" s="476">
        <f t="shared" si="75"/>
        <v>0.01043382458</v>
      </c>
      <c r="H120" s="476">
        <f t="shared" si="75"/>
        <v>0</v>
      </c>
      <c r="I120" s="476">
        <f t="shared" si="75"/>
        <v>0.01728919242</v>
      </c>
    </row>
    <row r="121" outlineLevel="1">
      <c r="A121" s="342" t="s">
        <v>374</v>
      </c>
      <c r="B121" s="475">
        <f t="shared" si="74"/>
        <v>0.0007580866482</v>
      </c>
      <c r="C121" s="476">
        <f t="shared" ref="C121:I121" si="76">C32*C$45</f>
        <v>0.0007580866482</v>
      </c>
      <c r="D121" s="476">
        <f t="shared" si="76"/>
        <v>0.002183116398</v>
      </c>
      <c r="E121" s="476">
        <f t="shared" si="76"/>
        <v>0</v>
      </c>
      <c r="F121" s="476">
        <f t="shared" si="76"/>
        <v>0.0003671729094</v>
      </c>
      <c r="G121" s="476">
        <f t="shared" si="76"/>
        <v>0</v>
      </c>
      <c r="H121" s="476">
        <f t="shared" si="76"/>
        <v>0</v>
      </c>
      <c r="I121" s="476">
        <f t="shared" si="76"/>
        <v>0</v>
      </c>
    </row>
    <row r="122" outlineLevel="1">
      <c r="A122" s="343" t="s">
        <v>375</v>
      </c>
      <c r="B122" s="475">
        <f t="shared" si="74"/>
        <v>0.2159298026</v>
      </c>
      <c r="C122" s="476">
        <f t="shared" ref="C122:I122" si="77">C33*C$45</f>
        <v>0.2159298026</v>
      </c>
      <c r="D122" s="476">
        <f t="shared" si="77"/>
        <v>0.1966754258</v>
      </c>
      <c r="E122" s="476">
        <f t="shared" si="77"/>
        <v>0.1868882066</v>
      </c>
      <c r="F122" s="476">
        <f t="shared" si="77"/>
        <v>0.2906318772</v>
      </c>
      <c r="G122" s="476">
        <f t="shared" si="77"/>
        <v>0.2572005493</v>
      </c>
      <c r="H122" s="476">
        <f t="shared" si="77"/>
        <v>0.4554738309</v>
      </c>
      <c r="I122" s="476">
        <f t="shared" si="77"/>
        <v>0.2244023152</v>
      </c>
    </row>
    <row r="123" outlineLevel="1">
      <c r="A123" s="343" t="s">
        <v>376</v>
      </c>
      <c r="B123" s="475">
        <f t="shared" si="74"/>
        <v>0.04294413252</v>
      </c>
      <c r="C123" s="476">
        <f t="shared" ref="C123:I123" si="78">C34*C$45</f>
        <v>0.04294413252</v>
      </c>
      <c r="D123" s="476">
        <f t="shared" si="78"/>
        <v>0.04236568041</v>
      </c>
      <c r="E123" s="476">
        <f t="shared" si="78"/>
        <v>0.02396208733</v>
      </c>
      <c r="F123" s="476">
        <f t="shared" si="78"/>
        <v>0.07250825061</v>
      </c>
      <c r="G123" s="476">
        <f t="shared" si="78"/>
        <v>0.08404129567</v>
      </c>
      <c r="H123" s="476">
        <f t="shared" si="78"/>
        <v>0.1107782532</v>
      </c>
      <c r="I123" s="476">
        <f t="shared" si="78"/>
        <v>0.04099878035</v>
      </c>
    </row>
    <row r="124" outlineLevel="1">
      <c r="A124" s="504" t="s">
        <v>377</v>
      </c>
      <c r="B124" s="505">
        <f t="shared" si="74"/>
        <v>0.7197659986</v>
      </c>
      <c r="C124" s="506">
        <f t="shared" ref="C124:I124" si="79">sum(C119:C123)</f>
        <v>0.7197659986</v>
      </c>
      <c r="D124" s="506">
        <f t="shared" si="79"/>
        <v>0.6555847527</v>
      </c>
      <c r="E124" s="506">
        <f t="shared" si="79"/>
        <v>0.6229606886</v>
      </c>
      <c r="F124" s="506">
        <f t="shared" si="79"/>
        <v>0.9687728704</v>
      </c>
      <c r="G124" s="506">
        <f t="shared" si="79"/>
        <v>0.8573351206</v>
      </c>
      <c r="H124" s="506">
        <f t="shared" si="79"/>
        <v>1.518246016</v>
      </c>
      <c r="I124" s="506">
        <f t="shared" si="79"/>
        <v>0.7480077128</v>
      </c>
    </row>
    <row r="125" outlineLevel="1">
      <c r="A125" s="507" t="s">
        <v>378</v>
      </c>
      <c r="B125" s="508">
        <f t="shared" si="74"/>
        <v>-0.00000001410103665</v>
      </c>
      <c r="C125" s="509">
        <f t="shared" ref="C125:I125" si="80">(C124-C45)/C124</f>
        <v>-0.00000001410103665</v>
      </c>
      <c r="D125" s="509">
        <f t="shared" si="80"/>
        <v>0</v>
      </c>
      <c r="E125" s="509">
        <f t="shared" si="80"/>
        <v>0</v>
      </c>
      <c r="F125" s="509">
        <f t="shared" si="80"/>
        <v>-0.00000005518990867</v>
      </c>
      <c r="G125" s="509">
        <f t="shared" si="80"/>
        <v>-0.00000005080634398</v>
      </c>
      <c r="H125" s="509">
        <f t="shared" si="80"/>
        <v>-0.00000005740709758</v>
      </c>
      <c r="I125" s="509">
        <f t="shared" si="80"/>
        <v>-0.000000006107902757</v>
      </c>
    </row>
    <row r="126" outlineLevel="1">
      <c r="A126" s="287"/>
      <c r="B126" s="479"/>
      <c r="C126" s="121"/>
      <c r="D126" s="121"/>
      <c r="E126" s="121"/>
      <c r="F126" s="121"/>
      <c r="G126" s="121"/>
      <c r="H126" s="121"/>
      <c r="I126" s="121"/>
    </row>
    <row r="127" outlineLevel="1">
      <c r="A127" s="510" t="s">
        <v>379</v>
      </c>
      <c r="B127" s="479"/>
      <c r="C127" s="121"/>
      <c r="D127" s="453"/>
      <c r="E127" s="453"/>
      <c r="F127" s="452"/>
      <c r="G127" s="453"/>
      <c r="H127" s="453"/>
      <c r="I127" s="453"/>
    </row>
    <row r="128" outlineLevel="1">
      <c r="A128" s="270" t="s">
        <v>19</v>
      </c>
      <c r="B128" s="301">
        <f t="shared" ref="B128:B133" si="82">index(A128:I128,,match($A$3,$A$1:$I$1,0))</f>
        <v>100000</v>
      </c>
      <c r="C128" s="461">
        <f t="shared" ref="C128:C132" si="83">sum(D128:I128)</f>
        <v>100000</v>
      </c>
      <c r="D128" s="461">
        <f t="shared" ref="D128:I128" si="81">D30*D$39</f>
        <v>30253.94225</v>
      </c>
      <c r="E128" s="461">
        <f t="shared" si="81"/>
        <v>35677.55983</v>
      </c>
      <c r="F128" s="461">
        <f t="shared" si="81"/>
        <v>4274.711779</v>
      </c>
      <c r="G128" s="461">
        <f t="shared" si="81"/>
        <v>10230.37306</v>
      </c>
      <c r="H128" s="461">
        <f t="shared" si="81"/>
        <v>9573.907075</v>
      </c>
      <c r="I128" s="461">
        <f t="shared" si="81"/>
        <v>9989.506006</v>
      </c>
    </row>
    <row r="129" outlineLevel="1">
      <c r="A129" s="270" t="s">
        <v>373</v>
      </c>
      <c r="B129" s="301">
        <f t="shared" si="82"/>
        <v>1777.962278</v>
      </c>
      <c r="C129" s="461">
        <f t="shared" si="83"/>
        <v>1777.962278</v>
      </c>
      <c r="D129" s="461">
        <f t="shared" ref="D129:I129" si="84">D31*D$39</f>
        <v>1065.434877</v>
      </c>
      <c r="E129" s="461">
        <f t="shared" si="84"/>
        <v>0</v>
      </c>
      <c r="F129" s="461">
        <f t="shared" si="84"/>
        <v>130.2658828</v>
      </c>
      <c r="G129" s="461">
        <f t="shared" si="84"/>
        <v>211.0944781</v>
      </c>
      <c r="H129" s="461">
        <f t="shared" si="84"/>
        <v>0</v>
      </c>
      <c r="I129" s="461">
        <f t="shared" si="84"/>
        <v>371.1670406</v>
      </c>
    </row>
    <row r="130" outlineLevel="1">
      <c r="A130" s="343" t="s">
        <v>374</v>
      </c>
      <c r="B130" s="301">
        <f t="shared" si="82"/>
        <v>167.6827145</v>
      </c>
      <c r="C130" s="461">
        <f t="shared" si="83"/>
        <v>167.6827145</v>
      </c>
      <c r="D130" s="461">
        <f t="shared" ref="D130:I130" si="85">D32*D$39</f>
        <v>165.0105182</v>
      </c>
      <c r="E130" s="461">
        <f t="shared" si="85"/>
        <v>0</v>
      </c>
      <c r="F130" s="461">
        <f t="shared" si="85"/>
        <v>2.672196379</v>
      </c>
      <c r="G130" s="461">
        <f t="shared" si="85"/>
        <v>0</v>
      </c>
      <c r="H130" s="461">
        <f t="shared" si="85"/>
        <v>0</v>
      </c>
      <c r="I130" s="461">
        <f t="shared" si="85"/>
        <v>0</v>
      </c>
    </row>
    <row r="131" outlineLevel="1">
      <c r="A131" s="343" t="s">
        <v>375</v>
      </c>
      <c r="B131" s="301">
        <f t="shared" si="82"/>
        <v>47761.94851</v>
      </c>
      <c r="C131" s="461">
        <f t="shared" si="83"/>
        <v>47761.94851</v>
      </c>
      <c r="D131" s="461">
        <f t="shared" ref="D131:I131" si="86">D33*D$39</f>
        <v>14865.6819</v>
      </c>
      <c r="E131" s="461">
        <f t="shared" si="86"/>
        <v>16179.43943</v>
      </c>
      <c r="F131" s="461">
        <f t="shared" si="86"/>
        <v>2115.149103</v>
      </c>
      <c r="G131" s="461">
        <f t="shared" si="86"/>
        <v>5203.61592</v>
      </c>
      <c r="H131" s="461">
        <f t="shared" si="86"/>
        <v>4580.558748</v>
      </c>
      <c r="I131" s="461">
        <f t="shared" si="86"/>
        <v>4817.503399</v>
      </c>
    </row>
    <row r="132" outlineLevel="1">
      <c r="A132" s="270" t="s">
        <v>376</v>
      </c>
      <c r="B132" s="301">
        <f t="shared" si="82"/>
        <v>9498.899277</v>
      </c>
      <c r="C132" s="461">
        <f t="shared" si="83"/>
        <v>9498.899277</v>
      </c>
      <c r="D132" s="461">
        <f t="shared" ref="D132:I132" si="87">D34*D$39</f>
        <v>3202.203457</v>
      </c>
      <c r="E132" s="461">
        <f t="shared" si="87"/>
        <v>2074.46552</v>
      </c>
      <c r="F132" s="461">
        <f t="shared" si="87"/>
        <v>527.697659</v>
      </c>
      <c r="G132" s="461">
        <f t="shared" si="87"/>
        <v>1700.302061</v>
      </c>
      <c r="H132" s="461">
        <f t="shared" si="87"/>
        <v>1114.062461</v>
      </c>
      <c r="I132" s="461">
        <f t="shared" si="87"/>
        <v>880.1681189</v>
      </c>
    </row>
    <row r="133" outlineLevel="1">
      <c r="A133" s="511" t="s">
        <v>380</v>
      </c>
      <c r="B133" s="512">
        <f t="shared" si="82"/>
        <v>159206.4928</v>
      </c>
      <c r="C133" s="513">
        <f t="shared" ref="C133:I133" si="88">sum(C128:C132)</f>
        <v>159206.4928</v>
      </c>
      <c r="D133" s="513">
        <f t="shared" si="88"/>
        <v>49552.27301</v>
      </c>
      <c r="E133" s="513">
        <f t="shared" si="88"/>
        <v>53931.46478</v>
      </c>
      <c r="F133" s="513">
        <f t="shared" si="88"/>
        <v>7050.49662</v>
      </c>
      <c r="G133" s="513">
        <f t="shared" si="88"/>
        <v>17345.38552</v>
      </c>
      <c r="H133" s="513">
        <f t="shared" si="88"/>
        <v>15268.52828</v>
      </c>
      <c r="I133" s="513">
        <f t="shared" si="88"/>
        <v>16058.34456</v>
      </c>
    </row>
    <row r="134" outlineLevel="1">
      <c r="A134" s="287"/>
      <c r="B134" s="479"/>
      <c r="C134" s="121"/>
      <c r="D134" s="453"/>
      <c r="E134" s="453"/>
      <c r="F134" s="452"/>
      <c r="G134" s="453"/>
      <c r="H134" s="453"/>
      <c r="I134" s="453"/>
    </row>
    <row r="135" outlineLevel="1">
      <c r="A135" s="510" t="s">
        <v>381</v>
      </c>
      <c r="B135" s="479"/>
      <c r="C135" s="121"/>
      <c r="D135" s="453"/>
      <c r="E135" s="453"/>
      <c r="F135" s="452"/>
      <c r="G135" s="453"/>
      <c r="H135" s="453"/>
      <c r="I135" s="453"/>
    </row>
    <row r="136" outlineLevel="1">
      <c r="A136" s="287" t="s">
        <v>382</v>
      </c>
      <c r="B136" s="301">
        <f t="shared" ref="B136:B137" si="90">index(A136:I136,,match($A$3,$A$1:$I$1,0))</f>
        <v>101945.645</v>
      </c>
      <c r="C136" s="302">
        <f t="shared" ref="C136:C137" si="91">sum(D136:I136)</f>
        <v>101945.645</v>
      </c>
      <c r="D136" s="302">
        <f t="shared" ref="D136:I136" si="89">sum(D128:D129,D130)</f>
        <v>31484.38765</v>
      </c>
      <c r="E136" s="302">
        <f t="shared" si="89"/>
        <v>35677.55983</v>
      </c>
      <c r="F136" s="302">
        <f t="shared" si="89"/>
        <v>4407.649858</v>
      </c>
      <c r="G136" s="302">
        <f t="shared" si="89"/>
        <v>10441.46754</v>
      </c>
      <c r="H136" s="302">
        <f t="shared" si="89"/>
        <v>9573.907075</v>
      </c>
      <c r="I136" s="302">
        <f t="shared" si="89"/>
        <v>10360.67305</v>
      </c>
    </row>
    <row r="137" outlineLevel="1">
      <c r="A137" s="287" t="s">
        <v>383</v>
      </c>
      <c r="B137" s="301">
        <f t="shared" si="90"/>
        <v>57260.84778</v>
      </c>
      <c r="C137" s="302">
        <f t="shared" si="91"/>
        <v>57260.84778</v>
      </c>
      <c r="D137" s="302">
        <f t="shared" ref="D137:I137" si="92">sum(D132,D131)</f>
        <v>18067.88536</v>
      </c>
      <c r="E137" s="302">
        <f t="shared" si="92"/>
        <v>18253.90495</v>
      </c>
      <c r="F137" s="302">
        <f t="shared" si="92"/>
        <v>2642.846762</v>
      </c>
      <c r="G137" s="302">
        <f t="shared" si="92"/>
        <v>6903.917982</v>
      </c>
      <c r="H137" s="302">
        <f t="shared" si="92"/>
        <v>5694.621209</v>
      </c>
      <c r="I137" s="302">
        <f t="shared" si="92"/>
        <v>5697.671518</v>
      </c>
    </row>
    <row r="138" outlineLevel="1">
      <c r="A138" s="287"/>
      <c r="B138" s="479"/>
      <c r="C138" s="121"/>
      <c r="D138" s="121"/>
      <c r="E138" s="121"/>
      <c r="F138" s="121"/>
      <c r="G138" s="121"/>
      <c r="H138" s="121"/>
      <c r="I138" s="121"/>
    </row>
    <row r="139" outlineLevel="1">
      <c r="A139" s="514" t="s">
        <v>384</v>
      </c>
      <c r="B139" s="447"/>
      <c r="C139" s="342"/>
      <c r="D139" s="342"/>
      <c r="E139" s="342"/>
      <c r="F139" s="342"/>
      <c r="G139" s="342"/>
      <c r="H139" s="342"/>
      <c r="I139" s="342"/>
    </row>
    <row r="140" outlineLevel="1">
      <c r="A140" s="343" t="s">
        <v>385</v>
      </c>
      <c r="B140" s="278">
        <f t="shared" ref="B140:B142" si="93">index(A140:I140,,match($A$3,$A$1:$I$1,0))</f>
        <v>0.00360953606</v>
      </c>
      <c r="C140" s="515">
        <f>'Moral weights and discount rate'!$B$8/'Counterfactual non-philanthropi'!$D$32</f>
        <v>0.00360953606</v>
      </c>
      <c r="D140" s="515">
        <f>'Moral weights and discount rate'!$B$8/'Counterfactual non-philanthropi'!$D$32</f>
        <v>0.00360953606</v>
      </c>
      <c r="E140" s="515">
        <f>'Moral weights and discount rate'!$B$8/'Counterfactual non-philanthropi'!$D$32</f>
        <v>0.00360953606</v>
      </c>
      <c r="F140" s="515">
        <f>'Moral weights and discount rate'!$B$8/'Counterfactual non-philanthropi'!$D$32</f>
        <v>0.00360953606</v>
      </c>
      <c r="G140" s="515">
        <f>'Moral weights and discount rate'!$B$8/'Counterfactual non-philanthropi'!$D$32</f>
        <v>0.00360953606</v>
      </c>
      <c r="H140" s="515">
        <f>'Moral weights and discount rate'!$B$8/'Counterfactual non-philanthropi'!$D$32</f>
        <v>0.00360953606</v>
      </c>
      <c r="I140" s="515">
        <f>'Moral weights and discount rate'!$B$8/'Counterfactual non-philanthropi'!$D$32</f>
        <v>0.00360953606</v>
      </c>
    </row>
    <row r="141" outlineLevel="1">
      <c r="A141" s="343" t="s">
        <v>386</v>
      </c>
      <c r="B141" s="278">
        <f t="shared" si="93"/>
        <v>0.00360953606</v>
      </c>
      <c r="C141" s="515">
        <f>'Moral weights and discount rate'!$B$8/'Counterfactual non-philanthropi'!$D$32</f>
        <v>0.00360953606</v>
      </c>
      <c r="D141" s="515">
        <f>'Moral weights and discount rate'!$B$8/'Counterfactual non-philanthropi'!$D$32</f>
        <v>0.00360953606</v>
      </c>
      <c r="E141" s="515">
        <f>'Moral weights and discount rate'!$B$8/'Counterfactual non-philanthropi'!$D$32</f>
        <v>0.00360953606</v>
      </c>
      <c r="F141" s="515">
        <f>'Moral weights and discount rate'!$B$8/'Counterfactual non-philanthropi'!$D$32</f>
        <v>0.00360953606</v>
      </c>
      <c r="G141" s="515">
        <f>'Moral weights and discount rate'!$B$8/'Counterfactual non-philanthropi'!$D$32</f>
        <v>0.00360953606</v>
      </c>
      <c r="H141" s="515">
        <f>'Moral weights and discount rate'!$B$8/'Counterfactual non-philanthropi'!$D$32</f>
        <v>0.00360953606</v>
      </c>
      <c r="I141" s="515">
        <f>'Moral weights and discount rate'!$B$8/'Counterfactual non-philanthropi'!$D$32</f>
        <v>0.00360953606</v>
      </c>
    </row>
    <row r="142" outlineLevel="1">
      <c r="A142" s="342" t="s">
        <v>387</v>
      </c>
      <c r="B142" s="278">
        <f t="shared" si="93"/>
        <v>0.005443126011</v>
      </c>
      <c r="C142" s="516">
        <f>'Moral weights and discount rate'!$B$8/'Counterfactual non-philanthropi'!$D$34</f>
        <v>0.005443126011</v>
      </c>
      <c r="D142" s="516">
        <f>'Moral weights and discount rate'!$B$8/'Counterfactual non-philanthropi'!$D$34</f>
        <v>0.005443126011</v>
      </c>
      <c r="E142" s="516">
        <f>'Moral weights and discount rate'!$B$8/'Counterfactual non-philanthropi'!$D$34</f>
        <v>0.005443126011</v>
      </c>
      <c r="F142" s="516">
        <f>'Moral weights and discount rate'!$B$8/'Counterfactual non-philanthropi'!$D$34</f>
        <v>0.005443126011</v>
      </c>
      <c r="G142" s="516">
        <f>'Moral weights and discount rate'!$B$8/'Counterfactual non-philanthropi'!$D$34</f>
        <v>0.005443126011</v>
      </c>
      <c r="H142" s="516">
        <f>'Moral weights and discount rate'!$B$8/'Counterfactual non-philanthropi'!$D$34</f>
        <v>0.005443126011</v>
      </c>
      <c r="I142" s="516">
        <f>'Moral weights and discount rate'!$B$8/'Counterfactual non-philanthropi'!$D$34</f>
        <v>0.005443126011</v>
      </c>
    </row>
    <row r="143" outlineLevel="1">
      <c r="A143" s="342"/>
      <c r="B143" s="446"/>
      <c r="C143" s="441"/>
      <c r="D143" s="441"/>
      <c r="E143" s="441"/>
      <c r="F143" s="441"/>
      <c r="G143" s="441"/>
      <c r="H143" s="441"/>
      <c r="I143" s="441"/>
    </row>
    <row r="144" outlineLevel="1">
      <c r="A144" s="514" t="s">
        <v>388</v>
      </c>
      <c r="B144" s="446"/>
      <c r="C144" s="441"/>
      <c r="D144" s="441"/>
      <c r="E144" s="441"/>
      <c r="F144" s="441"/>
      <c r="G144" s="441"/>
      <c r="H144" s="441"/>
      <c r="I144" s="441"/>
    </row>
    <row r="145" outlineLevel="1">
      <c r="A145" s="344" t="s">
        <v>285</v>
      </c>
      <c r="B145" s="151">
        <f t="shared" ref="B145:B147" si="94">index(A145:I145,,match($A$3,$A$1:$I$1,0))</f>
        <v>0.2</v>
      </c>
      <c r="C145" s="155">
        <f t="shared" ref="C145:C147" si="95">sumproduct(D145:Q145,D$29:Q$29)</f>
        <v>0.2</v>
      </c>
      <c r="D145" s="155">
        <v>0.2</v>
      </c>
      <c r="E145" s="155">
        <v>0.2</v>
      </c>
      <c r="F145" s="155">
        <v>0.2</v>
      </c>
      <c r="G145" s="155">
        <v>0.2</v>
      </c>
      <c r="H145" s="155">
        <v>0.2</v>
      </c>
      <c r="I145" s="155">
        <v>0.2</v>
      </c>
    </row>
    <row r="146" outlineLevel="1">
      <c r="A146" s="344" t="s">
        <v>287</v>
      </c>
      <c r="B146" s="151">
        <f t="shared" si="94"/>
        <v>0</v>
      </c>
      <c r="C146" s="155">
        <f t="shared" si="95"/>
        <v>0</v>
      </c>
      <c r="D146" s="155">
        <v>0.0</v>
      </c>
      <c r="E146" s="155">
        <v>0.0</v>
      </c>
      <c r="F146" s="155">
        <v>0.0</v>
      </c>
      <c r="G146" s="155">
        <v>0.0</v>
      </c>
      <c r="H146" s="155">
        <v>0.0</v>
      </c>
      <c r="I146" s="155">
        <v>0.0</v>
      </c>
    </row>
    <row r="147" outlineLevel="1">
      <c r="A147" s="344" t="s">
        <v>288</v>
      </c>
      <c r="B147" s="151">
        <f t="shared" si="94"/>
        <v>0.8</v>
      </c>
      <c r="C147" s="155">
        <f t="shared" si="95"/>
        <v>0.8</v>
      </c>
      <c r="D147" s="155">
        <v>0.8</v>
      </c>
      <c r="E147" s="155">
        <v>0.8</v>
      </c>
      <c r="F147" s="155">
        <v>0.8</v>
      </c>
      <c r="G147" s="155">
        <v>0.8</v>
      </c>
      <c r="H147" s="155">
        <v>0.8</v>
      </c>
      <c r="I147" s="155">
        <v>0.8</v>
      </c>
    </row>
    <row r="148" outlineLevel="1">
      <c r="A148" s="342"/>
      <c r="B148" s="446"/>
      <c r="C148" s="441"/>
      <c r="D148" s="441"/>
      <c r="E148" s="441"/>
      <c r="F148" s="441"/>
      <c r="G148" s="441"/>
      <c r="H148" s="441"/>
      <c r="I148" s="441"/>
    </row>
    <row r="149" outlineLevel="1">
      <c r="A149" s="341" t="s">
        <v>389</v>
      </c>
      <c r="B149" s="446"/>
      <c r="C149" s="441"/>
      <c r="D149" s="441"/>
      <c r="E149" s="441"/>
      <c r="F149" s="441"/>
      <c r="G149" s="441"/>
      <c r="H149" s="441"/>
      <c r="I149" s="441"/>
    </row>
    <row r="150" outlineLevel="1">
      <c r="A150" s="344" t="s">
        <v>285</v>
      </c>
      <c r="B150" s="151">
        <f t="shared" ref="B150:B152" si="97">index(A150:I150,,match($A$3,$A$1:$I$1,0))</f>
        <v>1</v>
      </c>
      <c r="C150" s="152">
        <f t="shared" ref="C150:I150" si="96">1</f>
        <v>1</v>
      </c>
      <c r="D150" s="152">
        <f t="shared" si="96"/>
        <v>1</v>
      </c>
      <c r="E150" s="152">
        <f t="shared" si="96"/>
        <v>1</v>
      </c>
      <c r="F150" s="152">
        <f t="shared" si="96"/>
        <v>1</v>
      </c>
      <c r="G150" s="152">
        <f t="shared" si="96"/>
        <v>1</v>
      </c>
      <c r="H150" s="152">
        <f t="shared" si="96"/>
        <v>1</v>
      </c>
      <c r="I150" s="152">
        <f t="shared" si="96"/>
        <v>1</v>
      </c>
    </row>
    <row r="151" outlineLevel="1">
      <c r="A151" s="344" t="s">
        <v>287</v>
      </c>
      <c r="B151" s="288">
        <f t="shared" si="97"/>
        <v>0.001644824696</v>
      </c>
      <c r="C151" s="517">
        <f t="shared" ref="C151:I151" si="98">C130/C136</f>
        <v>0.001644824696</v>
      </c>
      <c r="D151" s="517">
        <f t="shared" si="98"/>
        <v>0.005241026759</v>
      </c>
      <c r="E151" s="517">
        <f t="shared" si="98"/>
        <v>0</v>
      </c>
      <c r="F151" s="517">
        <f t="shared" si="98"/>
        <v>0.000606263307</v>
      </c>
      <c r="G151" s="517">
        <f t="shared" si="98"/>
        <v>0</v>
      </c>
      <c r="H151" s="517">
        <f t="shared" si="98"/>
        <v>0</v>
      </c>
      <c r="I151" s="517">
        <f t="shared" si="98"/>
        <v>0</v>
      </c>
    </row>
    <row r="152" outlineLevel="1">
      <c r="A152" s="344" t="s">
        <v>288</v>
      </c>
      <c r="B152" s="151">
        <f t="shared" si="97"/>
        <v>0</v>
      </c>
      <c r="C152" s="152">
        <v>0.0</v>
      </c>
      <c r="D152" s="152">
        <v>0.0</v>
      </c>
      <c r="E152" s="152">
        <v>0.0</v>
      </c>
      <c r="F152" s="152">
        <v>0.0</v>
      </c>
      <c r="G152" s="152">
        <v>0.0</v>
      </c>
      <c r="H152" s="152">
        <v>0.0</v>
      </c>
      <c r="I152" s="152">
        <v>0.0</v>
      </c>
    </row>
    <row r="153" outlineLevel="1">
      <c r="A153" s="121"/>
      <c r="B153" s="446"/>
      <c r="C153" s="441"/>
      <c r="D153" s="441"/>
      <c r="E153" s="441"/>
      <c r="F153" s="441"/>
      <c r="G153" s="441"/>
      <c r="H153" s="441"/>
      <c r="I153" s="441"/>
    </row>
    <row r="154" outlineLevel="1">
      <c r="A154" s="518" t="s">
        <v>390</v>
      </c>
      <c r="B154" s="446"/>
      <c r="C154" s="441"/>
      <c r="D154" s="441"/>
      <c r="E154" s="441"/>
      <c r="F154" s="441"/>
      <c r="G154" s="441"/>
      <c r="H154" s="441"/>
      <c r="I154" s="441"/>
    </row>
    <row r="155" outlineLevel="1">
      <c r="A155" s="343" t="s">
        <v>285</v>
      </c>
      <c r="B155" s="428"/>
      <c r="C155" s="417"/>
      <c r="D155" s="121"/>
      <c r="E155" s="121"/>
      <c r="F155" s="121"/>
      <c r="G155" s="121"/>
      <c r="H155" s="121"/>
      <c r="I155" s="121"/>
    </row>
    <row r="156" outlineLevel="1">
      <c r="A156" s="342" t="s">
        <v>391</v>
      </c>
      <c r="B156" s="519">
        <f t="shared" ref="B156:B158" si="100">index(A156:I156,,match($A$3,$A$1:$I$1,0))</f>
        <v>101777.9623</v>
      </c>
      <c r="C156" s="459">
        <f t="shared" ref="C156:C158" si="101">sumif(D156:Q156,"&lt;&gt;#DIV/0!")</f>
        <v>101777.9623</v>
      </c>
      <c r="D156" s="459">
        <f t="shared" ref="D156:I156" si="99">sum(D128:D129)</f>
        <v>31319.37713</v>
      </c>
      <c r="E156" s="459">
        <f t="shared" si="99"/>
        <v>35677.55983</v>
      </c>
      <c r="F156" s="459">
        <f t="shared" si="99"/>
        <v>4404.977662</v>
      </c>
      <c r="G156" s="459">
        <f t="shared" si="99"/>
        <v>10441.46754</v>
      </c>
      <c r="H156" s="459">
        <f t="shared" si="99"/>
        <v>9573.907075</v>
      </c>
      <c r="I156" s="459">
        <f t="shared" si="99"/>
        <v>10360.67305</v>
      </c>
    </row>
    <row r="157" outlineLevel="1">
      <c r="A157" s="343" t="s">
        <v>392</v>
      </c>
      <c r="B157" s="519">
        <f t="shared" si="100"/>
        <v>0</v>
      </c>
      <c r="C157" s="459">
        <f t="shared" si="101"/>
        <v>0</v>
      </c>
      <c r="D157" s="460">
        <v>0.0</v>
      </c>
      <c r="E157" s="460">
        <v>0.0</v>
      </c>
      <c r="F157" s="460">
        <v>0.0</v>
      </c>
      <c r="G157" s="460">
        <v>0.0</v>
      </c>
      <c r="H157" s="460">
        <v>0.0</v>
      </c>
      <c r="I157" s="460">
        <v>0.0</v>
      </c>
    </row>
    <row r="158" outlineLevel="1">
      <c r="A158" s="342" t="s">
        <v>393</v>
      </c>
      <c r="B158" s="519">
        <f t="shared" si="100"/>
        <v>0</v>
      </c>
      <c r="C158" s="459">
        <f t="shared" si="101"/>
        <v>0</v>
      </c>
      <c r="D158" s="460">
        <v>0.0</v>
      </c>
      <c r="E158" s="460">
        <v>0.0</v>
      </c>
      <c r="F158" s="460">
        <v>0.0</v>
      </c>
      <c r="G158" s="460">
        <v>0.0</v>
      </c>
      <c r="H158" s="460">
        <v>0.0</v>
      </c>
      <c r="I158" s="460">
        <v>0.0</v>
      </c>
    </row>
    <row r="159" outlineLevel="1">
      <c r="A159" s="342"/>
      <c r="B159" s="428"/>
      <c r="C159" s="417"/>
      <c r="D159" s="417"/>
      <c r="E159" s="417"/>
      <c r="F159" s="417"/>
      <c r="G159" s="417"/>
      <c r="H159" s="417"/>
      <c r="I159" s="417"/>
    </row>
    <row r="160" outlineLevel="1">
      <c r="A160" s="343" t="s">
        <v>287</v>
      </c>
      <c r="B160" s="428"/>
      <c r="C160" s="417"/>
      <c r="D160" s="441"/>
      <c r="E160" s="441"/>
      <c r="F160" s="441"/>
      <c r="G160" s="441"/>
      <c r="H160" s="441"/>
      <c r="I160" s="441"/>
    </row>
    <row r="161" outlineLevel="1">
      <c r="A161" s="342" t="s">
        <v>391</v>
      </c>
      <c r="B161" s="519">
        <f t="shared" ref="B161:B163" si="102">index(A161:I161,,match($A$3,$A$1:$I$1,0))</f>
        <v>0</v>
      </c>
      <c r="C161" s="459">
        <f t="shared" ref="C161:C163" si="103">sumif(D161:Q161,"&lt;&gt;#DIV/0!")</f>
        <v>0</v>
      </c>
      <c r="D161" s="460">
        <v>0.0</v>
      </c>
      <c r="E161" s="460">
        <v>0.0</v>
      </c>
      <c r="F161" s="460">
        <v>0.0</v>
      </c>
      <c r="G161" s="460">
        <v>0.0</v>
      </c>
      <c r="H161" s="460">
        <v>0.0</v>
      </c>
      <c r="I161" s="460">
        <v>0.0</v>
      </c>
    </row>
    <row r="162" outlineLevel="1">
      <c r="A162" s="343" t="s">
        <v>392</v>
      </c>
      <c r="B162" s="519">
        <f t="shared" si="102"/>
        <v>-47682.75473</v>
      </c>
      <c r="C162" s="459">
        <f t="shared" si="103"/>
        <v>-47682.75473</v>
      </c>
      <c r="D162" s="461">
        <f t="shared" ref="D162:I162" si="104">(D131-D151*D131)*-1</f>
        <v>-14787.77047</v>
      </c>
      <c r="E162" s="461">
        <f t="shared" si="104"/>
        <v>-16179.43943</v>
      </c>
      <c r="F162" s="461">
        <f t="shared" si="104"/>
        <v>-2113.866765</v>
      </c>
      <c r="G162" s="461">
        <f t="shared" si="104"/>
        <v>-5203.61592</v>
      </c>
      <c r="H162" s="461">
        <f t="shared" si="104"/>
        <v>-4580.558748</v>
      </c>
      <c r="I162" s="461">
        <f t="shared" si="104"/>
        <v>-4817.503399</v>
      </c>
    </row>
    <row r="163" outlineLevel="1">
      <c r="A163" s="342" t="s">
        <v>393</v>
      </c>
      <c r="B163" s="519">
        <f t="shared" si="102"/>
        <v>-9481.79652</v>
      </c>
      <c r="C163" s="459">
        <f t="shared" si="103"/>
        <v>-9481.79652</v>
      </c>
      <c r="D163" s="459">
        <f t="shared" ref="D163:I163" si="105">(D132-D151*D132)*-1</f>
        <v>-3185.420623</v>
      </c>
      <c r="E163" s="459">
        <f t="shared" si="105"/>
        <v>-2074.46552</v>
      </c>
      <c r="F163" s="459">
        <f t="shared" si="105"/>
        <v>-527.3777352</v>
      </c>
      <c r="G163" s="459">
        <f t="shared" si="105"/>
        <v>-1700.302061</v>
      </c>
      <c r="H163" s="459">
        <f t="shared" si="105"/>
        <v>-1114.062461</v>
      </c>
      <c r="I163" s="459">
        <f t="shared" si="105"/>
        <v>-880.1681189</v>
      </c>
    </row>
    <row r="164" outlineLevel="1">
      <c r="A164" s="342"/>
      <c r="B164" s="428"/>
      <c r="C164" s="417"/>
      <c r="D164" s="417"/>
      <c r="E164" s="417"/>
      <c r="F164" s="417"/>
      <c r="G164" s="417"/>
      <c r="H164" s="417"/>
      <c r="I164" s="417"/>
    </row>
    <row r="165" outlineLevel="1">
      <c r="A165" s="343" t="s">
        <v>288</v>
      </c>
      <c r="B165" s="428"/>
      <c r="C165" s="417"/>
      <c r="D165" s="417"/>
      <c r="E165" s="417"/>
      <c r="F165" s="417"/>
      <c r="G165" s="417"/>
      <c r="H165" s="417"/>
      <c r="I165" s="417"/>
    </row>
    <row r="166" outlineLevel="1">
      <c r="A166" s="342" t="s">
        <v>391</v>
      </c>
      <c r="B166" s="519">
        <f t="shared" ref="B166:B168" si="107">index(A166:I166,,match($A$3,$A$1:$I$1,0))</f>
        <v>-167.6827145</v>
      </c>
      <c r="C166" s="459">
        <f t="shared" ref="C166:C168" si="108">sumif(D166:Q166,"&lt;&gt;#DIV/0!")</f>
        <v>-167.6827145</v>
      </c>
      <c r="D166" s="302">
        <f t="shared" ref="D166:I166" si="106">-D130</f>
        <v>-165.0105182</v>
      </c>
      <c r="E166" s="302">
        <f t="shared" si="106"/>
        <v>0</v>
      </c>
      <c r="F166" s="302">
        <f t="shared" si="106"/>
        <v>-2.672196379</v>
      </c>
      <c r="G166" s="302">
        <f t="shared" si="106"/>
        <v>0</v>
      </c>
      <c r="H166" s="302">
        <f t="shared" si="106"/>
        <v>0</v>
      </c>
      <c r="I166" s="302">
        <f t="shared" si="106"/>
        <v>0</v>
      </c>
    </row>
    <row r="167" outlineLevel="1">
      <c r="A167" s="343" t="s">
        <v>392</v>
      </c>
      <c r="B167" s="428">
        <f t="shared" si="107"/>
        <v>-47761.94851</v>
      </c>
      <c r="C167" s="459">
        <f t="shared" si="108"/>
        <v>-47761.94851</v>
      </c>
      <c r="D167" s="302">
        <f t="shared" ref="D167:I167" si="109">-D131</f>
        <v>-14865.6819</v>
      </c>
      <c r="E167" s="302">
        <f t="shared" si="109"/>
        <v>-16179.43943</v>
      </c>
      <c r="F167" s="302">
        <f t="shared" si="109"/>
        <v>-2115.149103</v>
      </c>
      <c r="G167" s="302">
        <f t="shared" si="109"/>
        <v>-5203.61592</v>
      </c>
      <c r="H167" s="302">
        <f t="shared" si="109"/>
        <v>-4580.558748</v>
      </c>
      <c r="I167" s="302">
        <f t="shared" si="109"/>
        <v>-4817.503399</v>
      </c>
    </row>
    <row r="168" outlineLevel="1">
      <c r="A168" s="342" t="s">
        <v>393</v>
      </c>
      <c r="B168" s="519">
        <f t="shared" si="107"/>
        <v>-9498.899277</v>
      </c>
      <c r="C168" s="459">
        <f t="shared" si="108"/>
        <v>-9498.899277</v>
      </c>
      <c r="D168" s="302">
        <f t="shared" ref="D168:I168" si="110">-D132</f>
        <v>-3202.203457</v>
      </c>
      <c r="E168" s="302">
        <f t="shared" si="110"/>
        <v>-2074.46552</v>
      </c>
      <c r="F168" s="302">
        <f t="shared" si="110"/>
        <v>-527.697659</v>
      </c>
      <c r="G168" s="302">
        <f t="shared" si="110"/>
        <v>-1700.302061</v>
      </c>
      <c r="H168" s="302">
        <f t="shared" si="110"/>
        <v>-1114.062461</v>
      </c>
      <c r="I168" s="302">
        <f t="shared" si="110"/>
        <v>-880.1681189</v>
      </c>
    </row>
    <row r="169" outlineLevel="1">
      <c r="A169" s="342"/>
      <c r="B169" s="446"/>
      <c r="C169" s="441"/>
      <c r="D169" s="441"/>
      <c r="E169" s="441"/>
      <c r="F169" s="441"/>
      <c r="G169" s="441"/>
      <c r="H169" s="441"/>
      <c r="I169" s="441"/>
    </row>
    <row r="170" outlineLevel="1">
      <c r="A170" s="520" t="s">
        <v>394</v>
      </c>
      <c r="B170" s="521"/>
      <c r="C170" s="522"/>
      <c r="D170" s="441"/>
      <c r="E170" s="441"/>
      <c r="F170" s="441"/>
      <c r="G170" s="441"/>
      <c r="H170" s="441"/>
      <c r="I170" s="441"/>
    </row>
    <row r="171" outlineLevel="1">
      <c r="A171" s="343" t="s">
        <v>285</v>
      </c>
      <c r="B171" s="428"/>
      <c r="C171" s="417"/>
      <c r="D171" s="417"/>
      <c r="E171" s="417"/>
      <c r="F171" s="417"/>
      <c r="G171" s="417"/>
      <c r="H171" s="417"/>
      <c r="I171" s="417"/>
    </row>
    <row r="172" outlineLevel="1">
      <c r="A172" s="342" t="s">
        <v>391</v>
      </c>
      <c r="B172" s="428">
        <f t="shared" ref="B172:B174" si="112">index(A172:I172,,match($A$3,$A$1:$I$1,0))</f>
        <v>4577.380362</v>
      </c>
      <c r="C172" s="417">
        <f t="shared" ref="C172:C174" si="113">sum(ifna(D172:Q172,0))</f>
        <v>4577.380362</v>
      </c>
      <c r="D172" s="417">
        <f t="shared" ref="D172:I172" si="111">D156*D$113</f>
        <v>2782.745618</v>
      </c>
      <c r="E172" s="417">
        <f t="shared" si="111"/>
        <v>544.6170178</v>
      </c>
      <c r="F172" s="417">
        <f t="shared" si="111"/>
        <v>67.40304352</v>
      </c>
      <c r="G172" s="417">
        <f t="shared" si="111"/>
        <v>438.8744077</v>
      </c>
      <c r="H172" s="417">
        <f t="shared" si="111"/>
        <v>367.3129739</v>
      </c>
      <c r="I172" s="417">
        <f t="shared" si="111"/>
        <v>376.4273012</v>
      </c>
    </row>
    <row r="173" outlineLevel="1">
      <c r="A173" s="343" t="s">
        <v>392</v>
      </c>
      <c r="B173" s="428">
        <f t="shared" si="112"/>
        <v>0</v>
      </c>
      <c r="C173" s="417">
        <f t="shared" si="113"/>
        <v>0</v>
      </c>
      <c r="D173" s="417">
        <f t="shared" ref="D173:I173" si="114">D157*D$113</f>
        <v>0</v>
      </c>
      <c r="E173" s="417">
        <f t="shared" si="114"/>
        <v>0</v>
      </c>
      <c r="F173" s="417">
        <f t="shared" si="114"/>
        <v>0</v>
      </c>
      <c r="G173" s="417">
        <f t="shared" si="114"/>
        <v>0</v>
      </c>
      <c r="H173" s="417">
        <f t="shared" si="114"/>
        <v>0</v>
      </c>
      <c r="I173" s="417">
        <f t="shared" si="114"/>
        <v>0</v>
      </c>
    </row>
    <row r="174" outlineLevel="1">
      <c r="A174" s="342" t="s">
        <v>393</v>
      </c>
      <c r="B174" s="428">
        <f t="shared" si="112"/>
        <v>0</v>
      </c>
      <c r="C174" s="417">
        <f t="shared" si="113"/>
        <v>0</v>
      </c>
      <c r="D174" s="417">
        <f t="shared" ref="D174:I174" si="115">D158*D$113</f>
        <v>0</v>
      </c>
      <c r="E174" s="417">
        <f t="shared" si="115"/>
        <v>0</v>
      </c>
      <c r="F174" s="417">
        <f t="shared" si="115"/>
        <v>0</v>
      </c>
      <c r="G174" s="417">
        <f t="shared" si="115"/>
        <v>0</v>
      </c>
      <c r="H174" s="417">
        <f t="shared" si="115"/>
        <v>0</v>
      </c>
      <c r="I174" s="417">
        <f t="shared" si="115"/>
        <v>0</v>
      </c>
    </row>
    <row r="175" outlineLevel="1">
      <c r="A175" s="342"/>
      <c r="B175" s="428"/>
      <c r="C175" s="417"/>
      <c r="D175" s="417"/>
      <c r="E175" s="417"/>
      <c r="F175" s="417"/>
      <c r="G175" s="417"/>
      <c r="H175" s="417"/>
      <c r="I175" s="417"/>
    </row>
    <row r="176" outlineLevel="1">
      <c r="A176" s="343" t="s">
        <v>287</v>
      </c>
      <c r="B176" s="428"/>
      <c r="C176" s="417"/>
      <c r="D176" s="417"/>
      <c r="E176" s="417"/>
      <c r="F176" s="417"/>
      <c r="G176" s="417"/>
      <c r="H176" s="417"/>
      <c r="I176" s="417"/>
    </row>
    <row r="177" outlineLevel="1">
      <c r="A177" s="342" t="s">
        <v>391</v>
      </c>
      <c r="B177" s="428">
        <f t="shared" ref="B177:B179" si="117">index(A177:I177,,match($A$3,$A$1:$I$1,0))</f>
        <v>0</v>
      </c>
      <c r="C177" s="417">
        <f t="shared" ref="C177:C179" si="118">sum(ifna(D177:Q177,0))</f>
        <v>0</v>
      </c>
      <c r="D177" s="417">
        <f t="shared" ref="D177:I177" si="116">D161*D$113</f>
        <v>0</v>
      </c>
      <c r="E177" s="417">
        <f t="shared" si="116"/>
        <v>0</v>
      </c>
      <c r="F177" s="417">
        <f t="shared" si="116"/>
        <v>0</v>
      </c>
      <c r="G177" s="417">
        <f t="shared" si="116"/>
        <v>0</v>
      </c>
      <c r="H177" s="417">
        <f t="shared" si="116"/>
        <v>0</v>
      </c>
      <c r="I177" s="417">
        <f t="shared" si="116"/>
        <v>0</v>
      </c>
    </row>
    <row r="178" outlineLevel="1">
      <c r="A178" s="343" t="s">
        <v>392</v>
      </c>
      <c r="B178" s="428">
        <f t="shared" si="117"/>
        <v>-2162.713268</v>
      </c>
      <c r="C178" s="417">
        <f t="shared" si="118"/>
        <v>-2162.713268</v>
      </c>
      <c r="D178" s="417">
        <f t="shared" ref="D178:I178" si="119">D162*D$113</f>
        <v>-1313.902358</v>
      </c>
      <c r="E178" s="417">
        <f t="shared" si="119"/>
        <v>-246.9787199</v>
      </c>
      <c r="F178" s="417">
        <f t="shared" si="119"/>
        <v>-32.34546563</v>
      </c>
      <c r="G178" s="417">
        <f t="shared" si="119"/>
        <v>-218.7177086</v>
      </c>
      <c r="H178" s="417">
        <f t="shared" si="119"/>
        <v>-175.7379346</v>
      </c>
      <c r="I178" s="417">
        <f t="shared" si="119"/>
        <v>-175.0310809</v>
      </c>
    </row>
    <row r="179" outlineLevel="1">
      <c r="A179" s="342" t="s">
        <v>393</v>
      </c>
      <c r="B179" s="428">
        <f t="shared" si="117"/>
        <v>-468.9505159</v>
      </c>
      <c r="C179" s="417">
        <f t="shared" si="118"/>
        <v>-468.9505159</v>
      </c>
      <c r="D179" s="417">
        <f t="shared" ref="D179:I179" si="120">D163*D$113</f>
        <v>-283.0265507</v>
      </c>
      <c r="E179" s="417">
        <f t="shared" si="120"/>
        <v>-31.66666192</v>
      </c>
      <c r="F179" s="417">
        <f t="shared" si="120"/>
        <v>-8.069703678</v>
      </c>
      <c r="G179" s="417">
        <f t="shared" si="120"/>
        <v>-71.46687545</v>
      </c>
      <c r="H179" s="417">
        <f t="shared" si="120"/>
        <v>-42.74217331</v>
      </c>
      <c r="I179" s="417">
        <f t="shared" si="120"/>
        <v>-31.97855082</v>
      </c>
    </row>
    <row r="180" outlineLevel="1">
      <c r="A180" s="342"/>
      <c r="B180" s="428"/>
      <c r="C180" s="417"/>
      <c r="D180" s="417"/>
      <c r="E180" s="417"/>
      <c r="F180" s="417"/>
      <c r="G180" s="417"/>
      <c r="H180" s="417"/>
      <c r="I180" s="417"/>
    </row>
    <row r="181" outlineLevel="1">
      <c r="A181" s="343" t="s">
        <v>288</v>
      </c>
      <c r="B181" s="428"/>
      <c r="C181" s="417"/>
      <c r="D181" s="417"/>
      <c r="E181" s="417"/>
      <c r="F181" s="417"/>
      <c r="G181" s="417"/>
      <c r="H181" s="417"/>
      <c r="I181" s="417"/>
    </row>
    <row r="182" outlineLevel="1">
      <c r="A182" s="342" t="s">
        <v>391</v>
      </c>
      <c r="B182" s="428">
        <f t="shared" ref="B182:B184" si="122">index(A182:I182,,match($A$3,$A$1:$I$1,0))</f>
        <v>-14.70217321</v>
      </c>
      <c r="C182" s="417">
        <f t="shared" ref="C182:C184" si="123">sum(ifna(D182:Q182,0))</f>
        <v>-14.70217321</v>
      </c>
      <c r="D182" s="417">
        <f t="shared" ref="D182:I182" si="121">D166*D$113</f>
        <v>-14.66128443</v>
      </c>
      <c r="E182" s="417">
        <f t="shared" si="121"/>
        <v>0</v>
      </c>
      <c r="F182" s="417">
        <f t="shared" si="121"/>
        <v>-0.04088878143</v>
      </c>
      <c r="G182" s="417">
        <f t="shared" si="121"/>
        <v>0</v>
      </c>
      <c r="H182" s="417">
        <f t="shared" si="121"/>
        <v>0</v>
      </c>
      <c r="I182" s="417">
        <f t="shared" si="121"/>
        <v>0</v>
      </c>
    </row>
    <row r="183" outlineLevel="1">
      <c r="A183" s="343" t="s">
        <v>392</v>
      </c>
      <c r="B183" s="428">
        <f t="shared" si="122"/>
        <v>-2169.655368</v>
      </c>
      <c r="C183" s="417">
        <f t="shared" si="123"/>
        <v>-2169.655368</v>
      </c>
      <c r="D183" s="417">
        <f t="shared" ref="D183:I183" si="124">D167*D$113</f>
        <v>-1320.824836</v>
      </c>
      <c r="E183" s="417">
        <f t="shared" si="124"/>
        <v>-246.9787199</v>
      </c>
      <c r="F183" s="417">
        <f t="shared" si="124"/>
        <v>-32.3650874</v>
      </c>
      <c r="G183" s="417">
        <f t="shared" si="124"/>
        <v>-218.7177086</v>
      </c>
      <c r="H183" s="417">
        <f t="shared" si="124"/>
        <v>-175.7379346</v>
      </c>
      <c r="I183" s="417">
        <f t="shared" si="124"/>
        <v>-175.0310809</v>
      </c>
    </row>
    <row r="184" outlineLevel="1">
      <c r="A184" s="342" t="s">
        <v>393</v>
      </c>
      <c r="B184" s="428">
        <f t="shared" si="122"/>
        <v>-470.4465762</v>
      </c>
      <c r="C184" s="417">
        <f t="shared" si="123"/>
        <v>-470.4465762</v>
      </c>
      <c r="D184" s="417">
        <f t="shared" ref="D184:I184" si="125">D168*D$113</f>
        <v>-284.5177157</v>
      </c>
      <c r="E184" s="417">
        <f t="shared" si="125"/>
        <v>-31.66666192</v>
      </c>
      <c r="F184" s="417">
        <f t="shared" si="125"/>
        <v>-8.074599011</v>
      </c>
      <c r="G184" s="417">
        <f t="shared" si="125"/>
        <v>-71.46687545</v>
      </c>
      <c r="H184" s="417">
        <f t="shared" si="125"/>
        <v>-42.74217331</v>
      </c>
      <c r="I184" s="417">
        <f t="shared" si="125"/>
        <v>-31.97855082</v>
      </c>
    </row>
    <row r="185" outlineLevel="1">
      <c r="A185" s="342"/>
      <c r="B185" s="446"/>
      <c r="C185" s="441"/>
      <c r="D185" s="441"/>
      <c r="E185" s="441"/>
      <c r="F185" s="441"/>
      <c r="G185" s="441"/>
      <c r="H185" s="441"/>
      <c r="I185" s="441"/>
    </row>
    <row r="186" outlineLevel="1">
      <c r="A186" s="342"/>
      <c r="B186" s="446"/>
      <c r="C186" s="441"/>
      <c r="D186" s="441"/>
      <c r="E186" s="441"/>
      <c r="F186" s="441"/>
      <c r="G186" s="441"/>
      <c r="H186" s="441"/>
      <c r="I186" s="441"/>
    </row>
    <row r="187" outlineLevel="1">
      <c r="A187" s="523" t="s">
        <v>395</v>
      </c>
      <c r="B187" s="521"/>
      <c r="C187" s="522"/>
      <c r="D187" s="441"/>
      <c r="E187" s="441"/>
      <c r="F187" s="441"/>
      <c r="G187" s="441"/>
      <c r="H187" s="441"/>
      <c r="I187" s="441"/>
    </row>
    <row r="188" outlineLevel="1">
      <c r="A188" s="343" t="s">
        <v>285</v>
      </c>
      <c r="B188" s="428"/>
      <c r="C188" s="417"/>
      <c r="D188" s="417"/>
      <c r="E188" s="417"/>
      <c r="F188" s="417"/>
      <c r="G188" s="417"/>
      <c r="H188" s="417"/>
      <c r="I188" s="417"/>
    </row>
    <row r="189" outlineLevel="1">
      <c r="A189" s="342" t="s">
        <v>391</v>
      </c>
      <c r="B189" s="428">
        <f t="shared" ref="B189:B191" si="127">index(A189:I189,,match($A$3,$A$1:$I$1,0))</f>
        <v>-367.371225</v>
      </c>
      <c r="C189" s="417">
        <f t="shared" ref="C189:C191" si="128">sumif(D189:Q189,"&lt;&gt;#DIV/0!")</f>
        <v>-367.371225</v>
      </c>
      <c r="D189" s="417">
        <f t="shared" ref="D189:I189" si="126">-D156*D140</f>
        <v>-113.0484211</v>
      </c>
      <c r="E189" s="417">
        <f t="shared" si="126"/>
        <v>-128.7794387</v>
      </c>
      <c r="F189" s="417">
        <f t="shared" si="126"/>
        <v>-15.89992572</v>
      </c>
      <c r="G189" s="417">
        <f t="shared" si="126"/>
        <v>-37.6888536</v>
      </c>
      <c r="H189" s="417">
        <f t="shared" si="126"/>
        <v>-34.55736283</v>
      </c>
      <c r="I189" s="417">
        <f t="shared" si="126"/>
        <v>-37.39722297</v>
      </c>
    </row>
    <row r="190" outlineLevel="1">
      <c r="A190" s="343" t="s">
        <v>392</v>
      </c>
      <c r="B190" s="428">
        <f t="shared" si="127"/>
        <v>0</v>
      </c>
      <c r="C190" s="417">
        <f t="shared" si="128"/>
        <v>0</v>
      </c>
      <c r="D190" s="417">
        <f t="shared" ref="D190:I190" si="129">-D157*D141</f>
        <v>0</v>
      </c>
      <c r="E190" s="417">
        <f t="shared" si="129"/>
        <v>0</v>
      </c>
      <c r="F190" s="417">
        <f t="shared" si="129"/>
        <v>0</v>
      </c>
      <c r="G190" s="417">
        <f t="shared" si="129"/>
        <v>0</v>
      </c>
      <c r="H190" s="417">
        <f t="shared" si="129"/>
        <v>0</v>
      </c>
      <c r="I190" s="417">
        <f t="shared" si="129"/>
        <v>0</v>
      </c>
    </row>
    <row r="191" outlineLevel="1">
      <c r="A191" s="342" t="s">
        <v>393</v>
      </c>
      <c r="B191" s="428">
        <f t="shared" si="127"/>
        <v>0</v>
      </c>
      <c r="C191" s="417">
        <f t="shared" si="128"/>
        <v>0</v>
      </c>
      <c r="D191" s="417">
        <f t="shared" ref="D191:I191" si="130">-D158*D142</f>
        <v>0</v>
      </c>
      <c r="E191" s="417">
        <f t="shared" si="130"/>
        <v>0</v>
      </c>
      <c r="F191" s="417">
        <f t="shared" si="130"/>
        <v>0</v>
      </c>
      <c r="G191" s="417">
        <f t="shared" si="130"/>
        <v>0</v>
      </c>
      <c r="H191" s="417">
        <f t="shared" si="130"/>
        <v>0</v>
      </c>
      <c r="I191" s="417">
        <f t="shared" si="130"/>
        <v>0</v>
      </c>
    </row>
    <row r="192" outlineLevel="1">
      <c r="A192" s="342"/>
      <c r="B192" s="428"/>
      <c r="C192" s="417"/>
      <c r="D192" s="417"/>
      <c r="E192" s="417"/>
      <c r="F192" s="417"/>
      <c r="G192" s="417"/>
      <c r="H192" s="417"/>
      <c r="I192" s="417"/>
    </row>
    <row r="193" outlineLevel="1">
      <c r="A193" s="343" t="s">
        <v>287</v>
      </c>
      <c r="B193" s="428"/>
      <c r="C193" s="417"/>
      <c r="D193" s="417"/>
      <c r="E193" s="417"/>
      <c r="F193" s="417"/>
      <c r="G193" s="417"/>
      <c r="H193" s="417"/>
      <c r="I193" s="417"/>
    </row>
    <row r="194" outlineLevel="1">
      <c r="A194" s="342" t="s">
        <v>391</v>
      </c>
      <c r="B194" s="428">
        <f t="shared" ref="B194:B196" si="132">index(A194:I194,,match($A$3,$A$1:$I$1,0))</f>
        <v>0</v>
      </c>
      <c r="C194" s="417">
        <f t="shared" ref="C194:C196" si="133">sumif(D194:Q194,"&lt;&gt;#DIV/0!")</f>
        <v>0</v>
      </c>
      <c r="D194" s="417">
        <f t="shared" ref="D194:I194" si="131">-D161*D140</f>
        <v>0</v>
      </c>
      <c r="E194" s="417">
        <f t="shared" si="131"/>
        <v>0</v>
      </c>
      <c r="F194" s="417">
        <f t="shared" si="131"/>
        <v>0</v>
      </c>
      <c r="G194" s="417">
        <f t="shared" si="131"/>
        <v>0</v>
      </c>
      <c r="H194" s="417">
        <f t="shared" si="131"/>
        <v>0</v>
      </c>
      <c r="I194" s="417">
        <f t="shared" si="131"/>
        <v>0</v>
      </c>
    </row>
    <row r="195" outlineLevel="1">
      <c r="A195" s="343" t="s">
        <v>392</v>
      </c>
      <c r="B195" s="428">
        <f t="shared" si="132"/>
        <v>172.1126227</v>
      </c>
      <c r="C195" s="417">
        <f t="shared" si="133"/>
        <v>172.1126227</v>
      </c>
      <c r="D195" s="417">
        <f t="shared" ref="D195:I195" si="134">-D162*D141</f>
        <v>53.37699075</v>
      </c>
      <c r="E195" s="417">
        <f t="shared" si="134"/>
        <v>58.40027008</v>
      </c>
      <c r="F195" s="417">
        <f t="shared" si="134"/>
        <v>7.630078317</v>
      </c>
      <c r="G195" s="417">
        <f t="shared" si="134"/>
        <v>18.78263931</v>
      </c>
      <c r="H195" s="417">
        <f t="shared" si="134"/>
        <v>16.53369198</v>
      </c>
      <c r="I195" s="417">
        <f t="shared" si="134"/>
        <v>17.38895224</v>
      </c>
    </row>
    <row r="196" outlineLevel="1">
      <c r="A196" s="342" t="s">
        <v>393</v>
      </c>
      <c r="B196" s="428">
        <f t="shared" si="132"/>
        <v>51.61061327</v>
      </c>
      <c r="C196" s="417">
        <f t="shared" si="133"/>
        <v>51.61061327</v>
      </c>
      <c r="D196" s="417">
        <f t="shared" ref="D196:I196" si="135">-D163*D142</f>
        <v>17.33864585</v>
      </c>
      <c r="E196" s="417">
        <f t="shared" si="135"/>
        <v>11.29157723</v>
      </c>
      <c r="F196" s="417">
        <f t="shared" si="135"/>
        <v>2.870583469</v>
      </c>
      <c r="G196" s="417">
        <f t="shared" si="135"/>
        <v>9.254958378</v>
      </c>
      <c r="H196" s="417">
        <f t="shared" si="135"/>
        <v>6.063982358</v>
      </c>
      <c r="I196" s="417">
        <f t="shared" si="135"/>
        <v>4.790865982</v>
      </c>
    </row>
    <row r="197" outlineLevel="1">
      <c r="A197" s="342"/>
      <c r="B197" s="428"/>
      <c r="C197" s="417"/>
      <c r="D197" s="417"/>
      <c r="E197" s="417"/>
      <c r="F197" s="417"/>
      <c r="G197" s="417"/>
      <c r="H197" s="417"/>
      <c r="I197" s="417"/>
    </row>
    <row r="198" outlineLevel="1">
      <c r="A198" s="343" t="s">
        <v>288</v>
      </c>
      <c r="B198" s="428"/>
      <c r="C198" s="417"/>
      <c r="D198" s="417"/>
      <c r="E198" s="417"/>
      <c r="F198" s="417"/>
      <c r="G198" s="417"/>
      <c r="H198" s="417"/>
      <c r="I198" s="417"/>
    </row>
    <row r="199" outlineLevel="1">
      <c r="A199" s="342" t="s">
        <v>391</v>
      </c>
      <c r="B199" s="428">
        <f t="shared" ref="B199:B201" si="137">index(A199:I199,,match($A$3,$A$1:$I$1,0))</f>
        <v>0.6052568049</v>
      </c>
      <c r="C199" s="417">
        <f t="shared" ref="C199:C201" si="138">sumif(D199:Q199,"&lt;&gt;#DIV/0!")</f>
        <v>0.6052568049</v>
      </c>
      <c r="D199" s="417">
        <f t="shared" ref="D199:I199" si="136">-D166*D140</f>
        <v>0.5956114157</v>
      </c>
      <c r="E199" s="417">
        <f t="shared" si="136"/>
        <v>0</v>
      </c>
      <c r="F199" s="417">
        <f t="shared" si="136"/>
        <v>0.00964538919</v>
      </c>
      <c r="G199" s="417">
        <f t="shared" si="136"/>
        <v>0</v>
      </c>
      <c r="H199" s="417">
        <f t="shared" si="136"/>
        <v>0</v>
      </c>
      <c r="I199" s="417">
        <f t="shared" si="136"/>
        <v>0</v>
      </c>
    </row>
    <row r="200" outlineLevel="1">
      <c r="A200" s="343" t="s">
        <v>392</v>
      </c>
      <c r="B200" s="428">
        <f t="shared" si="137"/>
        <v>172.3984755</v>
      </c>
      <c r="C200" s="417">
        <f t="shared" si="138"/>
        <v>172.3984755</v>
      </c>
      <c r="D200" s="417">
        <f t="shared" ref="D200:I200" si="139">-D167*D141</f>
        <v>53.65821489</v>
      </c>
      <c r="E200" s="417">
        <f t="shared" si="139"/>
        <v>58.40027008</v>
      </c>
      <c r="F200" s="417">
        <f t="shared" si="139"/>
        <v>7.634706959</v>
      </c>
      <c r="G200" s="417">
        <f t="shared" si="139"/>
        <v>18.78263931</v>
      </c>
      <c r="H200" s="417">
        <f t="shared" si="139"/>
        <v>16.53369198</v>
      </c>
      <c r="I200" s="417">
        <f t="shared" si="139"/>
        <v>17.38895224</v>
      </c>
    </row>
    <row r="201" outlineLevel="1">
      <c r="A201" s="342" t="s">
        <v>393</v>
      </c>
      <c r="B201" s="428">
        <f t="shared" si="137"/>
        <v>51.70370574</v>
      </c>
      <c r="C201" s="417">
        <f t="shared" si="138"/>
        <v>51.70370574</v>
      </c>
      <c r="D201" s="417">
        <f t="shared" ref="D201:I201" si="140">-D168*D142</f>
        <v>17.42999693</v>
      </c>
      <c r="E201" s="417">
        <f t="shared" si="140"/>
        <v>11.29157723</v>
      </c>
      <c r="F201" s="417">
        <f t="shared" si="140"/>
        <v>2.872324854</v>
      </c>
      <c r="G201" s="417">
        <f t="shared" si="140"/>
        <v>9.254958378</v>
      </c>
      <c r="H201" s="417">
        <f t="shared" si="140"/>
        <v>6.063982358</v>
      </c>
      <c r="I201" s="417">
        <f t="shared" si="140"/>
        <v>4.790865982</v>
      </c>
    </row>
    <row r="202" outlineLevel="1">
      <c r="A202" s="342"/>
      <c r="B202" s="428"/>
      <c r="C202" s="417"/>
      <c r="D202" s="417"/>
      <c r="E202" s="417"/>
      <c r="F202" s="417"/>
      <c r="G202" s="417"/>
      <c r="H202" s="417"/>
      <c r="I202" s="417"/>
    </row>
    <row r="203" outlineLevel="1">
      <c r="A203" s="342"/>
      <c r="B203" s="446"/>
      <c r="C203" s="441"/>
      <c r="D203" s="441"/>
      <c r="E203" s="441"/>
      <c r="F203" s="441"/>
      <c r="G203" s="441"/>
      <c r="H203" s="441"/>
      <c r="I203" s="441"/>
    </row>
    <row r="204" outlineLevel="1">
      <c r="A204" s="523" t="s">
        <v>396</v>
      </c>
      <c r="B204" s="446"/>
      <c r="C204" s="441"/>
      <c r="D204" s="441"/>
      <c r="E204" s="441"/>
      <c r="F204" s="441"/>
      <c r="G204" s="441"/>
      <c r="H204" s="441"/>
      <c r="I204" s="441"/>
    </row>
    <row r="205" outlineLevel="1">
      <c r="A205" s="344" t="s">
        <v>285</v>
      </c>
      <c r="B205" s="428">
        <f t="shared" ref="B205:B207" si="142">index(A205:I205,,match($A$3,$A$1:$I$1,0))</f>
        <v>4210.009137</v>
      </c>
      <c r="C205" s="417">
        <f t="shared" ref="C205:C207" si="143">sum(ifna(D205:Q205,0))</f>
        <v>4210.009137</v>
      </c>
      <c r="D205" s="417">
        <f t="shared" ref="D205:I205" si="141">sum(D172:D174,D189:D191)</f>
        <v>2669.697197</v>
      </c>
      <c r="E205" s="417">
        <f t="shared" si="141"/>
        <v>415.837579</v>
      </c>
      <c r="F205" s="417">
        <f t="shared" si="141"/>
        <v>51.5031178</v>
      </c>
      <c r="G205" s="417">
        <f t="shared" si="141"/>
        <v>401.1855541</v>
      </c>
      <c r="H205" s="417">
        <f t="shared" si="141"/>
        <v>332.755611</v>
      </c>
      <c r="I205" s="417">
        <f t="shared" si="141"/>
        <v>339.0300782</v>
      </c>
    </row>
    <row r="206" outlineLevel="1">
      <c r="A206" s="344" t="s">
        <v>287</v>
      </c>
      <c r="B206" s="428">
        <f t="shared" si="142"/>
        <v>-2407.940548</v>
      </c>
      <c r="C206" s="417">
        <f t="shared" si="143"/>
        <v>-2407.940548</v>
      </c>
      <c r="D206" s="417">
        <f t="shared" ref="D206:I206" si="144">sum(D177:D179,D194:D196)</f>
        <v>-1526.213272</v>
      </c>
      <c r="E206" s="417">
        <f t="shared" si="144"/>
        <v>-208.9535345</v>
      </c>
      <c r="F206" s="417">
        <f t="shared" si="144"/>
        <v>-29.91450753</v>
      </c>
      <c r="G206" s="417">
        <f t="shared" si="144"/>
        <v>-262.1469864</v>
      </c>
      <c r="H206" s="417">
        <f t="shared" si="144"/>
        <v>-195.8824336</v>
      </c>
      <c r="I206" s="417">
        <f t="shared" si="144"/>
        <v>-184.8298135</v>
      </c>
    </row>
    <row r="207" outlineLevel="1">
      <c r="A207" s="344" t="s">
        <v>288</v>
      </c>
      <c r="B207" s="428">
        <f t="shared" si="142"/>
        <v>-2430.096679</v>
      </c>
      <c r="C207" s="417">
        <f t="shared" si="143"/>
        <v>-2430.096679</v>
      </c>
      <c r="D207" s="417">
        <f t="shared" ref="D207:I207" si="145">sum(D182:D184,D199:D201)</f>
        <v>-1548.320013</v>
      </c>
      <c r="E207" s="417">
        <f t="shared" si="145"/>
        <v>-208.9535345</v>
      </c>
      <c r="F207" s="417">
        <f t="shared" si="145"/>
        <v>-29.96389799</v>
      </c>
      <c r="G207" s="417">
        <f t="shared" si="145"/>
        <v>-262.1469864</v>
      </c>
      <c r="H207" s="417">
        <f t="shared" si="145"/>
        <v>-195.8824336</v>
      </c>
      <c r="I207" s="417">
        <f t="shared" si="145"/>
        <v>-184.8298135</v>
      </c>
    </row>
    <row r="208" outlineLevel="1">
      <c r="A208" s="342"/>
      <c r="B208" s="446"/>
      <c r="C208" s="441"/>
      <c r="D208" s="417"/>
      <c r="E208" s="417"/>
      <c r="F208" s="417"/>
      <c r="G208" s="417"/>
      <c r="H208" s="417"/>
      <c r="I208" s="417"/>
    </row>
    <row r="209" outlineLevel="1">
      <c r="A209" s="523" t="s">
        <v>397</v>
      </c>
      <c r="B209" s="446"/>
      <c r="C209" s="441"/>
      <c r="D209" s="441"/>
      <c r="E209" s="441"/>
      <c r="F209" s="441"/>
      <c r="G209" s="441"/>
      <c r="H209" s="441"/>
      <c r="I209" s="441"/>
    </row>
    <row r="210" outlineLevel="1">
      <c r="A210" s="344" t="s">
        <v>285</v>
      </c>
      <c r="B210" s="428">
        <f t="shared" ref="B210:B213" si="147">index(A210:I210,,match($A$3,$A$1:$I$1,0))</f>
        <v>367.371225</v>
      </c>
      <c r="C210" s="417">
        <f t="shared" ref="C210:C212" si="148">sum(ifna(D210:Q210,0))</f>
        <v>367.371225</v>
      </c>
      <c r="D210" s="417">
        <f t="shared" ref="D210:I210" si="146">sum(D$30:D$31)*D$112-D205</f>
        <v>113.0484211</v>
      </c>
      <c r="E210" s="417">
        <f t="shared" si="146"/>
        <v>128.7794387</v>
      </c>
      <c r="F210" s="417">
        <f t="shared" si="146"/>
        <v>15.89992572</v>
      </c>
      <c r="G210" s="417">
        <f t="shared" si="146"/>
        <v>37.6888536</v>
      </c>
      <c r="H210" s="417">
        <f t="shared" si="146"/>
        <v>34.55736283</v>
      </c>
      <c r="I210" s="417">
        <f t="shared" si="146"/>
        <v>37.39722297</v>
      </c>
    </row>
    <row r="211" outlineLevel="1">
      <c r="A211" s="344" t="s">
        <v>287</v>
      </c>
      <c r="B211" s="428">
        <f t="shared" si="147"/>
        <v>6985.320909</v>
      </c>
      <c r="C211" s="417">
        <f t="shared" si="148"/>
        <v>6985.320909</v>
      </c>
      <c r="D211" s="417">
        <f t="shared" ref="D211:I211" si="149">sum(D$30:D$31)*D$112-D206</f>
        <v>4308.95889</v>
      </c>
      <c r="E211" s="417">
        <f t="shared" si="149"/>
        <v>753.5705522</v>
      </c>
      <c r="F211" s="417">
        <f t="shared" si="149"/>
        <v>97.31755105</v>
      </c>
      <c r="G211" s="417">
        <f t="shared" si="149"/>
        <v>701.0213941</v>
      </c>
      <c r="H211" s="417">
        <f t="shared" si="149"/>
        <v>563.1954075</v>
      </c>
      <c r="I211" s="417">
        <f t="shared" si="149"/>
        <v>561.2571147</v>
      </c>
    </row>
    <row r="212" outlineLevel="1">
      <c r="A212" s="344" t="s">
        <v>288</v>
      </c>
      <c r="B212" s="428">
        <f t="shared" si="147"/>
        <v>7007.477041</v>
      </c>
      <c r="C212" s="417">
        <f t="shared" si="148"/>
        <v>7007.477041</v>
      </c>
      <c r="D212" s="417">
        <f t="shared" ref="D212:I212" si="150">sum(D$30:D$31)*D$112-D207</f>
        <v>4331.065631</v>
      </c>
      <c r="E212" s="417">
        <f t="shared" si="150"/>
        <v>753.5705522</v>
      </c>
      <c r="F212" s="417">
        <f t="shared" si="150"/>
        <v>97.36694151</v>
      </c>
      <c r="G212" s="417">
        <f t="shared" si="150"/>
        <v>701.0213941</v>
      </c>
      <c r="H212" s="417">
        <f t="shared" si="150"/>
        <v>563.1954075</v>
      </c>
      <c r="I212" s="417">
        <f t="shared" si="150"/>
        <v>561.2571147</v>
      </c>
    </row>
    <row r="213" outlineLevel="1">
      <c r="A213" s="504" t="s">
        <v>72</v>
      </c>
      <c r="B213" s="492">
        <f t="shared" si="147"/>
        <v>5679.455878</v>
      </c>
      <c r="C213" s="524">
        <f>SUM(iferror(D213:Q213,0))</f>
        <v>5679.455878</v>
      </c>
      <c r="D213" s="524">
        <f t="shared" ref="D213:I213" si="151">SUMPRODUCT(D210:D212,D145:D147)</f>
        <v>3487.462189</v>
      </c>
      <c r="E213" s="524">
        <f t="shared" si="151"/>
        <v>628.6123295</v>
      </c>
      <c r="F213" s="524">
        <f t="shared" si="151"/>
        <v>81.07353835</v>
      </c>
      <c r="G213" s="524">
        <f t="shared" si="151"/>
        <v>568.354886</v>
      </c>
      <c r="H213" s="524">
        <f t="shared" si="151"/>
        <v>457.4677985</v>
      </c>
      <c r="I213" s="524">
        <f t="shared" si="151"/>
        <v>456.4851363</v>
      </c>
    </row>
    <row r="214">
      <c r="A214" s="96"/>
      <c r="B214" s="451"/>
      <c r="C214" s="452"/>
      <c r="D214" s="452"/>
      <c r="E214" s="452"/>
      <c r="F214" s="452"/>
      <c r="G214" s="452"/>
      <c r="H214" s="452"/>
      <c r="I214" s="452"/>
    </row>
    <row r="215">
      <c r="A215" s="418" t="s">
        <v>398</v>
      </c>
      <c r="B215" s="525"/>
      <c r="C215" s="418"/>
      <c r="D215" s="418"/>
      <c r="E215" s="418"/>
      <c r="F215" s="418"/>
      <c r="G215" s="418"/>
      <c r="H215" s="418"/>
      <c r="I215" s="418"/>
    </row>
    <row r="216">
      <c r="A216" s="96"/>
      <c r="B216" s="526"/>
      <c r="C216" s="453"/>
      <c r="D216" s="453"/>
      <c r="E216" s="453"/>
      <c r="F216" s="452"/>
      <c r="G216" s="453"/>
      <c r="H216" s="453"/>
      <c r="I216" s="453"/>
    </row>
    <row r="217">
      <c r="A217" s="244" t="s">
        <v>399</v>
      </c>
      <c r="B217" s="355">
        <f t="shared" ref="B217:B218" si="153">index(A217:I217,,match($A$3,$A$1:$I$1,0))</f>
        <v>5679.455878</v>
      </c>
      <c r="C217" s="527">
        <f t="shared" ref="C217:I217" si="152">C213</f>
        <v>5679.455878</v>
      </c>
      <c r="D217" s="527">
        <f t="shared" si="152"/>
        <v>3487.462189</v>
      </c>
      <c r="E217" s="527">
        <f t="shared" si="152"/>
        <v>628.6123295</v>
      </c>
      <c r="F217" s="527">
        <f t="shared" si="152"/>
        <v>81.07353835</v>
      </c>
      <c r="G217" s="527">
        <f t="shared" si="152"/>
        <v>568.354886</v>
      </c>
      <c r="H217" s="527">
        <f t="shared" si="152"/>
        <v>457.4677985</v>
      </c>
      <c r="I217" s="527">
        <f t="shared" si="152"/>
        <v>456.4851363</v>
      </c>
    </row>
    <row r="218">
      <c r="A218" s="344" t="s">
        <v>290</v>
      </c>
      <c r="B218" s="528">
        <f t="shared" si="153"/>
        <v>0.05580241292</v>
      </c>
      <c r="C218" s="529">
        <f t="shared" ref="C218:I218" si="154">C217/sum(C128:C129)</f>
        <v>0.05580241292</v>
      </c>
      <c r="D218" s="392">
        <f t="shared" si="154"/>
        <v>0.1113515819</v>
      </c>
      <c r="E218" s="392">
        <f t="shared" si="154"/>
        <v>0.01761926355</v>
      </c>
      <c r="F218" s="392">
        <f t="shared" si="154"/>
        <v>0.01840498286</v>
      </c>
      <c r="G218" s="392">
        <f t="shared" si="154"/>
        <v>0.05443247167</v>
      </c>
      <c r="H218" s="392">
        <f t="shared" si="154"/>
        <v>0.04778276987</v>
      </c>
      <c r="I218" s="392">
        <f t="shared" si="154"/>
        <v>0.04405940949</v>
      </c>
    </row>
    <row r="219">
      <c r="A219" s="82"/>
      <c r="B219" s="530"/>
      <c r="C219" s="496"/>
      <c r="D219" s="496"/>
      <c r="E219" s="496"/>
      <c r="F219" s="531"/>
      <c r="G219" s="496"/>
      <c r="H219" s="496"/>
      <c r="I219" s="496"/>
    </row>
    <row r="220">
      <c r="A220" s="347" t="s">
        <v>291</v>
      </c>
      <c r="B220" s="348">
        <f t="shared" ref="B220:B221" si="155">index(A220:I220,,match($A$3,$A$1:$I$1,0))</f>
        <v>16.22237666</v>
      </c>
      <c r="C220" s="349">
        <f t="array" ref="C220">C218/index(GiveDirectly!$B:$B,match("Units of value generated per dollar spent",GiveDirectly!$A:$A,0))</f>
        <v>16.22237666</v>
      </c>
      <c r="D220" s="349">
        <f t="array" ref="D220">D218/index(GiveDirectly!$B:$B,match("Units of value generated per dollar spent",GiveDirectly!$A:$A,0))</f>
        <v>32.37113252</v>
      </c>
      <c r="E220" s="349">
        <f t="array" ref="E220">E218/index(GiveDirectly!$B:$B,match("Units of value generated per dollar spent",GiveDirectly!$A:$A,0))</f>
        <v>5.122114167</v>
      </c>
      <c r="F220" s="349">
        <f t="array" ref="F220">F218/index(GiveDirectly!$B:$B,match("Units of value generated per dollar spent",GiveDirectly!$A:$A,0))</f>
        <v>5.350531431</v>
      </c>
      <c r="G220" s="349">
        <f t="array" ref="G220">G218/index(GiveDirectly!$B:$B,match("Units of value generated per dollar spent",GiveDirectly!$A:$A,0))</f>
        <v>15.82411963</v>
      </c>
      <c r="H220" s="349">
        <f t="array" ref="H220">H218/index(GiveDirectly!$B:$B,match("Units of value generated per dollar spent",GiveDirectly!$A:$A,0))</f>
        <v>13.89097801</v>
      </c>
      <c r="I220" s="349">
        <f t="array" ref="I220">I218/index(GiveDirectly!$B:$B,match("Units of value generated per dollar spent",GiveDirectly!$A:$A,0))</f>
        <v>12.80855609</v>
      </c>
    </row>
    <row r="221">
      <c r="A221" s="82" t="s">
        <v>400</v>
      </c>
      <c r="B221" s="351">
        <f t="shared" si="155"/>
        <v>0.2284125914</v>
      </c>
      <c r="C221" s="532">
        <f t="shared" ref="C221:I221" si="156">(C220-C114)/C114</f>
        <v>0.2284125914</v>
      </c>
      <c r="D221" s="532">
        <f t="shared" si="156"/>
        <v>0.2532450565</v>
      </c>
      <c r="E221" s="532">
        <f t="shared" si="156"/>
        <v>0.1542282173</v>
      </c>
      <c r="F221" s="532">
        <f t="shared" si="156"/>
        <v>0.2028171744</v>
      </c>
      <c r="G221" s="532">
        <f t="shared" si="156"/>
        <v>0.2950285459</v>
      </c>
      <c r="H221" s="532">
        <f t="shared" si="156"/>
        <v>0.245444161</v>
      </c>
      <c r="I221" s="532">
        <f t="shared" si="156"/>
        <v>0.2126780788</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18" width="17.29"/>
  </cols>
  <sheetData>
    <row r="1">
      <c r="A1" s="533" t="s">
        <v>401</v>
      </c>
      <c r="B1" s="362" t="s">
        <v>87</v>
      </c>
      <c r="C1" s="362" t="s">
        <v>72</v>
      </c>
      <c r="D1" s="362" t="s">
        <v>402</v>
      </c>
      <c r="E1" s="362" t="s">
        <v>403</v>
      </c>
      <c r="F1" s="362" t="s">
        <v>156</v>
      </c>
      <c r="G1" s="362" t="s">
        <v>404</v>
      </c>
      <c r="H1" s="362" t="s">
        <v>405</v>
      </c>
      <c r="I1" s="362"/>
      <c r="J1" s="362"/>
      <c r="K1" s="362"/>
      <c r="L1" s="362"/>
      <c r="M1" s="362"/>
      <c r="N1" s="362"/>
      <c r="O1" s="362"/>
      <c r="P1" s="362"/>
      <c r="Q1" s="362"/>
      <c r="R1" s="362"/>
    </row>
    <row r="2">
      <c r="A2" s="534" t="s">
        <v>159</v>
      </c>
      <c r="B2" s="535"/>
      <c r="C2" s="535"/>
      <c r="D2" s="535"/>
      <c r="E2" s="536"/>
      <c r="F2" s="535"/>
      <c r="G2" s="535"/>
      <c r="H2" s="535"/>
      <c r="I2" s="535"/>
      <c r="J2" s="535"/>
      <c r="K2" s="535"/>
      <c r="L2" s="535"/>
      <c r="M2" s="535"/>
      <c r="N2" s="535"/>
      <c r="O2" s="535"/>
      <c r="P2" s="535"/>
      <c r="Q2" s="535"/>
      <c r="R2" s="535"/>
    </row>
    <row r="3">
      <c r="A3" s="537" t="str">
        <f>Results!C10</f>
        <v>Overall</v>
      </c>
      <c r="B3" s="535"/>
      <c r="C3" s="535"/>
      <c r="D3" s="535"/>
      <c r="E3" s="536"/>
      <c r="F3" s="535"/>
      <c r="G3" s="535"/>
      <c r="H3" s="535"/>
      <c r="I3" s="535"/>
      <c r="J3" s="535"/>
      <c r="K3" s="535"/>
      <c r="L3" s="535"/>
      <c r="M3" s="535"/>
      <c r="N3" s="535"/>
      <c r="O3" s="535"/>
      <c r="P3" s="535"/>
      <c r="Q3" s="535"/>
      <c r="R3" s="535"/>
    </row>
    <row r="4">
      <c r="A4" s="538"/>
      <c r="B4" s="535"/>
      <c r="C4" s="535"/>
      <c r="D4" s="535"/>
      <c r="E4" s="536"/>
      <c r="F4" s="535"/>
      <c r="G4" s="535"/>
      <c r="H4" s="535"/>
      <c r="I4" s="535"/>
      <c r="J4" s="535"/>
      <c r="K4" s="535"/>
      <c r="L4" s="535"/>
      <c r="M4" s="535"/>
      <c r="N4" s="535"/>
      <c r="O4" s="535"/>
      <c r="P4" s="535"/>
      <c r="Q4" s="535"/>
      <c r="R4" s="535"/>
    </row>
    <row r="5">
      <c r="A5" s="145" t="s">
        <v>160</v>
      </c>
      <c r="B5" s="145"/>
      <c r="C5" s="145"/>
      <c r="D5" s="145"/>
      <c r="E5" s="145"/>
      <c r="F5" s="145"/>
      <c r="G5" s="145"/>
      <c r="H5" s="145"/>
      <c r="I5" s="145"/>
      <c r="J5" s="145"/>
      <c r="K5" s="145"/>
      <c r="L5" s="145"/>
      <c r="M5" s="145"/>
      <c r="N5" s="145"/>
      <c r="O5" s="145"/>
      <c r="P5" s="145"/>
      <c r="Q5" s="145"/>
      <c r="R5" s="145"/>
    </row>
    <row r="6">
      <c r="A6" s="407"/>
      <c r="B6" s="535"/>
      <c r="C6" s="535"/>
      <c r="D6" s="535"/>
      <c r="E6" s="536"/>
      <c r="F6" s="539"/>
      <c r="G6" s="535"/>
      <c r="H6" s="535"/>
      <c r="I6" s="535"/>
      <c r="J6" s="535"/>
      <c r="K6" s="535"/>
      <c r="L6" s="535"/>
      <c r="M6" s="535"/>
      <c r="N6" s="535"/>
      <c r="O6" s="535"/>
      <c r="P6" s="535"/>
      <c r="Q6" s="535"/>
      <c r="R6" s="535"/>
    </row>
    <row r="7">
      <c r="A7" s="96" t="s">
        <v>161</v>
      </c>
      <c r="B7" s="266">
        <f t="shared" ref="B7:B12" si="1">index(A7:AAJ7,,match($A$3,$A$1:$AAJ$1,0))</f>
        <v>1</v>
      </c>
      <c r="C7" s="152">
        <f>sum(D7:H7)</f>
        <v>1</v>
      </c>
      <c r="D7" s="155">
        <v>0.35853132503123974</v>
      </c>
      <c r="E7" s="155">
        <v>0.262297079441862</v>
      </c>
      <c r="F7" s="155">
        <v>0.20404972833036394</v>
      </c>
      <c r="G7" s="155">
        <v>0.08963865898207402</v>
      </c>
      <c r="H7" s="155">
        <v>0.08548320821446027</v>
      </c>
      <c r="I7" s="155"/>
      <c r="J7" s="155"/>
      <c r="K7" s="155"/>
      <c r="L7" s="155"/>
      <c r="M7" s="155"/>
      <c r="N7" s="155"/>
      <c r="O7" s="155"/>
      <c r="P7" s="155"/>
      <c r="Q7" s="155"/>
      <c r="R7" s="155"/>
    </row>
    <row r="8">
      <c r="A8" s="154" t="s">
        <v>406</v>
      </c>
      <c r="B8" s="266">
        <f t="shared" si="1"/>
        <v>0.3329512957</v>
      </c>
      <c r="C8" s="152">
        <f t="shared" ref="C8:C9" si="2">SUMPRODUCT(D8:H8,$D$17:$H$17)/sum($D$17:$H$17)</f>
        <v>0.3329512957</v>
      </c>
      <c r="D8" s="156">
        <v>0.332951295738193</v>
      </c>
      <c r="E8" s="156">
        <v>0.332951295738193</v>
      </c>
      <c r="F8" s="156">
        <v>0.332951295738193</v>
      </c>
      <c r="G8" s="156">
        <v>0.332951295738193</v>
      </c>
      <c r="H8" s="156">
        <v>0.332951295738193</v>
      </c>
      <c r="I8" s="156"/>
      <c r="J8" s="156"/>
      <c r="K8" s="156"/>
      <c r="L8" s="156"/>
      <c r="M8" s="156"/>
      <c r="N8" s="156"/>
      <c r="O8" s="156"/>
      <c r="P8" s="156"/>
      <c r="Q8" s="156"/>
      <c r="R8" s="156"/>
    </row>
    <row r="9">
      <c r="A9" s="154" t="s">
        <v>163</v>
      </c>
      <c r="B9" s="266">
        <f t="shared" si="1"/>
        <v>0.241700568</v>
      </c>
      <c r="C9" s="152">
        <f t="shared" si="2"/>
        <v>0.241700568</v>
      </c>
      <c r="D9" s="156">
        <v>0.241700568048259</v>
      </c>
      <c r="E9" s="156">
        <v>0.241700568048259</v>
      </c>
      <c r="F9" s="156">
        <v>0.241700568048259</v>
      </c>
      <c r="G9" s="156">
        <v>0.241700568048259</v>
      </c>
      <c r="H9" s="156">
        <v>0.241700568048259</v>
      </c>
      <c r="I9" s="156"/>
      <c r="J9" s="156"/>
      <c r="K9" s="156"/>
      <c r="L9" s="156"/>
      <c r="M9" s="156"/>
      <c r="N9" s="156"/>
      <c r="O9" s="156"/>
      <c r="P9" s="156"/>
      <c r="Q9" s="156"/>
      <c r="R9" s="156"/>
    </row>
    <row r="10">
      <c r="A10" s="154" t="s">
        <v>354</v>
      </c>
      <c r="B10" s="266">
        <f t="shared" si="1"/>
        <v>0</v>
      </c>
      <c r="C10" s="152">
        <f>SUMPRODUCT(D10:H10,$D$7:$H$7)/sum($D$7:$H$7)</f>
        <v>0</v>
      </c>
      <c r="D10" s="156">
        <v>0.0</v>
      </c>
      <c r="E10" s="156">
        <v>0.0</v>
      </c>
      <c r="F10" s="156">
        <v>0.0</v>
      </c>
      <c r="G10" s="156">
        <v>0.0</v>
      </c>
      <c r="H10" s="156">
        <v>0.0</v>
      </c>
      <c r="I10" s="156"/>
      <c r="J10" s="156"/>
      <c r="K10" s="156"/>
      <c r="L10" s="156"/>
      <c r="M10" s="156"/>
      <c r="N10" s="156"/>
      <c r="O10" s="156"/>
      <c r="P10" s="156"/>
      <c r="Q10" s="156"/>
      <c r="R10" s="156"/>
    </row>
    <row r="11">
      <c r="A11" s="154" t="s">
        <v>407</v>
      </c>
      <c r="B11" s="266">
        <f t="shared" si="1"/>
        <v>0.3</v>
      </c>
      <c r="C11" s="152">
        <f t="shared" ref="C11:C12" si="3">SUMPRODUCT(D11:H11,$D$17:$H$17)/sum($D$17:$H$17)</f>
        <v>0.3</v>
      </c>
      <c r="D11" s="156">
        <v>0.3</v>
      </c>
      <c r="E11" s="156">
        <v>0.3</v>
      </c>
      <c r="F11" s="156">
        <v>0.3</v>
      </c>
      <c r="G11" s="156">
        <v>0.3</v>
      </c>
      <c r="H11" s="156">
        <v>0.3</v>
      </c>
      <c r="I11" s="156"/>
      <c r="J11" s="156"/>
      <c r="K11" s="156"/>
      <c r="L11" s="156"/>
      <c r="M11" s="156"/>
      <c r="N11" s="156"/>
      <c r="O11" s="156"/>
      <c r="P11" s="156"/>
      <c r="Q11" s="156"/>
      <c r="R11" s="156"/>
    </row>
    <row r="12">
      <c r="A12" s="154" t="s">
        <v>356</v>
      </c>
      <c r="B12" s="266">
        <f t="shared" si="1"/>
        <v>0.1253481362</v>
      </c>
      <c r="C12" s="152">
        <f t="shared" si="3"/>
        <v>0.1253481362</v>
      </c>
      <c r="D12" s="156">
        <v>0.125348136213548</v>
      </c>
      <c r="E12" s="156">
        <v>0.125348136213548</v>
      </c>
      <c r="F12" s="156">
        <v>0.125348136213548</v>
      </c>
      <c r="G12" s="156">
        <v>0.125348136213548</v>
      </c>
      <c r="H12" s="156">
        <v>0.125348136213548</v>
      </c>
      <c r="I12" s="156"/>
      <c r="J12" s="156"/>
      <c r="K12" s="156"/>
      <c r="L12" s="156"/>
      <c r="M12" s="156"/>
      <c r="N12" s="156"/>
      <c r="O12" s="156"/>
      <c r="P12" s="156"/>
      <c r="Q12" s="156"/>
      <c r="R12" s="156"/>
    </row>
    <row r="13">
      <c r="A13" s="540"/>
      <c r="B13" s="541"/>
      <c r="C13" s="535"/>
      <c r="D13" s="535"/>
      <c r="E13" s="536"/>
      <c r="F13" s="539"/>
      <c r="G13" s="535"/>
      <c r="H13" s="535"/>
      <c r="I13" s="535"/>
      <c r="J13" s="535"/>
      <c r="K13" s="535"/>
      <c r="L13" s="535"/>
      <c r="M13" s="535"/>
      <c r="N13" s="535"/>
      <c r="O13" s="535"/>
      <c r="P13" s="535"/>
      <c r="Q13" s="535"/>
      <c r="R13" s="535"/>
    </row>
    <row r="14">
      <c r="A14" s="542" t="s">
        <v>408</v>
      </c>
      <c r="B14" s="543"/>
      <c r="C14" s="542"/>
      <c r="D14" s="542"/>
      <c r="E14" s="542"/>
      <c r="F14" s="542"/>
      <c r="G14" s="542"/>
      <c r="H14" s="542"/>
      <c r="I14" s="542"/>
      <c r="J14" s="542"/>
      <c r="K14" s="542"/>
      <c r="L14" s="542"/>
      <c r="M14" s="542"/>
      <c r="N14" s="542"/>
      <c r="O14" s="542"/>
      <c r="P14" s="542"/>
      <c r="Q14" s="542"/>
      <c r="R14" s="542"/>
    </row>
    <row r="15">
      <c r="A15" s="540"/>
      <c r="B15" s="544"/>
      <c r="C15" s="545"/>
      <c r="D15" s="545"/>
      <c r="E15" s="545"/>
      <c r="F15" s="546"/>
      <c r="G15" s="545"/>
      <c r="H15" s="545"/>
      <c r="I15" s="545"/>
      <c r="J15" s="545"/>
      <c r="K15" s="545"/>
      <c r="L15" s="545"/>
      <c r="M15" s="545"/>
      <c r="N15" s="545"/>
      <c r="O15" s="545"/>
      <c r="P15" s="545"/>
      <c r="Q15" s="545"/>
      <c r="R15" s="545"/>
    </row>
    <row r="16">
      <c r="A16" s="154" t="s">
        <v>409</v>
      </c>
      <c r="B16" s="544">
        <f t="shared" ref="B16:B26" si="5">index(A16:AAJ16,,match($A$3,$A$1:$AAJ$1,0))</f>
        <v>100000</v>
      </c>
      <c r="C16" s="545">
        <v>100000.0</v>
      </c>
      <c r="D16" s="547">
        <f t="shared" ref="D16:H16" si="4">$C$16*D7</f>
        <v>35853.1325</v>
      </c>
      <c r="E16" s="547">
        <f t="shared" si="4"/>
        <v>26229.70794</v>
      </c>
      <c r="F16" s="547">
        <f t="shared" si="4"/>
        <v>20404.97283</v>
      </c>
      <c r="G16" s="547">
        <f t="shared" si="4"/>
        <v>8963.865898</v>
      </c>
      <c r="H16" s="547">
        <f t="shared" si="4"/>
        <v>8548.320821</v>
      </c>
      <c r="I16" s="547"/>
      <c r="J16" s="547"/>
      <c r="K16" s="547"/>
      <c r="L16" s="547"/>
      <c r="M16" s="547"/>
      <c r="N16" s="547"/>
      <c r="O16" s="547"/>
      <c r="P16" s="547"/>
      <c r="Q16" s="547"/>
      <c r="R16" s="547"/>
    </row>
    <row r="17">
      <c r="A17" s="154" t="s">
        <v>166</v>
      </c>
      <c r="B17" s="544">
        <f t="shared" si="5"/>
        <v>300344.2284</v>
      </c>
      <c r="C17" s="545">
        <f>sum(D17:H17)</f>
        <v>300344.2284</v>
      </c>
      <c r="D17" s="547">
        <f t="shared" ref="D17:H17" si="6">D16/D8</f>
        <v>107682.8142</v>
      </c>
      <c r="E17" s="547">
        <f t="shared" si="6"/>
        <v>78779.41393</v>
      </c>
      <c r="F17" s="547">
        <f t="shared" si="6"/>
        <v>61285.1582</v>
      </c>
      <c r="G17" s="547">
        <f t="shared" si="6"/>
        <v>26922.45386</v>
      </c>
      <c r="H17" s="547">
        <f t="shared" si="6"/>
        <v>25674.38821</v>
      </c>
      <c r="I17" s="547"/>
      <c r="J17" s="547"/>
      <c r="K17" s="547"/>
      <c r="L17" s="547"/>
      <c r="M17" s="547"/>
      <c r="N17" s="547"/>
      <c r="O17" s="547"/>
      <c r="P17" s="547"/>
      <c r="Q17" s="547"/>
      <c r="R17" s="547"/>
    </row>
    <row r="18">
      <c r="A18" s="548" t="s">
        <v>410</v>
      </c>
      <c r="B18" s="549">
        <f t="shared" si="5"/>
        <v>0.7862707986</v>
      </c>
      <c r="C18" s="549">
        <f>'SCI Foundation'!C17</f>
        <v>0.7862707986</v>
      </c>
      <c r="D18" s="549">
        <f t="shared" ref="D18:H18" si="7">C18</f>
        <v>0.7862707986</v>
      </c>
      <c r="E18" s="549">
        <f t="shared" si="7"/>
        <v>0.7862707986</v>
      </c>
      <c r="F18" s="549">
        <f t="shared" si="7"/>
        <v>0.7862707986</v>
      </c>
      <c r="G18" s="549">
        <f t="shared" si="7"/>
        <v>0.7862707986</v>
      </c>
      <c r="H18" s="549">
        <f t="shared" si="7"/>
        <v>0.7862707986</v>
      </c>
      <c r="I18" s="549"/>
      <c r="J18" s="549"/>
      <c r="K18" s="549"/>
      <c r="L18" s="549"/>
      <c r="M18" s="549"/>
      <c r="N18" s="549"/>
      <c r="O18" s="549"/>
      <c r="P18" s="549"/>
      <c r="Q18" s="549"/>
      <c r="R18" s="549"/>
    </row>
    <row r="19">
      <c r="A19" s="179" t="s">
        <v>411</v>
      </c>
      <c r="B19" s="550">
        <f t="shared" si="5"/>
        <v>0.08346470165</v>
      </c>
      <c r="C19" s="551">
        <f>sumproduct(D7:H7,D19:H19)</f>
        <v>0.08346470165</v>
      </c>
      <c r="D19" s="467">
        <v>0.021315157452521973</v>
      </c>
      <c r="E19" s="467">
        <v>0.1784563729927242</v>
      </c>
      <c r="F19" s="467">
        <v>0.07502395245673038</v>
      </c>
      <c r="G19" s="467">
        <v>0.05670895852422428</v>
      </c>
      <c r="H19" s="467">
        <v>0.10086229361486433</v>
      </c>
      <c r="I19" s="467"/>
      <c r="J19" s="467"/>
      <c r="K19" s="467"/>
      <c r="L19" s="467"/>
      <c r="M19" s="467"/>
      <c r="N19" s="467"/>
      <c r="O19" s="467"/>
      <c r="P19" s="467"/>
      <c r="Q19" s="467"/>
      <c r="R19" s="467"/>
    </row>
    <row r="20">
      <c r="A20" s="179" t="s">
        <v>412</v>
      </c>
      <c r="B20" s="552">
        <f t="shared" si="5"/>
        <v>0.2291896943</v>
      </c>
      <c r="C20" s="552">
        <f>'Deworm the World'!$C$25</f>
        <v>0.2291896943</v>
      </c>
      <c r="D20" s="552">
        <f>'Deworm the World'!$C$25</f>
        <v>0.2291896943</v>
      </c>
      <c r="E20" s="552">
        <f>'Deworm the World'!$C$25</f>
        <v>0.2291896943</v>
      </c>
      <c r="F20" s="552">
        <f>'Deworm the World'!$C$25</f>
        <v>0.2291896943</v>
      </c>
      <c r="G20" s="552">
        <f>'Deworm the World'!$C$25</f>
        <v>0.2291896943</v>
      </c>
      <c r="H20" s="552">
        <f>'Deworm the World'!$C$25</f>
        <v>0.2291896943</v>
      </c>
      <c r="I20" s="552"/>
      <c r="J20" s="552"/>
      <c r="K20" s="552"/>
      <c r="L20" s="552"/>
      <c r="M20" s="552"/>
      <c r="N20" s="552"/>
      <c r="O20" s="552"/>
      <c r="P20" s="552"/>
      <c r="Q20" s="552"/>
      <c r="R20" s="552"/>
    </row>
    <row r="21">
      <c r="A21" s="553" t="s">
        <v>413</v>
      </c>
      <c r="B21" s="554">
        <f t="shared" si="5"/>
        <v>0.01504077024</v>
      </c>
      <c r="C21" s="555">
        <f t="shared" ref="C21:H21" si="8">C19*C18*C20</f>
        <v>0.01504077024</v>
      </c>
      <c r="D21" s="555">
        <f t="shared" si="8"/>
        <v>0.003841101443</v>
      </c>
      <c r="E21" s="555">
        <f t="shared" si="8"/>
        <v>0.03215875995</v>
      </c>
      <c r="F21" s="555">
        <f t="shared" si="8"/>
        <v>0.01351970365</v>
      </c>
      <c r="G21" s="555">
        <f t="shared" si="8"/>
        <v>0.01021924717</v>
      </c>
      <c r="H21" s="555">
        <f t="shared" si="8"/>
        <v>0.01817590616</v>
      </c>
      <c r="I21" s="555"/>
      <c r="J21" s="555"/>
      <c r="K21" s="555"/>
      <c r="L21" s="555"/>
      <c r="M21" s="555"/>
      <c r="N21" s="555"/>
      <c r="O21" s="555"/>
      <c r="P21" s="555"/>
      <c r="Q21" s="555"/>
      <c r="R21" s="555"/>
    </row>
    <row r="22">
      <c r="A22" s="556" t="s">
        <v>121</v>
      </c>
      <c r="B22" s="557">
        <f t="shared" si="5"/>
        <v>1.442695041</v>
      </c>
      <c r="C22" s="557">
        <f t="array" ref="C22">index('Moral weights and discount rate'!$A$1:$ZU$35,match($A22,'Moral weights and discount rate'!$A$1:$A$35,0),match('Deworm the World'!B$1,'Moral weights and discount rate'!$A$1:$ZU$1,0))</f>
        <v>1.442695041</v>
      </c>
      <c r="D22" s="557">
        <f t="shared" ref="D22:H22" si="9">C22</f>
        <v>1.442695041</v>
      </c>
      <c r="E22" s="557">
        <f t="shared" si="9"/>
        <v>1.442695041</v>
      </c>
      <c r="F22" s="557">
        <f t="shared" si="9"/>
        <v>1.442695041</v>
      </c>
      <c r="G22" s="557">
        <f t="shared" si="9"/>
        <v>1.442695041</v>
      </c>
      <c r="H22" s="557">
        <f t="shared" si="9"/>
        <v>1.442695041</v>
      </c>
      <c r="I22" s="557"/>
      <c r="J22" s="557"/>
      <c r="K22" s="557"/>
      <c r="L22" s="557"/>
      <c r="M22" s="557"/>
      <c r="N22" s="557"/>
      <c r="O22" s="557"/>
      <c r="P22" s="557"/>
      <c r="Q22" s="557"/>
      <c r="R22" s="557"/>
    </row>
    <row r="23">
      <c r="A23" s="558" t="s">
        <v>414</v>
      </c>
      <c r="B23" s="559">
        <f t="shared" si="5"/>
        <v>0.02169924464</v>
      </c>
      <c r="C23" s="560">
        <f t="shared" ref="C23:H23" si="10">(C21*C22)</f>
        <v>0.02169924464</v>
      </c>
      <c r="D23" s="560">
        <f t="shared" si="10"/>
        <v>0.005541538004</v>
      </c>
      <c r="E23" s="560">
        <f t="shared" si="10"/>
        <v>0.0463952835</v>
      </c>
      <c r="F23" s="560">
        <f t="shared" si="10"/>
        <v>0.01950480941</v>
      </c>
      <c r="G23" s="560">
        <f t="shared" si="10"/>
        <v>0.01474325721</v>
      </c>
      <c r="H23" s="560">
        <f t="shared" si="10"/>
        <v>0.02622228968</v>
      </c>
      <c r="I23" s="560"/>
      <c r="J23" s="560"/>
      <c r="K23" s="560"/>
      <c r="L23" s="560"/>
      <c r="M23" s="560"/>
      <c r="N23" s="560"/>
      <c r="O23" s="560"/>
      <c r="P23" s="560"/>
      <c r="Q23" s="560"/>
      <c r="R23" s="560"/>
    </row>
    <row r="24">
      <c r="A24" s="561" t="s">
        <v>415</v>
      </c>
      <c r="B24" s="562">
        <f t="shared" si="5"/>
        <v>0.805121139</v>
      </c>
      <c r="C24" s="563">
        <v>0.805121139</v>
      </c>
      <c r="D24" s="562">
        <f t="shared" ref="D24:H24" si="11">$C24</f>
        <v>0.805121139</v>
      </c>
      <c r="E24" s="562">
        <f t="shared" si="11"/>
        <v>0.805121139</v>
      </c>
      <c r="F24" s="562">
        <f t="shared" si="11"/>
        <v>0.805121139</v>
      </c>
      <c r="G24" s="562">
        <f t="shared" si="11"/>
        <v>0.805121139</v>
      </c>
      <c r="H24" s="562">
        <f t="shared" si="11"/>
        <v>0.805121139</v>
      </c>
      <c r="I24" s="562"/>
      <c r="J24" s="562"/>
      <c r="K24" s="562"/>
      <c r="L24" s="562"/>
      <c r="M24" s="562"/>
      <c r="N24" s="562"/>
      <c r="O24" s="562"/>
      <c r="P24" s="562"/>
      <c r="Q24" s="562"/>
      <c r="R24" s="562"/>
    </row>
    <row r="25">
      <c r="A25" s="82" t="s">
        <v>416</v>
      </c>
      <c r="B25" s="564">
        <f t="shared" si="5"/>
        <v>373042.2837</v>
      </c>
      <c r="C25" s="565">
        <f>sum(D25:H25)</f>
        <v>373042.2837</v>
      </c>
      <c r="D25" s="565">
        <f t="shared" ref="D25:H25" si="12">D17/D24</f>
        <v>133747.3443</v>
      </c>
      <c r="E25" s="565">
        <f t="shared" si="12"/>
        <v>97847.90153</v>
      </c>
      <c r="F25" s="565">
        <f t="shared" si="12"/>
        <v>76119.17665</v>
      </c>
      <c r="G25" s="565">
        <f t="shared" si="12"/>
        <v>33439.01006</v>
      </c>
      <c r="H25" s="565">
        <f t="shared" si="12"/>
        <v>31888.85121</v>
      </c>
      <c r="I25" s="565"/>
      <c r="J25" s="565"/>
      <c r="K25" s="565"/>
      <c r="L25" s="565"/>
      <c r="M25" s="565"/>
      <c r="N25" s="565"/>
      <c r="O25" s="565"/>
      <c r="P25" s="565"/>
      <c r="Q25" s="565"/>
      <c r="R25" s="565"/>
    </row>
    <row r="26">
      <c r="A26" s="558"/>
      <c r="B26" s="566" t="str">
        <f t="shared" si="5"/>
        <v/>
      </c>
      <c r="C26" s="567"/>
      <c r="D26" s="567"/>
      <c r="E26" s="567"/>
      <c r="F26" s="567"/>
      <c r="G26" s="567"/>
      <c r="H26" s="567"/>
      <c r="I26" s="567"/>
      <c r="J26" s="567"/>
      <c r="K26" s="567"/>
      <c r="L26" s="567"/>
      <c r="M26" s="567"/>
      <c r="N26" s="567"/>
      <c r="O26" s="567"/>
      <c r="P26" s="567"/>
      <c r="Q26" s="567"/>
      <c r="R26" s="567"/>
    </row>
    <row r="27">
      <c r="A27" s="568" t="s">
        <v>249</v>
      </c>
      <c r="B27" s="569"/>
      <c r="C27" s="570"/>
      <c r="D27" s="570"/>
      <c r="E27" s="570"/>
      <c r="F27" s="570"/>
      <c r="G27" s="570"/>
      <c r="H27" s="570"/>
      <c r="I27" s="570"/>
      <c r="J27" s="570"/>
      <c r="K27" s="570"/>
      <c r="L27" s="570"/>
      <c r="M27" s="570"/>
      <c r="N27" s="570"/>
      <c r="O27" s="570"/>
      <c r="P27" s="570"/>
      <c r="Q27" s="570"/>
      <c r="R27" s="570"/>
    </row>
    <row r="28">
      <c r="A28" s="571"/>
      <c r="B28" s="566"/>
      <c r="C28" s="567"/>
      <c r="D28" s="567"/>
      <c r="E28" s="567"/>
      <c r="F28" s="567"/>
      <c r="G28" s="567"/>
      <c r="H28" s="567"/>
      <c r="I28" s="567"/>
      <c r="J28" s="567"/>
      <c r="K28" s="567"/>
      <c r="L28" s="567"/>
      <c r="M28" s="567"/>
      <c r="N28" s="567"/>
      <c r="O28" s="567"/>
      <c r="P28" s="567"/>
      <c r="Q28" s="567"/>
      <c r="R28" s="567"/>
    </row>
    <row r="29">
      <c r="A29" s="540" t="s">
        <v>281</v>
      </c>
      <c r="B29" s="572">
        <f t="shared" ref="B29:B30" si="14">index(A29:AAJ29,,match($A$3,$A$1:$AAJ$1,0))</f>
        <v>8094.735776</v>
      </c>
      <c r="C29" s="573">
        <f t="shared" ref="C29:H29" si="13">C23*C25</f>
        <v>8094.735776</v>
      </c>
      <c r="D29" s="573">
        <f t="shared" si="13"/>
        <v>741.1659912</v>
      </c>
      <c r="E29" s="573">
        <f t="shared" si="13"/>
        <v>4539.681132</v>
      </c>
      <c r="F29" s="573">
        <f t="shared" si="13"/>
        <v>1484.690033</v>
      </c>
      <c r="G29" s="573">
        <f t="shared" si="13"/>
        <v>492.9999261</v>
      </c>
      <c r="H29" s="573">
        <f t="shared" si="13"/>
        <v>836.1986939</v>
      </c>
      <c r="I29" s="573"/>
      <c r="J29" s="573"/>
      <c r="K29" s="573"/>
      <c r="L29" s="573"/>
      <c r="M29" s="573"/>
      <c r="N29" s="573"/>
      <c r="O29" s="573"/>
      <c r="P29" s="573"/>
      <c r="Q29" s="573"/>
      <c r="R29" s="573"/>
    </row>
    <row r="30">
      <c r="A30" s="574" t="s">
        <v>252</v>
      </c>
      <c r="B30" s="575">
        <f t="shared" si="14"/>
        <v>0.02695152765</v>
      </c>
      <c r="C30" s="380">
        <f t="shared" ref="C30:H30" si="15">C29/C17</f>
        <v>0.02695152765</v>
      </c>
      <c r="D30" s="380">
        <f t="shared" si="15"/>
        <v>0.006882862386</v>
      </c>
      <c r="E30" s="380">
        <f t="shared" si="15"/>
        <v>0.05762522092</v>
      </c>
      <c r="F30" s="380">
        <f t="shared" si="15"/>
        <v>0.02422593131</v>
      </c>
      <c r="G30" s="380">
        <f t="shared" si="15"/>
        <v>0.0183118496</v>
      </c>
      <c r="H30" s="380">
        <f t="shared" si="15"/>
        <v>0.03256937174</v>
      </c>
      <c r="I30" s="380"/>
      <c r="J30" s="380"/>
      <c r="K30" s="380"/>
      <c r="L30" s="380"/>
      <c r="M30" s="380"/>
      <c r="N30" s="380"/>
      <c r="O30" s="380"/>
      <c r="P30" s="380"/>
      <c r="Q30" s="380"/>
      <c r="R30" s="380"/>
    </row>
    <row r="31">
      <c r="A31" s="540"/>
      <c r="B31" s="576"/>
      <c r="C31" s="576"/>
      <c r="D31" s="576"/>
      <c r="E31" s="576"/>
      <c r="F31" s="576"/>
      <c r="G31" s="576"/>
      <c r="H31" s="576"/>
      <c r="I31" s="576"/>
      <c r="J31" s="576"/>
      <c r="K31" s="576"/>
      <c r="L31" s="576"/>
      <c r="M31" s="576"/>
      <c r="N31" s="576"/>
      <c r="O31" s="576"/>
      <c r="P31" s="576"/>
      <c r="Q31" s="576"/>
      <c r="R31" s="576"/>
    </row>
    <row r="32">
      <c r="A32" s="304" t="s">
        <v>253</v>
      </c>
      <c r="B32" s="306">
        <f t="array" ref="B32">index(C32:AK32,,match($A$3,$C$1:$AK$1,0))</f>
        <v>7.835106229</v>
      </c>
      <c r="C32" s="307">
        <f t="array" ref="C32">C30/index(GiveDirectly!$B:$B,match("Units of value generated per dollar spent",GiveDirectly!$A:$A,0))</f>
        <v>7.835106229</v>
      </c>
      <c r="D32" s="307">
        <f t="array" ref="D32">D30/index(GiveDirectly!$B:$B,match("Units of value generated per dollar spent",GiveDirectly!$A:$A,0))</f>
        <v>2.000923979</v>
      </c>
      <c r="E32" s="307">
        <f t="array" ref="E32">E30/index(GiveDirectly!$B:$B,match("Units of value generated per dollar spent",GiveDirectly!$A:$A,0))</f>
        <v>16.75228704</v>
      </c>
      <c r="F32" s="307">
        <f t="array" ref="F32">F30/index(GiveDirectly!$B:$B,match("Units of value generated per dollar spent",GiveDirectly!$A:$A,0))</f>
        <v>7.042745324</v>
      </c>
      <c r="G32" s="307">
        <f t="array" ref="G32">G30/index(GiveDirectly!$B:$B,match("Units of value generated per dollar spent",GiveDirectly!$A:$A,0))</f>
        <v>5.323456568</v>
      </c>
      <c r="H32" s="307">
        <f t="array" ref="H32">H30/index(GiveDirectly!$B:$B,match("Units of value generated per dollar spent",GiveDirectly!$A:$A,0))</f>
        <v>9.468275443</v>
      </c>
      <c r="I32" s="307"/>
      <c r="J32" s="307"/>
      <c r="K32" s="307"/>
      <c r="L32" s="307"/>
      <c r="M32" s="307"/>
      <c r="N32" s="307"/>
      <c r="O32" s="307"/>
      <c r="P32" s="307"/>
      <c r="Q32" s="307"/>
      <c r="R32" s="307"/>
    </row>
    <row r="33">
      <c r="A33" s="548"/>
      <c r="B33" s="549"/>
      <c r="C33" s="549"/>
      <c r="D33" s="549"/>
      <c r="E33" s="549"/>
      <c r="F33" s="549"/>
      <c r="G33" s="549"/>
      <c r="H33" s="549"/>
      <c r="I33" s="549"/>
      <c r="J33" s="549"/>
      <c r="K33" s="549"/>
      <c r="L33" s="549"/>
      <c r="M33" s="549"/>
      <c r="N33" s="549"/>
      <c r="O33" s="549"/>
      <c r="P33" s="549"/>
      <c r="Q33" s="549"/>
      <c r="R33" s="549"/>
    </row>
    <row r="34">
      <c r="A34" s="241" t="s">
        <v>366</v>
      </c>
      <c r="B34" s="577"/>
      <c r="C34" s="243"/>
      <c r="D34" s="243"/>
      <c r="E34" s="243"/>
      <c r="F34" s="243"/>
      <c r="G34" s="243"/>
      <c r="H34" s="243"/>
      <c r="I34" s="243"/>
      <c r="J34" s="243"/>
      <c r="K34" s="243"/>
      <c r="L34" s="243"/>
      <c r="M34" s="243"/>
      <c r="N34" s="243"/>
      <c r="O34" s="243"/>
      <c r="P34" s="243"/>
      <c r="Q34" s="243"/>
      <c r="R34" s="243"/>
    </row>
    <row r="35">
      <c r="A35" s="326"/>
      <c r="B35" s="578"/>
      <c r="C35" s="121"/>
      <c r="D35" s="121"/>
      <c r="E35" s="121"/>
      <c r="F35" s="121"/>
      <c r="G35" s="121"/>
      <c r="H35" s="121"/>
      <c r="I35" s="121"/>
      <c r="J35" s="121"/>
      <c r="K35" s="121"/>
      <c r="L35" s="121"/>
      <c r="M35" s="121"/>
      <c r="N35" s="121"/>
      <c r="O35" s="121"/>
      <c r="P35" s="121"/>
      <c r="Q35" s="121"/>
      <c r="R35" s="121"/>
    </row>
    <row r="36">
      <c r="A36" s="82" t="s">
        <v>417</v>
      </c>
      <c r="B36" s="579">
        <f t="array" ref="B36">index(A36:AAJ36,,match($A$3,$A$1:$AAJ$1,0))</f>
        <v>0.009765370093</v>
      </c>
      <c r="C36" s="452">
        <f>product('Deworm the World'!C11:C12,C19)</f>
        <v>0.009765370093</v>
      </c>
      <c r="D36" s="452">
        <f>product('Deworm the World'!$C$11:$C$12,D19)</f>
        <v>0.002493873422</v>
      </c>
      <c r="E36" s="452">
        <f>product('Deworm the World'!$C$11:$C$12,E19)</f>
        <v>0.02087939564</v>
      </c>
      <c r="F36" s="452">
        <f>product('Deworm the World'!$C$11:$C$12,F19)</f>
        <v>0.008777802437</v>
      </c>
      <c r="G36" s="452">
        <f>product('Deworm the World'!$C$11:$C$12,G19)</f>
        <v>0.006634948147</v>
      </c>
      <c r="H36" s="452">
        <f>product('Deworm the World'!$C$11:$C$12,H19)</f>
        <v>0.01180088835</v>
      </c>
      <c r="I36" s="452"/>
      <c r="J36" s="452"/>
      <c r="K36" s="452"/>
      <c r="L36" s="452"/>
      <c r="M36" s="452"/>
      <c r="N36" s="452"/>
      <c r="O36" s="452"/>
      <c r="P36" s="452"/>
      <c r="Q36" s="452"/>
      <c r="R36" s="452"/>
    </row>
    <row r="37">
      <c r="A37" s="580"/>
      <c r="B37" s="566"/>
      <c r="C37" s="567"/>
      <c r="D37" s="567"/>
      <c r="E37" s="567"/>
      <c r="F37" s="567"/>
      <c r="G37" s="567"/>
      <c r="H37" s="567"/>
      <c r="I37" s="567"/>
      <c r="J37" s="567"/>
      <c r="K37" s="567"/>
      <c r="L37" s="567"/>
      <c r="M37" s="567"/>
      <c r="N37" s="567"/>
      <c r="O37" s="567"/>
      <c r="P37" s="567"/>
      <c r="Q37" s="567"/>
      <c r="R37" s="567"/>
    </row>
    <row r="38">
      <c r="A38" s="308" t="s">
        <v>418</v>
      </c>
      <c r="B38" s="308"/>
      <c r="C38" s="308"/>
      <c r="D38" s="308"/>
      <c r="E38" s="308"/>
      <c r="F38" s="308"/>
      <c r="G38" s="308"/>
      <c r="H38" s="308"/>
      <c r="I38" s="308"/>
      <c r="J38" s="308"/>
      <c r="K38" s="308"/>
      <c r="L38" s="308"/>
      <c r="M38" s="308"/>
      <c r="N38" s="308"/>
      <c r="O38" s="308"/>
      <c r="P38" s="308"/>
      <c r="Q38" s="308"/>
      <c r="R38" s="308"/>
    </row>
    <row r="39" outlineLevel="1">
      <c r="A39" s="310"/>
      <c r="D39" s="407"/>
      <c r="E39" s="407"/>
      <c r="F39" s="407"/>
      <c r="G39" s="407"/>
      <c r="H39" s="407"/>
      <c r="I39" s="407"/>
      <c r="J39" s="407"/>
      <c r="K39" s="407"/>
      <c r="L39" s="407"/>
      <c r="M39" s="407"/>
      <c r="N39" s="407"/>
      <c r="O39" s="407"/>
      <c r="P39" s="407"/>
      <c r="Q39" s="407"/>
      <c r="R39" s="407"/>
    </row>
    <row r="40" outlineLevel="1">
      <c r="A40" s="312" t="s">
        <v>255</v>
      </c>
      <c r="B40" s="311"/>
      <c r="C40" s="314"/>
      <c r="D40" s="407"/>
      <c r="E40" s="407"/>
      <c r="F40" s="407"/>
      <c r="G40" s="407"/>
      <c r="H40" s="407"/>
      <c r="I40" s="407"/>
      <c r="J40" s="407"/>
      <c r="K40" s="407"/>
      <c r="L40" s="407"/>
      <c r="M40" s="407"/>
      <c r="N40" s="407"/>
      <c r="O40" s="407"/>
      <c r="P40" s="407"/>
      <c r="Q40" s="407"/>
      <c r="R40" s="407"/>
    </row>
    <row r="41" outlineLevel="1">
      <c r="A41" s="138" t="s">
        <v>256</v>
      </c>
      <c r="B41" s="581">
        <f t="shared" ref="B41:B44" si="17">index(C41:AJ41,,match($A$3,$C$1:$AJ$1,0))</f>
        <v>0</v>
      </c>
      <c r="C41" s="155">
        <v>0.0</v>
      </c>
      <c r="D41" s="317">
        <f t="shared" ref="D41:H41" si="16">$C41</f>
        <v>0</v>
      </c>
      <c r="E41" s="317">
        <f t="shared" si="16"/>
        <v>0</v>
      </c>
      <c r="F41" s="317">
        <f t="shared" si="16"/>
        <v>0</v>
      </c>
      <c r="G41" s="317">
        <f t="shared" si="16"/>
        <v>0</v>
      </c>
      <c r="H41" s="317">
        <f t="shared" si="16"/>
        <v>0</v>
      </c>
      <c r="I41" s="317"/>
      <c r="J41" s="317"/>
      <c r="K41" s="317"/>
      <c r="L41" s="317"/>
      <c r="M41" s="317"/>
      <c r="N41" s="317"/>
      <c r="O41" s="317"/>
      <c r="P41" s="317"/>
      <c r="Q41" s="317"/>
      <c r="R41" s="317"/>
    </row>
    <row r="42" outlineLevel="1">
      <c r="A42" s="138" t="s">
        <v>257</v>
      </c>
      <c r="B42" s="581">
        <f t="shared" si="17"/>
        <v>0</v>
      </c>
      <c r="C42" s="155">
        <v>0.0</v>
      </c>
      <c r="D42" s="317">
        <f t="shared" ref="D42:H42" si="18">$C42</f>
        <v>0</v>
      </c>
      <c r="E42" s="317">
        <f t="shared" si="18"/>
        <v>0</v>
      </c>
      <c r="F42" s="317">
        <f t="shared" si="18"/>
        <v>0</v>
      </c>
      <c r="G42" s="317">
        <f t="shared" si="18"/>
        <v>0</v>
      </c>
      <c r="H42" s="317">
        <f t="shared" si="18"/>
        <v>0</v>
      </c>
      <c r="I42" s="317"/>
      <c r="J42" s="317"/>
      <c r="K42" s="317"/>
      <c r="L42" s="317"/>
      <c r="M42" s="317"/>
      <c r="N42" s="317"/>
      <c r="O42" s="317"/>
      <c r="P42" s="317"/>
      <c r="Q42" s="317"/>
      <c r="R42" s="317"/>
    </row>
    <row r="43" outlineLevel="1">
      <c r="A43" s="138" t="s">
        <v>258</v>
      </c>
      <c r="B43" s="581">
        <f t="shared" si="17"/>
        <v>0</v>
      </c>
      <c r="C43" s="499">
        <v>0.0</v>
      </c>
      <c r="D43" s="317">
        <f t="shared" ref="D43:H43" si="19">$C43</f>
        <v>0</v>
      </c>
      <c r="E43" s="317">
        <f t="shared" si="19"/>
        <v>0</v>
      </c>
      <c r="F43" s="317">
        <f t="shared" si="19"/>
        <v>0</v>
      </c>
      <c r="G43" s="317">
        <f t="shared" si="19"/>
        <v>0</v>
      </c>
      <c r="H43" s="317">
        <f t="shared" si="19"/>
        <v>0</v>
      </c>
      <c r="I43" s="317"/>
      <c r="J43" s="317"/>
      <c r="K43" s="317"/>
      <c r="L43" s="317"/>
      <c r="M43" s="317"/>
      <c r="N43" s="317"/>
      <c r="O43" s="317"/>
      <c r="P43" s="317"/>
      <c r="Q43" s="317"/>
      <c r="R43" s="317"/>
    </row>
    <row r="44" outlineLevel="1">
      <c r="A44" s="319" t="s">
        <v>259</v>
      </c>
      <c r="B44" s="582">
        <f t="shared" si="17"/>
        <v>0</v>
      </c>
      <c r="C44" s="321">
        <f t="shared" ref="C44:H44" si="20">SUM(C41:C43)</f>
        <v>0</v>
      </c>
      <c r="D44" s="321">
        <f t="shared" si="20"/>
        <v>0</v>
      </c>
      <c r="E44" s="321">
        <f t="shared" si="20"/>
        <v>0</v>
      </c>
      <c r="F44" s="321">
        <f t="shared" si="20"/>
        <v>0</v>
      </c>
      <c r="G44" s="321">
        <f t="shared" si="20"/>
        <v>0</v>
      </c>
      <c r="H44" s="321">
        <f t="shared" si="20"/>
        <v>0</v>
      </c>
      <c r="I44" s="153"/>
      <c r="J44" s="153"/>
      <c r="K44" s="153"/>
      <c r="L44" s="153"/>
      <c r="M44" s="153"/>
      <c r="N44" s="153"/>
      <c r="O44" s="153"/>
      <c r="P44" s="153"/>
      <c r="Q44" s="153"/>
      <c r="R44" s="153"/>
    </row>
    <row r="45" outlineLevel="1">
      <c r="A45" s="138"/>
      <c r="B45" s="311"/>
      <c r="C45" s="299"/>
      <c r="D45" s="311"/>
      <c r="E45" s="311"/>
      <c r="F45" s="311"/>
      <c r="G45" s="311"/>
      <c r="H45" s="311"/>
      <c r="I45" s="311"/>
      <c r="J45" s="311"/>
      <c r="K45" s="311"/>
      <c r="L45" s="311"/>
      <c r="M45" s="311"/>
      <c r="N45" s="311"/>
      <c r="O45" s="311"/>
      <c r="P45" s="311"/>
      <c r="Q45" s="311"/>
      <c r="R45" s="311"/>
    </row>
    <row r="46" outlineLevel="1">
      <c r="A46" s="312" t="s">
        <v>260</v>
      </c>
      <c r="B46" s="581" t="str">
        <f t="shared" ref="B46:B49" si="21">index(C46:AJ46,,match($A$3,$C$1:$AJ$1,0))</f>
        <v/>
      </c>
      <c r="C46" s="299"/>
      <c r="D46" s="311"/>
      <c r="E46" s="311"/>
      <c r="F46" s="311"/>
      <c r="G46" s="311"/>
      <c r="H46" s="311"/>
      <c r="I46" s="311"/>
      <c r="J46" s="311"/>
      <c r="K46" s="311"/>
      <c r="L46" s="311"/>
      <c r="M46" s="311"/>
      <c r="N46" s="311"/>
      <c r="O46" s="311"/>
      <c r="P46" s="311"/>
      <c r="Q46" s="311"/>
      <c r="R46" s="311"/>
    </row>
    <row r="47" outlineLevel="1">
      <c r="A47" s="138" t="s">
        <v>261</v>
      </c>
      <c r="B47" s="581">
        <f t="shared" si="21"/>
        <v>0.07</v>
      </c>
      <c r="C47" s="155">
        <v>0.07</v>
      </c>
      <c r="D47" s="317">
        <f t="shared" ref="D47:H47" si="22">$C47</f>
        <v>0.07</v>
      </c>
      <c r="E47" s="317">
        <f t="shared" si="22"/>
        <v>0.07</v>
      </c>
      <c r="F47" s="317">
        <f t="shared" si="22"/>
        <v>0.07</v>
      </c>
      <c r="G47" s="317">
        <f t="shared" si="22"/>
        <v>0.07</v>
      </c>
      <c r="H47" s="317">
        <f t="shared" si="22"/>
        <v>0.07</v>
      </c>
      <c r="I47" s="317"/>
      <c r="J47" s="317"/>
      <c r="K47" s="317"/>
      <c r="L47" s="317"/>
      <c r="M47" s="317"/>
      <c r="N47" s="317"/>
      <c r="O47" s="317"/>
      <c r="P47" s="317"/>
      <c r="Q47" s="317"/>
      <c r="R47" s="317"/>
    </row>
    <row r="48" outlineLevel="1">
      <c r="A48" s="138" t="s">
        <v>262</v>
      </c>
      <c r="B48" s="581">
        <f t="shared" si="21"/>
        <v>0.1</v>
      </c>
      <c r="C48" s="499">
        <v>0.1</v>
      </c>
      <c r="D48" s="317">
        <f t="shared" ref="D48:H48" si="23">$C48</f>
        <v>0.1</v>
      </c>
      <c r="E48" s="317">
        <f t="shared" si="23"/>
        <v>0.1</v>
      </c>
      <c r="F48" s="317">
        <f t="shared" si="23"/>
        <v>0.1</v>
      </c>
      <c r="G48" s="317">
        <f t="shared" si="23"/>
        <v>0.1</v>
      </c>
      <c r="H48" s="317">
        <f t="shared" si="23"/>
        <v>0.1</v>
      </c>
      <c r="I48" s="317"/>
      <c r="J48" s="317"/>
      <c r="K48" s="317"/>
      <c r="L48" s="317"/>
      <c r="M48" s="317"/>
      <c r="N48" s="317"/>
      <c r="O48" s="317"/>
      <c r="P48" s="317"/>
      <c r="Q48" s="317"/>
      <c r="R48" s="317"/>
    </row>
    <row r="49" outlineLevel="1">
      <c r="A49" s="319" t="s">
        <v>263</v>
      </c>
      <c r="B49" s="582">
        <f t="shared" si="21"/>
        <v>0.17</v>
      </c>
      <c r="C49" s="321">
        <f t="shared" ref="C49:H49" si="24">sum(C46:C48)</f>
        <v>0.17</v>
      </c>
      <c r="D49" s="321">
        <f t="shared" si="24"/>
        <v>0.17</v>
      </c>
      <c r="E49" s="321">
        <f t="shared" si="24"/>
        <v>0.17</v>
      </c>
      <c r="F49" s="321">
        <f t="shared" si="24"/>
        <v>0.17</v>
      </c>
      <c r="G49" s="321">
        <f t="shared" si="24"/>
        <v>0.17</v>
      </c>
      <c r="H49" s="321">
        <f t="shared" si="24"/>
        <v>0.17</v>
      </c>
      <c r="I49" s="153"/>
      <c r="J49" s="153"/>
      <c r="K49" s="153"/>
      <c r="L49" s="153"/>
      <c r="M49" s="153"/>
      <c r="N49" s="153"/>
      <c r="O49" s="153"/>
      <c r="P49" s="153"/>
      <c r="Q49" s="153"/>
      <c r="R49" s="153"/>
    </row>
    <row r="50" outlineLevel="1">
      <c r="A50" s="138"/>
      <c r="B50" s="311"/>
      <c r="C50" s="299"/>
      <c r="D50" s="311"/>
      <c r="E50" s="311"/>
      <c r="F50" s="311"/>
      <c r="G50" s="311"/>
      <c r="H50" s="311"/>
      <c r="I50" s="311"/>
      <c r="J50" s="311"/>
      <c r="K50" s="311"/>
      <c r="L50" s="311"/>
      <c r="M50" s="311"/>
      <c r="N50" s="311"/>
      <c r="O50" s="311"/>
      <c r="P50" s="311"/>
      <c r="Q50" s="311"/>
      <c r="R50" s="311"/>
    </row>
    <row r="51" outlineLevel="1">
      <c r="A51" s="312" t="s">
        <v>264</v>
      </c>
      <c r="B51" s="311"/>
      <c r="C51" s="299"/>
      <c r="D51" s="311"/>
      <c r="E51" s="311"/>
      <c r="F51" s="311"/>
      <c r="G51" s="311"/>
      <c r="H51" s="311"/>
      <c r="I51" s="311"/>
      <c r="J51" s="311"/>
      <c r="K51" s="311"/>
      <c r="L51" s="311"/>
      <c r="M51" s="311"/>
      <c r="N51" s="311"/>
      <c r="O51" s="311"/>
      <c r="P51" s="311"/>
      <c r="Q51" s="311"/>
      <c r="R51" s="311"/>
    </row>
    <row r="52" outlineLevel="1">
      <c r="A52" s="138" t="s">
        <v>265</v>
      </c>
      <c r="B52" s="581">
        <f t="shared" ref="B52:B55" si="26">index(C52:AJ52,,match($A$3,$C$1:$AJ$1,0))</f>
        <v>0</v>
      </c>
      <c r="C52" s="155">
        <v>0.0</v>
      </c>
      <c r="D52" s="317">
        <f t="shared" ref="D52:H52" si="25">$C52</f>
        <v>0</v>
      </c>
      <c r="E52" s="317">
        <f t="shared" si="25"/>
        <v>0</v>
      </c>
      <c r="F52" s="317">
        <f t="shared" si="25"/>
        <v>0</v>
      </c>
      <c r="G52" s="317">
        <f t="shared" si="25"/>
        <v>0</v>
      </c>
      <c r="H52" s="317">
        <f t="shared" si="25"/>
        <v>0</v>
      </c>
      <c r="I52" s="317"/>
      <c r="J52" s="317"/>
      <c r="K52" s="317"/>
      <c r="L52" s="317"/>
      <c r="M52" s="317"/>
      <c r="N52" s="317"/>
      <c r="O52" s="317"/>
      <c r="P52" s="317"/>
      <c r="Q52" s="317"/>
      <c r="R52" s="317"/>
    </row>
    <row r="53" outlineLevel="1">
      <c r="A53" s="138" t="s">
        <v>266</v>
      </c>
      <c r="B53" s="581">
        <f t="shared" si="26"/>
        <v>0</v>
      </c>
      <c r="C53" s="155">
        <v>0.0</v>
      </c>
      <c r="D53" s="317">
        <f t="shared" ref="D53:H53" si="27">$C53</f>
        <v>0</v>
      </c>
      <c r="E53" s="317">
        <f t="shared" si="27"/>
        <v>0</v>
      </c>
      <c r="F53" s="317">
        <f t="shared" si="27"/>
        <v>0</v>
      </c>
      <c r="G53" s="317">
        <f t="shared" si="27"/>
        <v>0</v>
      </c>
      <c r="H53" s="317">
        <f t="shared" si="27"/>
        <v>0</v>
      </c>
      <c r="I53" s="317"/>
      <c r="J53" s="317"/>
      <c r="K53" s="317"/>
      <c r="L53" s="317"/>
      <c r="M53" s="317"/>
      <c r="N53" s="317"/>
      <c r="O53" s="317"/>
      <c r="P53" s="317"/>
      <c r="Q53" s="317"/>
      <c r="R53" s="317"/>
    </row>
    <row r="54" outlineLevel="1">
      <c r="A54" s="138" t="s">
        <v>267</v>
      </c>
      <c r="B54" s="581">
        <f t="shared" si="26"/>
        <v>0</v>
      </c>
      <c r="C54" s="499">
        <v>0.0</v>
      </c>
      <c r="D54" s="317">
        <f t="shared" ref="D54:H54" si="28">$C54</f>
        <v>0</v>
      </c>
      <c r="E54" s="317">
        <f t="shared" si="28"/>
        <v>0</v>
      </c>
      <c r="F54" s="317">
        <f t="shared" si="28"/>
        <v>0</v>
      </c>
      <c r="G54" s="317">
        <f t="shared" si="28"/>
        <v>0</v>
      </c>
      <c r="H54" s="317">
        <f t="shared" si="28"/>
        <v>0</v>
      </c>
      <c r="I54" s="317"/>
      <c r="J54" s="317"/>
      <c r="K54" s="317"/>
      <c r="L54" s="317"/>
      <c r="M54" s="317"/>
      <c r="N54" s="317"/>
      <c r="O54" s="317"/>
      <c r="P54" s="317"/>
      <c r="Q54" s="317"/>
      <c r="R54" s="317"/>
    </row>
    <row r="55" outlineLevel="1">
      <c r="A55" s="322" t="s">
        <v>268</v>
      </c>
      <c r="B55" s="582">
        <f t="shared" si="26"/>
        <v>0</v>
      </c>
      <c r="C55" s="321">
        <f t="shared" ref="C55:H55" si="29">sum(C52:C54)</f>
        <v>0</v>
      </c>
      <c r="D55" s="321">
        <f t="shared" si="29"/>
        <v>0</v>
      </c>
      <c r="E55" s="321">
        <f t="shared" si="29"/>
        <v>0</v>
      </c>
      <c r="F55" s="321">
        <f t="shared" si="29"/>
        <v>0</v>
      </c>
      <c r="G55" s="321">
        <f t="shared" si="29"/>
        <v>0</v>
      </c>
      <c r="H55" s="321">
        <f t="shared" si="29"/>
        <v>0</v>
      </c>
      <c r="I55" s="153"/>
      <c r="J55" s="153"/>
      <c r="K55" s="153"/>
      <c r="L55" s="153"/>
      <c r="M55" s="153"/>
      <c r="N55" s="153"/>
      <c r="O55" s="153"/>
      <c r="P55" s="153"/>
      <c r="Q55" s="153"/>
      <c r="R55" s="153"/>
    </row>
    <row r="56" outlineLevel="1">
      <c r="A56" s="138"/>
      <c r="B56" s="311"/>
      <c r="C56" s="299"/>
      <c r="D56" s="311"/>
      <c r="E56" s="311"/>
      <c r="F56" s="311"/>
      <c r="G56" s="311"/>
      <c r="H56" s="311"/>
      <c r="I56" s="311"/>
      <c r="J56" s="311"/>
      <c r="K56" s="311"/>
      <c r="L56" s="311"/>
      <c r="M56" s="311"/>
      <c r="N56" s="311"/>
      <c r="O56" s="311"/>
      <c r="P56" s="311"/>
      <c r="Q56" s="311"/>
      <c r="R56" s="311"/>
    </row>
    <row r="57">
      <c r="A57" s="112" t="s">
        <v>269</v>
      </c>
      <c r="B57" s="581">
        <f t="array" ref="B57">index(C57:AJ57,,match($A$3,$C$1:$AJ$1,0))</f>
        <v>0.83</v>
      </c>
      <c r="C57" s="153">
        <f t="shared" ref="C57:H57" si="30">1-sum(C44,C49,C55)</f>
        <v>0.83</v>
      </c>
      <c r="D57" s="153">
        <f t="shared" si="30"/>
        <v>0.83</v>
      </c>
      <c r="E57" s="153">
        <f t="shared" si="30"/>
        <v>0.83</v>
      </c>
      <c r="F57" s="153">
        <f t="shared" si="30"/>
        <v>0.83</v>
      </c>
      <c r="G57" s="153">
        <f t="shared" si="30"/>
        <v>0.83</v>
      </c>
      <c r="H57" s="153">
        <f t="shared" si="30"/>
        <v>0.83</v>
      </c>
      <c r="I57" s="153"/>
      <c r="J57" s="153"/>
      <c r="K57" s="153"/>
      <c r="L57" s="153"/>
      <c r="M57" s="153"/>
      <c r="N57" s="153"/>
      <c r="O57" s="153"/>
      <c r="P57" s="153"/>
      <c r="Q57" s="153"/>
      <c r="R57" s="153"/>
    </row>
    <row r="58">
      <c r="A58" s="580"/>
      <c r="B58" s="566"/>
      <c r="C58" s="567"/>
      <c r="D58" s="567"/>
      <c r="E58" s="567"/>
      <c r="F58" s="567"/>
      <c r="G58" s="567"/>
      <c r="H58" s="567"/>
      <c r="I58" s="567"/>
      <c r="J58" s="567"/>
      <c r="K58" s="567"/>
      <c r="L58" s="567"/>
      <c r="M58" s="567"/>
      <c r="N58" s="567"/>
      <c r="O58" s="567"/>
      <c r="P58" s="567"/>
      <c r="Q58" s="567"/>
      <c r="R58" s="567"/>
    </row>
    <row r="59">
      <c r="A59" s="241" t="s">
        <v>270</v>
      </c>
      <c r="B59" s="577"/>
      <c r="C59" s="243"/>
      <c r="D59" s="243"/>
      <c r="E59" s="243"/>
      <c r="F59" s="243"/>
      <c r="G59" s="243"/>
      <c r="H59" s="243"/>
      <c r="I59" s="243"/>
      <c r="J59" s="243"/>
      <c r="K59" s="243"/>
      <c r="L59" s="243"/>
      <c r="M59" s="243"/>
      <c r="N59" s="243"/>
      <c r="O59" s="243"/>
      <c r="P59" s="243"/>
      <c r="Q59" s="243"/>
      <c r="R59" s="243"/>
    </row>
    <row r="60">
      <c r="A60" s="580"/>
      <c r="B60" s="566"/>
      <c r="C60" s="567"/>
      <c r="D60" s="567"/>
      <c r="E60" s="567"/>
      <c r="F60" s="567"/>
      <c r="G60" s="567"/>
      <c r="H60" s="567"/>
      <c r="I60" s="567"/>
      <c r="J60" s="567"/>
      <c r="K60" s="567"/>
      <c r="L60" s="567"/>
      <c r="M60" s="567"/>
      <c r="N60" s="567"/>
      <c r="O60" s="567"/>
      <c r="P60" s="567"/>
      <c r="Q60" s="567"/>
      <c r="R60" s="567"/>
    </row>
    <row r="61">
      <c r="A61" s="500" t="s">
        <v>281</v>
      </c>
      <c r="B61" s="572">
        <f t="shared" ref="B61:B62" si="32">index(A61:AAJ61,,match($A$3,$A$1:$AAJ$1,0))</f>
        <v>6718.630694</v>
      </c>
      <c r="C61" s="573">
        <f>sum(D61:H61)</f>
        <v>6718.630694</v>
      </c>
      <c r="D61" s="573">
        <f t="shared" ref="D61:H61" si="31">D29*D57</f>
        <v>615.1677727</v>
      </c>
      <c r="E61" s="573">
        <f t="shared" si="31"/>
        <v>3767.935339</v>
      </c>
      <c r="F61" s="573">
        <f t="shared" si="31"/>
        <v>1232.292728</v>
      </c>
      <c r="G61" s="573">
        <f t="shared" si="31"/>
        <v>409.1899387</v>
      </c>
      <c r="H61" s="573">
        <f t="shared" si="31"/>
        <v>694.0449159</v>
      </c>
      <c r="I61" s="567"/>
      <c r="J61" s="567"/>
      <c r="K61" s="567"/>
      <c r="L61" s="567"/>
      <c r="M61" s="567"/>
      <c r="N61" s="567"/>
      <c r="O61" s="567"/>
      <c r="P61" s="567"/>
      <c r="Q61" s="567"/>
      <c r="R61" s="567"/>
    </row>
    <row r="62">
      <c r="A62" s="82" t="s">
        <v>369</v>
      </c>
      <c r="B62" s="575">
        <f t="shared" si="32"/>
        <v>0.02236976795</v>
      </c>
      <c r="C62" s="583">
        <f t="shared" ref="C62:H62" si="33">C61/C17</f>
        <v>0.02236976795</v>
      </c>
      <c r="D62" s="583">
        <f t="shared" si="33"/>
        <v>0.00571277578</v>
      </c>
      <c r="E62" s="583">
        <f t="shared" si="33"/>
        <v>0.04782893337</v>
      </c>
      <c r="F62" s="583">
        <f t="shared" si="33"/>
        <v>0.02010752299</v>
      </c>
      <c r="G62" s="583">
        <f t="shared" si="33"/>
        <v>0.01519883517</v>
      </c>
      <c r="H62" s="583">
        <f t="shared" si="33"/>
        <v>0.02703257855</v>
      </c>
      <c r="I62" s="567"/>
      <c r="J62" s="567"/>
      <c r="K62" s="567"/>
      <c r="L62" s="567"/>
      <c r="M62" s="567"/>
      <c r="N62" s="567"/>
      <c r="O62" s="567"/>
      <c r="P62" s="567"/>
      <c r="Q62" s="567"/>
      <c r="R62" s="567"/>
    </row>
    <row r="63">
      <c r="A63" s="67" t="s">
        <v>275</v>
      </c>
      <c r="B63" s="306">
        <f t="array" ref="B63">index(C63:AK63,,match($A$3,$C$1:$AK$1,0))</f>
        <v>6.50313817</v>
      </c>
      <c r="C63" s="584">
        <f t="array" ref="C63">C62/index(GiveDirectly!$B:$B,match("Units of value generated per dollar spent",GiveDirectly!$A:$A,0))</f>
        <v>6.50313817</v>
      </c>
      <c r="D63" s="584">
        <f t="array" ref="D63">D62/index(GiveDirectly!$B:$B,match("Units of value generated per dollar spent",GiveDirectly!$A:$A,0))</f>
        <v>1.660766903</v>
      </c>
      <c r="E63" s="584">
        <f t="array" ref="E63">E62/index(GiveDirectly!$B:$B,match("Units of value generated per dollar spent",GiveDirectly!$A:$A,0))</f>
        <v>13.90439824</v>
      </c>
      <c r="F63" s="584">
        <f t="array" ref="F63">F62/index(GiveDirectly!$B:$B,match("Units of value generated per dollar spent",GiveDirectly!$A:$A,0))</f>
        <v>5.845478619</v>
      </c>
      <c r="G63" s="584">
        <f t="array" ref="G63">G62/index(GiveDirectly!$B:$B,match("Units of value generated per dollar spent",GiveDirectly!$A:$A,0))</f>
        <v>4.418468951</v>
      </c>
      <c r="H63" s="584">
        <f t="array" ref="H63">H62/index(GiveDirectly!$B:$B,match("Units of value generated per dollar spent",GiveDirectly!$A:$A,0))</f>
        <v>7.858668618</v>
      </c>
      <c r="I63" s="567"/>
      <c r="J63" s="567"/>
      <c r="K63" s="567"/>
      <c r="L63" s="567"/>
      <c r="M63" s="567"/>
      <c r="N63" s="567"/>
      <c r="O63" s="567"/>
      <c r="P63" s="567"/>
      <c r="Q63" s="567"/>
      <c r="R63" s="567"/>
    </row>
    <row r="64">
      <c r="A64" s="580"/>
      <c r="B64" s="566"/>
      <c r="C64" s="567"/>
      <c r="D64" s="567"/>
      <c r="E64" s="567"/>
      <c r="F64" s="567"/>
      <c r="G64" s="567"/>
      <c r="H64" s="567"/>
      <c r="I64" s="567"/>
      <c r="J64" s="567"/>
      <c r="K64" s="567"/>
      <c r="L64" s="567"/>
      <c r="M64" s="567"/>
      <c r="N64" s="567"/>
      <c r="O64" s="567"/>
      <c r="P64" s="567"/>
      <c r="Q64" s="567"/>
      <c r="R64" s="567"/>
    </row>
    <row r="65">
      <c r="A65" s="308" t="s">
        <v>370</v>
      </c>
      <c r="B65" s="309"/>
      <c r="C65" s="308"/>
      <c r="D65" s="308"/>
      <c r="E65" s="308"/>
      <c r="F65" s="308"/>
      <c r="G65" s="308"/>
      <c r="H65" s="308"/>
      <c r="I65" s="308"/>
      <c r="J65" s="308"/>
      <c r="K65" s="308"/>
      <c r="L65" s="308"/>
      <c r="M65" s="308"/>
      <c r="N65" s="308"/>
      <c r="O65" s="308"/>
      <c r="P65" s="308"/>
      <c r="Q65" s="308"/>
      <c r="R65" s="308"/>
    </row>
    <row r="66" outlineLevel="1">
      <c r="A66" s="310" t="s">
        <v>277</v>
      </c>
      <c r="B66" s="330"/>
      <c r="C66" s="331"/>
      <c r="D66" s="331"/>
      <c r="E66" s="331"/>
      <c r="F66" s="331"/>
      <c r="G66" s="331"/>
      <c r="H66" s="331"/>
      <c r="I66" s="331"/>
      <c r="J66" s="331"/>
      <c r="K66" s="331"/>
      <c r="L66" s="331"/>
      <c r="M66" s="331"/>
      <c r="N66" s="331"/>
      <c r="O66" s="331"/>
      <c r="P66" s="331"/>
      <c r="Q66" s="331"/>
      <c r="R66" s="331"/>
    </row>
    <row r="67" outlineLevel="1">
      <c r="A67" s="118" t="str">
        <f>IFERROR(__xludf.DUMMYFUNCTION("filter(InclusionExclusion!C:C,InclusionExclusion!A:A=""Deworming"",InclusionExclusion!D:D=""Included"")"),"Developmental effects")</f>
        <v>Developmental effects</v>
      </c>
      <c r="B67" s="330"/>
      <c r="C67" s="331"/>
      <c r="D67" s="331"/>
      <c r="E67" s="331"/>
      <c r="F67" s="331"/>
      <c r="G67" s="331"/>
      <c r="H67" s="331"/>
      <c r="I67" s="331"/>
      <c r="J67" s="331"/>
      <c r="K67" s="331"/>
      <c r="L67" s="331"/>
      <c r="M67" s="331"/>
      <c r="N67" s="331"/>
      <c r="O67" s="331"/>
      <c r="P67" s="331"/>
      <c r="Q67" s="331"/>
      <c r="R67" s="331"/>
    </row>
    <row r="68" outlineLevel="1">
      <c r="A68" s="112"/>
      <c r="B68" s="330"/>
      <c r="C68" s="331"/>
      <c r="D68" s="331"/>
      <c r="E68" s="331"/>
      <c r="F68" s="331"/>
      <c r="G68" s="331"/>
      <c r="H68" s="331"/>
      <c r="I68" s="331"/>
      <c r="J68" s="331"/>
      <c r="K68" s="331"/>
      <c r="L68" s="331"/>
      <c r="M68" s="331"/>
      <c r="N68" s="331"/>
      <c r="O68" s="331"/>
      <c r="P68" s="331"/>
      <c r="Q68" s="331"/>
      <c r="R68" s="331"/>
    </row>
    <row r="69" outlineLevel="1">
      <c r="A69" s="310" t="s">
        <v>278</v>
      </c>
      <c r="B69" s="330"/>
      <c r="C69" s="331"/>
      <c r="D69" s="331"/>
      <c r="E69" s="331"/>
      <c r="F69" s="331"/>
      <c r="G69" s="331"/>
      <c r="H69" s="331"/>
      <c r="I69" s="331"/>
      <c r="J69" s="331"/>
      <c r="K69" s="331"/>
      <c r="L69" s="331"/>
      <c r="M69" s="331"/>
      <c r="N69" s="331"/>
      <c r="O69" s="331"/>
      <c r="P69" s="331"/>
      <c r="Q69" s="331"/>
      <c r="R69" s="331"/>
    </row>
    <row r="70" outlineLevel="1">
      <c r="A70" s="118" t="str">
        <f>IFERROR(__xludf.DUMMYFUNCTION("filter(InclusionExclusion!C:C,InclusionExclusion!A:A=""Deworming"",InclusionExclusion!D:D=""Excluded"")"),"Direct health effects")</f>
        <v>Direct health effects</v>
      </c>
      <c r="B70" s="313">
        <f t="shared" ref="B70:B83" si="35">index(C70:AI70,,match($A$3,$C$1:$AI$1,0))</f>
        <v>0.008</v>
      </c>
      <c r="C70" s="314">
        <f t="array" ref="C70">iferror(if(isblank(A70),"",index(InclusionExclusion!$M:M,match(1,(InclusionExclusion!C:C=A70)*(InclusionExclusion!A:A="Deworming"),0))),"Not specified")</f>
        <v>0.008</v>
      </c>
      <c r="D70" s="334">
        <f t="shared" ref="D70:H70" si="34">$C70</f>
        <v>0.008</v>
      </c>
      <c r="E70" s="334">
        <f t="shared" si="34"/>
        <v>0.008</v>
      </c>
      <c r="F70" s="334">
        <f t="shared" si="34"/>
        <v>0.008</v>
      </c>
      <c r="G70" s="334">
        <f t="shared" si="34"/>
        <v>0.008</v>
      </c>
      <c r="H70" s="334">
        <f t="shared" si="34"/>
        <v>0.008</v>
      </c>
      <c r="I70" s="334"/>
      <c r="J70" s="334"/>
      <c r="K70" s="334"/>
      <c r="L70" s="334"/>
      <c r="M70" s="334"/>
      <c r="N70" s="334"/>
      <c r="O70" s="334"/>
      <c r="P70" s="334"/>
      <c r="Q70" s="334"/>
      <c r="R70" s="334"/>
    </row>
    <row r="71" outlineLevel="1">
      <c r="A71" s="176" t="str">
        <f>IFERROR(__xludf.DUMMYFUNCTION("""COMPUTED_VALUE"""),"HIV reduction")</f>
        <v>HIV reduction</v>
      </c>
      <c r="B71" s="313">
        <f t="shared" si="35"/>
        <v>0.06</v>
      </c>
      <c r="C71" s="314">
        <f t="array" ref="C71">iferror(if(isblank(A71),"",index(InclusionExclusion!$M:M,match(1,(InclusionExclusion!C:C=A71)*(InclusionExclusion!A:A="Deworming"),0))),"Not specified")</f>
        <v>0.06</v>
      </c>
      <c r="D71" s="334">
        <f t="shared" ref="D71:H71" si="36">$C71</f>
        <v>0.06</v>
      </c>
      <c r="E71" s="334">
        <f t="shared" si="36"/>
        <v>0.06</v>
      </c>
      <c r="F71" s="334">
        <f t="shared" si="36"/>
        <v>0.06</v>
      </c>
      <c r="G71" s="334">
        <f t="shared" si="36"/>
        <v>0.06</v>
      </c>
      <c r="H71" s="334">
        <f t="shared" si="36"/>
        <v>0.06</v>
      </c>
      <c r="I71" s="334"/>
      <c r="J71" s="334"/>
      <c r="K71" s="334"/>
      <c r="L71" s="334"/>
      <c r="M71" s="334"/>
      <c r="N71" s="334"/>
      <c r="O71" s="334"/>
      <c r="P71" s="334"/>
      <c r="Q71" s="334"/>
      <c r="R71" s="334"/>
    </row>
    <row r="72" outlineLevel="1">
      <c r="A72" s="176" t="str">
        <f>IFERROR(__xludf.DUMMYFUNCTION("""COMPUTED_VALUE"""),"Possible increases in diseases of affluence (harms of deworming)")</f>
        <v>Possible increases in diseases of affluence (harms of deworming)</v>
      </c>
      <c r="B72" s="313">
        <f t="shared" si="35"/>
        <v>-0.025</v>
      </c>
      <c r="C72" s="314">
        <f t="array" ref="C72">iferror(if(isblank(A72),"",index(InclusionExclusion!$M:M,match(1,(InclusionExclusion!C:C=A72)*(InclusionExclusion!A:A="Deworming"),0))),"Not specified")</f>
        <v>-0.025</v>
      </c>
      <c r="D72" s="334">
        <f t="shared" ref="D72:H72" si="37">$C72</f>
        <v>-0.025</v>
      </c>
      <c r="E72" s="334">
        <f t="shared" si="37"/>
        <v>-0.025</v>
      </c>
      <c r="F72" s="334">
        <f t="shared" si="37"/>
        <v>-0.025</v>
      </c>
      <c r="G72" s="334">
        <f t="shared" si="37"/>
        <v>-0.025</v>
      </c>
      <c r="H72" s="334">
        <f t="shared" si="37"/>
        <v>-0.025</v>
      </c>
      <c r="I72" s="334"/>
      <c r="J72" s="334"/>
      <c r="K72" s="334"/>
      <c r="L72" s="334"/>
      <c r="M72" s="334"/>
      <c r="N72" s="334"/>
      <c r="O72" s="334"/>
      <c r="P72" s="334"/>
      <c r="Q72" s="334"/>
      <c r="R72" s="334"/>
    </row>
    <row r="73" outlineLevel="1">
      <c r="A73" s="176" t="str">
        <f>IFERROR(__xludf.DUMMYFUNCTION("""COMPUTED_VALUE"""),"Averted mortality")</f>
        <v>Averted mortality</v>
      </c>
      <c r="B73" s="313">
        <f t="shared" si="35"/>
        <v>0.035</v>
      </c>
      <c r="C73" s="314">
        <f t="array" ref="C73">iferror(if(isblank(A73),"",index(InclusionExclusion!$M:M,match(1,(InclusionExclusion!C:C=A73)*(InclusionExclusion!A:A="Deworming"),0))),"Not specified")</f>
        <v>0.035</v>
      </c>
      <c r="D73" s="334">
        <f t="shared" ref="D73:H73" si="38">$C73</f>
        <v>0.035</v>
      </c>
      <c r="E73" s="334">
        <f t="shared" si="38"/>
        <v>0.035</v>
      </c>
      <c r="F73" s="334">
        <f t="shared" si="38"/>
        <v>0.035</v>
      </c>
      <c r="G73" s="334">
        <f t="shared" si="38"/>
        <v>0.035</v>
      </c>
      <c r="H73" s="334">
        <f t="shared" si="38"/>
        <v>0.035</v>
      </c>
      <c r="I73" s="334"/>
      <c r="J73" s="334"/>
      <c r="K73" s="334"/>
      <c r="L73" s="334"/>
      <c r="M73" s="334"/>
      <c r="N73" s="334"/>
      <c r="O73" s="334"/>
      <c r="P73" s="334"/>
      <c r="Q73" s="334"/>
      <c r="R73" s="334"/>
    </row>
    <row r="74" outlineLevel="1">
      <c r="A74" s="176" t="str">
        <f>IFERROR(__xludf.DUMMYFUNCTION("""COMPUTED_VALUE"""),"Short-term anemia effects")</f>
        <v>Short-term anemia effects</v>
      </c>
      <c r="B74" s="313">
        <f t="shared" si="35"/>
        <v>0.09</v>
      </c>
      <c r="C74" s="314">
        <f t="array" ref="C74">iferror(if(isblank(A74),"",index(InclusionExclusion!$M:M,match(1,(InclusionExclusion!C:C=A74)*(InclusionExclusion!A:A="Deworming"),0))),"Not specified")</f>
        <v>0.09</v>
      </c>
      <c r="D74" s="334">
        <f t="shared" ref="D74:H74" si="39">$C74</f>
        <v>0.09</v>
      </c>
      <c r="E74" s="334">
        <f t="shared" si="39"/>
        <v>0.09</v>
      </c>
      <c r="F74" s="334">
        <f t="shared" si="39"/>
        <v>0.09</v>
      </c>
      <c r="G74" s="334">
        <f t="shared" si="39"/>
        <v>0.09</v>
      </c>
      <c r="H74" s="334">
        <f t="shared" si="39"/>
        <v>0.09</v>
      </c>
      <c r="I74" s="334"/>
      <c r="J74" s="334"/>
      <c r="K74" s="334"/>
      <c r="L74" s="334"/>
      <c r="M74" s="334"/>
      <c r="N74" s="334"/>
      <c r="O74" s="334"/>
      <c r="P74" s="334"/>
      <c r="Q74" s="334"/>
      <c r="R74" s="334"/>
    </row>
    <row r="75" outlineLevel="1">
      <c r="A75" s="96" t="str">
        <f>IFERROR(__xludf.DUMMYFUNCTION("""COMPUTED_VALUE"""),"Investment of income increases")</f>
        <v>Investment of income increases</v>
      </c>
      <c r="B75" s="313">
        <f t="shared" si="35"/>
        <v>0.1</v>
      </c>
      <c r="C75" s="314">
        <f t="array" ref="C75">iferror(if(isblank(A75),"",index(InclusionExclusion!$M:M,match(1,(InclusionExclusion!C:C=A75)*(InclusionExclusion!A:A="Deworming"),0))),"Not specified")</f>
        <v>0.1</v>
      </c>
      <c r="D75" s="334">
        <f t="shared" ref="D75:H75" si="40">$C75</f>
        <v>0.1</v>
      </c>
      <c r="E75" s="334">
        <f t="shared" si="40"/>
        <v>0.1</v>
      </c>
      <c r="F75" s="334">
        <f t="shared" si="40"/>
        <v>0.1</v>
      </c>
      <c r="G75" s="334">
        <f t="shared" si="40"/>
        <v>0.1</v>
      </c>
      <c r="H75" s="334">
        <f t="shared" si="40"/>
        <v>0.1</v>
      </c>
      <c r="I75" s="334"/>
      <c r="J75" s="334"/>
      <c r="K75" s="334"/>
      <c r="L75" s="334"/>
      <c r="M75" s="334"/>
      <c r="N75" s="334"/>
      <c r="O75" s="334"/>
      <c r="P75" s="334"/>
      <c r="Q75" s="334"/>
      <c r="R75" s="334"/>
    </row>
    <row r="76" outlineLevel="1">
      <c r="A76" s="176" t="str">
        <f>IFERROR(__xludf.DUMMYFUNCTION("""COMPUTED_VALUE"""),"Non-income long-run benefits of deworming")</f>
        <v>Non-income long-run benefits of deworming</v>
      </c>
      <c r="B76" s="313">
        <f t="shared" si="35"/>
        <v>0.04</v>
      </c>
      <c r="C76" s="314">
        <f t="array" ref="C76">iferror(if(isblank(A76),"",index(InclusionExclusion!$M:M,match(1,(InclusionExclusion!C:C=A76)*(InclusionExclusion!A:A="Deworming"),0))),"Not specified")</f>
        <v>0.04</v>
      </c>
      <c r="D76" s="334">
        <f t="shared" ref="D76:H76" si="41">$C76</f>
        <v>0.04</v>
      </c>
      <c r="E76" s="334">
        <f t="shared" si="41"/>
        <v>0.04</v>
      </c>
      <c r="F76" s="334">
        <f t="shared" si="41"/>
        <v>0.04</v>
      </c>
      <c r="G76" s="334">
        <f t="shared" si="41"/>
        <v>0.04</v>
      </c>
      <c r="H76" s="334">
        <f t="shared" si="41"/>
        <v>0.04</v>
      </c>
      <c r="I76" s="334"/>
      <c r="J76" s="334"/>
      <c r="K76" s="334"/>
      <c r="L76" s="334"/>
      <c r="M76" s="334"/>
      <c r="N76" s="334"/>
      <c r="O76" s="334"/>
      <c r="P76" s="334"/>
      <c r="Q76" s="334"/>
      <c r="R76" s="334"/>
    </row>
    <row r="77" outlineLevel="1">
      <c r="A77" s="176" t="str">
        <f>IFERROR(__xludf.DUMMYFUNCTION("""COMPUTED_VALUE"""),"Other NTD prevention (relevant to Sightsavers and END Fund)")</f>
        <v>Other NTD prevention (relevant to Sightsavers and END Fund)</v>
      </c>
      <c r="B77" s="313">
        <f t="shared" si="35"/>
        <v>0.14</v>
      </c>
      <c r="C77" s="314">
        <f t="array" ref="C77">iferror(if(isblank(A77),"",index(InclusionExclusion!$M:M,match(1,(InclusionExclusion!C:C=A77)*(InclusionExclusion!A:A="Deworming"),0))),"Not specified")</f>
        <v>0.14</v>
      </c>
      <c r="D77" s="334">
        <f t="shared" ref="D77:H77" si="42">$C77</f>
        <v>0.14</v>
      </c>
      <c r="E77" s="334">
        <f t="shared" si="42"/>
        <v>0.14</v>
      </c>
      <c r="F77" s="334">
        <f t="shared" si="42"/>
        <v>0.14</v>
      </c>
      <c r="G77" s="334">
        <f t="shared" si="42"/>
        <v>0.14</v>
      </c>
      <c r="H77" s="334">
        <f t="shared" si="42"/>
        <v>0.14</v>
      </c>
      <c r="I77" s="334"/>
      <c r="J77" s="334"/>
      <c r="K77" s="334"/>
      <c r="L77" s="334"/>
      <c r="M77" s="334"/>
      <c r="N77" s="334"/>
      <c r="O77" s="334"/>
      <c r="P77" s="334"/>
      <c r="Q77" s="334"/>
      <c r="R77" s="334"/>
    </row>
    <row r="78" outlineLevel="1">
      <c r="A78" s="176" t="str">
        <f>IFERROR(__xludf.DUMMYFUNCTION("""COMPUTED_VALUE"""),"Drug resistance")</f>
        <v>Drug resistance</v>
      </c>
      <c r="B78" s="313">
        <f t="shared" si="35"/>
        <v>-0.04</v>
      </c>
      <c r="C78" s="314">
        <f t="array" ref="C78">iferror(if(isblank(A78),"",index(InclusionExclusion!$M:M,match(1,(InclusionExclusion!C:C=A78)*(InclusionExclusion!A:A="Deworming"),0))),"Not specified")</f>
        <v>-0.04</v>
      </c>
      <c r="D78" s="334">
        <f t="shared" ref="D78:H78" si="43">$C78</f>
        <v>-0.04</v>
      </c>
      <c r="E78" s="334">
        <f t="shared" si="43"/>
        <v>-0.04</v>
      </c>
      <c r="F78" s="334">
        <f t="shared" si="43"/>
        <v>-0.04</v>
      </c>
      <c r="G78" s="334">
        <f t="shared" si="43"/>
        <v>-0.04</v>
      </c>
      <c r="H78" s="334">
        <f t="shared" si="43"/>
        <v>-0.04</v>
      </c>
      <c r="I78" s="334"/>
      <c r="J78" s="334"/>
      <c r="K78" s="334"/>
      <c r="L78" s="334"/>
      <c r="M78" s="334"/>
      <c r="N78" s="334"/>
      <c r="O78" s="334"/>
      <c r="P78" s="334"/>
      <c r="Q78" s="334"/>
      <c r="R78" s="334"/>
    </row>
    <row r="79" outlineLevel="1">
      <c r="A79" s="176" t="str">
        <f>IFERROR(__xludf.DUMMYFUNCTION("""COMPUTED_VALUE"""),"Unprogrammed deworming")</f>
        <v>Unprogrammed deworming</v>
      </c>
      <c r="B79" s="313">
        <f t="shared" si="35"/>
        <v>-0.14</v>
      </c>
      <c r="C79" s="314">
        <f t="array" ref="C79">iferror(if(isblank(A79),"",index(InclusionExclusion!$M:M,match(1,(InclusionExclusion!C:C=A79)*(InclusionExclusion!A:A="Deworming"),0))),"Not specified")</f>
        <v>-0.14</v>
      </c>
      <c r="D79" s="334">
        <f t="shared" ref="D79:H79" si="44">$C79</f>
        <v>-0.14</v>
      </c>
      <c r="E79" s="334">
        <f t="shared" si="44"/>
        <v>-0.14</v>
      </c>
      <c r="F79" s="334">
        <f t="shared" si="44"/>
        <v>-0.14</v>
      </c>
      <c r="G79" s="334">
        <f t="shared" si="44"/>
        <v>-0.14</v>
      </c>
      <c r="H79" s="334">
        <f t="shared" si="44"/>
        <v>-0.14</v>
      </c>
      <c r="I79" s="334"/>
      <c r="J79" s="334"/>
      <c r="K79" s="334"/>
      <c r="L79" s="334"/>
      <c r="M79" s="334"/>
      <c r="N79" s="334"/>
      <c r="O79" s="334"/>
      <c r="P79" s="334"/>
      <c r="Q79" s="334"/>
      <c r="R79" s="334"/>
    </row>
    <row r="80" outlineLevel="1">
      <c r="A80" s="96" t="str">
        <f>IFERROR(__xludf.DUMMYFUNCTION("""COMPUTED_VALUE"""),"Marginal funding goes to lower priority areas")</f>
        <v>Marginal funding goes to lower priority areas</v>
      </c>
      <c r="B80" s="313">
        <f t="shared" si="35"/>
        <v>-0.025</v>
      </c>
      <c r="C80" s="314">
        <f t="array" ref="C80">iferror(if(isblank(A80),"",index(InclusionExclusion!$M:M,match(1,(InclusionExclusion!C:C=A80)*(InclusionExclusion!A:A="Deworming"),0))),"Not specified")</f>
        <v>-0.025</v>
      </c>
      <c r="D80" s="334">
        <f t="shared" ref="D80:H80" si="45">$C80</f>
        <v>-0.025</v>
      </c>
      <c r="E80" s="334">
        <f t="shared" si="45"/>
        <v>-0.025</v>
      </c>
      <c r="F80" s="334">
        <f t="shared" si="45"/>
        <v>-0.025</v>
      </c>
      <c r="G80" s="334">
        <f t="shared" si="45"/>
        <v>-0.025</v>
      </c>
      <c r="H80" s="334">
        <f t="shared" si="45"/>
        <v>-0.025</v>
      </c>
      <c r="I80" s="334"/>
      <c r="J80" s="334"/>
      <c r="K80" s="334"/>
      <c r="L80" s="334"/>
      <c r="M80" s="334"/>
      <c r="N80" s="334"/>
      <c r="O80" s="334"/>
      <c r="P80" s="334"/>
      <c r="Q80" s="334"/>
      <c r="R80" s="334"/>
    </row>
    <row r="81" outlineLevel="1">
      <c r="A81" s="96" t="str">
        <f>IFERROR(__xludf.DUMMYFUNCTION("""COMPUTED_VALUE"""),"General equilibrium effects")</f>
        <v>General equilibrium effects</v>
      </c>
      <c r="B81" s="313">
        <f t="shared" si="35"/>
        <v>-0.03</v>
      </c>
      <c r="C81" s="314">
        <f t="array" ref="C81">iferror(if(isblank(A81),"",index(InclusionExclusion!$M:M,match(1,(InclusionExclusion!C:C=A81)*(InclusionExclusion!A:A="Deworming"),0))),"Not specified")</f>
        <v>-0.03</v>
      </c>
      <c r="D81" s="334">
        <f t="shared" ref="D81:H81" si="46">$C81</f>
        <v>-0.03</v>
      </c>
      <c r="E81" s="334">
        <f t="shared" si="46"/>
        <v>-0.03</v>
      </c>
      <c r="F81" s="334">
        <f t="shared" si="46"/>
        <v>-0.03</v>
      </c>
      <c r="G81" s="334">
        <f t="shared" si="46"/>
        <v>-0.03</v>
      </c>
      <c r="H81" s="334">
        <f t="shared" si="46"/>
        <v>-0.03</v>
      </c>
      <c r="I81" s="334"/>
      <c r="J81" s="334"/>
      <c r="K81" s="334"/>
      <c r="L81" s="334"/>
      <c r="M81" s="334"/>
      <c r="N81" s="334"/>
      <c r="O81" s="334"/>
      <c r="P81" s="334"/>
      <c r="Q81" s="334"/>
      <c r="R81" s="334"/>
    </row>
    <row r="82" outlineLevel="1">
      <c r="A82" s="96"/>
      <c r="B82" s="313" t="str">
        <f t="shared" si="35"/>
        <v/>
      </c>
      <c r="C82" s="314" t="str">
        <f t="array" ref="C82">iferror(if(isblank(A82),"",index(InclusionExclusion!$M:M,match(1,(InclusionExclusion!C:C=A82)*(InclusionExclusion!A:A="Deworming"),0))),"Not specified")</f>
        <v/>
      </c>
      <c r="D82" s="334" t="str">
        <f t="shared" ref="D82:H82" si="47">$C82</f>
        <v/>
      </c>
      <c r="E82" s="334" t="str">
        <f t="shared" si="47"/>
        <v/>
      </c>
      <c r="F82" s="334" t="str">
        <f t="shared" si="47"/>
        <v/>
      </c>
      <c r="G82" s="334" t="str">
        <f t="shared" si="47"/>
        <v/>
      </c>
      <c r="H82" s="334" t="str">
        <f t="shared" si="47"/>
        <v/>
      </c>
      <c r="I82" s="334"/>
      <c r="J82" s="334"/>
      <c r="K82" s="334"/>
      <c r="L82" s="334"/>
      <c r="M82" s="334"/>
      <c r="N82" s="334"/>
      <c r="O82" s="334"/>
      <c r="P82" s="334"/>
      <c r="Q82" s="334"/>
      <c r="R82" s="334"/>
    </row>
    <row r="83">
      <c r="A83" s="335" t="s">
        <v>279</v>
      </c>
      <c r="B83" s="315">
        <f t="shared" si="35"/>
        <v>1.213</v>
      </c>
      <c r="C83" s="153">
        <f t="shared" ref="C83:H83" si="48">1+sum(C69:C82)</f>
        <v>1.213</v>
      </c>
      <c r="D83" s="153">
        <f t="shared" si="48"/>
        <v>1.213</v>
      </c>
      <c r="E83" s="153">
        <f t="shared" si="48"/>
        <v>1.213</v>
      </c>
      <c r="F83" s="153">
        <f t="shared" si="48"/>
        <v>1.213</v>
      </c>
      <c r="G83" s="153">
        <f t="shared" si="48"/>
        <v>1.213</v>
      </c>
      <c r="H83" s="153">
        <f t="shared" si="48"/>
        <v>1.213</v>
      </c>
      <c r="I83" s="153"/>
      <c r="J83" s="153"/>
      <c r="K83" s="153"/>
      <c r="L83" s="153"/>
      <c r="M83" s="153"/>
      <c r="N83" s="153"/>
      <c r="O83" s="153"/>
      <c r="P83" s="153"/>
      <c r="Q83" s="153"/>
      <c r="R83" s="153"/>
    </row>
    <row r="84">
      <c r="A84" s="580"/>
      <c r="B84" s="566"/>
      <c r="C84" s="567"/>
      <c r="D84" s="567"/>
      <c r="E84" s="567"/>
      <c r="F84" s="567"/>
      <c r="G84" s="567"/>
      <c r="H84" s="567"/>
      <c r="I84" s="567"/>
      <c r="J84" s="567"/>
      <c r="K84" s="567"/>
      <c r="L84" s="567"/>
      <c r="M84" s="567"/>
      <c r="N84" s="567"/>
      <c r="O84" s="567"/>
      <c r="P84" s="567"/>
      <c r="Q84" s="567"/>
      <c r="R84" s="567"/>
    </row>
    <row r="85">
      <c r="A85" s="308" t="s">
        <v>280</v>
      </c>
      <c r="B85" s="309"/>
      <c r="C85" s="308"/>
      <c r="D85" s="308"/>
      <c r="E85" s="308"/>
      <c r="F85" s="308"/>
      <c r="G85" s="308"/>
      <c r="H85" s="308"/>
      <c r="I85" s="308"/>
      <c r="J85" s="308"/>
      <c r="K85" s="308"/>
      <c r="L85" s="308"/>
      <c r="M85" s="308"/>
      <c r="N85" s="308"/>
      <c r="O85" s="308"/>
      <c r="P85" s="308"/>
      <c r="Q85" s="308"/>
      <c r="R85" s="308"/>
    </row>
    <row r="86">
      <c r="A86" s="580"/>
      <c r="B86" s="566"/>
      <c r="C86" s="567"/>
      <c r="D86" s="567"/>
      <c r="E86" s="567"/>
      <c r="F86" s="567"/>
      <c r="G86" s="567"/>
      <c r="H86" s="567"/>
      <c r="I86" s="567"/>
      <c r="J86" s="567"/>
      <c r="K86" s="567"/>
      <c r="L86" s="567"/>
      <c r="M86" s="567"/>
      <c r="N86" s="567"/>
      <c r="O86" s="567"/>
      <c r="P86" s="567"/>
      <c r="Q86" s="567"/>
      <c r="R86" s="567"/>
    </row>
    <row r="87">
      <c r="A87" s="500" t="s">
        <v>281</v>
      </c>
      <c r="B87" s="572">
        <f t="shared" ref="B87:B88" si="50">index(A87:AAJ87,,match($A$3,$A$1:$AAJ$1,0))</f>
        <v>8149.699032</v>
      </c>
      <c r="C87" s="573">
        <f>sum(D87:H87)</f>
        <v>8149.699032</v>
      </c>
      <c r="D87" s="573">
        <f t="shared" ref="D87:H87" si="49">D61*D83</f>
        <v>746.1985083</v>
      </c>
      <c r="E87" s="573">
        <f t="shared" si="49"/>
        <v>4570.505566</v>
      </c>
      <c r="F87" s="573">
        <f t="shared" si="49"/>
        <v>1494.771079</v>
      </c>
      <c r="G87" s="573">
        <f t="shared" si="49"/>
        <v>496.3473956</v>
      </c>
      <c r="H87" s="573">
        <f t="shared" si="49"/>
        <v>841.876483</v>
      </c>
      <c r="I87" s="567"/>
      <c r="J87" s="567"/>
      <c r="K87" s="567"/>
      <c r="L87" s="567"/>
      <c r="M87" s="567"/>
      <c r="N87" s="567"/>
      <c r="O87" s="567"/>
      <c r="P87" s="567"/>
      <c r="Q87" s="567"/>
      <c r="R87" s="567"/>
    </row>
    <row r="88">
      <c r="A88" s="82" t="s">
        <v>369</v>
      </c>
      <c r="B88" s="575">
        <f t="shared" si="50"/>
        <v>0.02713452853</v>
      </c>
      <c r="C88" s="583">
        <f t="shared" ref="C88:H88" si="51">C87/C17</f>
        <v>0.02713452853</v>
      </c>
      <c r="D88" s="583">
        <f t="shared" si="51"/>
        <v>0.006929597021</v>
      </c>
      <c r="E88" s="583">
        <f t="shared" si="51"/>
        <v>0.05801649617</v>
      </c>
      <c r="F88" s="583">
        <f t="shared" si="51"/>
        <v>0.02439042539</v>
      </c>
      <c r="G88" s="583">
        <f t="shared" si="51"/>
        <v>0.01843618706</v>
      </c>
      <c r="H88" s="583">
        <f t="shared" si="51"/>
        <v>0.03279051778</v>
      </c>
      <c r="I88" s="567"/>
      <c r="J88" s="567"/>
      <c r="K88" s="567"/>
      <c r="L88" s="567"/>
      <c r="M88" s="567"/>
      <c r="N88" s="567"/>
      <c r="O88" s="567"/>
      <c r="P88" s="567"/>
      <c r="Q88" s="567"/>
      <c r="R88" s="567"/>
    </row>
    <row r="89">
      <c r="A89" s="67" t="s">
        <v>282</v>
      </c>
      <c r="B89" s="306">
        <f t="array" ref="B89">index(C89:AK89,,match($A$3,$C$1:$AK$1,0))</f>
        <v>7.8883066</v>
      </c>
      <c r="C89" s="584">
        <f t="array" ref="C89">C88/index(GiveDirectly!$B:$B,match("Units of value generated per dollar spent",GiveDirectly!$A:$A,0))</f>
        <v>7.8883066</v>
      </c>
      <c r="D89" s="584">
        <f t="array" ref="D89">D88/index(GiveDirectly!$B:$B,match("Units of value generated per dollar spent",GiveDirectly!$A:$A,0))</f>
        <v>2.014510253</v>
      </c>
      <c r="E89" s="584">
        <f t="array" ref="E89">E88/index(GiveDirectly!$B:$B,match("Units of value generated per dollar spent",GiveDirectly!$A:$A,0))</f>
        <v>16.86603507</v>
      </c>
      <c r="F89" s="584">
        <f t="array" ref="F89">F88/index(GiveDirectly!$B:$B,match("Units of value generated per dollar spent",GiveDirectly!$A:$A,0))</f>
        <v>7.090565564</v>
      </c>
      <c r="G89" s="584">
        <f t="array" ref="G89">G88/index(GiveDirectly!$B:$B,match("Units of value generated per dollar spent",GiveDirectly!$A:$A,0))</f>
        <v>5.359602838</v>
      </c>
      <c r="H89" s="584">
        <f t="array" ref="H89">H88/index(GiveDirectly!$B:$B,match("Units of value generated per dollar spent",GiveDirectly!$A:$A,0))</f>
        <v>9.532565033</v>
      </c>
      <c r="I89" s="567"/>
      <c r="J89" s="567"/>
      <c r="K89" s="567"/>
      <c r="L89" s="567"/>
      <c r="M89" s="567"/>
      <c r="N89" s="567"/>
      <c r="O89" s="567"/>
      <c r="P89" s="567"/>
      <c r="Q89" s="567"/>
      <c r="R89" s="567"/>
    </row>
    <row r="90">
      <c r="A90" s="580"/>
      <c r="B90" s="566"/>
      <c r="C90" s="567"/>
      <c r="D90" s="567"/>
      <c r="E90" s="567"/>
      <c r="F90" s="567"/>
      <c r="G90" s="567"/>
      <c r="H90" s="567"/>
      <c r="I90" s="567"/>
      <c r="J90" s="567"/>
      <c r="K90" s="567"/>
      <c r="L90" s="567"/>
      <c r="M90" s="567"/>
      <c r="N90" s="567"/>
      <c r="O90" s="567"/>
      <c r="P90" s="567"/>
      <c r="Q90" s="567"/>
      <c r="R90" s="567"/>
    </row>
    <row r="91">
      <c r="A91" s="241" t="s">
        <v>371</v>
      </c>
      <c r="B91" s="585"/>
      <c r="C91" s="586"/>
      <c r="D91" s="586"/>
      <c r="E91" s="586"/>
      <c r="F91" s="586"/>
      <c r="G91" s="586"/>
      <c r="H91" s="586"/>
      <c r="I91" s="586"/>
      <c r="J91" s="586"/>
      <c r="K91" s="586"/>
      <c r="L91" s="586"/>
      <c r="M91" s="586"/>
      <c r="N91" s="586"/>
      <c r="O91" s="586"/>
      <c r="P91" s="586"/>
      <c r="Q91" s="586"/>
      <c r="R91" s="586"/>
    </row>
    <row r="92" outlineLevel="1">
      <c r="A92" s="287"/>
      <c r="B92" s="587"/>
      <c r="C92" s="407"/>
      <c r="D92" s="407"/>
      <c r="E92" s="407"/>
      <c r="F92" s="407"/>
      <c r="G92" s="407"/>
      <c r="H92" s="407"/>
      <c r="I92" s="407"/>
      <c r="J92" s="407"/>
      <c r="K92" s="407"/>
      <c r="L92" s="407"/>
      <c r="M92" s="407"/>
      <c r="N92" s="407"/>
      <c r="O92" s="407"/>
      <c r="P92" s="407"/>
      <c r="Q92" s="407"/>
      <c r="R92" s="407"/>
    </row>
    <row r="93" outlineLevel="1">
      <c r="A93" s="588" t="s">
        <v>372</v>
      </c>
      <c r="B93" s="587"/>
      <c r="C93" s="407"/>
      <c r="D93" s="407"/>
      <c r="E93" s="407"/>
      <c r="F93" s="407"/>
      <c r="G93" s="407"/>
      <c r="H93" s="407"/>
      <c r="I93" s="407"/>
      <c r="J93" s="407"/>
      <c r="K93" s="407"/>
      <c r="L93" s="407"/>
      <c r="M93" s="407"/>
      <c r="N93" s="407"/>
      <c r="O93" s="407"/>
      <c r="P93" s="407"/>
      <c r="Q93" s="407"/>
      <c r="R93" s="407"/>
    </row>
    <row r="94" outlineLevel="1">
      <c r="A94" s="344" t="s">
        <v>419</v>
      </c>
      <c r="B94" s="589">
        <f t="shared" ref="B94:B99" si="53">index(A94:AAJ94,,match($A$3,$A$1:$AAJ$1,0))</f>
        <v>0.2680661265</v>
      </c>
      <c r="C94" s="590">
        <f t="shared" ref="C94:H94" si="52">C8*C$24</f>
        <v>0.2680661265</v>
      </c>
      <c r="D94" s="590">
        <f t="shared" si="52"/>
        <v>0.2680661265</v>
      </c>
      <c r="E94" s="590">
        <f t="shared" si="52"/>
        <v>0.2680661265</v>
      </c>
      <c r="F94" s="590">
        <f t="shared" si="52"/>
        <v>0.2680661265</v>
      </c>
      <c r="G94" s="590">
        <f t="shared" si="52"/>
        <v>0.2680661265</v>
      </c>
      <c r="H94" s="590">
        <f t="shared" si="52"/>
        <v>0.2680661265</v>
      </c>
      <c r="I94" s="590"/>
      <c r="J94" s="590"/>
      <c r="K94" s="590"/>
      <c r="L94" s="590"/>
      <c r="M94" s="590"/>
      <c r="N94" s="590"/>
      <c r="O94" s="590"/>
      <c r="P94" s="590"/>
      <c r="Q94" s="590"/>
      <c r="R94" s="590"/>
    </row>
    <row r="95" outlineLevel="1">
      <c r="A95" s="344" t="s">
        <v>373</v>
      </c>
      <c r="B95" s="589">
        <f t="shared" si="53"/>
        <v>0.1945982366</v>
      </c>
      <c r="C95" s="590">
        <f t="shared" ref="C95:H95" si="54">C9*C$24</f>
        <v>0.1945982366</v>
      </c>
      <c r="D95" s="590">
        <f t="shared" si="54"/>
        <v>0.1945982366</v>
      </c>
      <c r="E95" s="590">
        <f t="shared" si="54"/>
        <v>0.1945982366</v>
      </c>
      <c r="F95" s="590">
        <f t="shared" si="54"/>
        <v>0.1945982366</v>
      </c>
      <c r="G95" s="590">
        <f t="shared" si="54"/>
        <v>0.1945982366</v>
      </c>
      <c r="H95" s="590">
        <f t="shared" si="54"/>
        <v>0.1945982366</v>
      </c>
      <c r="I95" s="590"/>
      <c r="J95" s="590"/>
      <c r="K95" s="590"/>
      <c r="L95" s="590"/>
      <c r="M95" s="590"/>
      <c r="N95" s="590"/>
      <c r="O95" s="590"/>
      <c r="P95" s="590"/>
      <c r="Q95" s="590"/>
      <c r="R95" s="590"/>
    </row>
    <row r="96" outlineLevel="1">
      <c r="A96" s="344" t="s">
        <v>374</v>
      </c>
      <c r="B96" s="589">
        <f t="shared" si="53"/>
        <v>0</v>
      </c>
      <c r="C96" s="590">
        <f t="shared" ref="C96:H96" si="55">C10*C$24</f>
        <v>0</v>
      </c>
      <c r="D96" s="590">
        <f t="shared" si="55"/>
        <v>0</v>
      </c>
      <c r="E96" s="590">
        <f t="shared" si="55"/>
        <v>0</v>
      </c>
      <c r="F96" s="590">
        <f t="shared" si="55"/>
        <v>0</v>
      </c>
      <c r="G96" s="590">
        <f t="shared" si="55"/>
        <v>0</v>
      </c>
      <c r="H96" s="590">
        <f t="shared" si="55"/>
        <v>0</v>
      </c>
      <c r="I96" s="590"/>
      <c r="J96" s="590"/>
      <c r="K96" s="590"/>
      <c r="L96" s="590"/>
      <c r="M96" s="590"/>
      <c r="N96" s="590"/>
      <c r="O96" s="590"/>
      <c r="P96" s="590"/>
      <c r="Q96" s="590"/>
      <c r="R96" s="590"/>
    </row>
    <row r="97" outlineLevel="1">
      <c r="A97" s="344" t="s">
        <v>375</v>
      </c>
      <c r="B97" s="589">
        <f t="shared" si="53"/>
        <v>0.2415363417</v>
      </c>
      <c r="C97" s="590">
        <f t="shared" ref="C97:H97" si="56">C11*C$24</f>
        <v>0.2415363417</v>
      </c>
      <c r="D97" s="590">
        <f t="shared" si="56"/>
        <v>0.2415363417</v>
      </c>
      <c r="E97" s="590">
        <f t="shared" si="56"/>
        <v>0.2415363417</v>
      </c>
      <c r="F97" s="590">
        <f t="shared" si="56"/>
        <v>0.2415363417</v>
      </c>
      <c r="G97" s="590">
        <f t="shared" si="56"/>
        <v>0.2415363417</v>
      </c>
      <c r="H97" s="590">
        <f t="shared" si="56"/>
        <v>0.2415363417</v>
      </c>
      <c r="I97" s="590"/>
      <c r="J97" s="590"/>
      <c r="K97" s="590"/>
      <c r="L97" s="590"/>
      <c r="M97" s="590"/>
      <c r="N97" s="590"/>
      <c r="O97" s="590"/>
      <c r="P97" s="590"/>
      <c r="Q97" s="590"/>
      <c r="R97" s="590"/>
    </row>
    <row r="98" outlineLevel="1">
      <c r="A98" s="344" t="s">
        <v>387</v>
      </c>
      <c r="B98" s="589">
        <f t="shared" si="53"/>
        <v>0.1009204342</v>
      </c>
      <c r="C98" s="590">
        <f t="shared" ref="C98:H98" si="57">C12*C$24</f>
        <v>0.1009204342</v>
      </c>
      <c r="D98" s="590">
        <f t="shared" si="57"/>
        <v>0.1009204342</v>
      </c>
      <c r="E98" s="590">
        <f t="shared" si="57"/>
        <v>0.1009204342</v>
      </c>
      <c r="F98" s="590">
        <f t="shared" si="57"/>
        <v>0.1009204342</v>
      </c>
      <c r="G98" s="590">
        <f t="shared" si="57"/>
        <v>0.1009204342</v>
      </c>
      <c r="H98" s="590">
        <f t="shared" si="57"/>
        <v>0.1009204342</v>
      </c>
      <c r="I98" s="590"/>
      <c r="J98" s="590"/>
      <c r="K98" s="590"/>
      <c r="L98" s="590"/>
      <c r="M98" s="590"/>
      <c r="N98" s="590"/>
      <c r="O98" s="590"/>
      <c r="P98" s="590"/>
      <c r="Q98" s="590"/>
      <c r="R98" s="590"/>
    </row>
    <row r="99" outlineLevel="1">
      <c r="A99" s="591" t="s">
        <v>377</v>
      </c>
      <c r="B99" s="592">
        <f t="shared" si="53"/>
        <v>0.805121139</v>
      </c>
      <c r="C99" s="593">
        <f t="shared" ref="C99:H99" si="58">sum(C94:C98)</f>
        <v>0.805121139</v>
      </c>
      <c r="D99" s="593">
        <f t="shared" si="58"/>
        <v>0.805121139</v>
      </c>
      <c r="E99" s="593">
        <f t="shared" si="58"/>
        <v>0.805121139</v>
      </c>
      <c r="F99" s="593">
        <f t="shared" si="58"/>
        <v>0.805121139</v>
      </c>
      <c r="G99" s="593">
        <f t="shared" si="58"/>
        <v>0.805121139</v>
      </c>
      <c r="H99" s="593">
        <f t="shared" si="58"/>
        <v>0.805121139</v>
      </c>
      <c r="I99" s="407"/>
      <c r="J99" s="407"/>
      <c r="K99" s="407"/>
      <c r="L99" s="407"/>
      <c r="M99" s="407"/>
      <c r="N99" s="407"/>
      <c r="O99" s="407"/>
      <c r="P99" s="407"/>
      <c r="Q99" s="407"/>
      <c r="R99" s="407"/>
    </row>
    <row r="100" outlineLevel="1">
      <c r="A100" s="594" t="s">
        <v>378</v>
      </c>
      <c r="B100" s="595"/>
      <c r="C100" s="596">
        <f t="shared" ref="C100:H100" si="59">(C99-C24)/C99</f>
        <v>0</v>
      </c>
      <c r="D100" s="596">
        <f t="shared" si="59"/>
        <v>0</v>
      </c>
      <c r="E100" s="596">
        <f t="shared" si="59"/>
        <v>0</v>
      </c>
      <c r="F100" s="596">
        <f t="shared" si="59"/>
        <v>0</v>
      </c>
      <c r="G100" s="596">
        <f t="shared" si="59"/>
        <v>0</v>
      </c>
      <c r="H100" s="596">
        <f t="shared" si="59"/>
        <v>0</v>
      </c>
      <c r="I100" s="596"/>
      <c r="J100" s="596"/>
      <c r="K100" s="596"/>
      <c r="L100" s="596"/>
      <c r="M100" s="596"/>
      <c r="N100" s="596"/>
      <c r="O100" s="596"/>
      <c r="P100" s="596"/>
      <c r="Q100" s="596"/>
      <c r="R100" s="596"/>
    </row>
    <row r="101" outlineLevel="1">
      <c r="A101" s="287"/>
      <c r="B101" s="587"/>
      <c r="C101" s="407"/>
      <c r="D101" s="407"/>
      <c r="E101" s="407"/>
      <c r="F101" s="407"/>
      <c r="G101" s="407"/>
      <c r="H101" s="407"/>
      <c r="I101" s="407"/>
      <c r="J101" s="407"/>
      <c r="K101" s="407"/>
      <c r="L101" s="407"/>
      <c r="M101" s="407"/>
      <c r="N101" s="407"/>
      <c r="O101" s="407"/>
      <c r="P101" s="407"/>
      <c r="Q101" s="407"/>
      <c r="R101" s="407"/>
    </row>
    <row r="102" outlineLevel="1">
      <c r="A102" s="277" t="s">
        <v>379</v>
      </c>
      <c r="B102" s="587"/>
      <c r="C102" s="407"/>
      <c r="D102" s="407"/>
      <c r="E102" s="407"/>
      <c r="F102" s="407"/>
      <c r="G102" s="407"/>
      <c r="H102" s="407"/>
      <c r="I102" s="407"/>
      <c r="J102" s="407"/>
      <c r="K102" s="407"/>
      <c r="L102" s="407"/>
      <c r="M102" s="407"/>
      <c r="N102" s="407"/>
      <c r="O102" s="407"/>
      <c r="P102" s="407"/>
      <c r="Q102" s="407"/>
      <c r="R102" s="407"/>
    </row>
    <row r="103" outlineLevel="1">
      <c r="A103" s="270" t="s">
        <v>419</v>
      </c>
      <c r="B103" s="597">
        <f t="shared" ref="B103:B108" si="61">index(A103:AAJ103,,match($A$3,$A$1:$AAJ$1,0))</f>
        <v>100000</v>
      </c>
      <c r="C103" s="597">
        <f t="shared" ref="C103:H103" si="60">C16</f>
        <v>100000</v>
      </c>
      <c r="D103" s="597">
        <f t="shared" si="60"/>
        <v>35853.1325</v>
      </c>
      <c r="E103" s="597">
        <f t="shared" si="60"/>
        <v>26229.70794</v>
      </c>
      <c r="F103" s="597">
        <f t="shared" si="60"/>
        <v>20404.97283</v>
      </c>
      <c r="G103" s="597">
        <f t="shared" si="60"/>
        <v>8963.865898</v>
      </c>
      <c r="H103" s="597">
        <f t="shared" si="60"/>
        <v>8548.320821</v>
      </c>
      <c r="I103" s="597"/>
      <c r="J103" s="597"/>
      <c r="K103" s="597"/>
      <c r="L103" s="597"/>
      <c r="M103" s="597"/>
      <c r="N103" s="597"/>
      <c r="O103" s="597"/>
      <c r="P103" s="597"/>
      <c r="Q103" s="597"/>
      <c r="R103" s="597"/>
    </row>
    <row r="104" outlineLevel="1">
      <c r="A104" s="270" t="s">
        <v>373</v>
      </c>
      <c r="B104" s="597">
        <f t="shared" si="61"/>
        <v>72593.3706</v>
      </c>
      <c r="C104" s="598">
        <f t="shared" ref="C104:C107" si="63">sum(D104:H104)</f>
        <v>72593.3706</v>
      </c>
      <c r="D104" s="598">
        <f t="shared" ref="D104:H104" si="62">D9*D17</f>
        <v>26026.99735</v>
      </c>
      <c r="E104" s="598">
        <f t="shared" si="62"/>
        <v>19041.0291</v>
      </c>
      <c r="F104" s="598">
        <f t="shared" si="62"/>
        <v>14812.65755</v>
      </c>
      <c r="G104" s="598">
        <f t="shared" si="62"/>
        <v>6507.172392</v>
      </c>
      <c r="H104" s="598">
        <f t="shared" si="62"/>
        <v>6205.514214</v>
      </c>
      <c r="I104" s="598"/>
      <c r="J104" s="598"/>
      <c r="K104" s="598"/>
      <c r="L104" s="598"/>
      <c r="M104" s="598"/>
      <c r="N104" s="598"/>
      <c r="O104" s="598"/>
      <c r="P104" s="598"/>
      <c r="Q104" s="598"/>
      <c r="R104" s="598"/>
    </row>
    <row r="105" outlineLevel="1">
      <c r="A105" s="344" t="s">
        <v>374</v>
      </c>
      <c r="B105" s="597">
        <f t="shared" si="61"/>
        <v>0</v>
      </c>
      <c r="C105" s="599">
        <f t="shared" si="63"/>
        <v>0</v>
      </c>
      <c r="D105" s="599">
        <f t="shared" ref="D105:H105" si="64">(D96/D94)*D103</f>
        <v>0</v>
      </c>
      <c r="E105" s="599">
        <f t="shared" si="64"/>
        <v>0</v>
      </c>
      <c r="F105" s="599">
        <f t="shared" si="64"/>
        <v>0</v>
      </c>
      <c r="G105" s="599">
        <f t="shared" si="64"/>
        <v>0</v>
      </c>
      <c r="H105" s="599">
        <f t="shared" si="64"/>
        <v>0</v>
      </c>
      <c r="I105" s="599"/>
      <c r="J105" s="599"/>
      <c r="K105" s="599"/>
      <c r="L105" s="599"/>
      <c r="M105" s="599"/>
      <c r="N105" s="599"/>
      <c r="O105" s="599"/>
      <c r="P105" s="599"/>
      <c r="Q105" s="599"/>
      <c r="R105" s="599"/>
    </row>
    <row r="106" outlineLevel="1">
      <c r="A106" s="344" t="s">
        <v>375</v>
      </c>
      <c r="B106" s="597">
        <f t="shared" si="61"/>
        <v>90103.26851</v>
      </c>
      <c r="C106" s="599">
        <f t="shared" si="63"/>
        <v>90103.26851</v>
      </c>
      <c r="D106" s="599">
        <f t="shared" ref="D106:H106" si="65">(D97/D94)*D103</f>
        <v>32304.84425</v>
      </c>
      <c r="E106" s="599">
        <f t="shared" si="65"/>
        <v>23633.82418</v>
      </c>
      <c r="F106" s="599">
        <f t="shared" si="65"/>
        <v>18385.54746</v>
      </c>
      <c r="G106" s="599">
        <f t="shared" si="65"/>
        <v>8076.736159</v>
      </c>
      <c r="H106" s="599">
        <f t="shared" si="65"/>
        <v>7702.316463</v>
      </c>
      <c r="I106" s="599"/>
      <c r="J106" s="599"/>
      <c r="K106" s="599"/>
      <c r="L106" s="599"/>
      <c r="M106" s="599"/>
      <c r="N106" s="599"/>
      <c r="O106" s="599"/>
      <c r="P106" s="599"/>
      <c r="Q106" s="599"/>
      <c r="R106" s="599"/>
    </row>
    <row r="107" outlineLevel="1">
      <c r="A107" s="600" t="s">
        <v>387</v>
      </c>
      <c r="B107" s="597">
        <f t="shared" si="61"/>
        <v>37647.58925</v>
      </c>
      <c r="C107" s="599">
        <f t="shared" si="63"/>
        <v>37647.58925</v>
      </c>
      <c r="D107" s="601">
        <f t="shared" ref="D107:H107" si="66">(D98/D94)*D103</f>
        <v>13497.84006</v>
      </c>
      <c r="E107" s="601">
        <f t="shared" si="66"/>
        <v>9874.852708</v>
      </c>
      <c r="F107" s="601">
        <f t="shared" si="66"/>
        <v>7681.980358</v>
      </c>
      <c r="G107" s="601">
        <f t="shared" si="66"/>
        <v>3374.679414</v>
      </c>
      <c r="H107" s="601">
        <f t="shared" si="66"/>
        <v>3218.23671</v>
      </c>
      <c r="I107" s="599"/>
      <c r="J107" s="599"/>
      <c r="K107" s="599"/>
      <c r="L107" s="599"/>
      <c r="M107" s="599"/>
      <c r="N107" s="599"/>
      <c r="O107" s="599"/>
      <c r="P107" s="599"/>
      <c r="Q107" s="599"/>
      <c r="R107" s="599"/>
    </row>
    <row r="108" outlineLevel="1">
      <c r="A108" s="602" t="s">
        <v>380</v>
      </c>
      <c r="B108" s="603">
        <f t="shared" si="61"/>
        <v>300344.2284</v>
      </c>
      <c r="C108" s="604">
        <f t="shared" ref="C108:H108" si="67">sum(C103:C107)</f>
        <v>300344.2284</v>
      </c>
      <c r="D108" s="604">
        <f t="shared" si="67"/>
        <v>107682.8142</v>
      </c>
      <c r="E108" s="604">
        <f t="shared" si="67"/>
        <v>78779.41393</v>
      </c>
      <c r="F108" s="604">
        <f t="shared" si="67"/>
        <v>61285.1582</v>
      </c>
      <c r="G108" s="604">
        <f t="shared" si="67"/>
        <v>26922.45386</v>
      </c>
      <c r="H108" s="604">
        <f t="shared" si="67"/>
        <v>25674.38821</v>
      </c>
      <c r="I108" s="599"/>
      <c r="J108" s="599"/>
      <c r="K108" s="599"/>
      <c r="L108" s="599"/>
      <c r="M108" s="599"/>
      <c r="N108" s="599"/>
      <c r="O108" s="599"/>
      <c r="P108" s="599"/>
      <c r="Q108" s="599"/>
      <c r="R108" s="599"/>
    </row>
    <row r="109" outlineLevel="1">
      <c r="A109" s="287"/>
      <c r="B109" s="587"/>
      <c r="C109" s="407"/>
      <c r="D109" s="407"/>
      <c r="E109" s="407"/>
      <c r="F109" s="407"/>
      <c r="G109" s="407"/>
      <c r="H109" s="407"/>
      <c r="I109" s="407"/>
      <c r="J109" s="407"/>
      <c r="K109" s="407"/>
      <c r="L109" s="407"/>
      <c r="M109" s="407"/>
      <c r="N109" s="407"/>
      <c r="O109" s="407"/>
      <c r="P109" s="407"/>
      <c r="Q109" s="407"/>
      <c r="R109" s="407"/>
    </row>
    <row r="110" outlineLevel="1">
      <c r="A110" s="277" t="s">
        <v>381</v>
      </c>
      <c r="B110" s="587"/>
      <c r="C110" s="407"/>
      <c r="D110" s="407"/>
      <c r="E110" s="407"/>
      <c r="F110" s="407"/>
      <c r="G110" s="407"/>
      <c r="H110" s="407"/>
      <c r="I110" s="407"/>
      <c r="J110" s="407"/>
      <c r="K110" s="407"/>
      <c r="L110" s="407"/>
      <c r="M110" s="407"/>
      <c r="N110" s="407"/>
      <c r="O110" s="407"/>
      <c r="P110" s="407"/>
      <c r="Q110" s="407"/>
      <c r="R110" s="407"/>
    </row>
    <row r="111" outlineLevel="1">
      <c r="A111" s="270" t="s">
        <v>382</v>
      </c>
      <c r="B111" s="597">
        <f t="shared" ref="B111:B112" si="69">index(A111:AAJ111,,match($A$3,$A$1:$AAJ$1,0))</f>
        <v>172593.3706</v>
      </c>
      <c r="C111" s="599">
        <f>sum(D111:H111)</f>
        <v>172593.3706</v>
      </c>
      <c r="D111" s="599">
        <f t="shared" ref="D111:H111" si="68">sum(D103:D105)</f>
        <v>61880.12985</v>
      </c>
      <c r="E111" s="599">
        <f t="shared" si="68"/>
        <v>45270.73704</v>
      </c>
      <c r="F111" s="599">
        <f t="shared" si="68"/>
        <v>35217.63038</v>
      </c>
      <c r="G111" s="599">
        <f t="shared" si="68"/>
        <v>15471.03829</v>
      </c>
      <c r="H111" s="599">
        <f t="shared" si="68"/>
        <v>14753.83504</v>
      </c>
      <c r="I111" s="407"/>
      <c r="J111" s="407"/>
      <c r="K111" s="407"/>
      <c r="L111" s="407"/>
      <c r="M111" s="407"/>
      <c r="N111" s="407"/>
      <c r="O111" s="407"/>
      <c r="P111" s="407"/>
      <c r="Q111" s="407"/>
      <c r="R111" s="407"/>
    </row>
    <row r="112" outlineLevel="1">
      <c r="A112" s="270" t="s">
        <v>383</v>
      </c>
      <c r="B112" s="597">
        <f t="shared" si="69"/>
        <v>127750.8578</v>
      </c>
      <c r="C112" s="599">
        <f t="shared" ref="C112:H112" si="70">C106+C107</f>
        <v>127750.8578</v>
      </c>
      <c r="D112" s="599">
        <f t="shared" si="70"/>
        <v>45802.6843</v>
      </c>
      <c r="E112" s="599">
        <f t="shared" si="70"/>
        <v>33508.67689</v>
      </c>
      <c r="F112" s="599">
        <f t="shared" si="70"/>
        <v>26067.52782</v>
      </c>
      <c r="G112" s="599">
        <f t="shared" si="70"/>
        <v>11451.41557</v>
      </c>
      <c r="H112" s="599">
        <f t="shared" si="70"/>
        <v>10920.55317</v>
      </c>
      <c r="I112" s="407"/>
      <c r="J112" s="407"/>
      <c r="K112" s="407"/>
      <c r="L112" s="407"/>
      <c r="M112" s="407"/>
      <c r="N112" s="407"/>
      <c r="O112" s="407"/>
      <c r="P112" s="407"/>
      <c r="Q112" s="407"/>
      <c r="R112" s="407"/>
    </row>
    <row r="113" outlineLevel="1">
      <c r="A113" s="287"/>
      <c r="B113" s="587"/>
      <c r="C113" s="407"/>
      <c r="D113" s="407"/>
      <c r="E113" s="407"/>
      <c r="F113" s="407"/>
      <c r="G113" s="407"/>
      <c r="H113" s="407"/>
      <c r="I113" s="407"/>
      <c r="J113" s="407"/>
      <c r="K113" s="407"/>
      <c r="L113" s="407"/>
      <c r="M113" s="407"/>
      <c r="N113" s="407"/>
      <c r="O113" s="407"/>
      <c r="P113" s="407"/>
      <c r="Q113" s="407"/>
      <c r="R113" s="407"/>
    </row>
    <row r="114" outlineLevel="1">
      <c r="A114" s="514" t="s">
        <v>384</v>
      </c>
      <c r="B114" s="447"/>
      <c r="C114" s="342"/>
      <c r="D114" s="342"/>
      <c r="E114" s="342"/>
      <c r="F114" s="342"/>
      <c r="G114" s="342"/>
      <c r="H114" s="342"/>
      <c r="I114" s="342"/>
      <c r="J114" s="342"/>
      <c r="K114" s="342"/>
      <c r="L114" s="342"/>
      <c r="M114" s="342"/>
      <c r="N114" s="342"/>
      <c r="O114" s="342"/>
      <c r="P114" s="342"/>
      <c r="Q114" s="342"/>
      <c r="R114" s="342"/>
    </row>
    <row r="115" outlineLevel="1">
      <c r="A115" s="343" t="s">
        <v>385</v>
      </c>
      <c r="B115" s="278">
        <f t="shared" ref="B115:B117" si="71">index(A115:R115,,match($A$3,$A$1:$R$1,0))</f>
        <v>0.00360953606</v>
      </c>
      <c r="C115" s="515">
        <f>'Moral weights and discount rate'!$B$8/'Counterfactual non-philanthropi'!$D$32</f>
        <v>0.00360953606</v>
      </c>
      <c r="D115" s="515">
        <f>'Moral weights and discount rate'!$B$8/'Counterfactual non-philanthropi'!$D$32</f>
        <v>0.00360953606</v>
      </c>
      <c r="E115" s="515">
        <f>'Moral weights and discount rate'!$B$8/'Counterfactual non-philanthropi'!$D$32</f>
        <v>0.00360953606</v>
      </c>
      <c r="F115" s="515">
        <f>'Moral weights and discount rate'!$B$8/'Counterfactual non-philanthropi'!$D$32</f>
        <v>0.00360953606</v>
      </c>
      <c r="G115" s="515">
        <f>'Moral weights and discount rate'!$B$8/'Counterfactual non-philanthropi'!$D$32</f>
        <v>0.00360953606</v>
      </c>
      <c r="H115" s="515">
        <f>'Moral weights and discount rate'!$B$8/'Counterfactual non-philanthropi'!$D$32</f>
        <v>0.00360953606</v>
      </c>
      <c r="I115" s="515"/>
      <c r="J115" s="515"/>
      <c r="K115" s="515"/>
      <c r="L115" s="515"/>
      <c r="M115" s="515"/>
      <c r="N115" s="515"/>
      <c r="O115" s="515"/>
      <c r="P115" s="515"/>
      <c r="Q115" s="515"/>
      <c r="R115" s="515"/>
    </row>
    <row r="116" outlineLevel="1">
      <c r="A116" s="343" t="s">
        <v>386</v>
      </c>
      <c r="B116" s="278">
        <f t="shared" si="71"/>
        <v>0.00360953606</v>
      </c>
      <c r="C116" s="515">
        <f>'Moral weights and discount rate'!$B$8/'Counterfactual non-philanthropi'!$D$32</f>
        <v>0.00360953606</v>
      </c>
      <c r="D116" s="515">
        <f>'Moral weights and discount rate'!$B$8/'Counterfactual non-philanthropi'!$D$32</f>
        <v>0.00360953606</v>
      </c>
      <c r="E116" s="515">
        <f>'Moral weights and discount rate'!$B$8/'Counterfactual non-philanthropi'!$D$32</f>
        <v>0.00360953606</v>
      </c>
      <c r="F116" s="515">
        <f>'Moral weights and discount rate'!$B$8/'Counterfactual non-philanthropi'!$D$32</f>
        <v>0.00360953606</v>
      </c>
      <c r="G116" s="515">
        <f>'Moral weights and discount rate'!$B$8/'Counterfactual non-philanthropi'!$D$32</f>
        <v>0.00360953606</v>
      </c>
      <c r="H116" s="515">
        <f>'Moral weights and discount rate'!$B$8/'Counterfactual non-philanthropi'!$D$32</f>
        <v>0.00360953606</v>
      </c>
      <c r="I116" s="515"/>
      <c r="J116" s="515"/>
      <c r="K116" s="515"/>
      <c r="L116" s="515"/>
      <c r="M116" s="515"/>
      <c r="N116" s="515"/>
      <c r="O116" s="515"/>
      <c r="P116" s="515"/>
      <c r="Q116" s="515"/>
      <c r="R116" s="515"/>
    </row>
    <row r="117" outlineLevel="1">
      <c r="A117" s="342" t="s">
        <v>387</v>
      </c>
      <c r="B117" s="278">
        <f t="shared" si="71"/>
        <v>0.005443126011</v>
      </c>
      <c r="C117" s="516">
        <f>'Moral weights and discount rate'!$B$8/'Counterfactual non-philanthropi'!$D$34</f>
        <v>0.005443126011</v>
      </c>
      <c r="D117" s="516">
        <f>'Moral weights and discount rate'!$B$8/'Counterfactual non-philanthropi'!$D$34</f>
        <v>0.005443126011</v>
      </c>
      <c r="E117" s="516">
        <f>'Moral weights and discount rate'!$B$8/'Counterfactual non-philanthropi'!$D$34</f>
        <v>0.005443126011</v>
      </c>
      <c r="F117" s="516">
        <f>'Moral weights and discount rate'!$B$8/'Counterfactual non-philanthropi'!$D$34</f>
        <v>0.005443126011</v>
      </c>
      <c r="G117" s="516">
        <f>'Moral weights and discount rate'!$B$8/'Counterfactual non-philanthropi'!$D$34</f>
        <v>0.005443126011</v>
      </c>
      <c r="H117" s="516">
        <f>'Moral weights and discount rate'!$B$8/'Counterfactual non-philanthropi'!$D$34</f>
        <v>0.005443126011</v>
      </c>
      <c r="I117" s="516"/>
      <c r="J117" s="516"/>
      <c r="K117" s="516"/>
      <c r="L117" s="516"/>
      <c r="M117" s="516"/>
      <c r="N117" s="516"/>
      <c r="O117" s="516"/>
      <c r="P117" s="516"/>
      <c r="Q117" s="516"/>
      <c r="R117" s="516"/>
    </row>
    <row r="118" outlineLevel="1">
      <c r="A118" s="344"/>
      <c r="B118" s="605"/>
      <c r="C118" s="441"/>
      <c r="D118" s="441"/>
      <c r="E118" s="441"/>
      <c r="F118" s="441"/>
      <c r="G118" s="441"/>
      <c r="H118" s="441"/>
      <c r="I118" s="441"/>
      <c r="J118" s="441"/>
      <c r="K118" s="441"/>
      <c r="L118" s="441"/>
      <c r="M118" s="441"/>
      <c r="N118" s="441"/>
      <c r="O118" s="441"/>
      <c r="P118" s="441"/>
      <c r="Q118" s="441"/>
      <c r="R118" s="441"/>
    </row>
    <row r="119" outlineLevel="1">
      <c r="A119" s="514" t="s">
        <v>388</v>
      </c>
      <c r="B119" s="605"/>
      <c r="C119" s="441"/>
      <c r="D119" s="441"/>
      <c r="E119" s="441"/>
      <c r="F119" s="441"/>
      <c r="G119" s="441"/>
      <c r="H119" s="441"/>
      <c r="I119" s="441"/>
      <c r="J119" s="441"/>
      <c r="K119" s="441"/>
      <c r="L119" s="441"/>
      <c r="M119" s="441"/>
      <c r="N119" s="441"/>
      <c r="O119" s="441"/>
      <c r="P119" s="441"/>
      <c r="Q119" s="441"/>
      <c r="R119" s="441"/>
    </row>
    <row r="120" outlineLevel="1">
      <c r="A120" s="344" t="s">
        <v>285</v>
      </c>
      <c r="B120" s="606">
        <f t="shared" ref="B120:B122" si="72">index(A120:AAJ120,,match($A$3,$A$1:$AAJ$1,0))</f>
        <v>0.2</v>
      </c>
      <c r="C120" s="156">
        <v>0.2</v>
      </c>
      <c r="D120" s="156">
        <v>0.2</v>
      </c>
      <c r="E120" s="156">
        <v>0.2</v>
      </c>
      <c r="F120" s="156">
        <v>0.2</v>
      </c>
      <c r="G120" s="156">
        <v>0.2</v>
      </c>
      <c r="H120" s="156">
        <v>0.2</v>
      </c>
      <c r="I120" s="156"/>
      <c r="J120" s="156"/>
      <c r="K120" s="156"/>
      <c r="L120" s="156"/>
      <c r="M120" s="156"/>
      <c r="N120" s="156"/>
      <c r="O120" s="156"/>
      <c r="P120" s="156"/>
      <c r="Q120" s="156"/>
      <c r="R120" s="156"/>
    </row>
    <row r="121" outlineLevel="1">
      <c r="A121" s="344" t="s">
        <v>287</v>
      </c>
      <c r="B121" s="606">
        <f t="shared" si="72"/>
        <v>0</v>
      </c>
      <c r="C121" s="156">
        <v>0.0</v>
      </c>
      <c r="D121" s="156">
        <v>0.0</v>
      </c>
      <c r="E121" s="156">
        <v>0.0</v>
      </c>
      <c r="F121" s="156">
        <v>0.0</v>
      </c>
      <c r="G121" s="156">
        <v>0.0</v>
      </c>
      <c r="H121" s="156">
        <v>0.0</v>
      </c>
      <c r="I121" s="156"/>
      <c r="J121" s="156"/>
      <c r="K121" s="156"/>
      <c r="L121" s="156"/>
      <c r="M121" s="156"/>
      <c r="N121" s="156"/>
      <c r="O121" s="156"/>
      <c r="P121" s="156"/>
      <c r="Q121" s="156"/>
      <c r="R121" s="156"/>
    </row>
    <row r="122" outlineLevel="1">
      <c r="A122" s="344" t="s">
        <v>288</v>
      </c>
      <c r="B122" s="606">
        <f t="shared" si="72"/>
        <v>0.8</v>
      </c>
      <c r="C122" s="156">
        <v>0.8</v>
      </c>
      <c r="D122" s="156">
        <v>0.8</v>
      </c>
      <c r="E122" s="156">
        <v>0.8</v>
      </c>
      <c r="F122" s="156">
        <v>0.8</v>
      </c>
      <c r="G122" s="156">
        <v>0.8</v>
      </c>
      <c r="H122" s="156">
        <v>0.8</v>
      </c>
      <c r="I122" s="156"/>
      <c r="J122" s="156"/>
      <c r="K122" s="156"/>
      <c r="L122" s="156"/>
      <c r="M122" s="156"/>
      <c r="N122" s="156"/>
      <c r="O122" s="156"/>
      <c r="P122" s="156"/>
      <c r="Q122" s="156"/>
      <c r="R122" s="156"/>
    </row>
    <row r="123" outlineLevel="1">
      <c r="A123" s="342"/>
      <c r="B123" s="605"/>
      <c r="C123" s="441"/>
      <c r="D123" s="441"/>
      <c r="E123" s="441"/>
      <c r="F123" s="441"/>
      <c r="G123" s="441"/>
      <c r="H123" s="441"/>
      <c r="I123" s="441"/>
      <c r="J123" s="441"/>
      <c r="K123" s="441"/>
      <c r="L123" s="441"/>
      <c r="M123" s="441"/>
      <c r="N123" s="441"/>
      <c r="O123" s="441"/>
      <c r="P123" s="441"/>
      <c r="Q123" s="441"/>
      <c r="R123" s="441"/>
    </row>
    <row r="124" outlineLevel="1">
      <c r="A124" s="514" t="s">
        <v>389</v>
      </c>
      <c r="B124" s="605"/>
      <c r="C124" s="441"/>
      <c r="D124" s="441"/>
      <c r="E124" s="441"/>
      <c r="F124" s="441"/>
      <c r="G124" s="441"/>
      <c r="H124" s="441"/>
      <c r="I124" s="441"/>
      <c r="J124" s="441"/>
      <c r="K124" s="441"/>
      <c r="L124" s="441"/>
      <c r="M124" s="441"/>
      <c r="N124" s="441"/>
      <c r="O124" s="441"/>
      <c r="P124" s="441"/>
      <c r="Q124" s="441"/>
      <c r="R124" s="441"/>
    </row>
    <row r="125" outlineLevel="1">
      <c r="A125" s="344" t="s">
        <v>285</v>
      </c>
      <c r="B125" s="607">
        <f t="shared" ref="B125:B127" si="74">index(A125:AAJ125,,match($A$3,$A$1:$AAJ$1,0))</f>
        <v>1</v>
      </c>
      <c r="C125" s="608">
        <f t="shared" ref="C125:H125" si="73">1</f>
        <v>1</v>
      </c>
      <c r="D125" s="608">
        <f t="shared" si="73"/>
        <v>1</v>
      </c>
      <c r="E125" s="608">
        <f t="shared" si="73"/>
        <v>1</v>
      </c>
      <c r="F125" s="608">
        <f t="shared" si="73"/>
        <v>1</v>
      </c>
      <c r="G125" s="608">
        <f t="shared" si="73"/>
        <v>1</v>
      </c>
      <c r="H125" s="608">
        <f t="shared" si="73"/>
        <v>1</v>
      </c>
      <c r="I125" s="608"/>
      <c r="J125" s="608"/>
      <c r="K125" s="608"/>
      <c r="L125" s="608"/>
      <c r="M125" s="608"/>
      <c r="N125" s="608"/>
      <c r="O125" s="608"/>
      <c r="P125" s="608"/>
      <c r="Q125" s="608"/>
      <c r="R125" s="608"/>
    </row>
    <row r="126" outlineLevel="1">
      <c r="A126" s="344" t="s">
        <v>287</v>
      </c>
      <c r="B126" s="607">
        <f t="shared" si="74"/>
        <v>0</v>
      </c>
      <c r="C126" s="299">
        <f t="shared" ref="C126:H126" si="75">C105/C111</f>
        <v>0</v>
      </c>
      <c r="D126" s="299">
        <f t="shared" si="75"/>
        <v>0</v>
      </c>
      <c r="E126" s="299">
        <f t="shared" si="75"/>
        <v>0</v>
      </c>
      <c r="F126" s="299">
        <f t="shared" si="75"/>
        <v>0</v>
      </c>
      <c r="G126" s="299">
        <f t="shared" si="75"/>
        <v>0</v>
      </c>
      <c r="H126" s="299">
        <f t="shared" si="75"/>
        <v>0</v>
      </c>
      <c r="I126" s="299"/>
      <c r="J126" s="299"/>
      <c r="K126" s="299"/>
      <c r="L126" s="299"/>
      <c r="M126" s="299"/>
      <c r="N126" s="299"/>
      <c r="O126" s="299"/>
      <c r="P126" s="299"/>
      <c r="Q126" s="299"/>
      <c r="R126" s="299"/>
    </row>
    <row r="127" outlineLevel="1">
      <c r="A127" s="344" t="s">
        <v>288</v>
      </c>
      <c r="B127" s="609">
        <f t="shared" si="74"/>
        <v>0</v>
      </c>
      <c r="C127" s="610">
        <v>0.0</v>
      </c>
      <c r="D127" s="610">
        <v>0.0</v>
      </c>
      <c r="E127" s="610">
        <v>0.0</v>
      </c>
      <c r="F127" s="610">
        <v>0.0</v>
      </c>
      <c r="G127" s="610">
        <v>0.0</v>
      </c>
      <c r="H127" s="610">
        <v>0.0</v>
      </c>
      <c r="I127" s="610"/>
      <c r="J127" s="610"/>
      <c r="K127" s="610"/>
      <c r="L127" s="610"/>
      <c r="M127" s="610"/>
      <c r="N127" s="610"/>
      <c r="O127" s="610"/>
      <c r="P127" s="610"/>
      <c r="Q127" s="610"/>
      <c r="R127" s="610"/>
    </row>
    <row r="128" outlineLevel="1">
      <c r="B128" s="605"/>
      <c r="C128" s="441"/>
      <c r="D128" s="441"/>
      <c r="E128" s="441"/>
      <c r="F128" s="441"/>
      <c r="G128" s="441"/>
      <c r="H128" s="441"/>
      <c r="I128" s="441"/>
      <c r="J128" s="441"/>
      <c r="K128" s="441"/>
      <c r="L128" s="441"/>
      <c r="M128" s="441"/>
      <c r="N128" s="441"/>
      <c r="O128" s="441"/>
      <c r="P128" s="441"/>
      <c r="Q128" s="441"/>
      <c r="R128" s="441"/>
    </row>
    <row r="129" outlineLevel="1">
      <c r="A129" s="518" t="s">
        <v>390</v>
      </c>
      <c r="B129" s="605"/>
      <c r="C129" s="441"/>
      <c r="D129" s="441"/>
      <c r="E129" s="441"/>
      <c r="F129" s="441"/>
      <c r="G129" s="441"/>
      <c r="H129" s="441"/>
      <c r="I129" s="441"/>
      <c r="J129" s="441"/>
      <c r="K129" s="441"/>
      <c r="L129" s="441"/>
      <c r="M129" s="441"/>
      <c r="N129" s="441"/>
      <c r="O129" s="441"/>
      <c r="P129" s="441"/>
      <c r="Q129" s="441"/>
      <c r="R129" s="441"/>
    </row>
    <row r="130" outlineLevel="1">
      <c r="A130" s="343" t="s">
        <v>285</v>
      </c>
      <c r="B130" s="611"/>
    </row>
    <row r="131" outlineLevel="1">
      <c r="A131" s="343" t="s">
        <v>391</v>
      </c>
      <c r="B131" s="612">
        <f t="shared" ref="B131:B133" si="77">index(A131:AAJ131,,match($A$3,$A$1:$AAJ$1,0))</f>
        <v>172593.3706</v>
      </c>
      <c r="C131" s="461">
        <f>sum(D131:H131)</f>
        <v>172593.3706</v>
      </c>
      <c r="D131" s="461">
        <f t="shared" ref="D131:H131" si="76">sum(D103:D104)</f>
        <v>61880.12985</v>
      </c>
      <c r="E131" s="461">
        <f t="shared" si="76"/>
        <v>45270.73704</v>
      </c>
      <c r="F131" s="461">
        <f t="shared" si="76"/>
        <v>35217.63038</v>
      </c>
      <c r="G131" s="461">
        <f t="shared" si="76"/>
        <v>15471.03829</v>
      </c>
      <c r="H131" s="461">
        <f t="shared" si="76"/>
        <v>14753.83504</v>
      </c>
      <c r="I131" s="252"/>
      <c r="J131" s="252"/>
      <c r="K131" s="252"/>
      <c r="L131" s="252"/>
      <c r="M131" s="252"/>
      <c r="N131" s="252"/>
      <c r="O131" s="252"/>
      <c r="P131" s="252"/>
      <c r="Q131" s="252"/>
      <c r="R131" s="252"/>
    </row>
    <row r="132" outlineLevel="1">
      <c r="A132" s="343" t="s">
        <v>392</v>
      </c>
      <c r="B132" s="613">
        <f t="shared" si="77"/>
        <v>0</v>
      </c>
      <c r="C132" s="614">
        <v>0.0</v>
      </c>
      <c r="D132" s="614">
        <v>0.0</v>
      </c>
      <c r="E132" s="614">
        <v>0.0</v>
      </c>
      <c r="F132" s="614">
        <v>0.0</v>
      </c>
      <c r="G132" s="614">
        <v>0.0</v>
      </c>
      <c r="H132" s="614">
        <v>0.0</v>
      </c>
      <c r="I132" s="248"/>
      <c r="J132" s="248"/>
      <c r="K132" s="248"/>
      <c r="L132" s="248"/>
      <c r="M132" s="248"/>
      <c r="N132" s="248"/>
      <c r="O132" s="248"/>
      <c r="P132" s="248"/>
      <c r="Q132" s="248"/>
      <c r="R132" s="248"/>
    </row>
    <row r="133" outlineLevel="1">
      <c r="A133" s="343" t="s">
        <v>393</v>
      </c>
      <c r="B133" s="613">
        <f t="shared" si="77"/>
        <v>0</v>
      </c>
      <c r="C133" s="614">
        <v>0.0</v>
      </c>
      <c r="D133" s="614">
        <v>0.0</v>
      </c>
      <c r="E133" s="614">
        <v>0.0</v>
      </c>
      <c r="F133" s="614">
        <v>0.0</v>
      </c>
      <c r="G133" s="614">
        <v>0.0</v>
      </c>
      <c r="H133" s="614">
        <v>0.0</v>
      </c>
      <c r="I133" s="248"/>
      <c r="J133" s="248"/>
      <c r="K133" s="248"/>
      <c r="L133" s="248"/>
      <c r="M133" s="248"/>
      <c r="N133" s="248"/>
      <c r="O133" s="248"/>
      <c r="P133" s="248"/>
      <c r="Q133" s="248"/>
      <c r="R133" s="248"/>
    </row>
    <row r="134" outlineLevel="1">
      <c r="A134" s="343"/>
      <c r="B134" s="295"/>
      <c r="C134" s="443"/>
      <c r="D134" s="443"/>
      <c r="E134" s="443"/>
      <c r="F134" s="443"/>
      <c r="G134" s="443"/>
      <c r="H134" s="443"/>
      <c r="I134" s="443"/>
      <c r="J134" s="443"/>
      <c r="K134" s="443"/>
      <c r="L134" s="443"/>
      <c r="M134" s="443"/>
      <c r="N134" s="443"/>
      <c r="O134" s="443"/>
      <c r="P134" s="443"/>
      <c r="Q134" s="443"/>
      <c r="R134" s="443"/>
    </row>
    <row r="135" outlineLevel="1">
      <c r="A135" s="343" t="s">
        <v>287</v>
      </c>
      <c r="B135" s="289"/>
      <c r="C135" s="467"/>
      <c r="D135" s="467"/>
      <c r="E135" s="467"/>
      <c r="F135" s="467"/>
      <c r="G135" s="467"/>
      <c r="H135" s="467"/>
      <c r="I135" s="467"/>
      <c r="J135" s="467"/>
      <c r="K135" s="467"/>
      <c r="L135" s="467"/>
      <c r="M135" s="467"/>
      <c r="N135" s="467"/>
      <c r="O135" s="467"/>
      <c r="P135" s="467"/>
      <c r="Q135" s="467"/>
      <c r="R135" s="467"/>
    </row>
    <row r="136" outlineLevel="1">
      <c r="A136" s="342" t="s">
        <v>391</v>
      </c>
      <c r="B136" s="613">
        <f t="shared" ref="B136:B138" si="78">index(A136:AAJ136,,match($A$3,$A$1:$AAJ$1,0))</f>
        <v>0</v>
      </c>
      <c r="C136" s="614">
        <v>0.0</v>
      </c>
      <c r="D136" s="614">
        <v>0.0</v>
      </c>
      <c r="E136" s="614">
        <v>0.0</v>
      </c>
      <c r="F136" s="614">
        <v>0.0</v>
      </c>
      <c r="G136" s="614">
        <v>0.0</v>
      </c>
      <c r="H136" s="614">
        <v>0.0</v>
      </c>
      <c r="I136" s="248"/>
      <c r="J136" s="248"/>
      <c r="K136" s="248"/>
      <c r="L136" s="248"/>
      <c r="M136" s="248"/>
      <c r="N136" s="248"/>
      <c r="O136" s="248"/>
      <c r="P136" s="248"/>
      <c r="Q136" s="248"/>
      <c r="R136" s="248"/>
    </row>
    <row r="137" outlineLevel="1">
      <c r="A137" s="343" t="s">
        <v>392</v>
      </c>
      <c r="B137" s="612">
        <f t="shared" si="78"/>
        <v>-90103.26851</v>
      </c>
      <c r="C137" s="461">
        <f t="shared" ref="C137:C138" si="80">sum(D137:H137)</f>
        <v>-90103.26851</v>
      </c>
      <c r="D137" s="461">
        <f t="shared" ref="D137:H137" si="79">(D106-D126*D106)*-1</f>
        <v>-32304.84425</v>
      </c>
      <c r="E137" s="461">
        <f t="shared" si="79"/>
        <v>-23633.82418</v>
      </c>
      <c r="F137" s="461">
        <f t="shared" si="79"/>
        <v>-18385.54746</v>
      </c>
      <c r="G137" s="461">
        <f t="shared" si="79"/>
        <v>-8076.736159</v>
      </c>
      <c r="H137" s="461">
        <f t="shared" si="79"/>
        <v>-7702.316463</v>
      </c>
      <c r="I137" s="252"/>
      <c r="J137" s="252"/>
      <c r="K137" s="252"/>
      <c r="L137" s="252"/>
      <c r="M137" s="252"/>
      <c r="N137" s="252"/>
      <c r="O137" s="252"/>
      <c r="P137" s="252"/>
      <c r="Q137" s="252"/>
      <c r="R137" s="252"/>
    </row>
    <row r="138" outlineLevel="1">
      <c r="A138" s="342" t="s">
        <v>393</v>
      </c>
      <c r="B138" s="612">
        <f t="shared" si="78"/>
        <v>-37647.58925</v>
      </c>
      <c r="C138" s="461">
        <f t="shared" si="80"/>
        <v>-37647.58925</v>
      </c>
      <c r="D138" s="461">
        <f t="shared" ref="D138:H138" si="81">(D107-D107*D126)*-1</f>
        <v>-13497.84006</v>
      </c>
      <c r="E138" s="461">
        <f t="shared" si="81"/>
        <v>-9874.852708</v>
      </c>
      <c r="F138" s="461">
        <f t="shared" si="81"/>
        <v>-7681.980358</v>
      </c>
      <c r="G138" s="461">
        <f t="shared" si="81"/>
        <v>-3374.679414</v>
      </c>
      <c r="H138" s="461">
        <f t="shared" si="81"/>
        <v>-3218.23671</v>
      </c>
      <c r="I138" s="252"/>
      <c r="J138" s="252"/>
      <c r="K138" s="252"/>
      <c r="L138" s="252"/>
      <c r="M138" s="252"/>
      <c r="N138" s="252"/>
      <c r="O138" s="252"/>
      <c r="P138" s="252"/>
      <c r="Q138" s="252"/>
      <c r="R138" s="252"/>
    </row>
    <row r="139" outlineLevel="1">
      <c r="A139" s="343"/>
      <c r="B139" s="295"/>
      <c r="C139" s="443"/>
      <c r="D139" s="443"/>
      <c r="E139" s="443"/>
      <c r="F139" s="443"/>
      <c r="G139" s="443"/>
      <c r="H139" s="443"/>
      <c r="I139" s="443"/>
      <c r="J139" s="443"/>
      <c r="K139" s="443"/>
      <c r="L139" s="443"/>
      <c r="M139" s="443"/>
      <c r="N139" s="443"/>
      <c r="O139" s="443"/>
      <c r="P139" s="443"/>
      <c r="Q139" s="443"/>
      <c r="R139" s="443"/>
    </row>
    <row r="140" outlineLevel="1">
      <c r="A140" s="343" t="s">
        <v>288</v>
      </c>
      <c r="B140" s="295"/>
      <c r="C140" s="295"/>
      <c r="D140" s="295"/>
      <c r="E140" s="295"/>
      <c r="F140" s="295"/>
      <c r="G140" s="295"/>
      <c r="H140" s="295"/>
      <c r="I140" s="295"/>
      <c r="J140" s="295"/>
      <c r="K140" s="295"/>
      <c r="L140" s="295"/>
      <c r="M140" s="295"/>
      <c r="N140" s="295"/>
      <c r="O140" s="295"/>
      <c r="P140" s="295"/>
      <c r="Q140" s="295"/>
      <c r="R140" s="295"/>
    </row>
    <row r="141" outlineLevel="1">
      <c r="A141" s="342" t="s">
        <v>391</v>
      </c>
      <c r="B141" s="615">
        <f t="shared" ref="B141:B143" si="83">index(A141:AAJ141,,match($A$3,$A$1:$AAJ$1,0))</f>
        <v>0</v>
      </c>
      <c r="C141" s="459">
        <f t="shared" ref="C141:C143" si="84">sum(D141:H141)</f>
        <v>0</v>
      </c>
      <c r="D141" s="459">
        <f t="shared" ref="D141:H141" si="82">-D105</f>
        <v>0</v>
      </c>
      <c r="E141" s="459">
        <f t="shared" si="82"/>
        <v>0</v>
      </c>
      <c r="F141" s="459">
        <f t="shared" si="82"/>
        <v>0</v>
      </c>
      <c r="G141" s="459">
        <f t="shared" si="82"/>
        <v>0</v>
      </c>
      <c r="H141" s="459">
        <f t="shared" si="82"/>
        <v>0</v>
      </c>
      <c r="I141" s="417"/>
      <c r="J141" s="417"/>
      <c r="K141" s="417"/>
      <c r="L141" s="417"/>
      <c r="M141" s="417"/>
      <c r="N141" s="417"/>
      <c r="O141" s="417"/>
      <c r="P141" s="417"/>
      <c r="Q141" s="417"/>
      <c r="R141" s="417"/>
    </row>
    <row r="142" outlineLevel="1">
      <c r="A142" s="343" t="s">
        <v>392</v>
      </c>
      <c r="B142" s="615">
        <f t="shared" si="83"/>
        <v>-90103.26851</v>
      </c>
      <c r="C142" s="459">
        <f t="shared" si="84"/>
        <v>-90103.26851</v>
      </c>
      <c r="D142" s="459">
        <f t="shared" ref="D142:H142" si="85">-D106</f>
        <v>-32304.84425</v>
      </c>
      <c r="E142" s="459">
        <f t="shared" si="85"/>
        <v>-23633.82418</v>
      </c>
      <c r="F142" s="459">
        <f t="shared" si="85"/>
        <v>-18385.54746</v>
      </c>
      <c r="G142" s="459">
        <f t="shared" si="85"/>
        <v>-8076.736159</v>
      </c>
      <c r="H142" s="459">
        <f t="shared" si="85"/>
        <v>-7702.316463</v>
      </c>
      <c r="I142" s="417"/>
      <c r="J142" s="417"/>
      <c r="K142" s="417"/>
      <c r="L142" s="417"/>
      <c r="M142" s="417"/>
      <c r="N142" s="417"/>
      <c r="O142" s="417"/>
      <c r="P142" s="417"/>
      <c r="Q142" s="417"/>
      <c r="R142" s="417"/>
    </row>
    <row r="143" outlineLevel="1">
      <c r="A143" s="342" t="s">
        <v>393</v>
      </c>
      <c r="B143" s="615">
        <f t="shared" si="83"/>
        <v>-37647.58925</v>
      </c>
      <c r="C143" s="459">
        <f t="shared" si="84"/>
        <v>-37647.58925</v>
      </c>
      <c r="D143" s="459">
        <f t="shared" ref="D143:H143" si="86">-D107</f>
        <v>-13497.84006</v>
      </c>
      <c r="E143" s="459">
        <f t="shared" si="86"/>
        <v>-9874.852708</v>
      </c>
      <c r="F143" s="459">
        <f t="shared" si="86"/>
        <v>-7681.980358</v>
      </c>
      <c r="G143" s="459">
        <f t="shared" si="86"/>
        <v>-3374.679414</v>
      </c>
      <c r="H143" s="459">
        <f t="shared" si="86"/>
        <v>-3218.23671</v>
      </c>
      <c r="I143" s="417"/>
      <c r="J143" s="417"/>
      <c r="K143" s="417"/>
      <c r="L143" s="417"/>
      <c r="M143" s="417"/>
      <c r="N143" s="417"/>
      <c r="O143" s="417"/>
      <c r="P143" s="417"/>
      <c r="Q143" s="417"/>
      <c r="R143" s="417"/>
    </row>
    <row r="144" outlineLevel="1">
      <c r="A144" s="342"/>
      <c r="B144" s="605"/>
      <c r="C144" s="441"/>
      <c r="D144" s="441"/>
      <c r="E144" s="441"/>
      <c r="F144" s="441"/>
      <c r="G144" s="441"/>
      <c r="H144" s="441"/>
      <c r="I144" s="441"/>
      <c r="J144" s="441"/>
      <c r="K144" s="441"/>
      <c r="L144" s="441"/>
      <c r="M144" s="441"/>
      <c r="N144" s="441"/>
      <c r="O144" s="441"/>
      <c r="P144" s="441"/>
      <c r="Q144" s="441"/>
      <c r="R144" s="441"/>
    </row>
    <row r="145" outlineLevel="1">
      <c r="A145" s="520" t="s">
        <v>394</v>
      </c>
      <c r="B145" s="605"/>
      <c r="C145" s="441"/>
      <c r="D145" s="441"/>
      <c r="E145" s="441"/>
      <c r="F145" s="441"/>
      <c r="G145" s="441"/>
      <c r="H145" s="441"/>
      <c r="I145" s="441"/>
      <c r="J145" s="441"/>
      <c r="K145" s="441"/>
      <c r="L145" s="441"/>
      <c r="M145" s="441"/>
      <c r="N145" s="441"/>
      <c r="O145" s="441"/>
      <c r="P145" s="441"/>
      <c r="Q145" s="441"/>
      <c r="R145" s="441"/>
    </row>
    <row r="146" outlineLevel="1">
      <c r="A146" s="343" t="s">
        <v>285</v>
      </c>
      <c r="B146" s="295"/>
      <c r="C146" s="252"/>
      <c r="D146" s="252"/>
      <c r="E146" s="252"/>
      <c r="F146" s="252"/>
      <c r="G146" s="252"/>
      <c r="H146" s="252"/>
      <c r="I146" s="252"/>
      <c r="J146" s="252"/>
      <c r="K146" s="252"/>
      <c r="L146" s="252"/>
      <c r="M146" s="252"/>
      <c r="N146" s="252"/>
      <c r="O146" s="252"/>
      <c r="P146" s="252"/>
      <c r="Q146" s="252"/>
      <c r="R146" s="252"/>
    </row>
    <row r="147" outlineLevel="1">
      <c r="A147" s="342" t="s">
        <v>391</v>
      </c>
      <c r="B147" s="295">
        <f t="shared" ref="B147:B149" si="88">index(A147:AAJ147,,match($A$3,$A$1:$AAJ$1,0))</f>
        <v>4651.655001</v>
      </c>
      <c r="C147" s="252">
        <f t="shared" ref="C147:C149" si="89">sum(D147:H147)</f>
        <v>4651.655001</v>
      </c>
      <c r="D147" s="252">
        <f t="shared" ref="D147:D149" si="90">D131*D$30</f>
        <v>425.9124182</v>
      </c>
      <c r="E147" s="252">
        <f t="shared" ref="E147:H147" si="87">E131*E30</f>
        <v>2608.736223</v>
      </c>
      <c r="F147" s="252">
        <f t="shared" si="87"/>
        <v>853.1798947</v>
      </c>
      <c r="G147" s="252">
        <f t="shared" si="87"/>
        <v>283.3033264</v>
      </c>
      <c r="H147" s="252">
        <f t="shared" si="87"/>
        <v>480.5231379</v>
      </c>
      <c r="I147" s="252"/>
      <c r="J147" s="252"/>
      <c r="K147" s="252"/>
      <c r="L147" s="252"/>
      <c r="M147" s="252"/>
      <c r="N147" s="252"/>
      <c r="O147" s="252"/>
      <c r="P147" s="252"/>
      <c r="Q147" s="252"/>
      <c r="R147" s="252"/>
    </row>
    <row r="148" outlineLevel="1">
      <c r="A148" s="343" t="s">
        <v>392</v>
      </c>
      <c r="B148" s="295">
        <f t="shared" si="88"/>
        <v>0</v>
      </c>
      <c r="C148" s="252">
        <f t="shared" si="89"/>
        <v>0</v>
      </c>
      <c r="D148" s="252">
        <f t="shared" si="90"/>
        <v>0</v>
      </c>
      <c r="E148" s="252">
        <f t="shared" ref="E148:H148" si="91">E132*E$30</f>
        <v>0</v>
      </c>
      <c r="F148" s="252">
        <f t="shared" si="91"/>
        <v>0</v>
      </c>
      <c r="G148" s="252">
        <f t="shared" si="91"/>
        <v>0</v>
      </c>
      <c r="H148" s="252">
        <f t="shared" si="91"/>
        <v>0</v>
      </c>
      <c r="I148" s="252"/>
      <c r="J148" s="252"/>
      <c r="K148" s="252"/>
      <c r="L148" s="252"/>
      <c r="M148" s="252"/>
      <c r="N148" s="252"/>
      <c r="O148" s="252"/>
      <c r="P148" s="252"/>
      <c r="Q148" s="252"/>
      <c r="R148" s="252"/>
    </row>
    <row r="149" outlineLevel="1">
      <c r="A149" s="342" t="s">
        <v>393</v>
      </c>
      <c r="B149" s="295">
        <f t="shared" si="88"/>
        <v>0</v>
      </c>
      <c r="C149" s="252">
        <f t="shared" si="89"/>
        <v>0</v>
      </c>
      <c r="D149" s="252">
        <f t="shared" si="90"/>
        <v>0</v>
      </c>
      <c r="E149" s="252">
        <f t="shared" ref="E149:H149" si="92">E133*E$30</f>
        <v>0</v>
      </c>
      <c r="F149" s="252">
        <f t="shared" si="92"/>
        <v>0</v>
      </c>
      <c r="G149" s="252">
        <f t="shared" si="92"/>
        <v>0</v>
      </c>
      <c r="H149" s="252">
        <f t="shared" si="92"/>
        <v>0</v>
      </c>
      <c r="I149" s="252"/>
      <c r="J149" s="252"/>
      <c r="K149" s="252"/>
      <c r="L149" s="252"/>
      <c r="M149" s="252"/>
      <c r="N149" s="252"/>
      <c r="O149" s="252"/>
      <c r="P149" s="252"/>
      <c r="Q149" s="252"/>
      <c r="R149" s="252"/>
    </row>
    <row r="150" outlineLevel="1">
      <c r="A150" s="343"/>
      <c r="B150" s="295"/>
      <c r="C150" s="252"/>
      <c r="D150" s="252"/>
      <c r="E150" s="252"/>
      <c r="F150" s="252"/>
      <c r="G150" s="252"/>
      <c r="H150" s="252"/>
      <c r="I150" s="252"/>
      <c r="J150" s="252"/>
      <c r="K150" s="252"/>
      <c r="L150" s="252"/>
      <c r="M150" s="252"/>
      <c r="N150" s="252"/>
      <c r="O150" s="252"/>
      <c r="P150" s="252"/>
      <c r="Q150" s="252"/>
      <c r="R150" s="252"/>
    </row>
    <row r="151" outlineLevel="1">
      <c r="A151" s="343" t="s">
        <v>287</v>
      </c>
      <c r="B151" s="295"/>
      <c r="C151" s="252"/>
      <c r="D151" s="252"/>
      <c r="E151" s="252"/>
      <c r="F151" s="252"/>
      <c r="G151" s="252"/>
      <c r="H151" s="252"/>
      <c r="I151" s="252"/>
      <c r="J151" s="252"/>
      <c r="K151" s="252"/>
      <c r="L151" s="252"/>
      <c r="M151" s="252"/>
      <c r="N151" s="252"/>
      <c r="O151" s="252"/>
      <c r="P151" s="252"/>
      <c r="Q151" s="252"/>
      <c r="R151" s="252"/>
    </row>
    <row r="152" outlineLevel="1">
      <c r="A152" s="342" t="s">
        <v>391</v>
      </c>
      <c r="B152" s="295">
        <f t="shared" ref="B152:B154" si="94">index(A152:AAJ152,,match($A$3,$A$1:$AAJ$1,0))</f>
        <v>0</v>
      </c>
      <c r="C152" s="252">
        <f t="shared" ref="C152:C154" si="95">sum(D152:H152)</f>
        <v>0</v>
      </c>
      <c r="D152" s="252">
        <f t="shared" ref="D152:H152" si="93">D136*D$30</f>
        <v>0</v>
      </c>
      <c r="E152" s="252">
        <f t="shared" si="93"/>
        <v>0</v>
      </c>
      <c r="F152" s="252">
        <f t="shared" si="93"/>
        <v>0</v>
      </c>
      <c r="G152" s="252">
        <f t="shared" si="93"/>
        <v>0</v>
      </c>
      <c r="H152" s="252">
        <f t="shared" si="93"/>
        <v>0</v>
      </c>
      <c r="I152" s="252"/>
      <c r="J152" s="252"/>
      <c r="K152" s="252"/>
      <c r="L152" s="252"/>
      <c r="M152" s="252"/>
      <c r="N152" s="252"/>
      <c r="O152" s="252"/>
      <c r="P152" s="252"/>
      <c r="Q152" s="252"/>
      <c r="R152" s="252"/>
    </row>
    <row r="153" outlineLevel="1">
      <c r="A153" s="343" t="s">
        <v>392</v>
      </c>
      <c r="B153" s="295">
        <f t="shared" si="94"/>
        <v>-2428.420733</v>
      </c>
      <c r="C153" s="252">
        <f t="shared" si="95"/>
        <v>-2428.420733</v>
      </c>
      <c r="D153" s="252">
        <f t="shared" ref="D153:H153" si="96">D137*D$30</f>
        <v>-222.3497974</v>
      </c>
      <c r="E153" s="252">
        <f t="shared" si="96"/>
        <v>-1361.904339</v>
      </c>
      <c r="F153" s="252">
        <f t="shared" si="96"/>
        <v>-445.40701</v>
      </c>
      <c r="G153" s="252">
        <f t="shared" si="96"/>
        <v>-147.8999778</v>
      </c>
      <c r="H153" s="252">
        <f t="shared" si="96"/>
        <v>-250.8596082</v>
      </c>
      <c r="I153" s="252"/>
      <c r="J153" s="252"/>
      <c r="K153" s="252"/>
      <c r="L153" s="252"/>
      <c r="M153" s="252"/>
      <c r="N153" s="252"/>
      <c r="O153" s="252"/>
      <c r="P153" s="252"/>
      <c r="Q153" s="252"/>
      <c r="R153" s="252"/>
    </row>
    <row r="154" outlineLevel="1">
      <c r="A154" s="342" t="s">
        <v>393</v>
      </c>
      <c r="B154" s="295">
        <f t="shared" si="94"/>
        <v>-1014.660043</v>
      </c>
      <c r="C154" s="252">
        <f t="shared" si="95"/>
        <v>-1014.660043</v>
      </c>
      <c r="D154" s="252">
        <f t="shared" ref="D154:H154" si="97">D138*D$30</f>
        <v>-92.90377562</v>
      </c>
      <c r="E154" s="252">
        <f t="shared" si="97"/>
        <v>-569.0405688</v>
      </c>
      <c r="F154" s="252">
        <f t="shared" si="97"/>
        <v>-186.1031285</v>
      </c>
      <c r="G154" s="252">
        <f t="shared" si="97"/>
        <v>-61.79662189</v>
      </c>
      <c r="H154" s="252">
        <f t="shared" si="97"/>
        <v>-104.8159478</v>
      </c>
      <c r="I154" s="252"/>
      <c r="J154" s="252"/>
      <c r="K154" s="252"/>
      <c r="L154" s="252"/>
      <c r="M154" s="252"/>
      <c r="N154" s="252"/>
      <c r="O154" s="252"/>
      <c r="P154" s="252"/>
      <c r="Q154" s="252"/>
      <c r="R154" s="252"/>
    </row>
    <row r="155" outlineLevel="1">
      <c r="A155" s="343"/>
      <c r="B155" s="295"/>
      <c r="C155" s="252"/>
      <c r="D155" s="252"/>
      <c r="E155" s="252"/>
      <c r="F155" s="252"/>
      <c r="G155" s="252"/>
      <c r="H155" s="252"/>
      <c r="I155" s="252"/>
      <c r="J155" s="252"/>
      <c r="K155" s="252"/>
      <c r="L155" s="252"/>
      <c r="M155" s="252"/>
      <c r="N155" s="252"/>
      <c r="O155" s="252"/>
      <c r="P155" s="252"/>
      <c r="Q155" s="252"/>
      <c r="R155" s="252"/>
    </row>
    <row r="156" outlineLevel="1">
      <c r="A156" s="343" t="s">
        <v>288</v>
      </c>
      <c r="B156" s="295"/>
      <c r="C156" s="252"/>
      <c r="D156" s="252"/>
      <c r="E156" s="252"/>
      <c r="F156" s="252"/>
      <c r="G156" s="252"/>
      <c r="H156" s="252"/>
      <c r="I156" s="252"/>
      <c r="J156" s="252"/>
      <c r="K156" s="252"/>
      <c r="L156" s="252"/>
      <c r="M156" s="252"/>
      <c r="N156" s="252"/>
      <c r="O156" s="252"/>
      <c r="P156" s="252"/>
      <c r="Q156" s="252"/>
      <c r="R156" s="252"/>
    </row>
    <row r="157" outlineLevel="1">
      <c r="A157" s="342" t="s">
        <v>391</v>
      </c>
      <c r="B157" s="295">
        <f t="shared" ref="B157:B159" si="99">index(A157:AAJ157,,match($A$3,$A$1:$AAJ$1,0))</f>
        <v>0</v>
      </c>
      <c r="C157" s="252">
        <f t="shared" ref="C157:C159" si="100">sum(D157:H157)</f>
        <v>0</v>
      </c>
      <c r="D157" s="252">
        <f t="shared" ref="D157:H157" si="98">D141*D$88</f>
        <v>0</v>
      </c>
      <c r="E157" s="252">
        <f t="shared" si="98"/>
        <v>0</v>
      </c>
      <c r="F157" s="252">
        <f t="shared" si="98"/>
        <v>0</v>
      </c>
      <c r="G157" s="252">
        <f t="shared" si="98"/>
        <v>0</v>
      </c>
      <c r="H157" s="252">
        <f t="shared" si="98"/>
        <v>0</v>
      </c>
      <c r="I157" s="252"/>
      <c r="J157" s="252"/>
      <c r="K157" s="252"/>
      <c r="L157" s="252"/>
      <c r="M157" s="252"/>
      <c r="N157" s="252"/>
      <c r="O157" s="252"/>
      <c r="P157" s="252"/>
      <c r="Q157" s="252"/>
      <c r="R157" s="252"/>
    </row>
    <row r="158" outlineLevel="1">
      <c r="A158" s="343" t="s">
        <v>392</v>
      </c>
      <c r="B158" s="295">
        <f t="shared" si="99"/>
        <v>-2444.90971</v>
      </c>
      <c r="C158" s="252">
        <f t="shared" si="100"/>
        <v>-2444.90971</v>
      </c>
      <c r="D158" s="252">
        <f t="shared" ref="D158:H158" si="101">D142*D$88</f>
        <v>-223.8595525</v>
      </c>
      <c r="E158" s="252">
        <f t="shared" si="101"/>
        <v>-1371.15167</v>
      </c>
      <c r="F158" s="252">
        <f t="shared" si="101"/>
        <v>-448.4313236</v>
      </c>
      <c r="G158" s="252">
        <f t="shared" si="101"/>
        <v>-148.9042187</v>
      </c>
      <c r="H158" s="252">
        <f t="shared" si="101"/>
        <v>-252.5629449</v>
      </c>
      <c r="I158" s="252"/>
      <c r="J158" s="252"/>
      <c r="K158" s="252"/>
      <c r="L158" s="252"/>
      <c r="M158" s="252"/>
      <c r="N158" s="252"/>
      <c r="O158" s="252"/>
      <c r="P158" s="252"/>
      <c r="Q158" s="252"/>
      <c r="R158" s="252"/>
    </row>
    <row r="159" outlineLevel="1">
      <c r="A159" s="342" t="s">
        <v>393</v>
      </c>
      <c r="B159" s="295">
        <f t="shared" si="99"/>
        <v>-1021.549584</v>
      </c>
      <c r="C159" s="252">
        <f t="shared" si="100"/>
        <v>-1021.549584</v>
      </c>
      <c r="D159" s="252">
        <f t="shared" ref="D159:H159" si="102">D143*D$88</f>
        <v>-93.53459226</v>
      </c>
      <c r="E159" s="252">
        <f t="shared" si="102"/>
        <v>-572.9043543</v>
      </c>
      <c r="F159" s="252">
        <f t="shared" si="102"/>
        <v>-187.3667688</v>
      </c>
      <c r="G159" s="252">
        <f t="shared" si="102"/>
        <v>-62.21622096</v>
      </c>
      <c r="H159" s="252">
        <f t="shared" si="102"/>
        <v>-105.5276481</v>
      </c>
      <c r="I159" s="252"/>
      <c r="J159" s="252"/>
      <c r="K159" s="252"/>
      <c r="L159" s="252"/>
      <c r="M159" s="252"/>
      <c r="N159" s="252"/>
      <c r="O159" s="252"/>
      <c r="P159" s="252"/>
      <c r="Q159" s="252"/>
      <c r="R159" s="252"/>
    </row>
    <row r="160" outlineLevel="1">
      <c r="A160" s="616"/>
      <c r="B160" s="605"/>
      <c r="C160" s="441"/>
      <c r="D160" s="441"/>
      <c r="E160" s="441"/>
      <c r="F160" s="441"/>
      <c r="G160" s="441"/>
      <c r="H160" s="441"/>
      <c r="I160" s="441"/>
      <c r="J160" s="441"/>
      <c r="K160" s="441"/>
      <c r="L160" s="441"/>
      <c r="M160" s="441"/>
      <c r="N160" s="441"/>
      <c r="O160" s="441"/>
      <c r="P160" s="441"/>
      <c r="Q160" s="441"/>
      <c r="R160" s="441"/>
    </row>
    <row r="161" outlineLevel="1">
      <c r="A161" s="616"/>
      <c r="B161" s="605"/>
      <c r="C161" s="441"/>
      <c r="D161" s="441"/>
      <c r="E161" s="441"/>
      <c r="F161" s="441"/>
      <c r="G161" s="441"/>
      <c r="H161" s="441"/>
      <c r="I161" s="441"/>
      <c r="J161" s="441"/>
      <c r="K161" s="441"/>
      <c r="L161" s="441"/>
      <c r="M161" s="441"/>
      <c r="N161" s="441"/>
      <c r="O161" s="441"/>
      <c r="P161" s="441"/>
      <c r="Q161" s="441"/>
      <c r="R161" s="441"/>
    </row>
    <row r="162" outlineLevel="1">
      <c r="A162" s="523" t="s">
        <v>395</v>
      </c>
      <c r="B162" s="605"/>
      <c r="C162" s="441"/>
      <c r="D162" s="441"/>
      <c r="E162" s="441"/>
      <c r="F162" s="441"/>
      <c r="G162" s="441"/>
      <c r="H162" s="441"/>
      <c r="I162" s="441"/>
      <c r="J162" s="441"/>
      <c r="K162" s="441"/>
      <c r="L162" s="441"/>
      <c r="M162" s="441"/>
      <c r="N162" s="441"/>
      <c r="O162" s="441"/>
      <c r="P162" s="441"/>
      <c r="Q162" s="441"/>
      <c r="R162" s="441"/>
    </row>
    <row r="163" outlineLevel="1">
      <c r="A163" s="343" t="s">
        <v>285</v>
      </c>
      <c r="B163" s="295"/>
      <c r="C163" s="252"/>
      <c r="D163" s="252"/>
      <c r="E163" s="252"/>
      <c r="F163" s="252"/>
      <c r="G163" s="252"/>
      <c r="H163" s="252"/>
      <c r="I163" s="252"/>
      <c r="J163" s="252"/>
      <c r="K163" s="252"/>
      <c r="L163" s="252"/>
      <c r="M163" s="252"/>
      <c r="N163" s="252"/>
      <c r="O163" s="252"/>
      <c r="P163" s="252"/>
      <c r="Q163" s="252"/>
      <c r="R163" s="252"/>
    </row>
    <row r="164" outlineLevel="1">
      <c r="A164" s="342" t="s">
        <v>391</v>
      </c>
      <c r="B164" s="295">
        <f t="shared" ref="B164:B166" si="104">index(A164:AAJ164,,match($A$3,$A$1:$AAJ$1,0))</f>
        <v>-622.981995</v>
      </c>
      <c r="C164" s="252">
        <f t="shared" ref="C164:C166" si="105">sum(D164:H164)</f>
        <v>-622.981995</v>
      </c>
      <c r="D164" s="252">
        <f t="shared" ref="D164:H164" si="103">-D131*D115</f>
        <v>-223.3585601</v>
      </c>
      <c r="E164" s="252">
        <f t="shared" si="103"/>
        <v>-163.4063578</v>
      </c>
      <c r="F164" s="252">
        <f t="shared" si="103"/>
        <v>-127.1193068</v>
      </c>
      <c r="G164" s="252">
        <f t="shared" si="103"/>
        <v>-55.8432706</v>
      </c>
      <c r="H164" s="252">
        <f t="shared" si="103"/>
        <v>-53.25449959</v>
      </c>
      <c r="I164" s="252"/>
      <c r="J164" s="252"/>
      <c r="K164" s="252"/>
      <c r="L164" s="252"/>
      <c r="M164" s="252"/>
      <c r="N164" s="252"/>
      <c r="O164" s="252"/>
      <c r="P164" s="252"/>
      <c r="Q164" s="252"/>
      <c r="R164" s="252"/>
    </row>
    <row r="165" outlineLevel="1">
      <c r="A165" s="343" t="s">
        <v>392</v>
      </c>
      <c r="B165" s="295">
        <f t="shared" si="104"/>
        <v>0</v>
      </c>
      <c r="C165" s="252">
        <f t="shared" si="105"/>
        <v>0</v>
      </c>
      <c r="D165" s="252">
        <f t="shared" ref="D165:H165" si="106">-D132*D116</f>
        <v>0</v>
      </c>
      <c r="E165" s="252">
        <f t="shared" si="106"/>
        <v>0</v>
      </c>
      <c r="F165" s="252">
        <f t="shared" si="106"/>
        <v>0</v>
      </c>
      <c r="G165" s="252">
        <f t="shared" si="106"/>
        <v>0</v>
      </c>
      <c r="H165" s="252">
        <f t="shared" si="106"/>
        <v>0</v>
      </c>
      <c r="I165" s="252"/>
      <c r="J165" s="252"/>
      <c r="K165" s="252"/>
      <c r="L165" s="252"/>
      <c r="M165" s="252"/>
      <c r="N165" s="252"/>
      <c r="O165" s="252"/>
      <c r="P165" s="252"/>
      <c r="Q165" s="252"/>
      <c r="R165" s="252"/>
    </row>
    <row r="166" outlineLevel="1">
      <c r="A166" s="342" t="s">
        <v>393</v>
      </c>
      <c r="B166" s="295">
        <f t="shared" si="104"/>
        <v>0</v>
      </c>
      <c r="C166" s="252">
        <f t="shared" si="105"/>
        <v>0</v>
      </c>
      <c r="D166" s="252">
        <f t="shared" ref="D166:H166" si="107">-D133*D117</f>
        <v>0</v>
      </c>
      <c r="E166" s="252">
        <f t="shared" si="107"/>
        <v>0</v>
      </c>
      <c r="F166" s="252">
        <f t="shared" si="107"/>
        <v>0</v>
      </c>
      <c r="G166" s="252">
        <f t="shared" si="107"/>
        <v>0</v>
      </c>
      <c r="H166" s="252">
        <f t="shared" si="107"/>
        <v>0</v>
      </c>
      <c r="I166" s="252"/>
      <c r="J166" s="252"/>
      <c r="K166" s="252"/>
      <c r="L166" s="252"/>
      <c r="M166" s="252"/>
      <c r="N166" s="252"/>
      <c r="O166" s="252"/>
      <c r="P166" s="252"/>
      <c r="Q166" s="252"/>
      <c r="R166" s="252"/>
    </row>
    <row r="167" outlineLevel="1">
      <c r="A167" s="342"/>
      <c r="B167" s="295"/>
      <c r="C167" s="252"/>
      <c r="D167" s="252"/>
      <c r="E167" s="252"/>
      <c r="F167" s="252"/>
      <c r="G167" s="252"/>
      <c r="H167" s="252"/>
      <c r="I167" s="252"/>
      <c r="J167" s="252"/>
      <c r="K167" s="252"/>
      <c r="L167" s="252"/>
      <c r="M167" s="252"/>
      <c r="N167" s="252"/>
      <c r="O167" s="252"/>
      <c r="P167" s="252"/>
      <c r="Q167" s="252"/>
      <c r="R167" s="252"/>
    </row>
    <row r="168" outlineLevel="1">
      <c r="A168" s="343" t="s">
        <v>287</v>
      </c>
      <c r="B168" s="295"/>
      <c r="C168" s="252"/>
      <c r="D168" s="252"/>
      <c r="E168" s="252"/>
      <c r="F168" s="252"/>
      <c r="G168" s="252"/>
      <c r="H168" s="252"/>
      <c r="I168" s="252"/>
      <c r="J168" s="252"/>
      <c r="K168" s="252"/>
      <c r="L168" s="252"/>
      <c r="M168" s="252"/>
      <c r="N168" s="252"/>
      <c r="O168" s="252"/>
      <c r="P168" s="252"/>
      <c r="Q168" s="252"/>
      <c r="R168" s="252"/>
    </row>
    <row r="169" outlineLevel="1">
      <c r="A169" s="342" t="s">
        <v>391</v>
      </c>
      <c r="B169" s="295">
        <f t="shared" ref="B169:B172" si="109">index(A169:AAJ169,,match($A$3,$A$1:$AAJ$1,0))</f>
        <v>0</v>
      </c>
      <c r="C169" s="252">
        <f t="shared" ref="C169:C171" si="110">sum(D169:H169)</f>
        <v>0</v>
      </c>
      <c r="D169" s="252">
        <f t="shared" ref="D169:H169" si="108">-D136*D115</f>
        <v>0</v>
      </c>
      <c r="E169" s="252">
        <f t="shared" si="108"/>
        <v>0</v>
      </c>
      <c r="F169" s="252">
        <f t="shared" si="108"/>
        <v>0</v>
      </c>
      <c r="G169" s="252">
        <f t="shared" si="108"/>
        <v>0</v>
      </c>
      <c r="H169" s="252">
        <f t="shared" si="108"/>
        <v>0</v>
      </c>
      <c r="I169" s="252"/>
      <c r="J169" s="252"/>
      <c r="K169" s="252"/>
      <c r="L169" s="252"/>
      <c r="M169" s="252"/>
      <c r="N169" s="252"/>
      <c r="O169" s="252"/>
      <c r="P169" s="252"/>
      <c r="Q169" s="252"/>
      <c r="R169" s="252"/>
    </row>
    <row r="170" outlineLevel="1">
      <c r="A170" s="343" t="s">
        <v>392</v>
      </c>
      <c r="B170" s="295">
        <f t="shared" si="109"/>
        <v>325.2309968</v>
      </c>
      <c r="C170" s="252">
        <f t="shared" si="110"/>
        <v>325.2309968</v>
      </c>
      <c r="D170" s="252">
        <f t="shared" ref="D170:H170" si="111">-D137*D116</f>
        <v>116.6055002</v>
      </c>
      <c r="E170" s="252">
        <f t="shared" si="111"/>
        <v>85.30714062</v>
      </c>
      <c r="F170" s="252">
        <f t="shared" si="111"/>
        <v>66.36329655</v>
      </c>
      <c r="G170" s="252">
        <f t="shared" si="111"/>
        <v>29.15327042</v>
      </c>
      <c r="H170" s="252">
        <f t="shared" si="111"/>
        <v>27.80178902</v>
      </c>
      <c r="I170" s="252"/>
      <c r="J170" s="252"/>
      <c r="K170" s="252"/>
      <c r="L170" s="252"/>
      <c r="M170" s="252"/>
      <c r="N170" s="252"/>
      <c r="O170" s="252"/>
      <c r="P170" s="252"/>
      <c r="Q170" s="252"/>
      <c r="R170" s="252"/>
    </row>
    <row r="171" outlineLevel="1">
      <c r="A171" s="342" t="s">
        <v>393</v>
      </c>
      <c r="B171" s="295">
        <f t="shared" si="109"/>
        <v>204.9205723</v>
      </c>
      <c r="C171" s="252">
        <f t="shared" si="110"/>
        <v>204.9205723</v>
      </c>
      <c r="D171" s="252">
        <f t="shared" ref="D171:H171" si="112">-D138*D117</f>
        <v>73.47044431</v>
      </c>
      <c r="E171" s="252">
        <f t="shared" si="112"/>
        <v>53.75006763</v>
      </c>
      <c r="F171" s="252">
        <f t="shared" si="112"/>
        <v>41.81398711</v>
      </c>
      <c r="G171" s="252">
        <f t="shared" si="112"/>
        <v>18.3688053</v>
      </c>
      <c r="H171" s="252">
        <f t="shared" si="112"/>
        <v>17.51726795</v>
      </c>
      <c r="I171" s="252"/>
      <c r="J171" s="252"/>
      <c r="K171" s="252"/>
      <c r="L171" s="252"/>
      <c r="M171" s="252"/>
      <c r="N171" s="252"/>
      <c r="O171" s="252"/>
      <c r="P171" s="252"/>
      <c r="Q171" s="252"/>
      <c r="R171" s="252"/>
    </row>
    <row r="172" outlineLevel="1">
      <c r="A172" s="343"/>
      <c r="B172" s="295" t="str">
        <f t="shared" si="109"/>
        <v/>
      </c>
      <c r="C172" s="252"/>
      <c r="D172" s="252"/>
      <c r="E172" s="252"/>
      <c r="F172" s="252"/>
      <c r="G172" s="252"/>
      <c r="H172" s="252"/>
      <c r="I172" s="252"/>
      <c r="J172" s="252"/>
      <c r="K172" s="252"/>
      <c r="L172" s="252"/>
      <c r="M172" s="252"/>
      <c r="N172" s="252"/>
      <c r="O172" s="252"/>
      <c r="P172" s="252"/>
      <c r="Q172" s="252"/>
      <c r="R172" s="252"/>
    </row>
    <row r="173" outlineLevel="1">
      <c r="A173" s="343" t="s">
        <v>288</v>
      </c>
      <c r="B173" s="295"/>
      <c r="C173" s="252"/>
      <c r="D173" s="252"/>
      <c r="E173" s="252"/>
      <c r="F173" s="252"/>
      <c r="G173" s="252"/>
      <c r="H173" s="252"/>
      <c r="I173" s="252"/>
      <c r="J173" s="252"/>
      <c r="K173" s="252"/>
      <c r="L173" s="252"/>
      <c r="M173" s="252"/>
      <c r="N173" s="252"/>
      <c r="O173" s="252"/>
      <c r="P173" s="252"/>
      <c r="Q173" s="252"/>
      <c r="R173" s="252"/>
    </row>
    <row r="174" outlineLevel="1">
      <c r="A174" s="342" t="s">
        <v>391</v>
      </c>
      <c r="B174" s="295">
        <f t="shared" ref="B174:B176" si="114">index(A174:AAJ174,,match($A$3,$A$1:$AAJ$1,0))</f>
        <v>0</v>
      </c>
      <c r="C174" s="252">
        <f t="shared" ref="C174:C176" si="115">sum(D174:H174)</f>
        <v>0</v>
      </c>
      <c r="D174" s="252">
        <f t="shared" ref="D174:H174" si="113">-D141*D115</f>
        <v>0</v>
      </c>
      <c r="E174" s="252">
        <f t="shared" si="113"/>
        <v>0</v>
      </c>
      <c r="F174" s="252">
        <f t="shared" si="113"/>
        <v>0</v>
      </c>
      <c r="G174" s="252">
        <f t="shared" si="113"/>
        <v>0</v>
      </c>
      <c r="H174" s="252">
        <f t="shared" si="113"/>
        <v>0</v>
      </c>
      <c r="I174" s="252"/>
      <c r="J174" s="252"/>
      <c r="K174" s="252"/>
      <c r="L174" s="252"/>
      <c r="M174" s="252"/>
      <c r="N174" s="252"/>
      <c r="O174" s="252"/>
      <c r="P174" s="252"/>
      <c r="Q174" s="252"/>
      <c r="R174" s="252"/>
    </row>
    <row r="175" outlineLevel="1">
      <c r="A175" s="343" t="s">
        <v>392</v>
      </c>
      <c r="B175" s="295">
        <f t="shared" si="114"/>
        <v>325.2309968</v>
      </c>
      <c r="C175" s="252">
        <f t="shared" si="115"/>
        <v>325.2309968</v>
      </c>
      <c r="D175" s="252">
        <f t="shared" ref="D175:H175" si="116">-D142*D116</f>
        <v>116.6055002</v>
      </c>
      <c r="E175" s="252">
        <f t="shared" si="116"/>
        <v>85.30714062</v>
      </c>
      <c r="F175" s="252">
        <f t="shared" si="116"/>
        <v>66.36329655</v>
      </c>
      <c r="G175" s="252">
        <f t="shared" si="116"/>
        <v>29.15327042</v>
      </c>
      <c r="H175" s="252">
        <f t="shared" si="116"/>
        <v>27.80178902</v>
      </c>
      <c r="I175" s="252"/>
      <c r="J175" s="252"/>
      <c r="K175" s="252"/>
      <c r="L175" s="252"/>
      <c r="M175" s="252"/>
      <c r="N175" s="252"/>
      <c r="O175" s="252"/>
      <c r="P175" s="252"/>
      <c r="Q175" s="252"/>
      <c r="R175" s="252"/>
    </row>
    <row r="176" outlineLevel="1">
      <c r="A176" s="342" t="s">
        <v>393</v>
      </c>
      <c r="B176" s="295">
        <f t="shared" si="114"/>
        <v>204.9205723</v>
      </c>
      <c r="C176" s="252">
        <f t="shared" si="115"/>
        <v>204.9205723</v>
      </c>
      <c r="D176" s="252">
        <f t="shared" ref="D176:H176" si="117">-D143*D117</f>
        <v>73.47044431</v>
      </c>
      <c r="E176" s="252">
        <f t="shared" si="117"/>
        <v>53.75006763</v>
      </c>
      <c r="F176" s="252">
        <f t="shared" si="117"/>
        <v>41.81398711</v>
      </c>
      <c r="G176" s="252">
        <f t="shared" si="117"/>
        <v>18.3688053</v>
      </c>
      <c r="H176" s="252">
        <f t="shared" si="117"/>
        <v>17.51726795</v>
      </c>
      <c r="I176" s="252"/>
      <c r="J176" s="252"/>
      <c r="K176" s="252"/>
      <c r="L176" s="252"/>
      <c r="M176" s="252"/>
      <c r="N176" s="252"/>
      <c r="O176" s="252"/>
      <c r="P176" s="252"/>
      <c r="Q176" s="252"/>
      <c r="R176" s="252"/>
    </row>
    <row r="177" outlineLevel="1">
      <c r="A177" s="343"/>
      <c r="B177" s="295"/>
      <c r="C177" s="252"/>
      <c r="D177" s="252"/>
      <c r="E177" s="252"/>
      <c r="F177" s="252"/>
      <c r="G177" s="252"/>
      <c r="H177" s="252"/>
      <c r="I177" s="252"/>
      <c r="J177" s="252"/>
      <c r="K177" s="252"/>
      <c r="L177" s="252"/>
      <c r="M177" s="252"/>
      <c r="N177" s="252"/>
      <c r="O177" s="252"/>
      <c r="P177" s="252"/>
      <c r="Q177" s="252"/>
      <c r="R177" s="252"/>
    </row>
    <row r="178" outlineLevel="1">
      <c r="A178" s="342"/>
      <c r="B178" s="617"/>
      <c r="C178" s="154"/>
      <c r="D178" s="154"/>
      <c r="E178" s="154"/>
      <c r="F178" s="154"/>
      <c r="G178" s="154"/>
      <c r="H178" s="154"/>
      <c r="I178" s="154"/>
      <c r="J178" s="154"/>
      <c r="K178" s="154"/>
      <c r="L178" s="154"/>
      <c r="M178" s="154"/>
      <c r="N178" s="154"/>
      <c r="O178" s="154"/>
      <c r="P178" s="154"/>
      <c r="Q178" s="154"/>
      <c r="R178" s="154"/>
    </row>
    <row r="179" outlineLevel="1">
      <c r="A179" s="523" t="s">
        <v>396</v>
      </c>
      <c r="B179" s="605"/>
      <c r="C179" s="441"/>
      <c r="D179" s="441"/>
      <c r="E179" s="441"/>
      <c r="F179" s="441"/>
      <c r="G179" s="441"/>
      <c r="H179" s="441"/>
      <c r="I179" s="441"/>
      <c r="J179" s="441"/>
      <c r="K179" s="441"/>
      <c r="L179" s="441"/>
      <c r="M179" s="441"/>
      <c r="N179" s="441"/>
      <c r="O179" s="441"/>
      <c r="P179" s="441"/>
      <c r="Q179" s="441"/>
      <c r="R179" s="441"/>
    </row>
    <row r="180" outlineLevel="1">
      <c r="A180" s="344" t="s">
        <v>285</v>
      </c>
      <c r="B180" s="295">
        <f t="shared" ref="B180:B182" si="119">index(A180:AAJ180,,match($A$3,$A$1:$AAJ$1,0))</f>
        <v>4028.673006</v>
      </c>
      <c r="C180" s="252">
        <f t="shared" ref="C180:C182" si="120">sum(D180:H180)</f>
        <v>4028.673006</v>
      </c>
      <c r="D180" s="252">
        <f t="shared" ref="D180:H180" si="118">sum(D147:D149,D164:D166)</f>
        <v>202.5538581</v>
      </c>
      <c r="E180" s="252">
        <f t="shared" si="118"/>
        <v>2445.329865</v>
      </c>
      <c r="F180" s="252">
        <f t="shared" si="118"/>
        <v>726.0605879</v>
      </c>
      <c r="G180" s="252">
        <f t="shared" si="118"/>
        <v>227.4600558</v>
      </c>
      <c r="H180" s="252">
        <f t="shared" si="118"/>
        <v>427.2686384</v>
      </c>
      <c r="I180" s="252"/>
      <c r="J180" s="252"/>
      <c r="K180" s="252"/>
      <c r="L180" s="252"/>
      <c r="M180" s="252"/>
      <c r="N180" s="252"/>
      <c r="O180" s="252"/>
      <c r="P180" s="252"/>
      <c r="Q180" s="252"/>
      <c r="R180" s="252"/>
    </row>
    <row r="181" outlineLevel="1">
      <c r="A181" s="344" t="s">
        <v>287</v>
      </c>
      <c r="B181" s="295">
        <f t="shared" si="119"/>
        <v>-2912.929206</v>
      </c>
      <c r="C181" s="252">
        <f t="shared" si="120"/>
        <v>-2912.929206</v>
      </c>
      <c r="D181" s="252">
        <f t="shared" ref="D181:H181" si="121">sum(D152:D154,D169:D171)</f>
        <v>-125.1776284</v>
      </c>
      <c r="E181" s="252">
        <f t="shared" si="121"/>
        <v>-1791.8877</v>
      </c>
      <c r="F181" s="252">
        <f t="shared" si="121"/>
        <v>-523.3328548</v>
      </c>
      <c r="G181" s="252">
        <f t="shared" si="121"/>
        <v>-162.174524</v>
      </c>
      <c r="H181" s="252">
        <f t="shared" si="121"/>
        <v>-310.356499</v>
      </c>
      <c r="I181" s="252"/>
      <c r="J181" s="252"/>
      <c r="K181" s="252"/>
      <c r="L181" s="252"/>
      <c r="M181" s="252"/>
      <c r="N181" s="252"/>
      <c r="O181" s="252"/>
      <c r="P181" s="252"/>
      <c r="Q181" s="252"/>
      <c r="R181" s="252"/>
    </row>
    <row r="182" outlineLevel="1">
      <c r="A182" s="344" t="s">
        <v>288</v>
      </c>
      <c r="B182" s="295">
        <f t="shared" si="119"/>
        <v>-2936.307725</v>
      </c>
      <c r="C182" s="252">
        <f t="shared" si="120"/>
        <v>-2936.307725</v>
      </c>
      <c r="D182" s="252">
        <f t="shared" ref="D182:H182" si="122">sum(D157:D159,D174:D176)</f>
        <v>-127.3182002</v>
      </c>
      <c r="E182" s="252">
        <f t="shared" si="122"/>
        <v>-1804.998816</v>
      </c>
      <c r="F182" s="252">
        <f t="shared" si="122"/>
        <v>-527.6208087</v>
      </c>
      <c r="G182" s="252">
        <f t="shared" si="122"/>
        <v>-163.5983639</v>
      </c>
      <c r="H182" s="252">
        <f t="shared" si="122"/>
        <v>-312.771536</v>
      </c>
      <c r="I182" s="252"/>
      <c r="J182" s="252"/>
      <c r="K182" s="252"/>
      <c r="L182" s="252"/>
      <c r="M182" s="252"/>
      <c r="N182" s="252"/>
      <c r="O182" s="252"/>
      <c r="P182" s="252"/>
      <c r="Q182" s="252"/>
      <c r="R182" s="252"/>
    </row>
    <row r="183" outlineLevel="1">
      <c r="A183" s="342"/>
      <c r="B183" s="618"/>
      <c r="C183" s="417"/>
      <c r="D183" s="417"/>
      <c r="E183" s="417"/>
      <c r="F183" s="417"/>
      <c r="G183" s="417"/>
      <c r="H183" s="417"/>
      <c r="I183" s="417"/>
      <c r="J183" s="417"/>
      <c r="K183" s="417"/>
      <c r="L183" s="417"/>
      <c r="M183" s="417"/>
      <c r="N183" s="417"/>
      <c r="O183" s="417"/>
      <c r="P183" s="417"/>
      <c r="Q183" s="417"/>
      <c r="R183" s="417"/>
    </row>
    <row r="184" outlineLevel="1">
      <c r="A184" s="523" t="s">
        <v>397</v>
      </c>
      <c r="B184" s="605"/>
      <c r="C184" s="441"/>
      <c r="D184" s="441"/>
      <c r="E184" s="441"/>
      <c r="F184" s="441"/>
      <c r="G184" s="441"/>
      <c r="H184" s="441"/>
      <c r="I184" s="441"/>
      <c r="J184" s="441"/>
      <c r="K184" s="441"/>
      <c r="L184" s="441"/>
      <c r="M184" s="441"/>
      <c r="N184" s="441"/>
      <c r="O184" s="441"/>
      <c r="P184" s="441"/>
      <c r="Q184" s="441"/>
      <c r="R184" s="441"/>
    </row>
    <row r="185" outlineLevel="1">
      <c r="A185" s="343" t="s">
        <v>285</v>
      </c>
      <c r="B185" s="295">
        <f t="shared" ref="B185:B187" si="124">index(A185:AAJ185,,match($A$3,$A$1:$AAJ$1,0))</f>
        <v>654.5667324</v>
      </c>
      <c r="C185" s="252">
        <f t="shared" ref="C185:C188" si="125">sum(D185:H185)</f>
        <v>654.5667324</v>
      </c>
      <c r="D185" s="252">
        <f t="shared" ref="D185:H185" si="123">sum(D$8:D$9)*D$87-D180</f>
        <v>226.2505055</v>
      </c>
      <c r="E185" s="252">
        <f t="shared" si="123"/>
        <v>181.1196768</v>
      </c>
      <c r="F185" s="252">
        <f t="shared" si="123"/>
        <v>132.9123983</v>
      </c>
      <c r="G185" s="252">
        <f t="shared" si="123"/>
        <v>57.76690019</v>
      </c>
      <c r="H185" s="252">
        <f t="shared" si="123"/>
        <v>56.5172517</v>
      </c>
      <c r="I185" s="252"/>
      <c r="J185" s="252"/>
      <c r="K185" s="252"/>
      <c r="L185" s="252"/>
      <c r="M185" s="252"/>
      <c r="N185" s="252"/>
      <c r="O185" s="252"/>
      <c r="P185" s="252"/>
      <c r="Q185" s="252"/>
      <c r="R185" s="252"/>
    </row>
    <row r="186" outlineLevel="1">
      <c r="A186" s="343" t="s">
        <v>420</v>
      </c>
      <c r="B186" s="295">
        <f t="shared" si="124"/>
        <v>7596.168944</v>
      </c>
      <c r="C186" s="252">
        <f t="shared" si="125"/>
        <v>7596.168944</v>
      </c>
      <c r="D186" s="252">
        <f t="shared" ref="D186:H186" si="126">sum(D$8:D$9)*D$87-D181</f>
        <v>553.9819919</v>
      </c>
      <c r="E186" s="252">
        <f t="shared" si="126"/>
        <v>4418.337242</v>
      </c>
      <c r="F186" s="252">
        <f t="shared" si="126"/>
        <v>1382.305841</v>
      </c>
      <c r="G186" s="252">
        <f t="shared" si="126"/>
        <v>447.40148</v>
      </c>
      <c r="H186" s="252">
        <f t="shared" si="126"/>
        <v>794.142389</v>
      </c>
      <c r="I186" s="252"/>
      <c r="J186" s="252"/>
      <c r="K186" s="252"/>
      <c r="L186" s="252"/>
      <c r="M186" s="252"/>
      <c r="N186" s="252"/>
      <c r="O186" s="252"/>
      <c r="P186" s="252"/>
      <c r="Q186" s="252"/>
      <c r="R186" s="252"/>
    </row>
    <row r="187" outlineLevel="1">
      <c r="A187" s="619" t="s">
        <v>288</v>
      </c>
      <c r="B187" s="295">
        <f t="shared" si="124"/>
        <v>7619.547463</v>
      </c>
      <c r="C187" s="252">
        <f t="shared" si="125"/>
        <v>7619.547463</v>
      </c>
      <c r="D187" s="252">
        <f t="shared" ref="D187:H187" si="127">sum(D$8:D$9)*D$87-D182</f>
        <v>556.1225637</v>
      </c>
      <c r="E187" s="252">
        <f t="shared" si="127"/>
        <v>4431.448358</v>
      </c>
      <c r="F187" s="252">
        <f t="shared" si="127"/>
        <v>1386.593795</v>
      </c>
      <c r="G187" s="252">
        <f t="shared" si="127"/>
        <v>448.8253199</v>
      </c>
      <c r="H187" s="252">
        <f t="shared" si="127"/>
        <v>796.5574261</v>
      </c>
      <c r="I187" s="252"/>
      <c r="J187" s="252"/>
      <c r="K187" s="252"/>
      <c r="L187" s="252"/>
      <c r="M187" s="252"/>
      <c r="N187" s="252"/>
      <c r="O187" s="252"/>
      <c r="P187" s="252"/>
      <c r="Q187" s="252"/>
      <c r="R187" s="252"/>
    </row>
    <row r="188" outlineLevel="1">
      <c r="A188" s="504" t="s">
        <v>72</v>
      </c>
      <c r="B188" s="620">
        <f t="array" ref="B188">index(A188:Y188,,match($A$3,$A$1:$Y$1,0))</f>
        <v>6226.551317</v>
      </c>
      <c r="C188" s="524">
        <f t="shared" si="125"/>
        <v>6226.551317</v>
      </c>
      <c r="D188" s="524">
        <f t="shared" ref="D188:H188" si="128">SUMPRODUCT(D185:D187,D120:D122)</f>
        <v>490.1481521</v>
      </c>
      <c r="E188" s="524">
        <f t="shared" si="128"/>
        <v>3581.382622</v>
      </c>
      <c r="F188" s="524">
        <f t="shared" si="128"/>
        <v>1135.857516</v>
      </c>
      <c r="G188" s="524">
        <f t="shared" si="128"/>
        <v>370.613636</v>
      </c>
      <c r="H188" s="524">
        <f t="shared" si="128"/>
        <v>648.5493912</v>
      </c>
      <c r="I188" s="252"/>
      <c r="J188" s="252"/>
      <c r="K188" s="252"/>
      <c r="L188" s="252"/>
      <c r="M188" s="252"/>
      <c r="N188" s="252"/>
      <c r="O188" s="252"/>
      <c r="P188" s="252"/>
      <c r="Q188" s="252"/>
      <c r="R188" s="252"/>
    </row>
    <row r="189">
      <c r="A189" s="407"/>
      <c r="B189" s="607"/>
      <c r="C189" s="299"/>
      <c r="D189" s="299"/>
      <c r="E189" s="299"/>
      <c r="F189" s="299"/>
      <c r="G189" s="299"/>
      <c r="H189" s="299"/>
      <c r="I189" s="299"/>
      <c r="J189" s="299"/>
      <c r="K189" s="299"/>
      <c r="L189" s="299"/>
      <c r="M189" s="299"/>
      <c r="N189" s="299"/>
      <c r="O189" s="299"/>
      <c r="P189" s="299"/>
      <c r="Q189" s="299"/>
      <c r="R189" s="299"/>
    </row>
    <row r="190">
      <c r="A190" s="568" t="s">
        <v>421</v>
      </c>
      <c r="B190" s="621"/>
      <c r="C190" s="568"/>
      <c r="D190" s="568"/>
      <c r="E190" s="568"/>
      <c r="F190" s="568"/>
      <c r="G190" s="568"/>
      <c r="H190" s="568"/>
      <c r="I190" s="568"/>
      <c r="J190" s="568"/>
      <c r="K190" s="568"/>
      <c r="L190" s="568"/>
      <c r="M190" s="568"/>
      <c r="N190" s="568"/>
      <c r="O190" s="568"/>
      <c r="P190" s="568"/>
      <c r="Q190" s="568"/>
      <c r="R190" s="568"/>
    </row>
    <row r="191">
      <c r="A191" s="540" t="s">
        <v>422</v>
      </c>
      <c r="B191" s="572">
        <f t="shared" ref="B191:B192" si="130">index(A191:AAJ191,,match($A$3,$A$1:$AAJ$1,0))</f>
        <v>6226.551317</v>
      </c>
      <c r="C191" s="573">
        <f t="shared" ref="C191:H191" si="129">C188</f>
        <v>6226.551317</v>
      </c>
      <c r="D191" s="573">
        <f t="shared" si="129"/>
        <v>490.1481521</v>
      </c>
      <c r="E191" s="573">
        <f t="shared" si="129"/>
        <v>3581.382622</v>
      </c>
      <c r="F191" s="573">
        <f t="shared" si="129"/>
        <v>1135.857516</v>
      </c>
      <c r="G191" s="573">
        <f t="shared" si="129"/>
        <v>370.613636</v>
      </c>
      <c r="H191" s="573">
        <f t="shared" si="129"/>
        <v>648.5493912</v>
      </c>
      <c r="I191" s="407"/>
      <c r="J191" s="407"/>
      <c r="K191" s="407"/>
      <c r="L191" s="407"/>
      <c r="M191" s="407"/>
      <c r="N191" s="407"/>
      <c r="O191" s="407"/>
      <c r="P191" s="407"/>
      <c r="Q191" s="407"/>
      <c r="R191" s="407"/>
    </row>
    <row r="192">
      <c r="A192" s="344" t="s">
        <v>290</v>
      </c>
      <c r="B192" s="622">
        <f t="shared" si="130"/>
        <v>0.03607642226</v>
      </c>
      <c r="C192" s="453">
        <f t="shared" ref="C192:H192" si="131">C191/sum(C103:C104)</f>
        <v>0.03607642226</v>
      </c>
      <c r="D192" s="453">
        <f t="shared" si="131"/>
        <v>0.007920929597</v>
      </c>
      <c r="E192" s="453">
        <f t="shared" si="131"/>
        <v>0.07911032283</v>
      </c>
      <c r="F192" s="453">
        <f t="shared" si="131"/>
        <v>0.03225252532</v>
      </c>
      <c r="G192" s="453">
        <f t="shared" si="131"/>
        <v>0.02395531761</v>
      </c>
      <c r="H192" s="453">
        <f t="shared" si="131"/>
        <v>0.04395802106</v>
      </c>
      <c r="I192" s="573"/>
      <c r="J192" s="573"/>
      <c r="K192" s="573"/>
      <c r="L192" s="573"/>
      <c r="M192" s="573"/>
      <c r="N192" s="573"/>
      <c r="O192" s="573"/>
      <c r="P192" s="573"/>
      <c r="Q192" s="573"/>
      <c r="R192" s="573"/>
    </row>
    <row r="193">
      <c r="A193" s="407"/>
      <c r="B193" s="587"/>
      <c r="C193" s="407"/>
      <c r="D193" s="407"/>
      <c r="E193" s="407"/>
      <c r="F193" s="407"/>
      <c r="G193" s="407"/>
      <c r="H193" s="407"/>
      <c r="I193" s="407"/>
      <c r="J193" s="407"/>
      <c r="K193" s="407"/>
      <c r="L193" s="407"/>
      <c r="M193" s="407"/>
      <c r="N193" s="407"/>
      <c r="O193" s="407"/>
      <c r="P193" s="407"/>
      <c r="Q193" s="407"/>
      <c r="R193" s="407"/>
    </row>
    <row r="194">
      <c r="A194" s="347" t="s">
        <v>291</v>
      </c>
      <c r="B194" s="623">
        <f t="shared" ref="B194:B195" si="132">index(A194:AAJ194,,match($A$3,$A$1:$AAJ$1,0))</f>
        <v>10.48781369</v>
      </c>
      <c r="C194" s="349">
        <f t="array" ref="C194">C192/index(GiveDirectly!$B:$B,match("Units of value generated per dollar spent",GiveDirectly!$A:$A,0))</f>
        <v>10.48781369</v>
      </c>
      <c r="D194" s="349">
        <f t="array" ref="D194">D192/index(GiveDirectly!$B:$B,match("Units of value generated per dollar spent",GiveDirectly!$A:$A,0))</f>
        <v>2.302701562</v>
      </c>
      <c r="E194" s="349">
        <f t="array" ref="E194">E192/index(GiveDirectly!$B:$B,match("Units of value generated per dollar spent",GiveDirectly!$A:$A,0))</f>
        <v>22.99824304</v>
      </c>
      <c r="F194" s="349">
        <f t="array" ref="F194">F192/index(GiveDirectly!$B:$B,match("Units of value generated per dollar spent",GiveDirectly!$A:$A,0))</f>
        <v>9.376164693</v>
      </c>
      <c r="G194" s="349">
        <f t="array" ref="G194">G192/index(GiveDirectly!$B:$B,match("Units of value generated per dollar spent",GiveDirectly!$A:$A,0))</f>
        <v>6.964074936</v>
      </c>
      <c r="H194" s="349">
        <f t="array" ref="H194">H192/index(GiveDirectly!$B:$B,match("Units of value generated per dollar spent",GiveDirectly!$A:$A,0))</f>
        <v>12.77908136</v>
      </c>
      <c r="I194" s="349"/>
      <c r="J194" s="349"/>
      <c r="K194" s="349"/>
      <c r="L194" s="349"/>
      <c r="M194" s="349"/>
      <c r="N194" s="349"/>
      <c r="O194" s="349"/>
      <c r="P194" s="349"/>
      <c r="Q194" s="349"/>
      <c r="R194" s="349"/>
    </row>
    <row r="195">
      <c r="A195" s="343" t="s">
        <v>400</v>
      </c>
      <c r="B195" s="624">
        <f t="shared" si="132"/>
        <v>0.3295393072</v>
      </c>
      <c r="C195" s="352">
        <f t="shared" ref="C195:H195" si="133">(C194-C89)/C89</f>
        <v>0.3295393072</v>
      </c>
      <c r="D195" s="352">
        <f t="shared" si="133"/>
        <v>0.1430577526</v>
      </c>
      <c r="E195" s="352">
        <f t="shared" si="133"/>
        <v>0.3635832573</v>
      </c>
      <c r="F195" s="352">
        <f t="shared" si="133"/>
        <v>0.3223436986</v>
      </c>
      <c r="G195" s="352">
        <f t="shared" si="133"/>
        <v>0.2993639914</v>
      </c>
      <c r="H195" s="352">
        <f t="shared" si="133"/>
        <v>0.3405711174</v>
      </c>
      <c r="I195" s="529"/>
      <c r="J195" s="529"/>
      <c r="K195" s="529"/>
      <c r="L195" s="529"/>
      <c r="M195" s="529"/>
      <c r="N195" s="529"/>
      <c r="O195" s="529"/>
      <c r="P195" s="529"/>
      <c r="Q195" s="529"/>
      <c r="R195" s="529"/>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6.57"/>
    <col customWidth="1" min="2" max="17" width="17.29"/>
  </cols>
  <sheetData>
    <row r="1">
      <c r="A1" s="533" t="s">
        <v>423</v>
      </c>
      <c r="B1" s="625" t="s">
        <v>87</v>
      </c>
      <c r="C1" s="425" t="s">
        <v>72</v>
      </c>
      <c r="D1" s="626" t="s">
        <v>402</v>
      </c>
      <c r="E1" s="627" t="s">
        <v>156</v>
      </c>
      <c r="F1" s="627" t="s">
        <v>424</v>
      </c>
      <c r="G1" s="627" t="s">
        <v>425</v>
      </c>
      <c r="H1" s="628" t="s">
        <v>426</v>
      </c>
      <c r="I1" s="628" t="s">
        <v>158</v>
      </c>
      <c r="J1" s="627" t="s">
        <v>427</v>
      </c>
      <c r="K1" s="628" t="s">
        <v>428</v>
      </c>
      <c r="L1" s="628" t="s">
        <v>429</v>
      </c>
      <c r="M1" s="628" t="s">
        <v>430</v>
      </c>
      <c r="N1" s="628" t="s">
        <v>431</v>
      </c>
      <c r="O1" s="628" t="s">
        <v>432</v>
      </c>
      <c r="P1" s="424" t="s">
        <v>433</v>
      </c>
      <c r="Q1" s="424" t="s">
        <v>434</v>
      </c>
    </row>
    <row r="2">
      <c r="A2" s="141" t="s">
        <v>159</v>
      </c>
      <c r="B2" s="70"/>
      <c r="C2" s="121"/>
      <c r="D2" s="70"/>
      <c r="E2" s="70"/>
      <c r="F2" s="70"/>
      <c r="G2" s="70"/>
      <c r="H2" s="70"/>
      <c r="I2" s="70"/>
      <c r="J2" s="70"/>
      <c r="K2" s="70"/>
      <c r="L2" s="70"/>
      <c r="M2" s="70"/>
      <c r="N2" s="70"/>
      <c r="O2" s="70"/>
      <c r="P2" s="121"/>
      <c r="Q2" s="121"/>
    </row>
    <row r="3">
      <c r="A3" s="537" t="str">
        <f>Results!C11</f>
        <v>Overall</v>
      </c>
      <c r="B3" s="407"/>
      <c r="C3" s="121"/>
      <c r="D3" s="407"/>
      <c r="E3" s="407"/>
      <c r="F3" s="407"/>
      <c r="G3" s="407"/>
      <c r="H3" s="407"/>
      <c r="I3" s="407"/>
      <c r="J3" s="407"/>
      <c r="K3" s="407"/>
      <c r="L3" s="407"/>
      <c r="M3" s="407"/>
      <c r="N3" s="407"/>
      <c r="O3" s="407"/>
      <c r="P3" s="121"/>
      <c r="Q3" s="121"/>
    </row>
    <row r="4">
      <c r="A4" s="407"/>
      <c r="B4" s="587"/>
      <c r="C4" s="121"/>
      <c r="D4" s="407"/>
      <c r="E4" s="407"/>
      <c r="F4" s="407"/>
      <c r="G4" s="407"/>
      <c r="H4" s="407"/>
      <c r="I4" s="407"/>
      <c r="J4" s="407"/>
      <c r="K4" s="407"/>
      <c r="L4" s="407"/>
      <c r="M4" s="407"/>
      <c r="N4" s="407"/>
      <c r="O4" s="407"/>
      <c r="P4" s="121"/>
      <c r="Q4" s="121"/>
    </row>
    <row r="5">
      <c r="A5" s="429" t="s">
        <v>160</v>
      </c>
      <c r="B5" s="243"/>
      <c r="C5" s="243"/>
      <c r="D5" s="243"/>
      <c r="E5" s="243"/>
      <c r="F5" s="243"/>
      <c r="G5" s="243"/>
      <c r="H5" s="243"/>
      <c r="I5" s="243"/>
      <c r="J5" s="243"/>
      <c r="K5" s="243"/>
      <c r="L5" s="243"/>
      <c r="M5" s="243"/>
      <c r="N5" s="243"/>
      <c r="O5" s="243"/>
      <c r="P5" s="243"/>
      <c r="Q5" s="243"/>
    </row>
    <row r="6">
      <c r="A6" s="121"/>
      <c r="B6" s="121"/>
      <c r="C6" s="121"/>
      <c r="D6" s="121"/>
      <c r="E6" s="121"/>
      <c r="F6" s="121"/>
      <c r="G6" s="121"/>
      <c r="H6" s="121"/>
      <c r="I6" s="121"/>
      <c r="J6" s="121"/>
      <c r="K6" s="121"/>
      <c r="L6" s="121"/>
      <c r="M6" s="121"/>
      <c r="N6" s="121"/>
      <c r="O6" s="121"/>
      <c r="P6" s="121"/>
      <c r="Q6" s="121"/>
    </row>
    <row r="7">
      <c r="A7" s="96" t="s">
        <v>161</v>
      </c>
      <c r="B7" s="266">
        <f t="shared" ref="B7:B11" si="1">index(A7:J7,,match($A$3,$A$1:$J$1,0))</f>
        <v>1</v>
      </c>
      <c r="C7" s="152">
        <f>sum(D7:Q7)</f>
        <v>1</v>
      </c>
      <c r="D7" s="155">
        <v>0.23409825696508607</v>
      </c>
      <c r="E7" s="155">
        <v>0.07303208945298828</v>
      </c>
      <c r="F7" s="155">
        <v>0.13149467977638563</v>
      </c>
      <c r="G7" s="155">
        <v>0.16606920795064423</v>
      </c>
      <c r="H7" s="155">
        <v>0.05870864954619751</v>
      </c>
      <c r="I7" s="155">
        <v>0.12965205028429716</v>
      </c>
      <c r="J7" s="155">
        <v>0.012521108966872547</v>
      </c>
      <c r="K7" s="155">
        <v>0.03763503353150892</v>
      </c>
      <c r="L7" s="155">
        <v>0.003980788039638417</v>
      </c>
      <c r="M7" s="155">
        <v>0.01496665991413345</v>
      </c>
      <c r="N7" s="155">
        <v>0.0951845719786576</v>
      </c>
      <c r="O7" s="155">
        <v>0.013281741004873884</v>
      </c>
      <c r="P7" s="155">
        <v>0.007996010903883431</v>
      </c>
      <c r="Q7" s="155">
        <v>0.02137915168483294</v>
      </c>
    </row>
    <row r="8">
      <c r="A8" s="154" t="s">
        <v>435</v>
      </c>
      <c r="B8" s="266">
        <f t="shared" si="1"/>
        <v>0.3881312022</v>
      </c>
      <c r="C8" s="152">
        <f>C15/C16</f>
        <v>0.3881312022</v>
      </c>
      <c r="D8" s="153">
        <v>0.38813120216978847</v>
      </c>
      <c r="E8" s="153">
        <v>0.38813120216978847</v>
      </c>
      <c r="F8" s="153">
        <v>0.38813120216978847</v>
      </c>
      <c r="G8" s="153">
        <v>0.38813120216978847</v>
      </c>
      <c r="H8" s="153">
        <v>0.38813120216978847</v>
      </c>
      <c r="I8" s="153">
        <v>0.38813120216978847</v>
      </c>
      <c r="J8" s="153">
        <v>0.38813120216978847</v>
      </c>
      <c r="K8" s="153">
        <v>0.38813120216978847</v>
      </c>
      <c r="L8" s="153">
        <v>0.38813120216978847</v>
      </c>
      <c r="M8" s="153">
        <v>0.38813120216978847</v>
      </c>
      <c r="N8" s="153">
        <v>0.38813120216978847</v>
      </c>
      <c r="O8" s="153">
        <v>0.38813120216978847</v>
      </c>
      <c r="P8" s="152">
        <v>0.38813120216978847</v>
      </c>
      <c r="Q8" s="152">
        <v>0.38813120216978847</v>
      </c>
    </row>
    <row r="9">
      <c r="A9" s="154" t="s">
        <v>354</v>
      </c>
      <c r="B9" s="266">
        <f t="shared" si="1"/>
        <v>0</v>
      </c>
      <c r="C9" s="152">
        <f t="shared" ref="C9:C11" si="2">sumproduct(D9:J9,$D$16:$J$16)/sum($D$16:$J$16)</f>
        <v>0</v>
      </c>
      <c r="D9" s="412">
        <v>0.0</v>
      </c>
      <c r="E9" s="412">
        <v>0.0</v>
      </c>
      <c r="F9" s="412">
        <v>0.0</v>
      </c>
      <c r="G9" s="412">
        <v>0.0</v>
      </c>
      <c r="H9" s="412">
        <v>0.0</v>
      </c>
      <c r="I9" s="412">
        <v>0.0</v>
      </c>
      <c r="J9" s="412">
        <v>0.0</v>
      </c>
      <c r="K9" s="412">
        <v>0.0</v>
      </c>
      <c r="L9" s="412">
        <v>0.0</v>
      </c>
      <c r="M9" s="412">
        <v>0.0</v>
      </c>
      <c r="N9" s="412">
        <v>0.0</v>
      </c>
      <c r="O9" s="412">
        <v>0.0</v>
      </c>
      <c r="P9" s="152">
        <v>0.0</v>
      </c>
      <c r="Q9" s="152">
        <v>0.0</v>
      </c>
    </row>
    <row r="10">
      <c r="A10" s="154" t="s">
        <v>355</v>
      </c>
      <c r="B10" s="266">
        <f t="shared" si="1"/>
        <v>0.3</v>
      </c>
      <c r="C10" s="152">
        <f t="shared" si="2"/>
        <v>0.3</v>
      </c>
      <c r="D10" s="178">
        <v>0.3</v>
      </c>
      <c r="E10" s="178">
        <v>0.3</v>
      </c>
      <c r="F10" s="178">
        <v>0.3</v>
      </c>
      <c r="G10" s="178">
        <v>0.3</v>
      </c>
      <c r="H10" s="178">
        <v>0.3</v>
      </c>
      <c r="I10" s="178">
        <v>0.3</v>
      </c>
      <c r="J10" s="178">
        <v>0.3</v>
      </c>
      <c r="K10" s="178">
        <v>0.3</v>
      </c>
      <c r="L10" s="178">
        <v>0.3</v>
      </c>
      <c r="M10" s="178">
        <v>0.3</v>
      </c>
      <c r="N10" s="178">
        <v>0.3</v>
      </c>
      <c r="O10" s="178">
        <v>0.3</v>
      </c>
      <c r="P10" s="177">
        <v>0.3</v>
      </c>
      <c r="Q10" s="177">
        <v>0.3</v>
      </c>
    </row>
    <row r="11">
      <c r="A11" s="154" t="s">
        <v>356</v>
      </c>
      <c r="B11" s="266">
        <f t="shared" si="1"/>
        <v>0.3118687978</v>
      </c>
      <c r="C11" s="152">
        <f t="shared" si="2"/>
        <v>0.3118687978</v>
      </c>
      <c r="D11" s="178">
        <v>0.311868797830212</v>
      </c>
      <c r="E11" s="178">
        <v>0.311868797830212</v>
      </c>
      <c r="F11" s="178">
        <v>0.311868797830212</v>
      </c>
      <c r="G11" s="178">
        <v>0.311868797830212</v>
      </c>
      <c r="H11" s="178">
        <v>0.311868797830212</v>
      </c>
      <c r="I11" s="178">
        <v>0.311868797830212</v>
      </c>
      <c r="J11" s="178">
        <v>0.311868797830212</v>
      </c>
      <c r="K11" s="178">
        <v>0.311868797830212</v>
      </c>
      <c r="L11" s="178">
        <v>0.311868797830212</v>
      </c>
      <c r="M11" s="178">
        <v>0.311868797830212</v>
      </c>
      <c r="N11" s="178">
        <v>0.311868797830212</v>
      </c>
      <c r="O11" s="178">
        <v>0.311868797830212</v>
      </c>
      <c r="P11" s="177">
        <v>0.311868797830212</v>
      </c>
      <c r="Q11" s="177">
        <v>0.311868797830212</v>
      </c>
    </row>
    <row r="12">
      <c r="A12" s="154"/>
      <c r="B12" s="266"/>
      <c r="C12" s="152"/>
      <c r="D12" s="178"/>
      <c r="E12" s="178"/>
      <c r="F12" s="178"/>
      <c r="G12" s="178"/>
      <c r="H12" s="178"/>
      <c r="I12" s="178"/>
      <c r="J12" s="178"/>
      <c r="K12" s="178"/>
      <c r="L12" s="178"/>
      <c r="M12" s="178"/>
      <c r="N12" s="178"/>
      <c r="O12" s="178"/>
      <c r="P12" s="177"/>
      <c r="Q12" s="177"/>
    </row>
    <row r="13">
      <c r="A13" s="145" t="s">
        <v>436</v>
      </c>
      <c r="B13" s="264"/>
      <c r="C13" s="264"/>
      <c r="D13" s="243"/>
      <c r="E13" s="243"/>
      <c r="F13" s="243"/>
      <c r="G13" s="243"/>
      <c r="H13" s="243"/>
      <c r="I13" s="243"/>
      <c r="J13" s="243"/>
      <c r="K13" s="243"/>
      <c r="L13" s="243"/>
      <c r="M13" s="243"/>
      <c r="N13" s="243"/>
      <c r="O13" s="243"/>
      <c r="P13" s="243"/>
      <c r="Q13" s="243"/>
    </row>
    <row r="14">
      <c r="A14" s="121"/>
      <c r="B14" s="121"/>
      <c r="C14" s="121"/>
      <c r="D14" s="121"/>
      <c r="E14" s="121"/>
      <c r="F14" s="121"/>
      <c r="G14" s="121"/>
      <c r="H14" s="121"/>
      <c r="I14" s="121"/>
      <c r="J14" s="121"/>
      <c r="K14" s="121"/>
      <c r="L14" s="121"/>
      <c r="M14" s="121"/>
      <c r="N14" s="121"/>
      <c r="O14" s="121"/>
      <c r="P14" s="121"/>
      <c r="Q14" s="121"/>
    </row>
    <row r="15">
      <c r="A15" s="154" t="s">
        <v>437</v>
      </c>
      <c r="B15" s="612">
        <f t="shared" ref="B15:B25" si="4">index(A15:J15,,match($A$3,$A$1:$J$1,0))</f>
        <v>100000</v>
      </c>
      <c r="C15" s="460">
        <v>100000.0</v>
      </c>
      <c r="D15" s="302">
        <f t="shared" ref="D15:Q15" si="3">$C$15*D7</f>
        <v>23409.8257</v>
      </c>
      <c r="E15" s="302">
        <f t="shared" si="3"/>
        <v>7303.208945</v>
      </c>
      <c r="F15" s="302">
        <f t="shared" si="3"/>
        <v>13149.46798</v>
      </c>
      <c r="G15" s="302">
        <f t="shared" si="3"/>
        <v>16606.9208</v>
      </c>
      <c r="H15" s="302">
        <f t="shared" si="3"/>
        <v>5870.864955</v>
      </c>
      <c r="I15" s="302">
        <f t="shared" si="3"/>
        <v>12965.20503</v>
      </c>
      <c r="J15" s="302">
        <f t="shared" si="3"/>
        <v>1252.110897</v>
      </c>
      <c r="K15" s="302">
        <f t="shared" si="3"/>
        <v>3763.503353</v>
      </c>
      <c r="L15" s="302">
        <f t="shared" si="3"/>
        <v>398.078804</v>
      </c>
      <c r="M15" s="302">
        <f t="shared" si="3"/>
        <v>1496.665991</v>
      </c>
      <c r="N15" s="302">
        <f t="shared" si="3"/>
        <v>9518.457198</v>
      </c>
      <c r="O15" s="302">
        <f t="shared" si="3"/>
        <v>1328.1741</v>
      </c>
      <c r="P15" s="302">
        <f t="shared" si="3"/>
        <v>799.6010904</v>
      </c>
      <c r="Q15" s="302">
        <f t="shared" si="3"/>
        <v>2137.915168</v>
      </c>
    </row>
    <row r="16">
      <c r="A16" s="154" t="s">
        <v>438</v>
      </c>
      <c r="B16" s="612">
        <f t="shared" si="4"/>
        <v>257644.8362</v>
      </c>
      <c r="C16" s="460">
        <f>sum(D16:Q16)</f>
        <v>257644.8362</v>
      </c>
      <c r="D16" s="302">
        <f t="shared" ref="D16:Q16" si="5">D15/D8</f>
        <v>60314.20707</v>
      </c>
      <c r="E16" s="302">
        <f t="shared" si="5"/>
        <v>18816.34072</v>
      </c>
      <c r="F16" s="302">
        <f t="shared" si="5"/>
        <v>33878.92523</v>
      </c>
      <c r="G16" s="302">
        <f t="shared" si="5"/>
        <v>42786.87388</v>
      </c>
      <c r="H16" s="302">
        <f t="shared" si="5"/>
        <v>15125.98039</v>
      </c>
      <c r="I16" s="302">
        <f t="shared" si="5"/>
        <v>33404.18126</v>
      </c>
      <c r="J16" s="302">
        <f t="shared" si="5"/>
        <v>3225.999069</v>
      </c>
      <c r="K16" s="302">
        <f t="shared" si="5"/>
        <v>9696.472049</v>
      </c>
      <c r="L16" s="302">
        <f t="shared" si="5"/>
        <v>1025.629482</v>
      </c>
      <c r="M16" s="302">
        <f t="shared" si="5"/>
        <v>3856.082642</v>
      </c>
      <c r="N16" s="302">
        <f t="shared" si="5"/>
        <v>24523.81345</v>
      </c>
      <c r="O16" s="302">
        <f t="shared" si="5"/>
        <v>3421.971985</v>
      </c>
      <c r="P16" s="302">
        <f t="shared" si="5"/>
        <v>2060.130919</v>
      </c>
      <c r="Q16" s="302">
        <f t="shared" si="5"/>
        <v>5508.228034</v>
      </c>
    </row>
    <row r="17">
      <c r="A17" s="390" t="s">
        <v>439</v>
      </c>
      <c r="B17" s="549">
        <f t="shared" si="4"/>
        <v>0.7862707986</v>
      </c>
      <c r="C17" s="177">
        <f>sumproduct(D17:Q17,D25:Q25)</f>
        <v>0.7862707986</v>
      </c>
      <c r="D17" s="629">
        <v>0.7284988186706637</v>
      </c>
      <c r="E17" s="629">
        <v>0.9373111283519001</v>
      </c>
      <c r="F17" s="155">
        <v>1.0</v>
      </c>
      <c r="G17" s="629">
        <v>0.9081686885489371</v>
      </c>
      <c r="H17" s="155">
        <v>1.0</v>
      </c>
      <c r="I17" s="629">
        <v>0.457944666652458</v>
      </c>
      <c r="J17" s="629">
        <v>0.7058896863871426</v>
      </c>
      <c r="K17" s="156">
        <v>1.0</v>
      </c>
      <c r="L17" s="629">
        <v>0.25308255136382374</v>
      </c>
      <c r="M17" s="629">
        <v>0.25308255136382374</v>
      </c>
      <c r="N17" s="629">
        <v>0.7203359148473175</v>
      </c>
      <c r="O17" s="629">
        <v>0.38242938655957437</v>
      </c>
      <c r="P17" s="155">
        <v>1.0</v>
      </c>
      <c r="Q17" s="155">
        <v>0.6535351615065245</v>
      </c>
    </row>
    <row r="18">
      <c r="A18" s="179" t="s">
        <v>440</v>
      </c>
      <c r="B18" s="289">
        <f t="shared" si="4"/>
        <v>0.07209054889</v>
      </c>
      <c r="C18" s="466">
        <f>sumproduct(D18:Q18,D25:Q25)</f>
        <v>0.07209054889</v>
      </c>
      <c r="D18" s="467">
        <v>0.03967802390722167</v>
      </c>
      <c r="E18" s="467">
        <v>0.17771969178933697</v>
      </c>
      <c r="F18" s="467">
        <v>0.1784563729927242</v>
      </c>
      <c r="G18" s="467">
        <v>0.04854878628003112</v>
      </c>
      <c r="H18" s="467">
        <v>0.06447687707370696</v>
      </c>
      <c r="I18" s="467">
        <v>0.009041740638289088</v>
      </c>
      <c r="J18" s="467">
        <v>0.11504090642698822</v>
      </c>
      <c r="K18" s="467">
        <v>0.08810811554711451</v>
      </c>
      <c r="L18" s="467">
        <v>0.022682510814243294</v>
      </c>
      <c r="M18" s="467">
        <v>0.00420046496560061</v>
      </c>
      <c r="N18" s="467">
        <v>0.05121998024357825</v>
      </c>
      <c r="O18" s="467">
        <v>0.042887769455317235</v>
      </c>
      <c r="P18" s="467">
        <v>0.1784563729927242</v>
      </c>
      <c r="Q18" s="467">
        <v>0.07274056035239804</v>
      </c>
    </row>
    <row r="19">
      <c r="A19" s="176" t="s">
        <v>412</v>
      </c>
      <c r="B19" s="196">
        <f t="shared" si="4"/>
        <v>0.2291896943</v>
      </c>
      <c r="C19" s="196">
        <f>'Deworm the World'!C25</f>
        <v>0.2291896943</v>
      </c>
      <c r="D19" s="196">
        <f t="shared" ref="D19:Q19" si="6">$C$19</f>
        <v>0.2291896943</v>
      </c>
      <c r="E19" s="196">
        <f t="shared" si="6"/>
        <v>0.2291896943</v>
      </c>
      <c r="F19" s="196">
        <f t="shared" si="6"/>
        <v>0.2291896943</v>
      </c>
      <c r="G19" s="196">
        <f t="shared" si="6"/>
        <v>0.2291896943</v>
      </c>
      <c r="H19" s="196">
        <f t="shared" si="6"/>
        <v>0.2291896943</v>
      </c>
      <c r="I19" s="196">
        <f t="shared" si="6"/>
        <v>0.2291896943</v>
      </c>
      <c r="J19" s="196">
        <f t="shared" si="6"/>
        <v>0.2291896943</v>
      </c>
      <c r="K19" s="196">
        <f t="shared" si="6"/>
        <v>0.2291896943</v>
      </c>
      <c r="L19" s="196">
        <f t="shared" si="6"/>
        <v>0.2291896943</v>
      </c>
      <c r="M19" s="196">
        <f t="shared" si="6"/>
        <v>0.2291896943</v>
      </c>
      <c r="N19" s="196">
        <f t="shared" si="6"/>
        <v>0.2291896943</v>
      </c>
      <c r="O19" s="196">
        <f t="shared" si="6"/>
        <v>0.2291896943</v>
      </c>
      <c r="P19" s="196">
        <f t="shared" si="6"/>
        <v>0.2291896943</v>
      </c>
      <c r="Q19" s="196">
        <f t="shared" si="6"/>
        <v>0.2291896943</v>
      </c>
    </row>
    <row r="20">
      <c r="A20" s="553" t="s">
        <v>441</v>
      </c>
      <c r="B20" s="554">
        <f t="shared" si="4"/>
        <v>0.01299108918</v>
      </c>
      <c r="C20" s="630">
        <f t="shared" ref="C20:Q20" si="7">C19*C17*C18</f>
        <v>0.01299108918</v>
      </c>
      <c r="D20" s="555">
        <f t="shared" si="7"/>
        <v>0.006624818309</v>
      </c>
      <c r="E20" s="555">
        <f t="shared" si="7"/>
        <v>0.03817810868</v>
      </c>
      <c r="F20" s="555">
        <f t="shared" si="7"/>
        <v>0.04090036157</v>
      </c>
      <c r="G20" s="555">
        <f t="shared" si="7"/>
        <v>0.01010508537</v>
      </c>
      <c r="H20" s="555">
        <f t="shared" si="7"/>
        <v>0.01477743574</v>
      </c>
      <c r="I20" s="555">
        <f t="shared" si="7"/>
        <v>0.000948986722</v>
      </c>
      <c r="J20" s="555">
        <f t="shared" si="7"/>
        <v>0.01861162171</v>
      </c>
      <c r="K20" s="555">
        <f t="shared" si="7"/>
        <v>0.02019347206</v>
      </c>
      <c r="L20" s="555">
        <f t="shared" si="7"/>
        <v>0.001315674374</v>
      </c>
      <c r="M20" s="555">
        <f t="shared" si="7"/>
        <v>0.0002436434026</v>
      </c>
      <c r="N20" s="555">
        <f t="shared" si="7"/>
        <v>0.008456089296</v>
      </c>
      <c r="O20" s="555">
        <f t="shared" si="7"/>
        <v>0.003759064709</v>
      </c>
      <c r="P20" s="630">
        <f t="shared" si="7"/>
        <v>0.04090036157</v>
      </c>
      <c r="Q20" s="630">
        <f t="shared" si="7"/>
        <v>0.01089533746</v>
      </c>
    </row>
    <row r="21">
      <c r="A21" s="556" t="s">
        <v>121</v>
      </c>
      <c r="B21" s="557">
        <f t="shared" si="4"/>
        <v>1.442695041</v>
      </c>
      <c r="C21" s="196">
        <f t="array" ref="C21">index('Moral weights and discount rate'!$A$1:$ZU$35,match($A21,'Moral weights and discount rate'!$A$1:$A$35,0),match('Deworm the World'!B$1,'Moral weights and discount rate'!$A$1:$ZU$1,0))</f>
        <v>1.442695041</v>
      </c>
      <c r="D21" s="196">
        <f t="shared" ref="D21:Q21" si="8">$C$21</f>
        <v>1.442695041</v>
      </c>
      <c r="E21" s="196">
        <f t="shared" si="8"/>
        <v>1.442695041</v>
      </c>
      <c r="F21" s="196">
        <f t="shared" si="8"/>
        <v>1.442695041</v>
      </c>
      <c r="G21" s="196">
        <f t="shared" si="8"/>
        <v>1.442695041</v>
      </c>
      <c r="H21" s="196">
        <f t="shared" si="8"/>
        <v>1.442695041</v>
      </c>
      <c r="I21" s="196">
        <f t="shared" si="8"/>
        <v>1.442695041</v>
      </c>
      <c r="J21" s="196">
        <f t="shared" si="8"/>
        <v>1.442695041</v>
      </c>
      <c r="K21" s="196">
        <f t="shared" si="8"/>
        <v>1.442695041</v>
      </c>
      <c r="L21" s="196">
        <f t="shared" si="8"/>
        <v>1.442695041</v>
      </c>
      <c r="M21" s="196">
        <f t="shared" si="8"/>
        <v>1.442695041</v>
      </c>
      <c r="N21" s="196">
        <f t="shared" si="8"/>
        <v>1.442695041</v>
      </c>
      <c r="O21" s="196">
        <f t="shared" si="8"/>
        <v>1.442695041</v>
      </c>
      <c r="P21" s="196">
        <f t="shared" si="8"/>
        <v>1.442695041</v>
      </c>
      <c r="Q21" s="196">
        <f t="shared" si="8"/>
        <v>1.442695041</v>
      </c>
    </row>
    <row r="22">
      <c r="A22" s="558" t="s">
        <v>442</v>
      </c>
      <c r="B22" s="559">
        <f t="shared" si="4"/>
        <v>0.01874217994</v>
      </c>
      <c r="C22" s="631">
        <f>(C20*$C$21)</f>
        <v>0.01874217994</v>
      </c>
      <c r="D22" s="560">
        <f t="shared" ref="D22:Q22" si="9">(D20*D21)</f>
        <v>0.009557592521</v>
      </c>
      <c r="E22" s="560">
        <f t="shared" si="9"/>
        <v>0.05507936807</v>
      </c>
      <c r="F22" s="560">
        <f t="shared" si="9"/>
        <v>0.0590067488</v>
      </c>
      <c r="G22" s="560">
        <f t="shared" si="9"/>
        <v>0.01457855654</v>
      </c>
      <c r="H22" s="560">
        <f t="shared" si="9"/>
        <v>0.02131933326</v>
      </c>
      <c r="I22" s="560">
        <f t="shared" si="9"/>
        <v>0.001369098438</v>
      </c>
      <c r="J22" s="560">
        <f t="shared" si="9"/>
        <v>0.02685089435</v>
      </c>
      <c r="K22" s="560">
        <f t="shared" si="9"/>
        <v>0.02913302201</v>
      </c>
      <c r="L22" s="560">
        <f t="shared" si="9"/>
        <v>0.001898116895</v>
      </c>
      <c r="M22" s="560">
        <f t="shared" si="9"/>
        <v>0.0003515031287</v>
      </c>
      <c r="N22" s="560">
        <f t="shared" si="9"/>
        <v>0.01219955809</v>
      </c>
      <c r="O22" s="560">
        <f t="shared" si="9"/>
        <v>0.005423184014</v>
      </c>
      <c r="P22" s="631">
        <f t="shared" si="9"/>
        <v>0.0590067488</v>
      </c>
      <c r="Q22" s="631">
        <f t="shared" si="9"/>
        <v>0.01571864932</v>
      </c>
    </row>
    <row r="23">
      <c r="A23" s="632" t="s">
        <v>443</v>
      </c>
      <c r="B23" s="633">
        <f t="shared" si="4"/>
        <v>1.028966226</v>
      </c>
      <c r="C23" s="634">
        <v>1.02896622632932</v>
      </c>
      <c r="D23" s="635">
        <f t="shared" ref="D23:Q23" si="10">$C$23</f>
        <v>1.028966226</v>
      </c>
      <c r="E23" s="635">
        <f t="shared" si="10"/>
        <v>1.028966226</v>
      </c>
      <c r="F23" s="635">
        <f t="shared" si="10"/>
        <v>1.028966226</v>
      </c>
      <c r="G23" s="635">
        <f t="shared" si="10"/>
        <v>1.028966226</v>
      </c>
      <c r="H23" s="635">
        <f t="shared" si="10"/>
        <v>1.028966226</v>
      </c>
      <c r="I23" s="635">
        <f t="shared" si="10"/>
        <v>1.028966226</v>
      </c>
      <c r="J23" s="635">
        <f t="shared" si="10"/>
        <v>1.028966226</v>
      </c>
      <c r="K23" s="635">
        <f t="shared" si="10"/>
        <v>1.028966226</v>
      </c>
      <c r="L23" s="635">
        <f t="shared" si="10"/>
        <v>1.028966226</v>
      </c>
      <c r="M23" s="635">
        <f t="shared" si="10"/>
        <v>1.028966226</v>
      </c>
      <c r="N23" s="635">
        <f t="shared" si="10"/>
        <v>1.028966226</v>
      </c>
      <c r="O23" s="635">
        <f t="shared" si="10"/>
        <v>1.028966226</v>
      </c>
      <c r="P23" s="635">
        <f t="shared" si="10"/>
        <v>1.028966226</v>
      </c>
      <c r="Q23" s="635">
        <f t="shared" si="10"/>
        <v>1.028966226</v>
      </c>
    </row>
    <row r="24">
      <c r="A24" s="154" t="s">
        <v>444</v>
      </c>
      <c r="B24" s="295">
        <f t="shared" si="4"/>
        <v>250391.927</v>
      </c>
      <c r="C24" s="272">
        <f t="shared" ref="C24:C25" si="12">sum(D24:Q24)</f>
        <v>250391.927</v>
      </c>
      <c r="D24" s="272">
        <f t="shared" ref="D24:Q24" si="11">D16/D23</f>
        <v>58616.31366</v>
      </c>
      <c r="E24" s="272">
        <f t="shared" si="11"/>
        <v>18286.64561</v>
      </c>
      <c r="F24" s="272">
        <f t="shared" si="11"/>
        <v>32925.20625</v>
      </c>
      <c r="G24" s="272">
        <f t="shared" si="11"/>
        <v>41582.38899</v>
      </c>
      <c r="H24" s="272">
        <f t="shared" si="11"/>
        <v>14700.17189</v>
      </c>
      <c r="I24" s="272">
        <f t="shared" si="11"/>
        <v>32463.8267</v>
      </c>
      <c r="J24" s="272">
        <f t="shared" si="11"/>
        <v>3135.184602</v>
      </c>
      <c r="K24" s="272">
        <f t="shared" si="11"/>
        <v>9423.508567</v>
      </c>
      <c r="L24" s="272">
        <f t="shared" si="11"/>
        <v>996.757188</v>
      </c>
      <c r="M24" s="272">
        <f t="shared" si="11"/>
        <v>3747.530816</v>
      </c>
      <c r="N24" s="272">
        <f t="shared" si="11"/>
        <v>23833.44839</v>
      </c>
      <c r="O24" s="272">
        <f t="shared" si="11"/>
        <v>3325.640724</v>
      </c>
      <c r="P24" s="272">
        <f t="shared" si="11"/>
        <v>2002.136578</v>
      </c>
      <c r="Q24" s="272">
        <f t="shared" si="11"/>
        <v>5353.166987</v>
      </c>
    </row>
    <row r="25">
      <c r="A25" s="632" t="s">
        <v>365</v>
      </c>
      <c r="B25" s="266">
        <f t="shared" si="4"/>
        <v>1</v>
      </c>
      <c r="C25" s="152">
        <f t="shared" si="12"/>
        <v>1</v>
      </c>
      <c r="D25" s="177">
        <f t="shared" ref="D25:Q25" si="13">D24/$C$24</f>
        <v>0.234098257</v>
      </c>
      <c r="E25" s="177">
        <f t="shared" si="13"/>
        <v>0.07303208945</v>
      </c>
      <c r="F25" s="177">
        <f t="shared" si="13"/>
        <v>0.1314946798</v>
      </c>
      <c r="G25" s="177">
        <f t="shared" si="13"/>
        <v>0.166069208</v>
      </c>
      <c r="H25" s="177">
        <f t="shared" si="13"/>
        <v>0.05870864955</v>
      </c>
      <c r="I25" s="177">
        <f t="shared" si="13"/>
        <v>0.1296520503</v>
      </c>
      <c r="J25" s="177">
        <f t="shared" si="13"/>
        <v>0.01252110897</v>
      </c>
      <c r="K25" s="177">
        <f t="shared" si="13"/>
        <v>0.03763503353</v>
      </c>
      <c r="L25" s="177">
        <f t="shared" si="13"/>
        <v>0.00398078804</v>
      </c>
      <c r="M25" s="177">
        <f t="shared" si="13"/>
        <v>0.01496665991</v>
      </c>
      <c r="N25" s="177">
        <f t="shared" si="13"/>
        <v>0.09518457198</v>
      </c>
      <c r="O25" s="177">
        <f t="shared" si="13"/>
        <v>0.013281741</v>
      </c>
      <c r="P25" s="177">
        <f t="shared" si="13"/>
        <v>0.007996010904</v>
      </c>
      <c r="Q25" s="177">
        <f t="shared" si="13"/>
        <v>0.02137915168</v>
      </c>
    </row>
    <row r="26">
      <c r="A26" s="636"/>
      <c r="B26" s="587"/>
      <c r="C26" s="121"/>
      <c r="D26" s="407"/>
      <c r="E26" s="407"/>
      <c r="F26" s="407"/>
      <c r="G26" s="407"/>
      <c r="H26" s="407"/>
      <c r="I26" s="407"/>
      <c r="J26" s="407"/>
      <c r="K26" s="407"/>
      <c r="L26" s="407"/>
      <c r="M26" s="407"/>
      <c r="N26" s="407"/>
      <c r="O26" s="407"/>
      <c r="P26" s="121"/>
      <c r="Q26" s="121"/>
    </row>
    <row r="27">
      <c r="A27" s="82"/>
      <c r="B27" s="587"/>
      <c r="C27" s="121"/>
      <c r="D27" s="407"/>
      <c r="E27" s="407"/>
      <c r="F27" s="407"/>
      <c r="G27" s="407"/>
      <c r="H27" s="407"/>
      <c r="I27" s="407"/>
      <c r="J27" s="407"/>
      <c r="K27" s="407"/>
      <c r="L27" s="407"/>
      <c r="M27" s="407"/>
      <c r="N27" s="407"/>
      <c r="O27" s="407"/>
      <c r="P27" s="121"/>
      <c r="Q27" s="121"/>
    </row>
    <row r="28">
      <c r="A28" s="637" t="s">
        <v>366</v>
      </c>
      <c r="B28" s="585"/>
      <c r="C28" s="243"/>
      <c r="D28" s="586"/>
      <c r="E28" s="586"/>
      <c r="F28" s="586"/>
      <c r="G28" s="586"/>
      <c r="H28" s="586"/>
      <c r="I28" s="586"/>
      <c r="J28" s="586"/>
      <c r="K28" s="586"/>
      <c r="L28" s="586"/>
      <c r="M28" s="586"/>
      <c r="N28" s="586"/>
      <c r="O28" s="586"/>
      <c r="P28" s="243"/>
      <c r="Q28" s="243"/>
    </row>
    <row r="29">
      <c r="A29" s="638"/>
      <c r="B29" s="587"/>
      <c r="C29" s="121"/>
      <c r="D29" s="407"/>
      <c r="E29" s="639"/>
      <c r="F29" s="407"/>
      <c r="G29" s="407"/>
      <c r="H29" s="407"/>
      <c r="I29" s="407"/>
      <c r="J29" s="407"/>
      <c r="K29" s="407"/>
      <c r="L29" s="407"/>
      <c r="M29" s="407"/>
      <c r="N29" s="407"/>
      <c r="O29" s="407"/>
      <c r="P29" s="121"/>
      <c r="Q29" s="121"/>
    </row>
    <row r="30">
      <c r="A30" s="82" t="s">
        <v>445</v>
      </c>
      <c r="B30" s="579">
        <f t="array" ref="B30">index(A30:J30,,match($A$3,$A$1:$J$1,0))</f>
        <v>0.00843459422</v>
      </c>
      <c r="C30" s="481">
        <f>product('Deworm the World'!C11:C12,C18)</f>
        <v>0.00843459422</v>
      </c>
      <c r="D30" s="481">
        <f>product('Deworm the World'!D11:D12,D18)</f>
        <v>0.004642328797</v>
      </c>
      <c r="E30" s="481">
        <f>product('Deworm the World'!E11:E12,E18)</f>
        <v>0.02079320394</v>
      </c>
      <c r="F30" s="481">
        <f>product('Deworm the World'!F11:F12,F18)</f>
        <v>0.02087939564</v>
      </c>
      <c r="G30" s="481">
        <f>product('Deworm the World'!G11:G12,G18)</f>
        <v>0.005680207995</v>
      </c>
      <c r="H30" s="481">
        <f>product('Deworm the World'!H11:H12,H18)</f>
        <v>0.007543794618</v>
      </c>
      <c r="I30" s="481">
        <f>product('Deworm the World'!I11:I12,I18)</f>
        <v>0.001057883655</v>
      </c>
      <c r="J30" s="481">
        <f>product('Deworm the World'!J11:J12,J18)</f>
        <v>0.1150409064</v>
      </c>
      <c r="K30" s="481">
        <f>product('Deworm the World'!K11:K12,K18)</f>
        <v>0.08810811555</v>
      </c>
      <c r="L30" s="481">
        <f>product('Deworm the World'!L11:L12,L18)</f>
        <v>0.02268251081</v>
      </c>
      <c r="M30" s="481">
        <f>product('Deworm the World'!M11:M12,M18)</f>
        <v>0.004200464966</v>
      </c>
      <c r="N30" s="481">
        <f>product('Deworm the World'!N11:N12,N18)</f>
        <v>0.05121998024</v>
      </c>
      <c r="O30" s="481">
        <f>product('Deworm the World'!O11:O12,O18)</f>
        <v>0.04288776946</v>
      </c>
      <c r="P30" s="481">
        <f>product('Deworm the World'!P11:P12,P18)</f>
        <v>0.178456373</v>
      </c>
      <c r="Q30" s="481">
        <f>product('Deworm the World'!Q11:Q12,Q18)</f>
        <v>0.07274056035</v>
      </c>
    </row>
    <row r="31">
      <c r="A31" s="82"/>
      <c r="B31" s="587"/>
      <c r="C31" s="121"/>
      <c r="D31" s="407"/>
      <c r="E31" s="540"/>
      <c r="F31" s="407"/>
      <c r="G31" s="407"/>
      <c r="H31" s="407"/>
      <c r="I31" s="407"/>
      <c r="J31" s="407"/>
      <c r="K31" s="407"/>
      <c r="L31" s="407"/>
      <c r="M31" s="407"/>
      <c r="N31" s="407"/>
      <c r="O31" s="407"/>
      <c r="P31" s="121"/>
      <c r="Q31" s="121"/>
    </row>
    <row r="32">
      <c r="A32" s="640" t="s">
        <v>249</v>
      </c>
      <c r="B32" s="585"/>
      <c r="C32" s="243"/>
      <c r="D32" s="586"/>
      <c r="E32" s="586"/>
      <c r="F32" s="586"/>
      <c r="G32" s="586"/>
      <c r="H32" s="586"/>
      <c r="I32" s="586"/>
      <c r="J32" s="586"/>
      <c r="K32" s="586"/>
      <c r="L32" s="586"/>
      <c r="M32" s="586"/>
      <c r="N32" s="586"/>
      <c r="O32" s="586"/>
      <c r="P32" s="243"/>
      <c r="Q32" s="243"/>
    </row>
    <row r="33">
      <c r="A33" s="82"/>
      <c r="B33" s="587"/>
      <c r="C33" s="121"/>
      <c r="D33" s="407"/>
      <c r="E33" s="540"/>
      <c r="F33" s="407"/>
      <c r="G33" s="407"/>
      <c r="H33" s="407"/>
      <c r="I33" s="407"/>
      <c r="J33" s="407"/>
      <c r="K33" s="407"/>
      <c r="L33" s="407"/>
      <c r="M33" s="407"/>
      <c r="N33" s="407"/>
      <c r="O33" s="407"/>
      <c r="P33" s="121"/>
      <c r="Q33" s="121"/>
    </row>
    <row r="34">
      <c r="A34" s="641" t="str">
        <f t="shared" ref="A34:A35" si="15">A20</f>
        <v>Present value of lifetime benefits from a year of deworming — in terms of increases in ln(consumption) — SCI</v>
      </c>
      <c r="B34" s="554">
        <f t="shared" ref="B34:B38" si="16">index(A34:J34,,match($A$3,$A$1:$J$1,0))</f>
        <v>0.01299108918</v>
      </c>
      <c r="C34" s="642">
        <f t="shared" ref="C34:Q34" si="14">C20</f>
        <v>0.01299108918</v>
      </c>
      <c r="D34" s="554">
        <f t="shared" si="14"/>
        <v>0.006624818309</v>
      </c>
      <c r="E34" s="554">
        <f t="shared" si="14"/>
        <v>0.03817810868</v>
      </c>
      <c r="F34" s="554">
        <f t="shared" si="14"/>
        <v>0.04090036157</v>
      </c>
      <c r="G34" s="554">
        <f t="shared" si="14"/>
        <v>0.01010508537</v>
      </c>
      <c r="H34" s="554">
        <f t="shared" si="14"/>
        <v>0.01477743574</v>
      </c>
      <c r="I34" s="554">
        <f t="shared" si="14"/>
        <v>0.000948986722</v>
      </c>
      <c r="J34" s="554">
        <f t="shared" si="14"/>
        <v>0.01861162171</v>
      </c>
      <c r="K34" s="554">
        <f t="shared" si="14"/>
        <v>0.02019347206</v>
      </c>
      <c r="L34" s="554">
        <f t="shared" si="14"/>
        <v>0.001315674374</v>
      </c>
      <c r="M34" s="554">
        <f t="shared" si="14"/>
        <v>0.0002436434026</v>
      </c>
      <c r="N34" s="554">
        <f t="shared" si="14"/>
        <v>0.008456089296</v>
      </c>
      <c r="O34" s="554">
        <f t="shared" si="14"/>
        <v>0.003759064709</v>
      </c>
      <c r="P34" s="642">
        <f t="shared" si="14"/>
        <v>0.04090036157</v>
      </c>
      <c r="Q34" s="642">
        <f t="shared" si="14"/>
        <v>0.01089533746</v>
      </c>
    </row>
    <row r="35">
      <c r="A35" s="643" t="str">
        <f t="shared" si="15"/>
        <v>Value assigned to increasing ln(consumption) by one unit for one person for one year</v>
      </c>
      <c r="B35" s="557">
        <f t="shared" si="16"/>
        <v>1.442695041</v>
      </c>
      <c r="C35" s="196">
        <f t="shared" ref="C35:Q35" si="17">C21</f>
        <v>1.442695041</v>
      </c>
      <c r="D35" s="557">
        <f t="shared" si="17"/>
        <v>1.442695041</v>
      </c>
      <c r="E35" s="557">
        <f t="shared" si="17"/>
        <v>1.442695041</v>
      </c>
      <c r="F35" s="557">
        <f t="shared" si="17"/>
        <v>1.442695041</v>
      </c>
      <c r="G35" s="557">
        <f t="shared" si="17"/>
        <v>1.442695041</v>
      </c>
      <c r="H35" s="557">
        <f t="shared" si="17"/>
        <v>1.442695041</v>
      </c>
      <c r="I35" s="557">
        <f t="shared" si="17"/>
        <v>1.442695041</v>
      </c>
      <c r="J35" s="557">
        <f t="shared" si="17"/>
        <v>1.442695041</v>
      </c>
      <c r="K35" s="557">
        <f t="shared" si="17"/>
        <v>1.442695041</v>
      </c>
      <c r="L35" s="557">
        <f t="shared" si="17"/>
        <v>1.442695041</v>
      </c>
      <c r="M35" s="557">
        <f t="shared" si="17"/>
        <v>1.442695041</v>
      </c>
      <c r="N35" s="557">
        <f t="shared" si="17"/>
        <v>1.442695041</v>
      </c>
      <c r="O35" s="557">
        <f t="shared" si="17"/>
        <v>1.442695041</v>
      </c>
      <c r="P35" s="196">
        <f t="shared" si="17"/>
        <v>1.442695041</v>
      </c>
      <c r="Q35" s="196">
        <f t="shared" si="17"/>
        <v>1.442695041</v>
      </c>
    </row>
    <row r="36">
      <c r="A36" s="82" t="str">
        <f>A24</f>
        <v>Total number of children dewormed (per year) — SCI</v>
      </c>
      <c r="B36" s="572">
        <f t="shared" si="16"/>
        <v>250391.927</v>
      </c>
      <c r="C36" s="644">
        <f t="shared" ref="C36:Q36" si="18">C24</f>
        <v>250391.927</v>
      </c>
      <c r="D36" s="645">
        <f t="shared" si="18"/>
        <v>58616.31366</v>
      </c>
      <c r="E36" s="645">
        <f t="shared" si="18"/>
        <v>18286.64561</v>
      </c>
      <c r="F36" s="645">
        <f t="shared" si="18"/>
        <v>32925.20625</v>
      </c>
      <c r="G36" s="645">
        <f t="shared" si="18"/>
        <v>41582.38899</v>
      </c>
      <c r="H36" s="645">
        <f t="shared" si="18"/>
        <v>14700.17189</v>
      </c>
      <c r="I36" s="645">
        <f t="shared" si="18"/>
        <v>32463.8267</v>
      </c>
      <c r="J36" s="645">
        <f t="shared" si="18"/>
        <v>3135.184602</v>
      </c>
      <c r="K36" s="645">
        <f t="shared" si="18"/>
        <v>9423.508567</v>
      </c>
      <c r="L36" s="645">
        <f t="shared" si="18"/>
        <v>996.757188</v>
      </c>
      <c r="M36" s="645">
        <f t="shared" si="18"/>
        <v>3747.530816</v>
      </c>
      <c r="N36" s="645">
        <f t="shared" si="18"/>
        <v>23833.44839</v>
      </c>
      <c r="O36" s="645">
        <f t="shared" si="18"/>
        <v>3325.640724</v>
      </c>
      <c r="P36" s="646">
        <f t="shared" si="18"/>
        <v>2002.136578</v>
      </c>
      <c r="Q36" s="646">
        <f t="shared" si="18"/>
        <v>5353.166987</v>
      </c>
    </row>
    <row r="37">
      <c r="A37" s="647" t="s">
        <v>446</v>
      </c>
      <c r="B37" s="648">
        <f t="shared" si="16"/>
        <v>5347.316595</v>
      </c>
      <c r="C37" s="272">
        <f>sum(D37:Q37)</f>
        <v>5347.316595</v>
      </c>
      <c r="D37" s="649">
        <f t="shared" ref="D37:Q37" si="19">product(D34:D36)</f>
        <v>560.230841</v>
      </c>
      <c r="E37" s="649">
        <f t="shared" si="19"/>
        <v>1007.216884</v>
      </c>
      <c r="F37" s="649">
        <f t="shared" si="19"/>
        <v>1942.809375</v>
      </c>
      <c r="G37" s="649">
        <f t="shared" si="19"/>
        <v>606.2112091</v>
      </c>
      <c r="H37" s="649">
        <f t="shared" si="19"/>
        <v>313.3978635</v>
      </c>
      <c r="I37" s="649">
        <f t="shared" si="19"/>
        <v>44.44617442</v>
      </c>
      <c r="J37" s="649">
        <f t="shared" si="19"/>
        <v>84.1825105</v>
      </c>
      <c r="K37" s="649">
        <f t="shared" si="19"/>
        <v>274.5352824</v>
      </c>
      <c r="L37" s="649">
        <f t="shared" si="19"/>
        <v>1.891961659</v>
      </c>
      <c r="M37" s="649">
        <f t="shared" si="19"/>
        <v>1.317268807</v>
      </c>
      <c r="N37" s="649">
        <f t="shared" si="19"/>
        <v>290.7575382</v>
      </c>
      <c r="O37" s="649">
        <f t="shared" si="19"/>
        <v>18.03556161</v>
      </c>
      <c r="P37" s="272">
        <f t="shared" si="19"/>
        <v>118.1395701</v>
      </c>
      <c r="Q37" s="272">
        <f t="shared" si="19"/>
        <v>84.14455461</v>
      </c>
    </row>
    <row r="38">
      <c r="A38" s="574" t="s">
        <v>447</v>
      </c>
      <c r="B38" s="557">
        <f t="shared" si="16"/>
        <v>0.02075460418</v>
      </c>
      <c r="C38" s="293">
        <f t="shared" ref="C38:Q38" si="20">C37/C16</f>
        <v>0.02075460418</v>
      </c>
      <c r="D38" s="583">
        <f t="shared" si="20"/>
        <v>0.009288538609</v>
      </c>
      <c r="E38" s="583">
        <f t="shared" si="20"/>
        <v>0.05352883958</v>
      </c>
      <c r="F38" s="583">
        <f t="shared" si="20"/>
        <v>0.05734566139</v>
      </c>
      <c r="G38" s="583">
        <f t="shared" si="20"/>
        <v>0.01416815846</v>
      </c>
      <c r="H38" s="583">
        <f t="shared" si="20"/>
        <v>0.0207191769</v>
      </c>
      <c r="I38" s="583">
        <f t="shared" si="20"/>
        <v>0.001330557216</v>
      </c>
      <c r="J38" s="583">
        <f t="shared" si="20"/>
        <v>0.02609502009</v>
      </c>
      <c r="K38" s="583">
        <f t="shared" si="20"/>
        <v>0.02831290402</v>
      </c>
      <c r="L38" s="583">
        <f t="shared" si="20"/>
        <v>0.001844683379</v>
      </c>
      <c r="M38" s="583">
        <f t="shared" si="20"/>
        <v>0.0003416080331</v>
      </c>
      <c r="N38" s="583">
        <f t="shared" si="20"/>
        <v>0.01185613073</v>
      </c>
      <c r="O38" s="583">
        <f t="shared" si="20"/>
        <v>0.005270517025</v>
      </c>
      <c r="P38" s="293">
        <f t="shared" si="20"/>
        <v>0.05734566139</v>
      </c>
      <c r="Q38" s="293">
        <f t="shared" si="20"/>
        <v>0.01527615671</v>
      </c>
    </row>
    <row r="39">
      <c r="A39" s="638"/>
      <c r="B39" s="587"/>
      <c r="C39" s="121"/>
      <c r="D39" s="407"/>
      <c r="E39" s="540"/>
      <c r="F39" s="407"/>
      <c r="G39" s="407"/>
      <c r="H39" s="407"/>
      <c r="I39" s="407"/>
      <c r="J39" s="407"/>
      <c r="K39" s="407"/>
      <c r="L39" s="407"/>
      <c r="M39" s="407"/>
      <c r="N39" s="407"/>
      <c r="O39" s="407"/>
      <c r="P39" s="121"/>
      <c r="Q39" s="121"/>
    </row>
    <row r="40">
      <c r="A40" s="304" t="s">
        <v>253</v>
      </c>
      <c r="B40" s="623">
        <f t="array" ref="B40">index(A40:J40,,match($A$3,$A$1:$J$1,0))</f>
        <v>6.033592255</v>
      </c>
      <c r="C40" s="650">
        <f t="array" ref="C40">C38/index(GiveDirectly!$B:$B,match("Units of value generated per dollar spent",GiveDirectly!$A:$A,0))</f>
        <v>6.033592255</v>
      </c>
      <c r="D40" s="651">
        <f t="array" ref="D40">D38/index(GiveDirectly!$B:$B,match("Units of value generated per dollar spent",GiveDirectly!$A:$A,0))</f>
        <v>2.70028058</v>
      </c>
      <c r="E40" s="651">
        <f t="array" ref="E40">E38/index(GiveDirectly!$B:$B,match("Units of value generated per dollar spent",GiveDirectly!$A:$A,0))</f>
        <v>15.56142382</v>
      </c>
      <c r="F40" s="651">
        <f t="array" ref="F40">F38/index(GiveDirectly!$B:$B,match("Units of value generated per dollar spent",GiveDirectly!$A:$A,0))</f>
        <v>16.671016</v>
      </c>
      <c r="G40" s="651">
        <f t="array" ref="G40">G38/index(GiveDirectly!$B:$B,match("Units of value generated per dollar spent",GiveDirectly!$A:$A,0))</f>
        <v>4.118839868</v>
      </c>
      <c r="H40" s="651">
        <f t="array" ref="H40">H38/index(GiveDirectly!$B:$B,match("Units of value generated per dollar spent",GiveDirectly!$A:$A,0))</f>
        <v>6.023293153</v>
      </c>
      <c r="I40" s="651">
        <f t="array" ref="I40">I38/index(GiveDirectly!$B:$B,match("Units of value generated per dollar spent",GiveDirectly!$A:$A,0))</f>
        <v>0.3868076521</v>
      </c>
      <c r="J40" s="651">
        <f t="array" ref="J40">J38/index(GiveDirectly!$B:$B,match("Units of value generated per dollar spent",GiveDirectly!$A:$A,0))</f>
        <v>7.586110037</v>
      </c>
      <c r="K40" s="651">
        <f t="array" ref="K40">K38/index(GiveDirectly!$B:$B,match("Units of value generated per dollar spent",GiveDirectly!$A:$A,0))</f>
        <v>8.230873348</v>
      </c>
      <c r="L40" s="651">
        <f t="array" ref="L40">L38/index(GiveDirectly!$B:$B,match("Units of value generated per dollar spent",GiveDirectly!$A:$A,0))</f>
        <v>0.5362697958</v>
      </c>
      <c r="M40" s="651">
        <f t="array" ref="M40">M38/index(GiveDirectly!$B:$B,match("Units of value generated per dollar spent",GiveDirectly!$A:$A,0))</f>
        <v>0.09930922145</v>
      </c>
      <c r="N40" s="651">
        <f t="array" ref="N40">N38/index(GiveDirectly!$B:$B,match("Units of value generated per dollar spent",GiveDirectly!$A:$A,0))</f>
        <v>3.446707916</v>
      </c>
      <c r="O40" s="651">
        <f t="array" ref="O40">O38/index(GiveDirectly!$B:$B,match("Units of value generated per dollar spent",GiveDirectly!$A:$A,0))</f>
        <v>1.532197407</v>
      </c>
      <c r="P40" s="650">
        <f t="array" ref="P40">P38/index(GiveDirectly!$B:$B,match("Units of value generated per dollar spent",GiveDirectly!$A:$A,0))</f>
        <v>16.671016</v>
      </c>
      <c r="Q40" s="650">
        <f t="array" ref="Q40">Q38/index(GiveDirectly!$B:$B,match("Units of value generated per dollar spent",GiveDirectly!$A:$A,0))</f>
        <v>4.440947174</v>
      </c>
    </row>
    <row r="41">
      <c r="A41" s="82"/>
      <c r="B41" s="587"/>
      <c r="C41" s="121"/>
      <c r="D41" s="407"/>
      <c r="E41" s="540"/>
      <c r="F41" s="407"/>
      <c r="G41" s="407"/>
      <c r="H41" s="407"/>
      <c r="I41" s="407"/>
      <c r="J41" s="407"/>
      <c r="K41" s="407"/>
      <c r="L41" s="407"/>
      <c r="M41" s="407"/>
      <c r="N41" s="407"/>
      <c r="O41" s="407"/>
      <c r="P41" s="121"/>
      <c r="Q41" s="121"/>
    </row>
    <row r="42">
      <c r="A42" s="308" t="s">
        <v>448</v>
      </c>
      <c r="B42" s="308"/>
      <c r="C42" s="65"/>
      <c r="D42" s="308"/>
      <c r="E42" s="308"/>
      <c r="F42" s="308"/>
      <c r="G42" s="308"/>
      <c r="H42" s="308"/>
      <c r="I42" s="308"/>
      <c r="J42" s="308"/>
      <c r="K42" s="308"/>
      <c r="L42" s="308"/>
      <c r="M42" s="308"/>
      <c r="N42" s="308"/>
      <c r="O42" s="308"/>
      <c r="P42" s="65"/>
      <c r="Q42" s="65"/>
    </row>
    <row r="43" outlineLevel="1">
      <c r="A43" s="310"/>
      <c r="C43" s="121"/>
      <c r="D43" s="407"/>
      <c r="E43" s="407"/>
      <c r="F43" s="407"/>
      <c r="G43" s="407"/>
      <c r="H43" s="407"/>
      <c r="I43" s="407"/>
      <c r="J43" s="407"/>
      <c r="K43" s="407"/>
      <c r="L43" s="407"/>
      <c r="M43" s="407"/>
      <c r="N43" s="407"/>
      <c r="O43" s="407"/>
      <c r="P43" s="121"/>
      <c r="Q43" s="121"/>
    </row>
    <row r="44" outlineLevel="1">
      <c r="A44" s="312" t="s">
        <v>255</v>
      </c>
      <c r="B44" s="311"/>
      <c r="C44" s="299"/>
      <c r="D44" s="407"/>
      <c r="E44" s="407"/>
      <c r="F44" s="407"/>
      <c r="G44" s="407"/>
      <c r="H44" s="407"/>
      <c r="I44" s="407"/>
      <c r="J44" s="407"/>
      <c r="K44" s="407"/>
      <c r="L44" s="407"/>
      <c r="M44" s="407"/>
      <c r="N44" s="407"/>
      <c r="O44" s="407"/>
      <c r="P44" s="121"/>
      <c r="Q44" s="121"/>
    </row>
    <row r="45" outlineLevel="1">
      <c r="A45" s="138" t="s">
        <v>256</v>
      </c>
      <c r="B45" s="581">
        <f t="shared" ref="B45:B48" si="22">index(C45:AE45,,match($A$3,$C$1:$AE$1,0))</f>
        <v>0</v>
      </c>
      <c r="C45" s="155">
        <v>0.0</v>
      </c>
      <c r="D45" s="317">
        <f t="shared" ref="D45:Q45" si="21">$C45</f>
        <v>0</v>
      </c>
      <c r="E45" s="317">
        <f t="shared" si="21"/>
        <v>0</v>
      </c>
      <c r="F45" s="317">
        <f t="shared" si="21"/>
        <v>0</v>
      </c>
      <c r="G45" s="317">
        <f t="shared" si="21"/>
        <v>0</v>
      </c>
      <c r="H45" s="317">
        <f t="shared" si="21"/>
        <v>0</v>
      </c>
      <c r="I45" s="317">
        <f t="shared" si="21"/>
        <v>0</v>
      </c>
      <c r="J45" s="317">
        <f t="shared" si="21"/>
        <v>0</v>
      </c>
      <c r="K45" s="317">
        <f t="shared" si="21"/>
        <v>0</v>
      </c>
      <c r="L45" s="317">
        <f t="shared" si="21"/>
        <v>0</v>
      </c>
      <c r="M45" s="317">
        <f t="shared" si="21"/>
        <v>0</v>
      </c>
      <c r="N45" s="317">
        <f t="shared" si="21"/>
        <v>0</v>
      </c>
      <c r="O45" s="317">
        <f t="shared" si="21"/>
        <v>0</v>
      </c>
      <c r="P45" s="266">
        <f t="shared" si="21"/>
        <v>0</v>
      </c>
      <c r="Q45" s="266">
        <f t="shared" si="21"/>
        <v>0</v>
      </c>
    </row>
    <row r="46" outlineLevel="1">
      <c r="A46" s="138" t="s">
        <v>257</v>
      </c>
      <c r="B46" s="581">
        <f t="shared" si="22"/>
        <v>0</v>
      </c>
      <c r="C46" s="155">
        <v>0.0</v>
      </c>
      <c r="D46" s="317">
        <f t="shared" ref="D46:Q46" si="23">$C46</f>
        <v>0</v>
      </c>
      <c r="E46" s="317">
        <f t="shared" si="23"/>
        <v>0</v>
      </c>
      <c r="F46" s="317">
        <f t="shared" si="23"/>
        <v>0</v>
      </c>
      <c r="G46" s="317">
        <f t="shared" si="23"/>
        <v>0</v>
      </c>
      <c r="H46" s="317">
        <f t="shared" si="23"/>
        <v>0</v>
      </c>
      <c r="I46" s="317">
        <f t="shared" si="23"/>
        <v>0</v>
      </c>
      <c r="J46" s="317">
        <f t="shared" si="23"/>
        <v>0</v>
      </c>
      <c r="K46" s="317">
        <f t="shared" si="23"/>
        <v>0</v>
      </c>
      <c r="L46" s="317">
        <f t="shared" si="23"/>
        <v>0</v>
      </c>
      <c r="M46" s="317">
        <f t="shared" si="23"/>
        <v>0</v>
      </c>
      <c r="N46" s="317">
        <f t="shared" si="23"/>
        <v>0</v>
      </c>
      <c r="O46" s="317">
        <f t="shared" si="23"/>
        <v>0</v>
      </c>
      <c r="P46" s="266">
        <f t="shared" si="23"/>
        <v>0</v>
      </c>
      <c r="Q46" s="266">
        <f t="shared" si="23"/>
        <v>0</v>
      </c>
    </row>
    <row r="47" outlineLevel="1">
      <c r="A47" s="138" t="s">
        <v>258</v>
      </c>
      <c r="B47" s="581">
        <f t="shared" si="22"/>
        <v>0</v>
      </c>
      <c r="C47" s="499">
        <v>0.0</v>
      </c>
      <c r="D47" s="317">
        <f t="shared" ref="D47:Q47" si="24">$C47</f>
        <v>0</v>
      </c>
      <c r="E47" s="317">
        <f t="shared" si="24"/>
        <v>0</v>
      </c>
      <c r="F47" s="317">
        <f t="shared" si="24"/>
        <v>0</v>
      </c>
      <c r="G47" s="317">
        <f t="shared" si="24"/>
        <v>0</v>
      </c>
      <c r="H47" s="317">
        <f t="shared" si="24"/>
        <v>0</v>
      </c>
      <c r="I47" s="317">
        <f t="shared" si="24"/>
        <v>0</v>
      </c>
      <c r="J47" s="317">
        <f t="shared" si="24"/>
        <v>0</v>
      </c>
      <c r="K47" s="317">
        <f t="shared" si="24"/>
        <v>0</v>
      </c>
      <c r="L47" s="317">
        <f t="shared" si="24"/>
        <v>0</v>
      </c>
      <c r="M47" s="317">
        <f t="shared" si="24"/>
        <v>0</v>
      </c>
      <c r="N47" s="317">
        <f t="shared" si="24"/>
        <v>0</v>
      </c>
      <c r="O47" s="317">
        <f t="shared" si="24"/>
        <v>0</v>
      </c>
      <c r="P47" s="652">
        <f t="shared" si="24"/>
        <v>0</v>
      </c>
      <c r="Q47" s="652">
        <f t="shared" si="24"/>
        <v>0</v>
      </c>
    </row>
    <row r="48" outlineLevel="1">
      <c r="A48" s="319" t="s">
        <v>259</v>
      </c>
      <c r="B48" s="582">
        <f t="shared" si="22"/>
        <v>0</v>
      </c>
      <c r="C48" s="152">
        <f t="shared" ref="C48:Q48" si="25">SUM(C45:C47)</f>
        <v>0</v>
      </c>
      <c r="D48" s="321">
        <f t="shared" si="25"/>
        <v>0</v>
      </c>
      <c r="E48" s="321">
        <f t="shared" si="25"/>
        <v>0</v>
      </c>
      <c r="F48" s="321">
        <f t="shared" si="25"/>
        <v>0</v>
      </c>
      <c r="G48" s="321">
        <f t="shared" si="25"/>
        <v>0</v>
      </c>
      <c r="H48" s="321">
        <f t="shared" si="25"/>
        <v>0</v>
      </c>
      <c r="I48" s="321">
        <f t="shared" si="25"/>
        <v>0</v>
      </c>
      <c r="J48" s="321">
        <f t="shared" si="25"/>
        <v>0</v>
      </c>
      <c r="K48" s="321">
        <f t="shared" si="25"/>
        <v>0</v>
      </c>
      <c r="L48" s="321">
        <f t="shared" si="25"/>
        <v>0</v>
      </c>
      <c r="M48" s="321">
        <f t="shared" si="25"/>
        <v>0</v>
      </c>
      <c r="N48" s="321">
        <f t="shared" si="25"/>
        <v>0</v>
      </c>
      <c r="O48" s="321">
        <f t="shared" si="25"/>
        <v>0</v>
      </c>
      <c r="P48" s="152">
        <f t="shared" si="25"/>
        <v>0</v>
      </c>
      <c r="Q48" s="152">
        <f t="shared" si="25"/>
        <v>0</v>
      </c>
    </row>
    <row r="49" outlineLevel="1">
      <c r="A49" s="138"/>
      <c r="B49" s="311"/>
      <c r="C49" s="299"/>
      <c r="D49" s="311"/>
      <c r="E49" s="311"/>
      <c r="F49" s="311"/>
      <c r="G49" s="311"/>
      <c r="H49" s="311"/>
      <c r="I49" s="311"/>
      <c r="J49" s="311"/>
      <c r="K49" s="311"/>
      <c r="L49" s="311"/>
      <c r="M49" s="311"/>
      <c r="N49" s="311"/>
      <c r="O49" s="311"/>
      <c r="P49" s="410"/>
      <c r="Q49" s="410"/>
    </row>
    <row r="50" outlineLevel="1">
      <c r="A50" s="312" t="s">
        <v>260</v>
      </c>
      <c r="B50" s="581" t="str">
        <f t="shared" ref="B50:B53" si="26">index(C50:AE50,,match($A$3,$C$1:$AE$1,0))</f>
        <v/>
      </c>
      <c r="C50" s="299"/>
      <c r="D50" s="311"/>
      <c r="E50" s="311"/>
      <c r="F50" s="311"/>
      <c r="G50" s="311"/>
      <c r="H50" s="311"/>
      <c r="I50" s="311"/>
      <c r="J50" s="311"/>
      <c r="K50" s="311"/>
      <c r="L50" s="311"/>
      <c r="M50" s="311"/>
      <c r="N50" s="311"/>
      <c r="O50" s="311"/>
      <c r="P50" s="410"/>
      <c r="Q50" s="410"/>
    </row>
    <row r="51" outlineLevel="1">
      <c r="A51" s="138" t="s">
        <v>261</v>
      </c>
      <c r="B51" s="581">
        <f t="shared" si="26"/>
        <v>0.1</v>
      </c>
      <c r="C51" s="155">
        <v>0.1</v>
      </c>
      <c r="D51" s="317">
        <f t="shared" ref="D51:Q51" si="27">$C51</f>
        <v>0.1</v>
      </c>
      <c r="E51" s="317">
        <f t="shared" si="27"/>
        <v>0.1</v>
      </c>
      <c r="F51" s="317">
        <f t="shared" si="27"/>
        <v>0.1</v>
      </c>
      <c r="G51" s="317">
        <f t="shared" si="27"/>
        <v>0.1</v>
      </c>
      <c r="H51" s="317">
        <f t="shared" si="27"/>
        <v>0.1</v>
      </c>
      <c r="I51" s="317">
        <f t="shared" si="27"/>
        <v>0.1</v>
      </c>
      <c r="J51" s="317">
        <f t="shared" si="27"/>
        <v>0.1</v>
      </c>
      <c r="K51" s="317">
        <f t="shared" si="27"/>
        <v>0.1</v>
      </c>
      <c r="L51" s="317">
        <f t="shared" si="27"/>
        <v>0.1</v>
      </c>
      <c r="M51" s="317">
        <f t="shared" si="27"/>
        <v>0.1</v>
      </c>
      <c r="N51" s="317">
        <f t="shared" si="27"/>
        <v>0.1</v>
      </c>
      <c r="O51" s="317">
        <f t="shared" si="27"/>
        <v>0.1</v>
      </c>
      <c r="P51" s="266">
        <f t="shared" si="27"/>
        <v>0.1</v>
      </c>
      <c r="Q51" s="266">
        <f t="shared" si="27"/>
        <v>0.1</v>
      </c>
    </row>
    <row r="52" outlineLevel="1">
      <c r="A52" s="138" t="s">
        <v>262</v>
      </c>
      <c r="B52" s="581">
        <f t="shared" si="26"/>
        <v>0.05</v>
      </c>
      <c r="C52" s="499">
        <v>0.05</v>
      </c>
      <c r="D52" s="317">
        <f t="shared" ref="D52:Q52" si="28">$C52</f>
        <v>0.05</v>
      </c>
      <c r="E52" s="317">
        <f t="shared" si="28"/>
        <v>0.05</v>
      </c>
      <c r="F52" s="317">
        <f t="shared" si="28"/>
        <v>0.05</v>
      </c>
      <c r="G52" s="317">
        <f t="shared" si="28"/>
        <v>0.05</v>
      </c>
      <c r="H52" s="317">
        <f t="shared" si="28"/>
        <v>0.05</v>
      </c>
      <c r="I52" s="317">
        <f t="shared" si="28"/>
        <v>0.05</v>
      </c>
      <c r="J52" s="317">
        <f t="shared" si="28"/>
        <v>0.05</v>
      </c>
      <c r="K52" s="317">
        <f t="shared" si="28"/>
        <v>0.05</v>
      </c>
      <c r="L52" s="317">
        <f t="shared" si="28"/>
        <v>0.05</v>
      </c>
      <c r="M52" s="317">
        <f t="shared" si="28"/>
        <v>0.05</v>
      </c>
      <c r="N52" s="317">
        <f t="shared" si="28"/>
        <v>0.05</v>
      </c>
      <c r="O52" s="317">
        <f t="shared" si="28"/>
        <v>0.05</v>
      </c>
      <c r="P52" s="652">
        <f t="shared" si="28"/>
        <v>0.05</v>
      </c>
      <c r="Q52" s="652">
        <f t="shared" si="28"/>
        <v>0.05</v>
      </c>
    </row>
    <row r="53" outlineLevel="1">
      <c r="A53" s="319" t="s">
        <v>263</v>
      </c>
      <c r="B53" s="582">
        <f t="shared" si="26"/>
        <v>0.15</v>
      </c>
      <c r="C53" s="152">
        <f t="shared" ref="C53:Q53" si="29">sum(C50:C52)</f>
        <v>0.15</v>
      </c>
      <c r="D53" s="321">
        <f t="shared" si="29"/>
        <v>0.15</v>
      </c>
      <c r="E53" s="321">
        <f t="shared" si="29"/>
        <v>0.15</v>
      </c>
      <c r="F53" s="321">
        <f t="shared" si="29"/>
        <v>0.15</v>
      </c>
      <c r="G53" s="321">
        <f t="shared" si="29"/>
        <v>0.15</v>
      </c>
      <c r="H53" s="321">
        <f t="shared" si="29"/>
        <v>0.15</v>
      </c>
      <c r="I53" s="321">
        <f t="shared" si="29"/>
        <v>0.15</v>
      </c>
      <c r="J53" s="321">
        <f t="shared" si="29"/>
        <v>0.15</v>
      </c>
      <c r="K53" s="321">
        <f t="shared" si="29"/>
        <v>0.15</v>
      </c>
      <c r="L53" s="321">
        <f t="shared" si="29"/>
        <v>0.15</v>
      </c>
      <c r="M53" s="321">
        <f t="shared" si="29"/>
        <v>0.15</v>
      </c>
      <c r="N53" s="321">
        <f t="shared" si="29"/>
        <v>0.15</v>
      </c>
      <c r="O53" s="321">
        <f t="shared" si="29"/>
        <v>0.15</v>
      </c>
      <c r="P53" s="152">
        <f t="shared" si="29"/>
        <v>0.15</v>
      </c>
      <c r="Q53" s="152">
        <f t="shared" si="29"/>
        <v>0.15</v>
      </c>
    </row>
    <row r="54" outlineLevel="1">
      <c r="A54" s="138"/>
      <c r="B54" s="311"/>
      <c r="C54" s="299"/>
      <c r="D54" s="311"/>
      <c r="E54" s="311"/>
      <c r="F54" s="311"/>
      <c r="G54" s="311"/>
      <c r="H54" s="311"/>
      <c r="I54" s="311"/>
      <c r="J54" s="311"/>
      <c r="K54" s="311"/>
      <c r="L54" s="311"/>
      <c r="M54" s="311"/>
      <c r="N54" s="311"/>
      <c r="O54" s="311"/>
      <c r="P54" s="410"/>
      <c r="Q54" s="410"/>
    </row>
    <row r="55" outlineLevel="1">
      <c r="A55" s="312" t="s">
        <v>264</v>
      </c>
      <c r="B55" s="311"/>
      <c r="C55" s="299"/>
      <c r="D55" s="311"/>
      <c r="E55" s="311"/>
      <c r="F55" s="311"/>
      <c r="G55" s="311"/>
      <c r="H55" s="311"/>
      <c r="I55" s="311"/>
      <c r="J55" s="311"/>
      <c r="K55" s="311"/>
      <c r="L55" s="311"/>
      <c r="M55" s="311"/>
      <c r="N55" s="311"/>
      <c r="O55" s="311"/>
      <c r="P55" s="410"/>
      <c r="Q55" s="410"/>
    </row>
    <row r="56" outlineLevel="1">
      <c r="A56" s="138" t="s">
        <v>265</v>
      </c>
      <c r="B56" s="581">
        <f t="shared" ref="B56:B59" si="31">index(C56:AE56,,match($A$3,$C$1:$AE$1,0))</f>
        <v>0</v>
      </c>
      <c r="C56" s="155">
        <v>0.0</v>
      </c>
      <c r="D56" s="317">
        <f t="shared" ref="D56:Q56" si="30">$C56</f>
        <v>0</v>
      </c>
      <c r="E56" s="317">
        <f t="shared" si="30"/>
        <v>0</v>
      </c>
      <c r="F56" s="317">
        <f t="shared" si="30"/>
        <v>0</v>
      </c>
      <c r="G56" s="317">
        <f t="shared" si="30"/>
        <v>0</v>
      </c>
      <c r="H56" s="317">
        <f t="shared" si="30"/>
        <v>0</v>
      </c>
      <c r="I56" s="317">
        <f t="shared" si="30"/>
        <v>0</v>
      </c>
      <c r="J56" s="317">
        <f t="shared" si="30"/>
        <v>0</v>
      </c>
      <c r="K56" s="317">
        <f t="shared" si="30"/>
        <v>0</v>
      </c>
      <c r="L56" s="317">
        <f t="shared" si="30"/>
        <v>0</v>
      </c>
      <c r="M56" s="317">
        <f t="shared" si="30"/>
        <v>0</v>
      </c>
      <c r="N56" s="317">
        <f t="shared" si="30"/>
        <v>0</v>
      </c>
      <c r="O56" s="317">
        <f t="shared" si="30"/>
        <v>0</v>
      </c>
      <c r="P56" s="266">
        <f t="shared" si="30"/>
        <v>0</v>
      </c>
      <c r="Q56" s="266">
        <f t="shared" si="30"/>
        <v>0</v>
      </c>
    </row>
    <row r="57" outlineLevel="1">
      <c r="A57" s="138" t="s">
        <v>266</v>
      </c>
      <c r="B57" s="581">
        <f t="shared" si="31"/>
        <v>0</v>
      </c>
      <c r="C57" s="155">
        <v>0.0</v>
      </c>
      <c r="D57" s="317">
        <f t="shared" ref="D57:Q57" si="32">$C57</f>
        <v>0</v>
      </c>
      <c r="E57" s="317">
        <f t="shared" si="32"/>
        <v>0</v>
      </c>
      <c r="F57" s="317">
        <f t="shared" si="32"/>
        <v>0</v>
      </c>
      <c r="G57" s="317">
        <f t="shared" si="32"/>
        <v>0</v>
      </c>
      <c r="H57" s="317">
        <f t="shared" si="32"/>
        <v>0</v>
      </c>
      <c r="I57" s="317">
        <f t="shared" si="32"/>
        <v>0</v>
      </c>
      <c r="J57" s="317">
        <f t="shared" si="32"/>
        <v>0</v>
      </c>
      <c r="K57" s="317">
        <f t="shared" si="32"/>
        <v>0</v>
      </c>
      <c r="L57" s="317">
        <f t="shared" si="32"/>
        <v>0</v>
      </c>
      <c r="M57" s="317">
        <f t="shared" si="32"/>
        <v>0</v>
      </c>
      <c r="N57" s="317">
        <f t="shared" si="32"/>
        <v>0</v>
      </c>
      <c r="O57" s="317">
        <f t="shared" si="32"/>
        <v>0</v>
      </c>
      <c r="P57" s="266">
        <f t="shared" si="32"/>
        <v>0</v>
      </c>
      <c r="Q57" s="266">
        <f t="shared" si="32"/>
        <v>0</v>
      </c>
    </row>
    <row r="58" outlineLevel="1">
      <c r="A58" s="138" t="s">
        <v>267</v>
      </c>
      <c r="B58" s="581">
        <f t="shared" si="31"/>
        <v>0</v>
      </c>
      <c r="C58" s="499">
        <v>0.0</v>
      </c>
      <c r="D58" s="317">
        <f t="shared" ref="D58:Q58" si="33">$C58</f>
        <v>0</v>
      </c>
      <c r="E58" s="317">
        <f t="shared" si="33"/>
        <v>0</v>
      </c>
      <c r="F58" s="317">
        <f t="shared" si="33"/>
        <v>0</v>
      </c>
      <c r="G58" s="317">
        <f t="shared" si="33"/>
        <v>0</v>
      </c>
      <c r="H58" s="317">
        <f t="shared" si="33"/>
        <v>0</v>
      </c>
      <c r="I58" s="317">
        <f t="shared" si="33"/>
        <v>0</v>
      </c>
      <c r="J58" s="317">
        <f t="shared" si="33"/>
        <v>0</v>
      </c>
      <c r="K58" s="317">
        <f t="shared" si="33"/>
        <v>0</v>
      </c>
      <c r="L58" s="317">
        <f t="shared" si="33"/>
        <v>0</v>
      </c>
      <c r="M58" s="317">
        <f t="shared" si="33"/>
        <v>0</v>
      </c>
      <c r="N58" s="317">
        <f t="shared" si="33"/>
        <v>0</v>
      </c>
      <c r="O58" s="317">
        <f t="shared" si="33"/>
        <v>0</v>
      </c>
      <c r="P58" s="652">
        <f t="shared" si="33"/>
        <v>0</v>
      </c>
      <c r="Q58" s="652">
        <f t="shared" si="33"/>
        <v>0</v>
      </c>
    </row>
    <row r="59" outlineLevel="1">
      <c r="A59" s="322" t="s">
        <v>268</v>
      </c>
      <c r="B59" s="582">
        <f t="shared" si="31"/>
        <v>0</v>
      </c>
      <c r="C59" s="152">
        <f t="shared" ref="C59:Q59" si="34">sum(C56:C58)</f>
        <v>0</v>
      </c>
      <c r="D59" s="321">
        <f t="shared" si="34"/>
        <v>0</v>
      </c>
      <c r="E59" s="321">
        <f t="shared" si="34"/>
        <v>0</v>
      </c>
      <c r="F59" s="321">
        <f t="shared" si="34"/>
        <v>0</v>
      </c>
      <c r="G59" s="321">
        <f t="shared" si="34"/>
        <v>0</v>
      </c>
      <c r="H59" s="321">
        <f t="shared" si="34"/>
        <v>0</v>
      </c>
      <c r="I59" s="321">
        <f t="shared" si="34"/>
        <v>0</v>
      </c>
      <c r="J59" s="321">
        <f t="shared" si="34"/>
        <v>0</v>
      </c>
      <c r="K59" s="321">
        <f t="shared" si="34"/>
        <v>0</v>
      </c>
      <c r="L59" s="321">
        <f t="shared" si="34"/>
        <v>0</v>
      </c>
      <c r="M59" s="321">
        <f t="shared" si="34"/>
        <v>0</v>
      </c>
      <c r="N59" s="321">
        <f t="shared" si="34"/>
        <v>0</v>
      </c>
      <c r="O59" s="321">
        <f t="shared" si="34"/>
        <v>0</v>
      </c>
      <c r="P59" s="152">
        <f t="shared" si="34"/>
        <v>0</v>
      </c>
      <c r="Q59" s="152">
        <f t="shared" si="34"/>
        <v>0</v>
      </c>
    </row>
    <row r="60" outlineLevel="1">
      <c r="A60" s="138"/>
      <c r="B60" s="311"/>
      <c r="C60" s="299"/>
      <c r="D60" s="311"/>
      <c r="E60" s="311"/>
      <c r="F60" s="311"/>
      <c r="G60" s="311"/>
      <c r="H60" s="311"/>
      <c r="I60" s="311"/>
      <c r="J60" s="311"/>
      <c r="K60" s="311"/>
      <c r="L60" s="311"/>
      <c r="M60" s="311"/>
      <c r="N60" s="311"/>
      <c r="O60" s="311"/>
      <c r="P60" s="410"/>
      <c r="Q60" s="410"/>
    </row>
    <row r="61">
      <c r="A61" s="112" t="s">
        <v>269</v>
      </c>
      <c r="B61" s="581">
        <f t="array" ref="B61">index(C61:AE61,,match($A$3,$C$1:$AE$1,0))</f>
        <v>0.85</v>
      </c>
      <c r="C61" s="152">
        <f t="shared" ref="C61:Q61" si="35">1-sum(C48,C53,C59)</f>
        <v>0.85</v>
      </c>
      <c r="D61" s="153">
        <f t="shared" si="35"/>
        <v>0.85</v>
      </c>
      <c r="E61" s="153">
        <f t="shared" si="35"/>
        <v>0.85</v>
      </c>
      <c r="F61" s="153">
        <f t="shared" si="35"/>
        <v>0.85</v>
      </c>
      <c r="G61" s="153">
        <f t="shared" si="35"/>
        <v>0.85</v>
      </c>
      <c r="H61" s="153">
        <f t="shared" si="35"/>
        <v>0.85</v>
      </c>
      <c r="I61" s="153">
        <f t="shared" si="35"/>
        <v>0.85</v>
      </c>
      <c r="J61" s="153">
        <f t="shared" si="35"/>
        <v>0.85</v>
      </c>
      <c r="K61" s="153">
        <f t="shared" si="35"/>
        <v>0.85</v>
      </c>
      <c r="L61" s="153">
        <f t="shared" si="35"/>
        <v>0.85</v>
      </c>
      <c r="M61" s="153">
        <f t="shared" si="35"/>
        <v>0.85</v>
      </c>
      <c r="N61" s="153">
        <f t="shared" si="35"/>
        <v>0.85</v>
      </c>
      <c r="O61" s="153">
        <f t="shared" si="35"/>
        <v>0.85</v>
      </c>
      <c r="P61" s="152">
        <f t="shared" si="35"/>
        <v>0.85</v>
      </c>
      <c r="Q61" s="152">
        <f t="shared" si="35"/>
        <v>0.85</v>
      </c>
    </row>
    <row r="62">
      <c r="A62" s="82"/>
      <c r="B62" s="587"/>
      <c r="C62" s="121"/>
      <c r="D62" s="407"/>
      <c r="E62" s="540"/>
      <c r="F62" s="407"/>
      <c r="G62" s="407"/>
      <c r="H62" s="407"/>
      <c r="I62" s="407"/>
      <c r="J62" s="407"/>
      <c r="K62" s="407"/>
      <c r="L62" s="407"/>
      <c r="M62" s="407"/>
      <c r="N62" s="407"/>
      <c r="O62" s="407"/>
      <c r="P62" s="121"/>
      <c r="Q62" s="121"/>
    </row>
    <row r="63">
      <c r="A63" s="308" t="s">
        <v>270</v>
      </c>
      <c r="B63" s="308"/>
      <c r="C63" s="65"/>
      <c r="D63" s="308"/>
      <c r="E63" s="308"/>
      <c r="F63" s="308"/>
      <c r="G63" s="308"/>
      <c r="H63" s="308"/>
      <c r="I63" s="308"/>
      <c r="J63" s="308"/>
      <c r="K63" s="308"/>
      <c r="L63" s="308"/>
      <c r="M63" s="308"/>
      <c r="N63" s="308"/>
      <c r="O63" s="308"/>
      <c r="P63" s="65"/>
      <c r="Q63" s="65"/>
    </row>
    <row r="64">
      <c r="A64" s="82"/>
      <c r="B64" s="587"/>
      <c r="C64" s="121"/>
      <c r="D64" s="407"/>
      <c r="E64" s="540"/>
      <c r="F64" s="407"/>
      <c r="G64" s="407"/>
      <c r="H64" s="407"/>
      <c r="I64" s="407"/>
      <c r="J64" s="407"/>
      <c r="K64" s="407"/>
      <c r="L64" s="407"/>
      <c r="M64" s="407"/>
      <c r="N64" s="407"/>
      <c r="O64" s="407"/>
      <c r="P64" s="121"/>
      <c r="Q64" s="121"/>
    </row>
    <row r="65">
      <c r="A65" s="500" t="s">
        <v>281</v>
      </c>
      <c r="B65" s="490">
        <f t="shared" ref="B65:B67" si="37">index(A65:J65,,match($A$3,$A$1:$J$1,0))</f>
        <v>4545.219106</v>
      </c>
      <c r="C65" s="653">
        <f>sum(D65:Q65)</f>
        <v>4545.219106</v>
      </c>
      <c r="D65" s="654">
        <f t="shared" ref="D65:Q65" si="36">D37*D61</f>
        <v>476.1962149</v>
      </c>
      <c r="E65" s="654">
        <f t="shared" si="36"/>
        <v>856.1343515</v>
      </c>
      <c r="F65" s="654">
        <f t="shared" si="36"/>
        <v>1651.387968</v>
      </c>
      <c r="G65" s="654">
        <f t="shared" si="36"/>
        <v>515.2795277</v>
      </c>
      <c r="H65" s="654">
        <f t="shared" si="36"/>
        <v>266.388184</v>
      </c>
      <c r="I65" s="654">
        <f t="shared" si="36"/>
        <v>37.77924826</v>
      </c>
      <c r="J65" s="654">
        <f t="shared" si="36"/>
        <v>71.55513392</v>
      </c>
      <c r="K65" s="654">
        <f t="shared" si="36"/>
        <v>233.3549901</v>
      </c>
      <c r="L65" s="654">
        <f t="shared" si="36"/>
        <v>1.60816741</v>
      </c>
      <c r="M65" s="654">
        <f t="shared" si="36"/>
        <v>1.119678486</v>
      </c>
      <c r="N65" s="654">
        <f t="shared" si="36"/>
        <v>247.1439075</v>
      </c>
      <c r="O65" s="654">
        <f t="shared" si="36"/>
        <v>15.33022737</v>
      </c>
      <c r="P65" s="653">
        <f t="shared" si="36"/>
        <v>100.4186346</v>
      </c>
      <c r="Q65" s="653">
        <f t="shared" si="36"/>
        <v>71.52287142</v>
      </c>
    </row>
    <row r="66">
      <c r="A66" s="82" t="s">
        <v>369</v>
      </c>
      <c r="B66" s="487">
        <f t="shared" si="37"/>
        <v>0.01764141356</v>
      </c>
      <c r="C66" s="293">
        <f t="shared" ref="C66:Q66" si="38">C65/C16</f>
        <v>0.01764141356</v>
      </c>
      <c r="D66" s="583">
        <f t="shared" si="38"/>
        <v>0.007895257818</v>
      </c>
      <c r="E66" s="583">
        <f t="shared" si="38"/>
        <v>0.04549951365</v>
      </c>
      <c r="F66" s="583">
        <f t="shared" si="38"/>
        <v>0.04874381218</v>
      </c>
      <c r="G66" s="583">
        <f t="shared" si="38"/>
        <v>0.01204293469</v>
      </c>
      <c r="H66" s="583">
        <f t="shared" si="38"/>
        <v>0.01761130036</v>
      </c>
      <c r="I66" s="583">
        <f t="shared" si="38"/>
        <v>0.001130973634</v>
      </c>
      <c r="J66" s="583">
        <f t="shared" si="38"/>
        <v>0.02218076707</v>
      </c>
      <c r="K66" s="583">
        <f t="shared" si="38"/>
        <v>0.02406596842</v>
      </c>
      <c r="L66" s="583">
        <f t="shared" si="38"/>
        <v>0.001567980872</v>
      </c>
      <c r="M66" s="583">
        <f t="shared" si="38"/>
        <v>0.0002903668281</v>
      </c>
      <c r="N66" s="583">
        <f t="shared" si="38"/>
        <v>0.01007771112</v>
      </c>
      <c r="O66" s="583">
        <f t="shared" si="38"/>
        <v>0.004479939471</v>
      </c>
      <c r="P66" s="293">
        <f t="shared" si="38"/>
        <v>0.04874381218</v>
      </c>
      <c r="Q66" s="293">
        <f t="shared" si="38"/>
        <v>0.0129847332</v>
      </c>
    </row>
    <row r="67">
      <c r="A67" s="67" t="s">
        <v>275</v>
      </c>
      <c r="B67" s="655">
        <f t="shared" si="37"/>
        <v>5.128553417</v>
      </c>
      <c r="C67" s="650">
        <f t="array" ref="C67">C66/index(GiveDirectly!$B:$B,match("Units of value generated per dollar spent",GiveDirectly!$A:$A,0))</f>
        <v>5.128553417</v>
      </c>
      <c r="D67" s="651">
        <f t="array" ref="D67">D66/index(GiveDirectly!$B:$B,match("Units of value generated per dollar spent",GiveDirectly!$A:$A,0))</f>
        <v>2.295238493</v>
      </c>
      <c r="E67" s="651">
        <f t="array" ref="E67">E66/index(GiveDirectly!$B:$B,match("Units of value generated per dollar spent",GiveDirectly!$A:$A,0))</f>
        <v>13.22721025</v>
      </c>
      <c r="F67" s="651">
        <f t="array" ref="F67">F66/index(GiveDirectly!$B:$B,match("Units of value generated per dollar spent",GiveDirectly!$A:$A,0))</f>
        <v>14.1703636</v>
      </c>
      <c r="G67" s="651">
        <f t="array" ref="G67">G66/index(GiveDirectly!$B:$B,match("Units of value generated per dollar spent",GiveDirectly!$A:$A,0))</f>
        <v>3.501013888</v>
      </c>
      <c r="H67" s="651">
        <f t="array" ref="H67">H66/index(GiveDirectly!$B:$B,match("Units of value generated per dollar spent",GiveDirectly!$A:$A,0))</f>
        <v>5.11979918</v>
      </c>
      <c r="I67" s="651">
        <f t="array" ref="I67">I66/index(GiveDirectly!$B:$B,match("Units of value generated per dollar spent",GiveDirectly!$A:$A,0))</f>
        <v>0.3287865043</v>
      </c>
      <c r="J67" s="651">
        <f t="array" ref="J67">J66/index(GiveDirectly!$B:$B,match("Units of value generated per dollar spent",GiveDirectly!$A:$A,0))</f>
        <v>6.448193531</v>
      </c>
      <c r="K67" s="651">
        <f t="array" ref="K67">K66/index(GiveDirectly!$B:$B,match("Units of value generated per dollar spent",GiveDirectly!$A:$A,0))</f>
        <v>6.996242346</v>
      </c>
      <c r="L67" s="651">
        <f t="array" ref="L67">L66/index(GiveDirectly!$B:$B,match("Units of value generated per dollar spent",GiveDirectly!$A:$A,0))</f>
        <v>0.4558293264</v>
      </c>
      <c r="M67" s="651">
        <f t="array" ref="M67">M66/index(GiveDirectly!$B:$B,match("Units of value generated per dollar spent",GiveDirectly!$A:$A,0))</f>
        <v>0.08441283823</v>
      </c>
      <c r="N67" s="651">
        <f t="array" ref="N67">N66/index(GiveDirectly!$B:$B,match("Units of value generated per dollar spent",GiveDirectly!$A:$A,0))</f>
        <v>2.929701728</v>
      </c>
      <c r="O67" s="651">
        <f t="array" ref="O67">O66/index(GiveDirectly!$B:$B,match("Units of value generated per dollar spent",GiveDirectly!$A:$A,0))</f>
        <v>1.302367796</v>
      </c>
      <c r="P67" s="650">
        <f t="array" ref="P67">P66/index(GiveDirectly!$B:$B,match("Units of value generated per dollar spent",GiveDirectly!$A:$A,0))</f>
        <v>14.1703636</v>
      </c>
      <c r="Q67" s="650">
        <f t="array" ref="Q67">Q66/index(GiveDirectly!$B:$B,match("Units of value generated per dollar spent",GiveDirectly!$A:$A,0))</f>
        <v>3.774805098</v>
      </c>
    </row>
    <row r="68">
      <c r="A68" s="82"/>
      <c r="B68" s="587"/>
      <c r="C68" s="121"/>
      <c r="D68" s="407"/>
      <c r="E68" s="656"/>
      <c r="F68" s="407"/>
      <c r="G68" s="407"/>
      <c r="H68" s="407"/>
      <c r="I68" s="407"/>
      <c r="J68" s="407"/>
      <c r="K68" s="407"/>
      <c r="L68" s="407"/>
      <c r="M68" s="407"/>
      <c r="N68" s="407"/>
      <c r="O68" s="407"/>
      <c r="P68" s="121"/>
      <c r="Q68" s="121"/>
    </row>
    <row r="69">
      <c r="A69" s="308" t="s">
        <v>370</v>
      </c>
      <c r="B69" s="309"/>
      <c r="C69" s="65"/>
      <c r="D69" s="308"/>
      <c r="E69" s="308"/>
      <c r="F69" s="308"/>
      <c r="G69" s="308"/>
      <c r="H69" s="308"/>
      <c r="I69" s="308"/>
      <c r="J69" s="308"/>
      <c r="K69" s="308"/>
      <c r="L69" s="308"/>
      <c r="M69" s="308"/>
      <c r="N69" s="308"/>
      <c r="O69" s="308"/>
      <c r="P69" s="65"/>
      <c r="Q69" s="65"/>
    </row>
    <row r="70" outlineLevel="1">
      <c r="A70" s="310" t="s">
        <v>277</v>
      </c>
      <c r="B70" s="330"/>
      <c r="C70" s="417"/>
      <c r="D70" s="331"/>
      <c r="E70" s="331"/>
      <c r="F70" s="331"/>
      <c r="G70" s="331"/>
      <c r="H70" s="331"/>
      <c r="I70" s="331"/>
      <c r="J70" s="331"/>
      <c r="K70" s="331"/>
      <c r="L70" s="331"/>
      <c r="M70" s="331"/>
      <c r="N70" s="331"/>
      <c r="O70" s="331"/>
      <c r="P70" s="417"/>
      <c r="Q70" s="417"/>
    </row>
    <row r="71" outlineLevel="1">
      <c r="A71" s="118" t="str">
        <f>IFERROR(__xludf.DUMMYFUNCTION("filter(InclusionExclusion!C:C,InclusionExclusion!A:A=""Deworming"",InclusionExclusion!D:D=""Included"")"),"Developmental effects")</f>
        <v>Developmental effects</v>
      </c>
      <c r="B71" s="330"/>
      <c r="C71" s="417"/>
      <c r="D71" s="331"/>
      <c r="E71" s="331"/>
      <c r="F71" s="331"/>
      <c r="G71" s="331"/>
      <c r="H71" s="331"/>
      <c r="I71" s="331"/>
      <c r="J71" s="331"/>
      <c r="K71" s="331"/>
      <c r="L71" s="331"/>
      <c r="M71" s="331"/>
      <c r="N71" s="331"/>
      <c r="O71" s="331"/>
      <c r="P71" s="417"/>
      <c r="Q71" s="417"/>
    </row>
    <row r="72" outlineLevel="1">
      <c r="A72" s="112"/>
      <c r="B72" s="330"/>
      <c r="C72" s="417"/>
      <c r="D72" s="331"/>
      <c r="E72" s="331"/>
      <c r="F72" s="331"/>
      <c r="G72" s="331"/>
      <c r="H72" s="331"/>
      <c r="I72" s="331"/>
      <c r="J72" s="331"/>
      <c r="K72" s="331"/>
      <c r="L72" s="331"/>
      <c r="M72" s="331"/>
      <c r="N72" s="331"/>
      <c r="O72" s="331"/>
      <c r="P72" s="417"/>
      <c r="Q72" s="417"/>
    </row>
    <row r="73" outlineLevel="1">
      <c r="A73" s="310" t="s">
        <v>278</v>
      </c>
      <c r="B73" s="330"/>
      <c r="C73" s="417"/>
      <c r="D73" s="331"/>
      <c r="E73" s="331"/>
      <c r="F73" s="331"/>
      <c r="G73" s="331"/>
      <c r="H73" s="331"/>
      <c r="I73" s="331"/>
      <c r="J73" s="331"/>
      <c r="K73" s="331"/>
      <c r="L73" s="331"/>
      <c r="M73" s="331"/>
      <c r="N73" s="331"/>
      <c r="O73" s="331"/>
      <c r="P73" s="417"/>
      <c r="Q73" s="417"/>
    </row>
    <row r="74" outlineLevel="1">
      <c r="A74" s="118" t="str">
        <f>IFERROR(__xludf.DUMMYFUNCTION("filter(InclusionExclusion!C:C,InclusionExclusion!A:A=""Deworming"",InclusionExclusion!D:D=""Excluded"",InclusionExclusion!B:B=""SCIDTWI"")"),"Direct health effects")</f>
        <v>Direct health effects</v>
      </c>
      <c r="B74" s="313">
        <f t="shared" ref="B74:B87" si="40">index(C74:AD74,,match($A$3,$C$1:$AD$1,0))</f>
        <v>0.008</v>
      </c>
      <c r="C74" s="177">
        <f t="array" ref="C74">iferror(if(isblank(A74),"",index(InclusionExclusion!$M:M,match(1,(InclusionExclusion!C:C=A74)*(InclusionExclusion!A:A="Deworming"),0))),"Not specified")</f>
        <v>0.008</v>
      </c>
      <c r="D74" s="334">
        <f t="shared" ref="D74:Q74" si="39">$C74</f>
        <v>0.008</v>
      </c>
      <c r="E74" s="334">
        <f t="shared" si="39"/>
        <v>0.008</v>
      </c>
      <c r="F74" s="334">
        <f t="shared" si="39"/>
        <v>0.008</v>
      </c>
      <c r="G74" s="334">
        <f t="shared" si="39"/>
        <v>0.008</v>
      </c>
      <c r="H74" s="334">
        <f t="shared" si="39"/>
        <v>0.008</v>
      </c>
      <c r="I74" s="334">
        <f t="shared" si="39"/>
        <v>0.008</v>
      </c>
      <c r="J74" s="334">
        <f t="shared" si="39"/>
        <v>0.008</v>
      </c>
      <c r="K74" s="334">
        <f t="shared" si="39"/>
        <v>0.008</v>
      </c>
      <c r="L74" s="334">
        <f t="shared" si="39"/>
        <v>0.008</v>
      </c>
      <c r="M74" s="334">
        <f t="shared" si="39"/>
        <v>0.008</v>
      </c>
      <c r="N74" s="334">
        <f t="shared" si="39"/>
        <v>0.008</v>
      </c>
      <c r="O74" s="334">
        <f t="shared" si="39"/>
        <v>0.008</v>
      </c>
      <c r="P74" s="657">
        <f t="shared" si="39"/>
        <v>0.008</v>
      </c>
      <c r="Q74" s="657">
        <f t="shared" si="39"/>
        <v>0.008</v>
      </c>
    </row>
    <row r="75" outlineLevel="1">
      <c r="A75" s="176" t="str">
        <f>IFERROR(__xludf.DUMMYFUNCTION("""COMPUTED_VALUE"""),"HIV reduction")</f>
        <v>HIV reduction</v>
      </c>
      <c r="B75" s="313">
        <f t="shared" si="40"/>
        <v>0.06</v>
      </c>
      <c r="C75" s="177">
        <f t="array" ref="C75">iferror(if(isblank(A75),"",index(InclusionExclusion!$M:M,match(1,(InclusionExclusion!C:C=A75)*(InclusionExclusion!A:A="Deworming"),0))),"Not specified")</f>
        <v>0.06</v>
      </c>
      <c r="D75" s="334">
        <f t="shared" ref="D75:Q75" si="41">$C75</f>
        <v>0.06</v>
      </c>
      <c r="E75" s="334">
        <f t="shared" si="41"/>
        <v>0.06</v>
      </c>
      <c r="F75" s="334">
        <f t="shared" si="41"/>
        <v>0.06</v>
      </c>
      <c r="G75" s="334">
        <f t="shared" si="41"/>
        <v>0.06</v>
      </c>
      <c r="H75" s="334">
        <f t="shared" si="41"/>
        <v>0.06</v>
      </c>
      <c r="I75" s="334">
        <f t="shared" si="41"/>
        <v>0.06</v>
      </c>
      <c r="J75" s="334">
        <f t="shared" si="41"/>
        <v>0.06</v>
      </c>
      <c r="K75" s="334">
        <f t="shared" si="41"/>
        <v>0.06</v>
      </c>
      <c r="L75" s="334">
        <f t="shared" si="41"/>
        <v>0.06</v>
      </c>
      <c r="M75" s="334">
        <f t="shared" si="41"/>
        <v>0.06</v>
      </c>
      <c r="N75" s="334">
        <f t="shared" si="41"/>
        <v>0.06</v>
      </c>
      <c r="O75" s="334">
        <f t="shared" si="41"/>
        <v>0.06</v>
      </c>
      <c r="P75" s="657">
        <f t="shared" si="41"/>
        <v>0.06</v>
      </c>
      <c r="Q75" s="657">
        <f t="shared" si="41"/>
        <v>0.06</v>
      </c>
    </row>
    <row r="76" outlineLevel="1">
      <c r="A76" s="176" t="str">
        <f>IFERROR(__xludf.DUMMYFUNCTION("""COMPUTED_VALUE"""),"Possible increases in diseases of affluence (harms of deworming)")</f>
        <v>Possible increases in diseases of affluence (harms of deworming)</v>
      </c>
      <c r="B76" s="313">
        <f t="shared" si="40"/>
        <v>-0.025</v>
      </c>
      <c r="C76" s="177">
        <f t="array" ref="C76">iferror(if(isblank(A76),"",index(InclusionExclusion!$M:M,match(1,(InclusionExclusion!C:C=A76)*(InclusionExclusion!A:A="Deworming"),0))),"Not specified")</f>
        <v>-0.025</v>
      </c>
      <c r="D76" s="334">
        <f t="shared" ref="D76:Q76" si="42">$C76</f>
        <v>-0.025</v>
      </c>
      <c r="E76" s="334">
        <f t="shared" si="42"/>
        <v>-0.025</v>
      </c>
      <c r="F76" s="334">
        <f t="shared" si="42"/>
        <v>-0.025</v>
      </c>
      <c r="G76" s="334">
        <f t="shared" si="42"/>
        <v>-0.025</v>
      </c>
      <c r="H76" s="334">
        <f t="shared" si="42"/>
        <v>-0.025</v>
      </c>
      <c r="I76" s="334">
        <f t="shared" si="42"/>
        <v>-0.025</v>
      </c>
      <c r="J76" s="334">
        <f t="shared" si="42"/>
        <v>-0.025</v>
      </c>
      <c r="K76" s="334">
        <f t="shared" si="42"/>
        <v>-0.025</v>
      </c>
      <c r="L76" s="334">
        <f t="shared" si="42"/>
        <v>-0.025</v>
      </c>
      <c r="M76" s="334">
        <f t="shared" si="42"/>
        <v>-0.025</v>
      </c>
      <c r="N76" s="334">
        <f t="shared" si="42"/>
        <v>-0.025</v>
      </c>
      <c r="O76" s="334">
        <f t="shared" si="42"/>
        <v>-0.025</v>
      </c>
      <c r="P76" s="657">
        <f t="shared" si="42"/>
        <v>-0.025</v>
      </c>
      <c r="Q76" s="657">
        <f t="shared" si="42"/>
        <v>-0.025</v>
      </c>
    </row>
    <row r="77" outlineLevel="1">
      <c r="A77" s="176" t="str">
        <f>IFERROR(__xludf.DUMMYFUNCTION("""COMPUTED_VALUE"""),"Averted mortality")</f>
        <v>Averted mortality</v>
      </c>
      <c r="B77" s="313">
        <f t="shared" si="40"/>
        <v>0.035</v>
      </c>
      <c r="C77" s="177">
        <f t="array" ref="C77">iferror(if(isblank(A77),"",index(InclusionExclusion!$M:M,match(1,(InclusionExclusion!C:C=A77)*(InclusionExclusion!A:A="Deworming"),0))),"Not specified")</f>
        <v>0.035</v>
      </c>
      <c r="D77" s="334">
        <f t="shared" ref="D77:Q77" si="43">$C77</f>
        <v>0.035</v>
      </c>
      <c r="E77" s="334">
        <f t="shared" si="43"/>
        <v>0.035</v>
      </c>
      <c r="F77" s="334">
        <f t="shared" si="43"/>
        <v>0.035</v>
      </c>
      <c r="G77" s="334">
        <f t="shared" si="43"/>
        <v>0.035</v>
      </c>
      <c r="H77" s="334">
        <f t="shared" si="43"/>
        <v>0.035</v>
      </c>
      <c r="I77" s="334">
        <f t="shared" si="43"/>
        <v>0.035</v>
      </c>
      <c r="J77" s="334">
        <f t="shared" si="43"/>
        <v>0.035</v>
      </c>
      <c r="K77" s="334">
        <f t="shared" si="43"/>
        <v>0.035</v>
      </c>
      <c r="L77" s="334">
        <f t="shared" si="43"/>
        <v>0.035</v>
      </c>
      <c r="M77" s="334">
        <f t="shared" si="43"/>
        <v>0.035</v>
      </c>
      <c r="N77" s="334">
        <f t="shared" si="43"/>
        <v>0.035</v>
      </c>
      <c r="O77" s="334">
        <f t="shared" si="43"/>
        <v>0.035</v>
      </c>
      <c r="P77" s="657">
        <f t="shared" si="43"/>
        <v>0.035</v>
      </c>
      <c r="Q77" s="657">
        <f t="shared" si="43"/>
        <v>0.035</v>
      </c>
    </row>
    <row r="78" outlineLevel="1">
      <c r="A78" s="176" t="str">
        <f>IFERROR(__xludf.DUMMYFUNCTION("""COMPUTED_VALUE"""),"Short-term anemia effects")</f>
        <v>Short-term anemia effects</v>
      </c>
      <c r="B78" s="313">
        <f t="shared" si="40"/>
        <v>0.09</v>
      </c>
      <c r="C78" s="177">
        <f t="array" ref="C78">iferror(if(isblank(A78),"",index(InclusionExclusion!$M:M,match(1,(InclusionExclusion!C:C=A78)*(InclusionExclusion!A:A="Deworming"),0))),"Not specified")</f>
        <v>0.09</v>
      </c>
      <c r="D78" s="334">
        <f t="shared" ref="D78:Q78" si="44">$C78</f>
        <v>0.09</v>
      </c>
      <c r="E78" s="334">
        <f t="shared" si="44"/>
        <v>0.09</v>
      </c>
      <c r="F78" s="334">
        <f t="shared" si="44"/>
        <v>0.09</v>
      </c>
      <c r="G78" s="334">
        <f t="shared" si="44"/>
        <v>0.09</v>
      </c>
      <c r="H78" s="334">
        <f t="shared" si="44"/>
        <v>0.09</v>
      </c>
      <c r="I78" s="334">
        <f t="shared" si="44"/>
        <v>0.09</v>
      </c>
      <c r="J78" s="334">
        <f t="shared" si="44"/>
        <v>0.09</v>
      </c>
      <c r="K78" s="334">
        <f t="shared" si="44"/>
        <v>0.09</v>
      </c>
      <c r="L78" s="334">
        <f t="shared" si="44"/>
        <v>0.09</v>
      </c>
      <c r="M78" s="334">
        <f t="shared" si="44"/>
        <v>0.09</v>
      </c>
      <c r="N78" s="334">
        <f t="shared" si="44"/>
        <v>0.09</v>
      </c>
      <c r="O78" s="334">
        <f t="shared" si="44"/>
        <v>0.09</v>
      </c>
      <c r="P78" s="657">
        <f t="shared" si="44"/>
        <v>0.09</v>
      </c>
      <c r="Q78" s="657">
        <f t="shared" si="44"/>
        <v>0.09</v>
      </c>
    </row>
    <row r="79" outlineLevel="1">
      <c r="A79" s="96" t="str">
        <f>IFERROR(__xludf.DUMMYFUNCTION("""COMPUTED_VALUE"""),"Investment of income increases")</f>
        <v>Investment of income increases</v>
      </c>
      <c r="B79" s="313">
        <f t="shared" si="40"/>
        <v>0.1</v>
      </c>
      <c r="C79" s="177">
        <f t="array" ref="C79">iferror(if(isblank(A79),"",index(InclusionExclusion!$M:M,match(1,(InclusionExclusion!C:C=A79)*(InclusionExclusion!A:A="Deworming"),0))),"Not specified")</f>
        <v>0.1</v>
      </c>
      <c r="D79" s="334">
        <f t="shared" ref="D79:Q79" si="45">$C79</f>
        <v>0.1</v>
      </c>
      <c r="E79" s="334">
        <f t="shared" si="45"/>
        <v>0.1</v>
      </c>
      <c r="F79" s="334">
        <f t="shared" si="45"/>
        <v>0.1</v>
      </c>
      <c r="G79" s="334">
        <f t="shared" si="45"/>
        <v>0.1</v>
      </c>
      <c r="H79" s="334">
        <f t="shared" si="45"/>
        <v>0.1</v>
      </c>
      <c r="I79" s="334">
        <f t="shared" si="45"/>
        <v>0.1</v>
      </c>
      <c r="J79" s="334">
        <f t="shared" si="45"/>
        <v>0.1</v>
      </c>
      <c r="K79" s="334">
        <f t="shared" si="45"/>
        <v>0.1</v>
      </c>
      <c r="L79" s="334">
        <f t="shared" si="45"/>
        <v>0.1</v>
      </c>
      <c r="M79" s="334">
        <f t="shared" si="45"/>
        <v>0.1</v>
      </c>
      <c r="N79" s="334">
        <f t="shared" si="45"/>
        <v>0.1</v>
      </c>
      <c r="O79" s="334">
        <f t="shared" si="45"/>
        <v>0.1</v>
      </c>
      <c r="P79" s="657">
        <f t="shared" si="45"/>
        <v>0.1</v>
      </c>
      <c r="Q79" s="657">
        <f t="shared" si="45"/>
        <v>0.1</v>
      </c>
    </row>
    <row r="80" outlineLevel="1">
      <c r="A80" s="176" t="str">
        <f>IFERROR(__xludf.DUMMYFUNCTION("""COMPUTED_VALUE"""),"Non-income long-run benefits of deworming")</f>
        <v>Non-income long-run benefits of deworming</v>
      </c>
      <c r="B80" s="313">
        <f t="shared" si="40"/>
        <v>0.04</v>
      </c>
      <c r="C80" s="177">
        <f t="array" ref="C80">iferror(if(isblank(A80),"",index(InclusionExclusion!$M:M,match(1,(InclusionExclusion!C:C=A80)*(InclusionExclusion!A:A="Deworming"),0))),"Not specified")</f>
        <v>0.04</v>
      </c>
      <c r="D80" s="334">
        <f t="shared" ref="D80:Q80" si="46">$C80</f>
        <v>0.04</v>
      </c>
      <c r="E80" s="334">
        <f t="shared" si="46"/>
        <v>0.04</v>
      </c>
      <c r="F80" s="334">
        <f t="shared" si="46"/>
        <v>0.04</v>
      </c>
      <c r="G80" s="334">
        <f t="shared" si="46"/>
        <v>0.04</v>
      </c>
      <c r="H80" s="334">
        <f t="shared" si="46"/>
        <v>0.04</v>
      </c>
      <c r="I80" s="334">
        <f t="shared" si="46"/>
        <v>0.04</v>
      </c>
      <c r="J80" s="334">
        <f t="shared" si="46"/>
        <v>0.04</v>
      </c>
      <c r="K80" s="334">
        <f t="shared" si="46"/>
        <v>0.04</v>
      </c>
      <c r="L80" s="334">
        <f t="shared" si="46"/>
        <v>0.04</v>
      </c>
      <c r="M80" s="334">
        <f t="shared" si="46"/>
        <v>0.04</v>
      </c>
      <c r="N80" s="334">
        <f t="shared" si="46"/>
        <v>0.04</v>
      </c>
      <c r="O80" s="334">
        <f t="shared" si="46"/>
        <v>0.04</v>
      </c>
      <c r="P80" s="657">
        <f t="shared" si="46"/>
        <v>0.04</v>
      </c>
      <c r="Q80" s="657">
        <f t="shared" si="46"/>
        <v>0.04</v>
      </c>
    </row>
    <row r="81" outlineLevel="1">
      <c r="A81" s="176" t="str">
        <f>IFERROR(__xludf.DUMMYFUNCTION("""COMPUTED_VALUE"""),"Drug resistance")</f>
        <v>Drug resistance</v>
      </c>
      <c r="B81" s="313">
        <f t="shared" si="40"/>
        <v>-0.04</v>
      </c>
      <c r="C81" s="177">
        <f t="array" ref="C81">iferror(if(isblank(A81),"",index(InclusionExclusion!$M:M,match(1,(InclusionExclusion!C:C=A81)*(InclusionExclusion!A:A="Deworming"),0))),"Not specified")</f>
        <v>-0.04</v>
      </c>
      <c r="D81" s="334">
        <f t="shared" ref="D81:Q81" si="47">$C81</f>
        <v>-0.04</v>
      </c>
      <c r="E81" s="334">
        <f t="shared" si="47"/>
        <v>-0.04</v>
      </c>
      <c r="F81" s="334">
        <f t="shared" si="47"/>
        <v>-0.04</v>
      </c>
      <c r="G81" s="334">
        <f t="shared" si="47"/>
        <v>-0.04</v>
      </c>
      <c r="H81" s="334">
        <f t="shared" si="47"/>
        <v>-0.04</v>
      </c>
      <c r="I81" s="334">
        <f t="shared" si="47"/>
        <v>-0.04</v>
      </c>
      <c r="J81" s="334">
        <f t="shared" si="47"/>
        <v>-0.04</v>
      </c>
      <c r="K81" s="334">
        <f t="shared" si="47"/>
        <v>-0.04</v>
      </c>
      <c r="L81" s="334">
        <f t="shared" si="47"/>
        <v>-0.04</v>
      </c>
      <c r="M81" s="334">
        <f t="shared" si="47"/>
        <v>-0.04</v>
      </c>
      <c r="N81" s="334">
        <f t="shared" si="47"/>
        <v>-0.04</v>
      </c>
      <c r="O81" s="334">
        <f t="shared" si="47"/>
        <v>-0.04</v>
      </c>
      <c r="P81" s="657">
        <f t="shared" si="47"/>
        <v>-0.04</v>
      </c>
      <c r="Q81" s="657">
        <f t="shared" si="47"/>
        <v>-0.04</v>
      </c>
    </row>
    <row r="82" outlineLevel="1">
      <c r="A82" s="176" t="str">
        <f>IFERROR(__xludf.DUMMYFUNCTION("""COMPUTED_VALUE"""),"Unprogrammed deworming")</f>
        <v>Unprogrammed deworming</v>
      </c>
      <c r="B82" s="313">
        <f t="shared" si="40"/>
        <v>-0.14</v>
      </c>
      <c r="C82" s="177">
        <f t="array" ref="C82">iferror(if(isblank(A82),"",index(InclusionExclusion!$M:M,match(1,(InclusionExclusion!C:C=A82)*(InclusionExclusion!A:A="Deworming"),0))),"Not specified")</f>
        <v>-0.14</v>
      </c>
      <c r="D82" s="334">
        <f t="shared" ref="D82:Q82" si="48">$C82</f>
        <v>-0.14</v>
      </c>
      <c r="E82" s="334">
        <f t="shared" si="48"/>
        <v>-0.14</v>
      </c>
      <c r="F82" s="334">
        <f t="shared" si="48"/>
        <v>-0.14</v>
      </c>
      <c r="G82" s="334">
        <f t="shared" si="48"/>
        <v>-0.14</v>
      </c>
      <c r="H82" s="334">
        <f t="shared" si="48"/>
        <v>-0.14</v>
      </c>
      <c r="I82" s="334">
        <f t="shared" si="48"/>
        <v>-0.14</v>
      </c>
      <c r="J82" s="334">
        <f t="shared" si="48"/>
        <v>-0.14</v>
      </c>
      <c r="K82" s="334">
        <f t="shared" si="48"/>
        <v>-0.14</v>
      </c>
      <c r="L82" s="334">
        <f t="shared" si="48"/>
        <v>-0.14</v>
      </c>
      <c r="M82" s="334">
        <f t="shared" si="48"/>
        <v>-0.14</v>
      </c>
      <c r="N82" s="334">
        <f t="shared" si="48"/>
        <v>-0.14</v>
      </c>
      <c r="O82" s="334">
        <f t="shared" si="48"/>
        <v>-0.14</v>
      </c>
      <c r="P82" s="657">
        <f t="shared" si="48"/>
        <v>-0.14</v>
      </c>
      <c r="Q82" s="657">
        <f t="shared" si="48"/>
        <v>-0.14</v>
      </c>
    </row>
    <row r="83" outlineLevel="1">
      <c r="A83" s="176" t="str">
        <f>IFERROR(__xludf.DUMMYFUNCTION("""COMPUTED_VALUE"""),"Marginal funding goes to lower priority areas")</f>
        <v>Marginal funding goes to lower priority areas</v>
      </c>
      <c r="B83" s="313">
        <f t="shared" si="40"/>
        <v>-0.025</v>
      </c>
      <c r="C83" s="177">
        <f t="array" ref="C83">iferror(if(isblank(A83),"",index(InclusionExclusion!$M:M,match(1,(InclusionExclusion!C:C=A83)*(InclusionExclusion!A:A="Deworming"),0))),"Not specified")</f>
        <v>-0.025</v>
      </c>
      <c r="D83" s="334">
        <f t="shared" ref="D83:Q83" si="49">$C83</f>
        <v>-0.025</v>
      </c>
      <c r="E83" s="334">
        <f t="shared" si="49"/>
        <v>-0.025</v>
      </c>
      <c r="F83" s="334">
        <f t="shared" si="49"/>
        <v>-0.025</v>
      </c>
      <c r="G83" s="334">
        <f t="shared" si="49"/>
        <v>-0.025</v>
      </c>
      <c r="H83" s="334">
        <f t="shared" si="49"/>
        <v>-0.025</v>
      </c>
      <c r="I83" s="334">
        <f t="shared" si="49"/>
        <v>-0.025</v>
      </c>
      <c r="J83" s="334">
        <f t="shared" si="49"/>
        <v>-0.025</v>
      </c>
      <c r="K83" s="334">
        <f t="shared" si="49"/>
        <v>-0.025</v>
      </c>
      <c r="L83" s="334">
        <f t="shared" si="49"/>
        <v>-0.025</v>
      </c>
      <c r="M83" s="334">
        <f t="shared" si="49"/>
        <v>-0.025</v>
      </c>
      <c r="N83" s="334">
        <f t="shared" si="49"/>
        <v>-0.025</v>
      </c>
      <c r="O83" s="334">
        <f t="shared" si="49"/>
        <v>-0.025</v>
      </c>
      <c r="P83" s="657">
        <f t="shared" si="49"/>
        <v>-0.025</v>
      </c>
      <c r="Q83" s="657">
        <f t="shared" si="49"/>
        <v>-0.025</v>
      </c>
    </row>
    <row r="84" outlineLevel="1">
      <c r="A84" s="96" t="str">
        <f>IFERROR(__xludf.DUMMYFUNCTION("""COMPUTED_VALUE"""),"General equilibrium effects")</f>
        <v>General equilibrium effects</v>
      </c>
      <c r="B84" s="313">
        <f t="shared" si="40"/>
        <v>-0.03</v>
      </c>
      <c r="C84" s="177">
        <f t="array" ref="C84">iferror(if(isblank(A84),"",index(InclusionExclusion!$M:M,match(1,(InclusionExclusion!C:C=A84)*(InclusionExclusion!A:A="Deworming"),0))),"Not specified")</f>
        <v>-0.03</v>
      </c>
      <c r="D84" s="334">
        <f t="shared" ref="D84:Q84" si="50">$C84</f>
        <v>-0.03</v>
      </c>
      <c r="E84" s="334">
        <f t="shared" si="50"/>
        <v>-0.03</v>
      </c>
      <c r="F84" s="334">
        <f t="shared" si="50"/>
        <v>-0.03</v>
      </c>
      <c r="G84" s="334">
        <f t="shared" si="50"/>
        <v>-0.03</v>
      </c>
      <c r="H84" s="334">
        <f t="shared" si="50"/>
        <v>-0.03</v>
      </c>
      <c r="I84" s="334">
        <f t="shared" si="50"/>
        <v>-0.03</v>
      </c>
      <c r="J84" s="334">
        <f t="shared" si="50"/>
        <v>-0.03</v>
      </c>
      <c r="K84" s="334">
        <f t="shared" si="50"/>
        <v>-0.03</v>
      </c>
      <c r="L84" s="334">
        <f t="shared" si="50"/>
        <v>-0.03</v>
      </c>
      <c r="M84" s="334">
        <f t="shared" si="50"/>
        <v>-0.03</v>
      </c>
      <c r="N84" s="334">
        <f t="shared" si="50"/>
        <v>-0.03</v>
      </c>
      <c r="O84" s="334">
        <f t="shared" si="50"/>
        <v>-0.03</v>
      </c>
      <c r="P84" s="657">
        <f t="shared" si="50"/>
        <v>-0.03</v>
      </c>
      <c r="Q84" s="657">
        <f t="shared" si="50"/>
        <v>-0.03</v>
      </c>
    </row>
    <row r="85" outlineLevel="1">
      <c r="A85" s="96"/>
      <c r="B85" s="313" t="str">
        <f t="shared" si="40"/>
        <v/>
      </c>
      <c r="C85" s="299" t="str">
        <f t="array" ref="C85">iferror(if(isblank(A85),"",index(InclusionExclusion!$M:M,match(1,(InclusionExclusion!C:C=A85)*(InclusionExclusion!A:A="Deworming"),0))),"Not specified")</f>
        <v/>
      </c>
      <c r="D85" s="334" t="str">
        <f t="shared" ref="D85:Q85" si="51">$C85</f>
        <v/>
      </c>
      <c r="E85" s="334" t="str">
        <f t="shared" si="51"/>
        <v/>
      </c>
      <c r="F85" s="334" t="str">
        <f t="shared" si="51"/>
        <v/>
      </c>
      <c r="G85" s="334" t="str">
        <f t="shared" si="51"/>
        <v/>
      </c>
      <c r="H85" s="334" t="str">
        <f t="shared" si="51"/>
        <v/>
      </c>
      <c r="I85" s="334" t="str">
        <f t="shared" si="51"/>
        <v/>
      </c>
      <c r="J85" s="334" t="str">
        <f t="shared" si="51"/>
        <v/>
      </c>
      <c r="K85" s="334" t="str">
        <f t="shared" si="51"/>
        <v/>
      </c>
      <c r="L85" s="334" t="str">
        <f t="shared" si="51"/>
        <v/>
      </c>
      <c r="M85" s="334" t="str">
        <f t="shared" si="51"/>
        <v/>
      </c>
      <c r="N85" s="334" t="str">
        <f t="shared" si="51"/>
        <v/>
      </c>
      <c r="O85" s="334" t="str">
        <f t="shared" si="51"/>
        <v/>
      </c>
      <c r="P85" s="299" t="str">
        <f t="shared" si="51"/>
        <v/>
      </c>
      <c r="Q85" s="299" t="str">
        <f t="shared" si="51"/>
        <v/>
      </c>
    </row>
    <row r="86" outlineLevel="1">
      <c r="A86" s="96"/>
      <c r="B86" s="313" t="str">
        <f t="shared" si="40"/>
        <v/>
      </c>
      <c r="C86" s="299" t="str">
        <f t="array" ref="C86">iferror(if(isblank(A86),"",index(InclusionExclusion!$M:M,match(1,(InclusionExclusion!C:C=A86)*(InclusionExclusion!A:A="Deworming"),0))),"Not specified")</f>
        <v/>
      </c>
      <c r="D86" s="334" t="str">
        <f t="shared" ref="D86:Q86" si="52">$C86</f>
        <v/>
      </c>
      <c r="E86" s="334" t="str">
        <f t="shared" si="52"/>
        <v/>
      </c>
      <c r="F86" s="334" t="str">
        <f t="shared" si="52"/>
        <v/>
      </c>
      <c r="G86" s="334" t="str">
        <f t="shared" si="52"/>
        <v/>
      </c>
      <c r="H86" s="334" t="str">
        <f t="shared" si="52"/>
        <v/>
      </c>
      <c r="I86" s="334" t="str">
        <f t="shared" si="52"/>
        <v/>
      </c>
      <c r="J86" s="334" t="str">
        <f t="shared" si="52"/>
        <v/>
      </c>
      <c r="K86" s="334" t="str">
        <f t="shared" si="52"/>
        <v/>
      </c>
      <c r="L86" s="334" t="str">
        <f t="shared" si="52"/>
        <v/>
      </c>
      <c r="M86" s="334" t="str">
        <f t="shared" si="52"/>
        <v/>
      </c>
      <c r="N86" s="334" t="str">
        <f t="shared" si="52"/>
        <v/>
      </c>
      <c r="O86" s="334" t="str">
        <f t="shared" si="52"/>
        <v/>
      </c>
      <c r="P86" s="299" t="str">
        <f t="shared" si="52"/>
        <v/>
      </c>
      <c r="Q86" s="299" t="str">
        <f t="shared" si="52"/>
        <v/>
      </c>
    </row>
    <row r="87">
      <c r="A87" s="335" t="s">
        <v>279</v>
      </c>
      <c r="B87" s="315">
        <f t="shared" si="40"/>
        <v>1.073</v>
      </c>
      <c r="C87" s="152">
        <f t="shared" ref="C87:Q87" si="53">1+sum(C73:C86)</f>
        <v>1.073</v>
      </c>
      <c r="D87" s="153">
        <f t="shared" si="53"/>
        <v>1.073</v>
      </c>
      <c r="E87" s="153">
        <f t="shared" si="53"/>
        <v>1.073</v>
      </c>
      <c r="F87" s="153">
        <f t="shared" si="53"/>
        <v>1.073</v>
      </c>
      <c r="G87" s="153">
        <f t="shared" si="53"/>
        <v>1.073</v>
      </c>
      <c r="H87" s="153">
        <f t="shared" si="53"/>
        <v>1.073</v>
      </c>
      <c r="I87" s="153">
        <f t="shared" si="53"/>
        <v>1.073</v>
      </c>
      <c r="J87" s="153">
        <f t="shared" si="53"/>
        <v>1.073</v>
      </c>
      <c r="K87" s="153">
        <f t="shared" si="53"/>
        <v>1.073</v>
      </c>
      <c r="L87" s="153">
        <f t="shared" si="53"/>
        <v>1.073</v>
      </c>
      <c r="M87" s="153">
        <f t="shared" si="53"/>
        <v>1.073</v>
      </c>
      <c r="N87" s="153">
        <f t="shared" si="53"/>
        <v>1.073</v>
      </c>
      <c r="O87" s="153">
        <f t="shared" si="53"/>
        <v>1.073</v>
      </c>
      <c r="P87" s="152">
        <f t="shared" si="53"/>
        <v>1.073</v>
      </c>
      <c r="Q87" s="152">
        <f t="shared" si="53"/>
        <v>1.073</v>
      </c>
    </row>
    <row r="88">
      <c r="A88" s="82"/>
      <c r="B88" s="587"/>
      <c r="C88" s="121"/>
      <c r="D88" s="407"/>
      <c r="E88" s="540"/>
      <c r="F88" s="407"/>
      <c r="G88" s="407"/>
      <c r="H88" s="407"/>
      <c r="I88" s="407"/>
      <c r="J88" s="407"/>
      <c r="K88" s="407"/>
      <c r="L88" s="407"/>
      <c r="M88" s="407"/>
      <c r="N88" s="407"/>
      <c r="O88" s="407"/>
      <c r="P88" s="121"/>
      <c r="Q88" s="121"/>
    </row>
    <row r="89">
      <c r="A89" s="308" t="s">
        <v>280</v>
      </c>
      <c r="B89" s="585"/>
      <c r="C89" s="243"/>
      <c r="D89" s="586"/>
      <c r="E89" s="586"/>
      <c r="F89" s="586"/>
      <c r="G89" s="586"/>
      <c r="H89" s="586"/>
      <c r="I89" s="586"/>
      <c r="J89" s="586"/>
      <c r="K89" s="586"/>
      <c r="L89" s="586"/>
      <c r="M89" s="586"/>
      <c r="N89" s="586"/>
      <c r="O89" s="586"/>
      <c r="P89" s="243"/>
      <c r="Q89" s="243"/>
    </row>
    <row r="90">
      <c r="A90" s="540" t="s">
        <v>446</v>
      </c>
      <c r="B90" s="572">
        <f t="shared" ref="B90:B91" si="55">index(A90:J90,,match($A$3,$A$1:$J$1,0))</f>
        <v>4877.0201</v>
      </c>
      <c r="C90" s="272">
        <f>sum(D90:Q90)</f>
        <v>4877.0201</v>
      </c>
      <c r="D90" s="573">
        <f t="shared" ref="D90:Q90" si="54">D65*D87</f>
        <v>510.9585386</v>
      </c>
      <c r="E90" s="573">
        <f t="shared" si="54"/>
        <v>918.6321592</v>
      </c>
      <c r="F90" s="573">
        <f t="shared" si="54"/>
        <v>1771.93929</v>
      </c>
      <c r="G90" s="573">
        <f t="shared" si="54"/>
        <v>552.8949332</v>
      </c>
      <c r="H90" s="573">
        <f t="shared" si="54"/>
        <v>285.8345214</v>
      </c>
      <c r="I90" s="573">
        <f t="shared" si="54"/>
        <v>40.53713338</v>
      </c>
      <c r="J90" s="573">
        <f t="shared" si="54"/>
        <v>76.7786587</v>
      </c>
      <c r="K90" s="573">
        <f t="shared" si="54"/>
        <v>250.3899044</v>
      </c>
      <c r="L90" s="573">
        <f t="shared" si="54"/>
        <v>1.725563631</v>
      </c>
      <c r="M90" s="573">
        <f t="shared" si="54"/>
        <v>1.201415015</v>
      </c>
      <c r="N90" s="573">
        <f t="shared" si="54"/>
        <v>265.1854127</v>
      </c>
      <c r="O90" s="573">
        <f t="shared" si="54"/>
        <v>16.44933396</v>
      </c>
      <c r="P90" s="272">
        <f t="shared" si="54"/>
        <v>107.7491949</v>
      </c>
      <c r="Q90" s="272">
        <f t="shared" si="54"/>
        <v>76.74404103</v>
      </c>
    </row>
    <row r="91">
      <c r="A91" s="574" t="s">
        <v>447</v>
      </c>
      <c r="B91" s="575">
        <f t="shared" si="55"/>
        <v>0.01892923675</v>
      </c>
      <c r="C91" s="293">
        <f t="shared" ref="C91:Q91" si="56">C90/C16</f>
        <v>0.01892923675</v>
      </c>
      <c r="D91" s="583">
        <f t="shared" si="56"/>
        <v>0.008471611639</v>
      </c>
      <c r="E91" s="583">
        <f t="shared" si="56"/>
        <v>0.04882097814</v>
      </c>
      <c r="F91" s="583">
        <f t="shared" si="56"/>
        <v>0.05230211047</v>
      </c>
      <c r="G91" s="583">
        <f t="shared" si="56"/>
        <v>0.01292206892</v>
      </c>
      <c r="H91" s="583">
        <f t="shared" si="56"/>
        <v>0.01889692529</v>
      </c>
      <c r="I91" s="583">
        <f t="shared" si="56"/>
        <v>0.001213534709</v>
      </c>
      <c r="J91" s="583">
        <f t="shared" si="56"/>
        <v>0.02379996307</v>
      </c>
      <c r="K91" s="583">
        <f t="shared" si="56"/>
        <v>0.02582278411</v>
      </c>
      <c r="L91" s="583">
        <f t="shared" si="56"/>
        <v>0.001682443476</v>
      </c>
      <c r="M91" s="583">
        <f t="shared" si="56"/>
        <v>0.0003115636066</v>
      </c>
      <c r="N91" s="583">
        <f t="shared" si="56"/>
        <v>0.01081338403</v>
      </c>
      <c r="O91" s="583">
        <f t="shared" si="56"/>
        <v>0.004806975053</v>
      </c>
      <c r="P91" s="293">
        <f t="shared" si="56"/>
        <v>0.05230211047</v>
      </c>
      <c r="Q91" s="293">
        <f t="shared" si="56"/>
        <v>0.01393261872</v>
      </c>
    </row>
    <row r="92">
      <c r="A92" s="638"/>
      <c r="B92" s="658"/>
      <c r="C92" s="417"/>
      <c r="D92" s="659"/>
      <c r="E92" s="659"/>
      <c r="F92" s="659"/>
      <c r="G92" s="659"/>
      <c r="H92" s="659"/>
      <c r="I92" s="659"/>
      <c r="J92" s="659"/>
      <c r="K92" s="659"/>
      <c r="L92" s="659"/>
      <c r="M92" s="659"/>
      <c r="N92" s="659"/>
      <c r="O92" s="659"/>
      <c r="P92" s="417"/>
      <c r="Q92" s="417"/>
    </row>
    <row r="93">
      <c r="A93" s="304" t="s">
        <v>449</v>
      </c>
      <c r="B93" s="306">
        <f t="array" ref="B93">index(C93:AF93,,match($A$3,$C$1:$AF$1,0))</f>
        <v>5.502937816</v>
      </c>
      <c r="C93" s="307">
        <f t="array" ref="C93">C91/index(GiveDirectly!$B:$B,match("Units of value generated per dollar spent",GiveDirectly!$A:$A,0))</f>
        <v>5.502937816</v>
      </c>
      <c r="D93" s="307">
        <f t="array" ref="D93">D91/index(GiveDirectly!$B:$B,match("Units of value generated per dollar spent",GiveDirectly!$A:$A,0))</f>
        <v>2.462790903</v>
      </c>
      <c r="E93" s="307">
        <f t="array" ref="E93">E91/index(GiveDirectly!$B:$B,match("Units of value generated per dollar spent",GiveDirectly!$A:$A,0))</f>
        <v>14.1927966</v>
      </c>
      <c r="F93" s="307">
        <f t="array" ref="F93">F91/index(GiveDirectly!$B:$B,match("Units of value generated per dollar spent",GiveDirectly!$A:$A,0))</f>
        <v>15.20480014</v>
      </c>
      <c r="G93" s="307">
        <f t="array" ref="G93">G91/index(GiveDirectly!$B:$B,match("Units of value generated per dollar spent",GiveDirectly!$A:$A,0))</f>
        <v>3.756587902</v>
      </c>
      <c r="H93" s="307">
        <f t="array" ref="H93">H91/index(GiveDirectly!$B:$B,match("Units of value generated per dollar spent",GiveDirectly!$A:$A,0))</f>
        <v>5.49354452</v>
      </c>
      <c r="I93" s="307">
        <f t="array" ref="I93">I91/index(GiveDirectly!$B:$B,match("Units of value generated per dollar spent",GiveDirectly!$A:$A,0))</f>
        <v>0.3527879191</v>
      </c>
      <c r="J93" s="307">
        <f t="array" ref="J93">J91/index(GiveDirectly!$B:$B,match("Units of value generated per dollar spent",GiveDirectly!$A:$A,0))</f>
        <v>6.918911659</v>
      </c>
      <c r="K93" s="307">
        <f t="array" ref="K93">K91/index(GiveDirectly!$B:$B,match("Units of value generated per dollar spent",GiveDirectly!$A:$A,0))</f>
        <v>7.506968037</v>
      </c>
      <c r="L93" s="307">
        <f t="array" ref="L93">L91/index(GiveDirectly!$B:$B,match("Units of value generated per dollar spent",GiveDirectly!$A:$A,0))</f>
        <v>0.4891048673</v>
      </c>
      <c r="M93" s="307">
        <f t="array" ref="M93">M91/index(GiveDirectly!$B:$B,match("Units of value generated per dollar spent",GiveDirectly!$A:$A,0))</f>
        <v>0.09057497542</v>
      </c>
      <c r="N93" s="307">
        <f t="array" ref="N93">N91/index(GiveDirectly!$B:$B,match("Units of value generated per dollar spent",GiveDirectly!$A:$A,0))</f>
        <v>3.143569955</v>
      </c>
      <c r="O93" s="307">
        <f t="array" ref="O93">O91/index(GiveDirectly!$B:$B,match("Units of value generated per dollar spent",GiveDirectly!$A:$A,0))</f>
        <v>1.397440645</v>
      </c>
      <c r="P93" s="307">
        <f t="array" ref="P93">P91/index(GiveDirectly!$B:$B,match("Units of value generated per dollar spent",GiveDirectly!$A:$A,0))</f>
        <v>15.20480014</v>
      </c>
      <c r="Q93" s="307">
        <f t="array" ref="Q93">Q91/index(GiveDirectly!$B:$B,match("Units of value generated per dollar spent",GiveDirectly!$A:$A,0))</f>
        <v>4.05036587</v>
      </c>
    </row>
    <row r="94">
      <c r="A94" s="407"/>
      <c r="B94" s="587"/>
      <c r="C94" s="121"/>
      <c r="D94" s="407"/>
      <c r="E94" s="407"/>
      <c r="F94" s="407"/>
      <c r="G94" s="407"/>
      <c r="H94" s="407"/>
      <c r="I94" s="407"/>
      <c r="J94" s="407"/>
      <c r="K94" s="407"/>
      <c r="L94" s="407"/>
      <c r="M94" s="407"/>
      <c r="N94" s="407"/>
      <c r="O94" s="407"/>
      <c r="P94" s="121"/>
      <c r="Q94" s="121"/>
    </row>
    <row r="95">
      <c r="A95" s="241" t="s">
        <v>371</v>
      </c>
      <c r="B95" s="585"/>
      <c r="C95" s="243"/>
      <c r="D95" s="586"/>
      <c r="E95" s="586"/>
      <c r="F95" s="586"/>
      <c r="G95" s="586"/>
      <c r="H95" s="586"/>
      <c r="I95" s="586"/>
      <c r="J95" s="586"/>
      <c r="K95" s="586"/>
      <c r="L95" s="586"/>
      <c r="M95" s="586"/>
      <c r="N95" s="586"/>
      <c r="O95" s="586"/>
      <c r="P95" s="243"/>
      <c r="Q95" s="243"/>
    </row>
    <row r="96" outlineLevel="1">
      <c r="A96" s="287"/>
      <c r="B96" s="587"/>
      <c r="C96" s="121"/>
      <c r="D96" s="407"/>
      <c r="E96" s="407"/>
      <c r="F96" s="407"/>
      <c r="G96" s="407"/>
      <c r="H96" s="407"/>
      <c r="I96" s="407"/>
      <c r="J96" s="407"/>
      <c r="K96" s="407"/>
      <c r="L96" s="407"/>
      <c r="M96" s="407"/>
      <c r="N96" s="407"/>
      <c r="O96" s="407"/>
      <c r="P96" s="121"/>
      <c r="Q96" s="121"/>
    </row>
    <row r="97" outlineLevel="1">
      <c r="A97" s="588" t="s">
        <v>450</v>
      </c>
      <c r="B97" s="587"/>
      <c r="C97" s="121"/>
      <c r="D97" s="407"/>
      <c r="E97" s="407"/>
      <c r="F97" s="407"/>
      <c r="G97" s="407"/>
      <c r="H97" s="407"/>
      <c r="I97" s="407"/>
      <c r="J97" s="407"/>
      <c r="K97" s="407"/>
      <c r="L97" s="407"/>
      <c r="M97" s="407"/>
      <c r="N97" s="407"/>
      <c r="O97" s="407"/>
      <c r="P97" s="121"/>
      <c r="Q97" s="121"/>
    </row>
    <row r="98" outlineLevel="1">
      <c r="A98" s="344" t="s">
        <v>451</v>
      </c>
      <c r="B98" s="635">
        <f t="shared" ref="B98:B103" si="58">index(A98:J98,,match($A$3,$A$1:$J$1,0))</f>
        <v>0.3993738984</v>
      </c>
      <c r="C98" s="660">
        <f t="shared" ref="C98:Q98" si="57">C8*C$23</f>
        <v>0.3993738984</v>
      </c>
      <c r="D98" s="660">
        <f t="shared" si="57"/>
        <v>0.3993738984</v>
      </c>
      <c r="E98" s="660">
        <f t="shared" si="57"/>
        <v>0.3993738984</v>
      </c>
      <c r="F98" s="660">
        <f t="shared" si="57"/>
        <v>0.3993738984</v>
      </c>
      <c r="G98" s="660">
        <f t="shared" si="57"/>
        <v>0.3993738984</v>
      </c>
      <c r="H98" s="660">
        <f t="shared" si="57"/>
        <v>0.3993738984</v>
      </c>
      <c r="I98" s="660">
        <f t="shared" si="57"/>
        <v>0.3993738984</v>
      </c>
      <c r="J98" s="660">
        <f t="shared" si="57"/>
        <v>0.3993738984</v>
      </c>
      <c r="K98" s="660">
        <f t="shared" si="57"/>
        <v>0.3993738984</v>
      </c>
      <c r="L98" s="660">
        <f t="shared" si="57"/>
        <v>0.3993738984</v>
      </c>
      <c r="M98" s="660">
        <f t="shared" si="57"/>
        <v>0.3993738984</v>
      </c>
      <c r="N98" s="660">
        <f t="shared" si="57"/>
        <v>0.3993738984</v>
      </c>
      <c r="O98" s="660">
        <f t="shared" si="57"/>
        <v>0.3993738984</v>
      </c>
      <c r="P98" s="660">
        <f t="shared" si="57"/>
        <v>0.3993738984</v>
      </c>
      <c r="Q98" s="660">
        <f t="shared" si="57"/>
        <v>0.3993738984</v>
      </c>
    </row>
    <row r="99" outlineLevel="1">
      <c r="A99" s="344" t="s">
        <v>374</v>
      </c>
      <c r="B99" s="635">
        <f t="shared" si="58"/>
        <v>0</v>
      </c>
      <c r="C99" s="660">
        <f t="shared" ref="C99:Q99" si="59">C9*C$23</f>
        <v>0</v>
      </c>
      <c r="D99" s="660">
        <f t="shared" si="59"/>
        <v>0</v>
      </c>
      <c r="E99" s="660">
        <f t="shared" si="59"/>
        <v>0</v>
      </c>
      <c r="F99" s="660">
        <f t="shared" si="59"/>
        <v>0</v>
      </c>
      <c r="G99" s="660">
        <f t="shared" si="59"/>
        <v>0</v>
      </c>
      <c r="H99" s="660">
        <f t="shared" si="59"/>
        <v>0</v>
      </c>
      <c r="I99" s="660">
        <f t="shared" si="59"/>
        <v>0</v>
      </c>
      <c r="J99" s="660">
        <f t="shared" si="59"/>
        <v>0</v>
      </c>
      <c r="K99" s="660">
        <f t="shared" si="59"/>
        <v>0</v>
      </c>
      <c r="L99" s="660">
        <f t="shared" si="59"/>
        <v>0</v>
      </c>
      <c r="M99" s="660">
        <f t="shared" si="59"/>
        <v>0</v>
      </c>
      <c r="N99" s="660">
        <f t="shared" si="59"/>
        <v>0</v>
      </c>
      <c r="O99" s="660">
        <f t="shared" si="59"/>
        <v>0</v>
      </c>
      <c r="P99" s="660">
        <f t="shared" si="59"/>
        <v>0</v>
      </c>
      <c r="Q99" s="660">
        <f t="shared" si="59"/>
        <v>0</v>
      </c>
    </row>
    <row r="100" outlineLevel="1">
      <c r="A100" s="344" t="s">
        <v>375</v>
      </c>
      <c r="B100" s="635">
        <f t="shared" si="58"/>
        <v>0.3086898679</v>
      </c>
      <c r="C100" s="660">
        <f t="shared" ref="C100:Q100" si="60">C10*C$23</f>
        <v>0.3086898679</v>
      </c>
      <c r="D100" s="660">
        <f t="shared" si="60"/>
        <v>0.3086898679</v>
      </c>
      <c r="E100" s="660">
        <f t="shared" si="60"/>
        <v>0.3086898679</v>
      </c>
      <c r="F100" s="660">
        <f t="shared" si="60"/>
        <v>0.3086898679</v>
      </c>
      <c r="G100" s="660">
        <f t="shared" si="60"/>
        <v>0.3086898679</v>
      </c>
      <c r="H100" s="660">
        <f t="shared" si="60"/>
        <v>0.3086898679</v>
      </c>
      <c r="I100" s="660">
        <f t="shared" si="60"/>
        <v>0.3086898679</v>
      </c>
      <c r="J100" s="660">
        <f t="shared" si="60"/>
        <v>0.3086898679</v>
      </c>
      <c r="K100" s="660">
        <f t="shared" si="60"/>
        <v>0.3086898679</v>
      </c>
      <c r="L100" s="660">
        <f t="shared" si="60"/>
        <v>0.3086898679</v>
      </c>
      <c r="M100" s="660">
        <f t="shared" si="60"/>
        <v>0.3086898679</v>
      </c>
      <c r="N100" s="660">
        <f t="shared" si="60"/>
        <v>0.3086898679</v>
      </c>
      <c r="O100" s="660">
        <f t="shared" si="60"/>
        <v>0.3086898679</v>
      </c>
      <c r="P100" s="660">
        <f t="shared" si="60"/>
        <v>0.3086898679</v>
      </c>
      <c r="Q100" s="660">
        <f t="shared" si="60"/>
        <v>0.3086898679</v>
      </c>
    </row>
    <row r="101" outlineLevel="1">
      <c r="A101" s="344" t="s">
        <v>387</v>
      </c>
      <c r="B101" s="635">
        <f t="shared" si="58"/>
        <v>0.32090246</v>
      </c>
      <c r="C101" s="661">
        <f t="shared" ref="C101:Q101" si="61">C11*C$23</f>
        <v>0.32090246</v>
      </c>
      <c r="D101" s="660">
        <f t="shared" si="61"/>
        <v>0.32090246</v>
      </c>
      <c r="E101" s="660">
        <f t="shared" si="61"/>
        <v>0.32090246</v>
      </c>
      <c r="F101" s="660">
        <f t="shared" si="61"/>
        <v>0.32090246</v>
      </c>
      <c r="G101" s="660">
        <f t="shared" si="61"/>
        <v>0.32090246</v>
      </c>
      <c r="H101" s="660">
        <f t="shared" si="61"/>
        <v>0.32090246</v>
      </c>
      <c r="I101" s="660">
        <f t="shared" si="61"/>
        <v>0.32090246</v>
      </c>
      <c r="J101" s="660">
        <f t="shared" si="61"/>
        <v>0.32090246</v>
      </c>
      <c r="K101" s="660">
        <f t="shared" si="61"/>
        <v>0.32090246</v>
      </c>
      <c r="L101" s="660">
        <f t="shared" si="61"/>
        <v>0.32090246</v>
      </c>
      <c r="M101" s="660">
        <f t="shared" si="61"/>
        <v>0.32090246</v>
      </c>
      <c r="N101" s="660">
        <f t="shared" si="61"/>
        <v>0.32090246</v>
      </c>
      <c r="O101" s="660">
        <f t="shared" si="61"/>
        <v>0.32090246</v>
      </c>
      <c r="P101" s="661">
        <f t="shared" si="61"/>
        <v>0.32090246</v>
      </c>
      <c r="Q101" s="661">
        <f t="shared" si="61"/>
        <v>0.32090246</v>
      </c>
    </row>
    <row r="102" outlineLevel="1">
      <c r="A102" s="591" t="s">
        <v>377</v>
      </c>
      <c r="B102" s="592">
        <f t="shared" si="58"/>
        <v>1.028966226</v>
      </c>
      <c r="C102" s="662">
        <f t="shared" ref="C102:Q102" si="62">sum(C98:C101)</f>
        <v>1.028966226</v>
      </c>
      <c r="D102" s="663">
        <f t="shared" si="62"/>
        <v>1.028966226</v>
      </c>
      <c r="E102" s="663">
        <f t="shared" si="62"/>
        <v>1.028966226</v>
      </c>
      <c r="F102" s="663">
        <f t="shared" si="62"/>
        <v>1.028966226</v>
      </c>
      <c r="G102" s="663">
        <f t="shared" si="62"/>
        <v>1.028966226</v>
      </c>
      <c r="H102" s="663">
        <f t="shared" si="62"/>
        <v>1.028966226</v>
      </c>
      <c r="I102" s="663">
        <f t="shared" si="62"/>
        <v>1.028966226</v>
      </c>
      <c r="J102" s="663">
        <f t="shared" si="62"/>
        <v>1.028966226</v>
      </c>
      <c r="K102" s="663">
        <f t="shared" si="62"/>
        <v>1.028966226</v>
      </c>
      <c r="L102" s="663">
        <f t="shared" si="62"/>
        <v>1.028966226</v>
      </c>
      <c r="M102" s="663">
        <f t="shared" si="62"/>
        <v>1.028966226</v>
      </c>
      <c r="N102" s="663">
        <f t="shared" si="62"/>
        <v>1.028966226</v>
      </c>
      <c r="O102" s="663">
        <f t="shared" si="62"/>
        <v>1.028966226</v>
      </c>
      <c r="P102" s="664">
        <f t="shared" si="62"/>
        <v>1.028966226</v>
      </c>
      <c r="Q102" s="664">
        <f t="shared" si="62"/>
        <v>1.028966226</v>
      </c>
    </row>
    <row r="103" outlineLevel="1">
      <c r="A103" s="594" t="s">
        <v>378</v>
      </c>
      <c r="B103" s="595">
        <f t="shared" si="58"/>
        <v>0</v>
      </c>
      <c r="C103" s="509">
        <f t="shared" ref="C103:Q103" si="63">(C102-C23)/C102</f>
        <v>0</v>
      </c>
      <c r="D103" s="596">
        <f t="shared" si="63"/>
        <v>0</v>
      </c>
      <c r="E103" s="596">
        <f t="shared" si="63"/>
        <v>0</v>
      </c>
      <c r="F103" s="596">
        <f t="shared" si="63"/>
        <v>0</v>
      </c>
      <c r="G103" s="596">
        <f t="shared" si="63"/>
        <v>0</v>
      </c>
      <c r="H103" s="596">
        <f t="shared" si="63"/>
        <v>0</v>
      </c>
      <c r="I103" s="596">
        <f t="shared" si="63"/>
        <v>0</v>
      </c>
      <c r="J103" s="596">
        <f t="shared" si="63"/>
        <v>0</v>
      </c>
      <c r="K103" s="596">
        <f t="shared" si="63"/>
        <v>0</v>
      </c>
      <c r="L103" s="596">
        <f t="shared" si="63"/>
        <v>0</v>
      </c>
      <c r="M103" s="596">
        <f t="shared" si="63"/>
        <v>0</v>
      </c>
      <c r="N103" s="596">
        <f t="shared" si="63"/>
        <v>0</v>
      </c>
      <c r="O103" s="596">
        <f t="shared" si="63"/>
        <v>0</v>
      </c>
      <c r="P103" s="509">
        <f t="shared" si="63"/>
        <v>0</v>
      </c>
      <c r="Q103" s="509">
        <f t="shared" si="63"/>
        <v>0</v>
      </c>
    </row>
    <row r="104" outlineLevel="1">
      <c r="A104" s="287"/>
      <c r="B104" s="587"/>
      <c r="C104" s="121"/>
      <c r="D104" s="407"/>
      <c r="E104" s="407"/>
      <c r="F104" s="407"/>
      <c r="G104" s="407"/>
      <c r="H104" s="407"/>
      <c r="I104" s="407"/>
      <c r="J104" s="407"/>
      <c r="K104" s="407"/>
      <c r="L104" s="407"/>
      <c r="M104" s="407"/>
      <c r="N104" s="407"/>
      <c r="O104" s="407"/>
      <c r="P104" s="121"/>
      <c r="Q104" s="121"/>
    </row>
    <row r="105" outlineLevel="1">
      <c r="A105" s="277" t="s">
        <v>379</v>
      </c>
      <c r="B105" s="587"/>
      <c r="C105" s="121"/>
      <c r="D105" s="407"/>
      <c r="E105" s="407"/>
      <c r="F105" s="407"/>
      <c r="G105" s="407"/>
      <c r="H105" s="407"/>
      <c r="I105" s="407"/>
      <c r="J105" s="407"/>
      <c r="K105" s="407"/>
      <c r="L105" s="407"/>
      <c r="M105" s="407"/>
      <c r="N105" s="407"/>
      <c r="O105" s="407"/>
      <c r="P105" s="121"/>
      <c r="Q105" s="121"/>
    </row>
    <row r="106" outlineLevel="1">
      <c r="A106" s="270" t="s">
        <v>451</v>
      </c>
      <c r="B106" s="597">
        <f t="shared" ref="B106:B110" si="65">index(A106:J106,,match($A$3,$A$1:$J$1,0))</f>
        <v>100000</v>
      </c>
      <c r="C106" s="612">
        <f t="shared" ref="C106:Q106" si="64">C15</f>
        <v>100000</v>
      </c>
      <c r="D106" s="597">
        <f t="shared" si="64"/>
        <v>23409.8257</v>
      </c>
      <c r="E106" s="597">
        <f t="shared" si="64"/>
        <v>7303.208945</v>
      </c>
      <c r="F106" s="597">
        <f t="shared" si="64"/>
        <v>13149.46798</v>
      </c>
      <c r="G106" s="597">
        <f t="shared" si="64"/>
        <v>16606.9208</v>
      </c>
      <c r="H106" s="597">
        <f t="shared" si="64"/>
        <v>5870.864955</v>
      </c>
      <c r="I106" s="597">
        <f t="shared" si="64"/>
        <v>12965.20503</v>
      </c>
      <c r="J106" s="597">
        <f t="shared" si="64"/>
        <v>1252.110897</v>
      </c>
      <c r="K106" s="597">
        <f t="shared" si="64"/>
        <v>3763.503353</v>
      </c>
      <c r="L106" s="597">
        <f t="shared" si="64"/>
        <v>398.078804</v>
      </c>
      <c r="M106" s="597">
        <f t="shared" si="64"/>
        <v>1496.665991</v>
      </c>
      <c r="N106" s="597">
        <f t="shared" si="64"/>
        <v>9518.457198</v>
      </c>
      <c r="O106" s="597">
        <f t="shared" si="64"/>
        <v>1328.1741</v>
      </c>
      <c r="P106" s="612">
        <f t="shared" si="64"/>
        <v>799.6010904</v>
      </c>
      <c r="Q106" s="612">
        <f t="shared" si="64"/>
        <v>2137.915168</v>
      </c>
    </row>
    <row r="107" outlineLevel="1">
      <c r="A107" s="344" t="s">
        <v>374</v>
      </c>
      <c r="B107" s="597">
        <f t="shared" si="65"/>
        <v>0</v>
      </c>
      <c r="C107" s="302">
        <f t="shared" ref="C107:C109" si="67">sum(D107:Q107)</f>
        <v>0</v>
      </c>
      <c r="D107" s="599">
        <f t="shared" ref="D107:Q107" si="66">D9*D$16</f>
        <v>0</v>
      </c>
      <c r="E107" s="599">
        <f t="shared" si="66"/>
        <v>0</v>
      </c>
      <c r="F107" s="599">
        <f t="shared" si="66"/>
        <v>0</v>
      </c>
      <c r="G107" s="599">
        <f t="shared" si="66"/>
        <v>0</v>
      </c>
      <c r="H107" s="599">
        <f t="shared" si="66"/>
        <v>0</v>
      </c>
      <c r="I107" s="599">
        <f t="shared" si="66"/>
        <v>0</v>
      </c>
      <c r="J107" s="599">
        <f t="shared" si="66"/>
        <v>0</v>
      </c>
      <c r="K107" s="599">
        <f t="shared" si="66"/>
        <v>0</v>
      </c>
      <c r="L107" s="599">
        <f t="shared" si="66"/>
        <v>0</v>
      </c>
      <c r="M107" s="599">
        <f t="shared" si="66"/>
        <v>0</v>
      </c>
      <c r="N107" s="599">
        <f t="shared" si="66"/>
        <v>0</v>
      </c>
      <c r="O107" s="599">
        <f t="shared" si="66"/>
        <v>0</v>
      </c>
      <c r="P107" s="302">
        <f t="shared" si="66"/>
        <v>0</v>
      </c>
      <c r="Q107" s="302">
        <f t="shared" si="66"/>
        <v>0</v>
      </c>
    </row>
    <row r="108" outlineLevel="1">
      <c r="A108" s="344" t="s">
        <v>375</v>
      </c>
      <c r="B108" s="597">
        <f t="shared" si="65"/>
        <v>77293.45085</v>
      </c>
      <c r="C108" s="302">
        <f t="shared" si="67"/>
        <v>77293.45085</v>
      </c>
      <c r="D108" s="599">
        <f t="shared" ref="D108:Q108" si="68">D10*D$16</f>
        <v>18094.26212</v>
      </c>
      <c r="E108" s="599">
        <f t="shared" si="68"/>
        <v>5644.902217</v>
      </c>
      <c r="F108" s="599">
        <f t="shared" si="68"/>
        <v>10163.67757</v>
      </c>
      <c r="G108" s="599">
        <f t="shared" si="68"/>
        <v>12836.06216</v>
      </c>
      <c r="H108" s="599">
        <f t="shared" si="68"/>
        <v>4537.794118</v>
      </c>
      <c r="I108" s="599">
        <f t="shared" si="68"/>
        <v>10021.25438</v>
      </c>
      <c r="J108" s="599">
        <f t="shared" si="68"/>
        <v>967.7997206</v>
      </c>
      <c r="K108" s="599">
        <f t="shared" si="68"/>
        <v>2908.941615</v>
      </c>
      <c r="L108" s="599">
        <f t="shared" si="68"/>
        <v>307.6888447</v>
      </c>
      <c r="M108" s="599">
        <f t="shared" si="68"/>
        <v>1156.824793</v>
      </c>
      <c r="N108" s="599">
        <f t="shared" si="68"/>
        <v>7357.144036</v>
      </c>
      <c r="O108" s="599">
        <f t="shared" si="68"/>
        <v>1026.591596</v>
      </c>
      <c r="P108" s="302">
        <f t="shared" si="68"/>
        <v>618.0392758</v>
      </c>
      <c r="Q108" s="302">
        <f t="shared" si="68"/>
        <v>1652.46841</v>
      </c>
    </row>
    <row r="109" outlineLevel="1">
      <c r="A109" s="600" t="s">
        <v>387</v>
      </c>
      <c r="B109" s="665">
        <f t="shared" si="65"/>
        <v>80351.38533</v>
      </c>
      <c r="C109" s="666">
        <f t="shared" si="67"/>
        <v>80351.38533</v>
      </c>
      <c r="D109" s="599">
        <f t="shared" ref="D109:Q109" si="69">D11*D$16</f>
        <v>18810.11925</v>
      </c>
      <c r="E109" s="599">
        <f t="shared" si="69"/>
        <v>5868.229561</v>
      </c>
      <c r="F109" s="599">
        <f t="shared" si="69"/>
        <v>10565.77968</v>
      </c>
      <c r="G109" s="599">
        <f t="shared" si="69"/>
        <v>13343.89092</v>
      </c>
      <c r="H109" s="599">
        <f t="shared" si="69"/>
        <v>4717.321322</v>
      </c>
      <c r="I109" s="599">
        <f t="shared" si="69"/>
        <v>10417.72185</v>
      </c>
      <c r="J109" s="599">
        <f t="shared" si="69"/>
        <v>1006.088451</v>
      </c>
      <c r="K109" s="599">
        <f t="shared" si="69"/>
        <v>3024.027081</v>
      </c>
      <c r="L109" s="599">
        <f t="shared" si="69"/>
        <v>319.8618337</v>
      </c>
      <c r="M109" s="599">
        <f t="shared" si="69"/>
        <v>1202.591858</v>
      </c>
      <c r="N109" s="599">
        <f t="shared" si="69"/>
        <v>7648.21222</v>
      </c>
      <c r="O109" s="599">
        <f t="shared" si="69"/>
        <v>1067.206289</v>
      </c>
      <c r="P109" s="666">
        <f t="shared" si="69"/>
        <v>642.4905532</v>
      </c>
      <c r="Q109" s="666">
        <f t="shared" si="69"/>
        <v>1717.844455</v>
      </c>
    </row>
    <row r="110" outlineLevel="1">
      <c r="A110" s="602" t="s">
        <v>380</v>
      </c>
      <c r="B110" s="603">
        <f t="shared" si="65"/>
        <v>257644.8362</v>
      </c>
      <c r="C110" s="302">
        <f t="shared" ref="C110:Q110" si="70">sum(C106:C109)</f>
        <v>257644.8362</v>
      </c>
      <c r="D110" s="604">
        <f t="shared" si="70"/>
        <v>60314.20707</v>
      </c>
      <c r="E110" s="604">
        <f t="shared" si="70"/>
        <v>18816.34072</v>
      </c>
      <c r="F110" s="604">
        <f t="shared" si="70"/>
        <v>33878.92523</v>
      </c>
      <c r="G110" s="604">
        <f t="shared" si="70"/>
        <v>42786.87388</v>
      </c>
      <c r="H110" s="604">
        <f t="shared" si="70"/>
        <v>15125.98039</v>
      </c>
      <c r="I110" s="604">
        <f t="shared" si="70"/>
        <v>33404.18126</v>
      </c>
      <c r="J110" s="604">
        <f t="shared" si="70"/>
        <v>3225.999069</v>
      </c>
      <c r="K110" s="604">
        <f t="shared" si="70"/>
        <v>9696.472049</v>
      </c>
      <c r="L110" s="604">
        <f t="shared" si="70"/>
        <v>1025.629482</v>
      </c>
      <c r="M110" s="604">
        <f t="shared" si="70"/>
        <v>3856.082642</v>
      </c>
      <c r="N110" s="604">
        <f t="shared" si="70"/>
        <v>24523.81345</v>
      </c>
      <c r="O110" s="604">
        <f t="shared" si="70"/>
        <v>3421.971985</v>
      </c>
      <c r="P110" s="302">
        <f t="shared" si="70"/>
        <v>2060.130919</v>
      </c>
      <c r="Q110" s="302">
        <f t="shared" si="70"/>
        <v>5508.228034</v>
      </c>
    </row>
    <row r="111" outlineLevel="1">
      <c r="A111" s="287"/>
      <c r="B111" s="587"/>
      <c r="C111" s="121"/>
      <c r="D111" s="407"/>
      <c r="E111" s="407"/>
      <c r="F111" s="407"/>
      <c r="G111" s="407"/>
      <c r="H111" s="407"/>
      <c r="I111" s="407"/>
      <c r="J111" s="407"/>
      <c r="K111" s="407"/>
      <c r="L111" s="407"/>
      <c r="M111" s="407"/>
      <c r="N111" s="407"/>
      <c r="O111" s="407"/>
      <c r="P111" s="121"/>
      <c r="Q111" s="121"/>
    </row>
    <row r="112" outlineLevel="1">
      <c r="A112" s="277" t="s">
        <v>381</v>
      </c>
      <c r="B112" s="587"/>
      <c r="C112" s="121"/>
      <c r="D112" s="407"/>
      <c r="E112" s="407"/>
      <c r="F112" s="407"/>
      <c r="G112" s="407"/>
      <c r="H112" s="407"/>
      <c r="I112" s="407"/>
      <c r="J112" s="407"/>
      <c r="K112" s="407"/>
      <c r="L112" s="407"/>
      <c r="M112" s="407"/>
      <c r="N112" s="407"/>
      <c r="O112" s="407"/>
      <c r="P112" s="121"/>
      <c r="Q112" s="121"/>
    </row>
    <row r="113" outlineLevel="1">
      <c r="A113" s="270" t="s">
        <v>382</v>
      </c>
      <c r="B113" s="597">
        <f t="shared" ref="B113:B114" si="72">index(A113:J113,,match($A$3,$A$1:$J$1,0))</f>
        <v>100000</v>
      </c>
      <c r="C113" s="302">
        <f t="shared" ref="C113:Q113" si="71">C106+C107</f>
        <v>100000</v>
      </c>
      <c r="D113" s="599">
        <f t="shared" si="71"/>
        <v>23409.8257</v>
      </c>
      <c r="E113" s="599">
        <f t="shared" si="71"/>
        <v>7303.208945</v>
      </c>
      <c r="F113" s="599">
        <f t="shared" si="71"/>
        <v>13149.46798</v>
      </c>
      <c r="G113" s="599">
        <f t="shared" si="71"/>
        <v>16606.9208</v>
      </c>
      <c r="H113" s="599">
        <f t="shared" si="71"/>
        <v>5870.864955</v>
      </c>
      <c r="I113" s="599">
        <f t="shared" si="71"/>
        <v>12965.20503</v>
      </c>
      <c r="J113" s="599">
        <f t="shared" si="71"/>
        <v>1252.110897</v>
      </c>
      <c r="K113" s="599">
        <f t="shared" si="71"/>
        <v>3763.503353</v>
      </c>
      <c r="L113" s="599">
        <f t="shared" si="71"/>
        <v>398.078804</v>
      </c>
      <c r="M113" s="599">
        <f t="shared" si="71"/>
        <v>1496.665991</v>
      </c>
      <c r="N113" s="599">
        <f t="shared" si="71"/>
        <v>9518.457198</v>
      </c>
      <c r="O113" s="599">
        <f t="shared" si="71"/>
        <v>1328.1741</v>
      </c>
      <c r="P113" s="302">
        <f t="shared" si="71"/>
        <v>799.6010904</v>
      </c>
      <c r="Q113" s="302">
        <f t="shared" si="71"/>
        <v>2137.915168</v>
      </c>
    </row>
    <row r="114" outlineLevel="1">
      <c r="A114" s="270" t="s">
        <v>383</v>
      </c>
      <c r="B114" s="597">
        <f t="shared" si="72"/>
        <v>157644.8362</v>
      </c>
      <c r="C114" s="302">
        <f t="shared" ref="C114:Q114" si="73">C108+C109</f>
        <v>157644.8362</v>
      </c>
      <c r="D114" s="599">
        <f t="shared" si="73"/>
        <v>36904.38137</v>
      </c>
      <c r="E114" s="599">
        <f t="shared" si="73"/>
        <v>11513.13178</v>
      </c>
      <c r="F114" s="599">
        <f t="shared" si="73"/>
        <v>20729.45725</v>
      </c>
      <c r="G114" s="599">
        <f t="shared" si="73"/>
        <v>26179.95308</v>
      </c>
      <c r="H114" s="599">
        <f t="shared" si="73"/>
        <v>9255.11544</v>
      </c>
      <c r="I114" s="599">
        <f t="shared" si="73"/>
        <v>20438.97623</v>
      </c>
      <c r="J114" s="599">
        <f t="shared" si="73"/>
        <v>1973.888172</v>
      </c>
      <c r="K114" s="599">
        <f t="shared" si="73"/>
        <v>5932.968696</v>
      </c>
      <c r="L114" s="599">
        <f t="shared" si="73"/>
        <v>627.5506784</v>
      </c>
      <c r="M114" s="599">
        <f t="shared" si="73"/>
        <v>2359.41665</v>
      </c>
      <c r="N114" s="599">
        <f t="shared" si="73"/>
        <v>15005.35626</v>
      </c>
      <c r="O114" s="599">
        <f t="shared" si="73"/>
        <v>2093.797885</v>
      </c>
      <c r="P114" s="302">
        <f t="shared" si="73"/>
        <v>1260.529829</v>
      </c>
      <c r="Q114" s="302">
        <f t="shared" si="73"/>
        <v>3370.312865</v>
      </c>
    </row>
    <row r="115" outlineLevel="1">
      <c r="A115" s="287"/>
      <c r="B115" s="587"/>
      <c r="C115" s="121"/>
      <c r="D115" s="407"/>
      <c r="E115" s="407"/>
      <c r="F115" s="407"/>
      <c r="G115" s="407"/>
      <c r="H115" s="407"/>
      <c r="I115" s="407"/>
      <c r="J115" s="407"/>
      <c r="K115" s="407"/>
      <c r="L115" s="407"/>
      <c r="M115" s="407"/>
      <c r="N115" s="407"/>
      <c r="O115" s="407"/>
      <c r="P115" s="121"/>
      <c r="Q115" s="121"/>
    </row>
    <row r="116" outlineLevel="1">
      <c r="A116" s="514" t="s">
        <v>384</v>
      </c>
      <c r="B116" s="667"/>
      <c r="C116" s="342"/>
      <c r="D116" s="342"/>
      <c r="E116" s="342"/>
      <c r="F116" s="342"/>
      <c r="G116" s="342"/>
      <c r="H116" s="342"/>
      <c r="I116" s="342"/>
      <c r="J116" s="342"/>
      <c r="K116" s="342"/>
      <c r="L116" s="342"/>
      <c r="M116" s="342"/>
      <c r="N116" s="342"/>
      <c r="O116" s="342"/>
      <c r="P116" s="342"/>
      <c r="Q116" s="342"/>
    </row>
    <row r="117" outlineLevel="1">
      <c r="A117" s="343" t="s">
        <v>385</v>
      </c>
      <c r="B117" s="668">
        <f t="shared" ref="B117:B119" si="74">index(A117:J117,,match($A$3,$A$1:$J$1,0))</f>
        <v>0.00360953606</v>
      </c>
      <c r="C117" s="279">
        <f>'Moral weights and discount rate'!$B$8/'Counterfactual non-philanthropi'!$D$32</f>
        <v>0.00360953606</v>
      </c>
      <c r="D117" s="669">
        <f>'Moral weights and discount rate'!$B$8/'Counterfactual non-philanthropi'!$D$32</f>
        <v>0.00360953606</v>
      </c>
      <c r="E117" s="669">
        <f>'Moral weights and discount rate'!$B$8/'Counterfactual non-philanthropi'!$D$32</f>
        <v>0.00360953606</v>
      </c>
      <c r="F117" s="669">
        <f>'Moral weights and discount rate'!$B$8/'Counterfactual non-philanthropi'!$D$32</f>
        <v>0.00360953606</v>
      </c>
      <c r="G117" s="669">
        <f>'Moral weights and discount rate'!$B$8/'Counterfactual non-philanthropi'!$D$32</f>
        <v>0.00360953606</v>
      </c>
      <c r="H117" s="669">
        <f>'Moral weights and discount rate'!$B$8/'Counterfactual non-philanthropi'!$D$32</f>
        <v>0.00360953606</v>
      </c>
      <c r="I117" s="669">
        <f>'Moral weights and discount rate'!$B$8/'Counterfactual non-philanthropi'!$D$32</f>
        <v>0.00360953606</v>
      </c>
      <c r="J117" s="669">
        <f>'Moral weights and discount rate'!$B$8/'Counterfactual non-philanthropi'!$D$32</f>
        <v>0.00360953606</v>
      </c>
      <c r="K117" s="669">
        <f>'Moral weights and discount rate'!$B$8/'Counterfactual non-philanthropi'!$D$32</f>
        <v>0.00360953606</v>
      </c>
      <c r="L117" s="669">
        <f>'Moral weights and discount rate'!$B$8/'Counterfactual non-philanthropi'!$D$32</f>
        <v>0.00360953606</v>
      </c>
      <c r="M117" s="669">
        <f>'Moral weights and discount rate'!$B$8/'Counterfactual non-philanthropi'!$D$32</f>
        <v>0.00360953606</v>
      </c>
      <c r="N117" s="669">
        <f>'Moral weights and discount rate'!$B$8/'Counterfactual non-philanthropi'!$D$32</f>
        <v>0.00360953606</v>
      </c>
      <c r="O117" s="669">
        <f>'Moral weights and discount rate'!$B$8/'Counterfactual non-philanthropi'!$D$32</f>
        <v>0.00360953606</v>
      </c>
      <c r="P117" s="279">
        <f>'Moral weights and discount rate'!$B$8/'Counterfactual non-philanthropi'!$D$32</f>
        <v>0.00360953606</v>
      </c>
      <c r="Q117" s="279">
        <f>'Moral weights and discount rate'!$B$8/'Counterfactual non-philanthropi'!$D$32</f>
        <v>0.00360953606</v>
      </c>
    </row>
    <row r="118" outlineLevel="1">
      <c r="A118" s="343" t="s">
        <v>386</v>
      </c>
      <c r="B118" s="668">
        <f t="shared" si="74"/>
        <v>0.00360953606</v>
      </c>
      <c r="C118" s="279">
        <f>'Moral weights and discount rate'!$B$8/'Counterfactual non-philanthropi'!$D$32</f>
        <v>0.00360953606</v>
      </c>
      <c r="D118" s="669">
        <f>'Moral weights and discount rate'!$B$8/'Counterfactual non-philanthropi'!$D$32</f>
        <v>0.00360953606</v>
      </c>
      <c r="E118" s="669">
        <f>'Moral weights and discount rate'!$B$8/'Counterfactual non-philanthropi'!$D$32</f>
        <v>0.00360953606</v>
      </c>
      <c r="F118" s="669">
        <f>'Moral weights and discount rate'!$B$8/'Counterfactual non-philanthropi'!$D$32</f>
        <v>0.00360953606</v>
      </c>
      <c r="G118" s="669">
        <f>'Moral weights and discount rate'!$B$8/'Counterfactual non-philanthropi'!$D$32</f>
        <v>0.00360953606</v>
      </c>
      <c r="H118" s="669">
        <f>'Moral weights and discount rate'!$B$8/'Counterfactual non-philanthropi'!$D$32</f>
        <v>0.00360953606</v>
      </c>
      <c r="I118" s="669">
        <f>'Moral weights and discount rate'!$B$8/'Counterfactual non-philanthropi'!$D$32</f>
        <v>0.00360953606</v>
      </c>
      <c r="J118" s="669">
        <f>'Moral weights and discount rate'!$B$8/'Counterfactual non-philanthropi'!$D$32</f>
        <v>0.00360953606</v>
      </c>
      <c r="K118" s="669">
        <f>'Moral weights and discount rate'!$B$8/'Counterfactual non-philanthropi'!$D$32</f>
        <v>0.00360953606</v>
      </c>
      <c r="L118" s="669">
        <f>'Moral weights and discount rate'!$B$8/'Counterfactual non-philanthropi'!$D$32</f>
        <v>0.00360953606</v>
      </c>
      <c r="M118" s="669">
        <f>'Moral weights and discount rate'!$B$8/'Counterfactual non-philanthropi'!$D$32</f>
        <v>0.00360953606</v>
      </c>
      <c r="N118" s="669">
        <f>'Moral weights and discount rate'!$B$8/'Counterfactual non-philanthropi'!$D$32</f>
        <v>0.00360953606</v>
      </c>
      <c r="O118" s="669">
        <f>'Moral weights and discount rate'!$B$8/'Counterfactual non-philanthropi'!$D$32</f>
        <v>0.00360953606</v>
      </c>
      <c r="P118" s="279">
        <f>'Moral weights and discount rate'!$B$8/'Counterfactual non-philanthropi'!$D$32</f>
        <v>0.00360953606</v>
      </c>
      <c r="Q118" s="279">
        <f>'Moral weights and discount rate'!$B$8/'Counterfactual non-philanthropi'!$D$32</f>
        <v>0.00360953606</v>
      </c>
    </row>
    <row r="119" outlineLevel="1">
      <c r="A119" s="342" t="s">
        <v>387</v>
      </c>
      <c r="B119" s="668">
        <f t="shared" si="74"/>
        <v>0.005443126011</v>
      </c>
      <c r="C119" s="279">
        <f>'Moral weights and discount rate'!$B$8/'Counterfactual non-philanthropi'!$D$34</f>
        <v>0.005443126011</v>
      </c>
      <c r="D119" s="279">
        <f>'Moral weights and discount rate'!$B$8/'Counterfactual non-philanthropi'!$D$34</f>
        <v>0.005443126011</v>
      </c>
      <c r="E119" s="279">
        <f>'Moral weights and discount rate'!$B$8/'Counterfactual non-philanthropi'!$D$34</f>
        <v>0.005443126011</v>
      </c>
      <c r="F119" s="279">
        <f>'Moral weights and discount rate'!$B$8/'Counterfactual non-philanthropi'!$D$34</f>
        <v>0.005443126011</v>
      </c>
      <c r="G119" s="279">
        <f>'Moral weights and discount rate'!$B$8/'Counterfactual non-philanthropi'!$D$34</f>
        <v>0.005443126011</v>
      </c>
      <c r="H119" s="279">
        <f>'Moral weights and discount rate'!$B$8/'Counterfactual non-philanthropi'!$D$34</f>
        <v>0.005443126011</v>
      </c>
      <c r="I119" s="279">
        <f>'Moral weights and discount rate'!$B$8/'Counterfactual non-philanthropi'!$D$34</f>
        <v>0.005443126011</v>
      </c>
      <c r="J119" s="279">
        <f>'Moral weights and discount rate'!$B$8/'Counterfactual non-philanthropi'!$D$34</f>
        <v>0.005443126011</v>
      </c>
      <c r="K119" s="279">
        <f>'Moral weights and discount rate'!$B$8/'Counterfactual non-philanthropi'!$D$34</f>
        <v>0.005443126011</v>
      </c>
      <c r="L119" s="279">
        <f>'Moral weights and discount rate'!$B$8/'Counterfactual non-philanthropi'!$D$34</f>
        <v>0.005443126011</v>
      </c>
      <c r="M119" s="279">
        <f>'Moral weights and discount rate'!$B$8/'Counterfactual non-philanthropi'!$D$34</f>
        <v>0.005443126011</v>
      </c>
      <c r="N119" s="279">
        <f>'Moral weights and discount rate'!$B$8/'Counterfactual non-philanthropi'!$D$34</f>
        <v>0.005443126011</v>
      </c>
      <c r="O119" s="279">
        <f>'Moral weights and discount rate'!$B$8/'Counterfactual non-philanthropi'!$D$34</f>
        <v>0.005443126011</v>
      </c>
      <c r="P119" s="279">
        <f>'Moral weights and discount rate'!$B$8/'Counterfactual non-philanthropi'!$D$34</f>
        <v>0.005443126011</v>
      </c>
      <c r="Q119" s="279">
        <f>'Moral weights and discount rate'!$B$8/'Counterfactual non-philanthropi'!$D$34</f>
        <v>0.005443126011</v>
      </c>
    </row>
    <row r="120" outlineLevel="1">
      <c r="A120" s="344"/>
      <c r="B120" s="605"/>
      <c r="C120" s="441"/>
      <c r="D120" s="441"/>
      <c r="E120" s="441"/>
      <c r="F120" s="441"/>
      <c r="G120" s="441"/>
      <c r="H120" s="441"/>
      <c r="I120" s="441"/>
      <c r="J120" s="441"/>
      <c r="K120" s="441"/>
      <c r="L120" s="441"/>
      <c r="M120" s="441"/>
      <c r="N120" s="441"/>
      <c r="O120" s="441"/>
      <c r="P120" s="441"/>
      <c r="Q120" s="441"/>
    </row>
    <row r="121" outlineLevel="1">
      <c r="A121" s="514" t="s">
        <v>388</v>
      </c>
      <c r="B121" s="605"/>
      <c r="C121" s="441"/>
      <c r="D121" s="441"/>
      <c r="E121" s="441"/>
      <c r="F121" s="441"/>
      <c r="G121" s="441"/>
      <c r="H121" s="441"/>
      <c r="I121" s="441"/>
      <c r="J121" s="441"/>
      <c r="K121" s="441"/>
      <c r="L121" s="441"/>
      <c r="M121" s="441"/>
      <c r="N121" s="441"/>
      <c r="O121" s="441"/>
      <c r="P121" s="441"/>
      <c r="Q121" s="441"/>
    </row>
    <row r="122" outlineLevel="1">
      <c r="A122" s="344" t="s">
        <v>285</v>
      </c>
      <c r="B122" s="266">
        <f t="shared" ref="B122:B124" si="75">index(A122:J122,,match($A$3,$A$1:$J$1,0))</f>
        <v>0.2</v>
      </c>
      <c r="C122" s="155">
        <v>0.2</v>
      </c>
      <c r="D122" s="155">
        <v>0.2</v>
      </c>
      <c r="E122" s="155">
        <v>0.2</v>
      </c>
      <c r="F122" s="155">
        <v>0.2</v>
      </c>
      <c r="G122" s="155">
        <v>0.2</v>
      </c>
      <c r="H122" s="155">
        <v>0.2</v>
      </c>
      <c r="I122" s="155">
        <v>0.2</v>
      </c>
      <c r="J122" s="155">
        <v>0.2</v>
      </c>
      <c r="K122" s="155">
        <v>0.2</v>
      </c>
      <c r="L122" s="155">
        <v>0.2</v>
      </c>
      <c r="M122" s="155">
        <v>0.2</v>
      </c>
      <c r="N122" s="155">
        <v>0.2</v>
      </c>
      <c r="O122" s="155">
        <v>0.2</v>
      </c>
      <c r="P122" s="155">
        <v>0.2</v>
      </c>
      <c r="Q122" s="155">
        <v>0.2</v>
      </c>
    </row>
    <row r="123" outlineLevel="1">
      <c r="A123" s="344" t="s">
        <v>287</v>
      </c>
      <c r="B123" s="266">
        <f t="shared" si="75"/>
        <v>0</v>
      </c>
      <c r="C123" s="155">
        <v>0.0</v>
      </c>
      <c r="D123" s="155">
        <v>0.0</v>
      </c>
      <c r="E123" s="155">
        <v>0.0</v>
      </c>
      <c r="F123" s="155">
        <v>0.0</v>
      </c>
      <c r="G123" s="155">
        <v>0.0</v>
      </c>
      <c r="H123" s="155">
        <v>0.0</v>
      </c>
      <c r="I123" s="155">
        <v>0.0</v>
      </c>
      <c r="J123" s="155">
        <v>0.0</v>
      </c>
      <c r="K123" s="155">
        <v>0.0</v>
      </c>
      <c r="L123" s="155">
        <v>0.0</v>
      </c>
      <c r="M123" s="155">
        <v>0.0</v>
      </c>
      <c r="N123" s="155">
        <v>0.0</v>
      </c>
      <c r="O123" s="155">
        <v>0.0</v>
      </c>
      <c r="P123" s="155">
        <v>0.0</v>
      </c>
      <c r="Q123" s="155">
        <v>0.0</v>
      </c>
    </row>
    <row r="124" outlineLevel="1">
      <c r="A124" s="344" t="s">
        <v>288</v>
      </c>
      <c r="B124" s="266">
        <f t="shared" si="75"/>
        <v>0.8</v>
      </c>
      <c r="C124" s="155">
        <v>0.8</v>
      </c>
      <c r="D124" s="155">
        <v>0.8</v>
      </c>
      <c r="E124" s="155">
        <v>0.8</v>
      </c>
      <c r="F124" s="155">
        <v>0.8</v>
      </c>
      <c r="G124" s="155">
        <v>0.8</v>
      </c>
      <c r="H124" s="155">
        <v>0.8</v>
      </c>
      <c r="I124" s="155">
        <v>0.8</v>
      </c>
      <c r="J124" s="155">
        <v>0.8</v>
      </c>
      <c r="K124" s="155">
        <v>0.8</v>
      </c>
      <c r="L124" s="155">
        <v>0.8</v>
      </c>
      <c r="M124" s="155">
        <v>0.8</v>
      </c>
      <c r="N124" s="155">
        <v>0.8</v>
      </c>
      <c r="O124" s="155">
        <v>0.8</v>
      </c>
      <c r="P124" s="155">
        <v>0.8</v>
      </c>
      <c r="Q124" s="155">
        <v>0.8</v>
      </c>
    </row>
    <row r="125" outlineLevel="1">
      <c r="A125" s="342"/>
      <c r="B125" s="605"/>
      <c r="C125" s="441"/>
      <c r="D125" s="441"/>
      <c r="E125" s="441"/>
      <c r="F125" s="441"/>
      <c r="G125" s="441"/>
      <c r="H125" s="441"/>
      <c r="I125" s="441"/>
      <c r="J125" s="441"/>
      <c r="K125" s="441"/>
      <c r="L125" s="441"/>
      <c r="M125" s="441"/>
      <c r="N125" s="441"/>
      <c r="O125" s="441"/>
      <c r="P125" s="441"/>
      <c r="Q125" s="441"/>
    </row>
    <row r="126" outlineLevel="1">
      <c r="A126" s="514" t="s">
        <v>389</v>
      </c>
      <c r="B126" s="605"/>
      <c r="C126" s="441"/>
      <c r="D126" s="441"/>
      <c r="E126" s="441"/>
      <c r="F126" s="441"/>
      <c r="G126" s="441"/>
      <c r="H126" s="441"/>
      <c r="I126" s="441"/>
      <c r="J126" s="441"/>
      <c r="K126" s="441"/>
      <c r="L126" s="441"/>
      <c r="M126" s="441"/>
      <c r="N126" s="441"/>
      <c r="O126" s="441"/>
      <c r="P126" s="441"/>
      <c r="Q126" s="441"/>
    </row>
    <row r="127" outlineLevel="1">
      <c r="A127" s="344" t="s">
        <v>285</v>
      </c>
      <c r="B127" s="607">
        <f t="shared" ref="B127:B129" si="77">index(A127:J127,,match($A$3,$A$1:$J$1,0))</f>
        <v>1</v>
      </c>
      <c r="C127" s="152">
        <f t="shared" ref="C127:Q127" si="76">1</f>
        <v>1</v>
      </c>
      <c r="D127" s="299">
        <f t="shared" si="76"/>
        <v>1</v>
      </c>
      <c r="E127" s="299">
        <f t="shared" si="76"/>
        <v>1</v>
      </c>
      <c r="F127" s="299">
        <f t="shared" si="76"/>
        <v>1</v>
      </c>
      <c r="G127" s="299">
        <f t="shared" si="76"/>
        <v>1</v>
      </c>
      <c r="H127" s="299">
        <f t="shared" si="76"/>
        <v>1</v>
      </c>
      <c r="I127" s="299">
        <f t="shared" si="76"/>
        <v>1</v>
      </c>
      <c r="J127" s="299">
        <f t="shared" si="76"/>
        <v>1</v>
      </c>
      <c r="K127" s="299">
        <f t="shared" si="76"/>
        <v>1</v>
      </c>
      <c r="L127" s="299">
        <f t="shared" si="76"/>
        <v>1</v>
      </c>
      <c r="M127" s="299">
        <f t="shared" si="76"/>
        <v>1</v>
      </c>
      <c r="N127" s="299">
        <f t="shared" si="76"/>
        <v>1</v>
      </c>
      <c r="O127" s="299">
        <f t="shared" si="76"/>
        <v>1</v>
      </c>
      <c r="P127" s="152">
        <f t="shared" si="76"/>
        <v>1</v>
      </c>
      <c r="Q127" s="152">
        <f t="shared" si="76"/>
        <v>1</v>
      </c>
    </row>
    <row r="128" outlineLevel="1">
      <c r="A128" s="344" t="s">
        <v>287</v>
      </c>
      <c r="B128" s="607">
        <f t="shared" si="77"/>
        <v>0</v>
      </c>
      <c r="C128" s="152">
        <f t="shared" ref="C128:Q128" si="78">C107/C113</f>
        <v>0</v>
      </c>
      <c r="D128" s="299">
        <f t="shared" si="78"/>
        <v>0</v>
      </c>
      <c r="E128" s="299">
        <f t="shared" si="78"/>
        <v>0</v>
      </c>
      <c r="F128" s="299">
        <f t="shared" si="78"/>
        <v>0</v>
      </c>
      <c r="G128" s="299">
        <f t="shared" si="78"/>
        <v>0</v>
      </c>
      <c r="H128" s="299">
        <f t="shared" si="78"/>
        <v>0</v>
      </c>
      <c r="I128" s="299">
        <f t="shared" si="78"/>
        <v>0</v>
      </c>
      <c r="J128" s="299">
        <f t="shared" si="78"/>
        <v>0</v>
      </c>
      <c r="K128" s="299">
        <f t="shared" si="78"/>
        <v>0</v>
      </c>
      <c r="L128" s="299">
        <f t="shared" si="78"/>
        <v>0</v>
      </c>
      <c r="M128" s="299">
        <f t="shared" si="78"/>
        <v>0</v>
      </c>
      <c r="N128" s="299">
        <f t="shared" si="78"/>
        <v>0</v>
      </c>
      <c r="O128" s="299">
        <f t="shared" si="78"/>
        <v>0</v>
      </c>
      <c r="P128" s="152">
        <f t="shared" si="78"/>
        <v>0</v>
      </c>
      <c r="Q128" s="152">
        <f t="shared" si="78"/>
        <v>0</v>
      </c>
    </row>
    <row r="129" outlineLevel="1">
      <c r="A129" s="344" t="s">
        <v>288</v>
      </c>
      <c r="B129" s="609">
        <f t="shared" si="77"/>
        <v>0</v>
      </c>
      <c r="C129" s="152">
        <v>0.0</v>
      </c>
      <c r="D129" s="670">
        <v>0.0</v>
      </c>
      <c r="E129" s="670">
        <v>0.0</v>
      </c>
      <c r="F129" s="670">
        <v>0.0</v>
      </c>
      <c r="G129" s="670">
        <v>0.0</v>
      </c>
      <c r="H129" s="670">
        <v>0.0</v>
      </c>
      <c r="I129" s="670">
        <v>0.0</v>
      </c>
      <c r="J129" s="670">
        <v>0.0</v>
      </c>
      <c r="K129" s="670">
        <v>0.0</v>
      </c>
      <c r="L129" s="670">
        <v>0.0</v>
      </c>
      <c r="M129" s="670">
        <v>0.0</v>
      </c>
      <c r="N129" s="670">
        <v>0.0</v>
      </c>
      <c r="O129" s="670">
        <v>0.0</v>
      </c>
      <c r="P129" s="152">
        <v>0.0</v>
      </c>
      <c r="Q129" s="152">
        <v>0.0</v>
      </c>
    </row>
    <row r="130" outlineLevel="1">
      <c r="B130" s="605"/>
      <c r="C130" s="441"/>
      <c r="D130" s="441"/>
      <c r="E130" s="441"/>
      <c r="F130" s="441"/>
      <c r="G130" s="441"/>
      <c r="H130" s="441"/>
      <c r="I130" s="441"/>
      <c r="J130" s="441"/>
      <c r="K130" s="441"/>
      <c r="L130" s="441"/>
      <c r="M130" s="441"/>
      <c r="N130" s="441"/>
      <c r="O130" s="441"/>
      <c r="P130" s="441"/>
      <c r="Q130" s="441"/>
    </row>
    <row r="131" outlineLevel="1">
      <c r="A131" s="518" t="s">
        <v>390</v>
      </c>
      <c r="B131" s="605"/>
      <c r="C131" s="441"/>
      <c r="D131" s="441"/>
      <c r="E131" s="441"/>
      <c r="F131" s="441"/>
      <c r="G131" s="441"/>
      <c r="H131" s="441"/>
      <c r="I131" s="441"/>
      <c r="J131" s="441"/>
      <c r="K131" s="441"/>
      <c r="L131" s="441"/>
      <c r="M131" s="441"/>
      <c r="N131" s="441"/>
      <c r="O131" s="441"/>
      <c r="P131" s="441"/>
      <c r="Q131" s="441"/>
    </row>
    <row r="132" outlineLevel="1">
      <c r="A132" s="343" t="s">
        <v>285</v>
      </c>
      <c r="B132" s="295"/>
      <c r="C132" s="417"/>
      <c r="P132" s="121"/>
      <c r="Q132" s="121"/>
    </row>
    <row r="133" outlineLevel="1">
      <c r="A133" s="343" t="s">
        <v>391</v>
      </c>
      <c r="B133" s="612">
        <f t="shared" ref="B133:B135" si="80">index(A133:J133,,match($A$3,$A$1:$J$1,0))</f>
        <v>100000</v>
      </c>
      <c r="C133" s="461">
        <f t="shared" ref="C133:C135" si="81">sumif(D133:Y133,"&lt;&gt;#DIV/0!")</f>
        <v>100000</v>
      </c>
      <c r="D133" s="461">
        <f t="shared" ref="D133:Q133" si="79">D106</f>
        <v>23409.8257</v>
      </c>
      <c r="E133" s="461">
        <f t="shared" si="79"/>
        <v>7303.208945</v>
      </c>
      <c r="F133" s="461">
        <f t="shared" si="79"/>
        <v>13149.46798</v>
      </c>
      <c r="G133" s="461">
        <f t="shared" si="79"/>
        <v>16606.9208</v>
      </c>
      <c r="H133" s="461">
        <f t="shared" si="79"/>
        <v>5870.864955</v>
      </c>
      <c r="I133" s="461">
        <f t="shared" si="79"/>
        <v>12965.20503</v>
      </c>
      <c r="J133" s="461">
        <f t="shared" si="79"/>
        <v>1252.110897</v>
      </c>
      <c r="K133" s="461">
        <f t="shared" si="79"/>
        <v>3763.503353</v>
      </c>
      <c r="L133" s="461">
        <f t="shared" si="79"/>
        <v>398.078804</v>
      </c>
      <c r="M133" s="461">
        <f t="shared" si="79"/>
        <v>1496.665991</v>
      </c>
      <c r="N133" s="461">
        <f t="shared" si="79"/>
        <v>9518.457198</v>
      </c>
      <c r="O133" s="461">
        <f t="shared" si="79"/>
        <v>1328.1741</v>
      </c>
      <c r="P133" s="461">
        <f t="shared" si="79"/>
        <v>799.6010904</v>
      </c>
      <c r="Q133" s="461">
        <f t="shared" si="79"/>
        <v>2137.915168</v>
      </c>
    </row>
    <row r="134" outlineLevel="1">
      <c r="A134" s="343" t="s">
        <v>392</v>
      </c>
      <c r="B134" s="612">
        <f t="shared" si="80"/>
        <v>0</v>
      </c>
      <c r="C134" s="461">
        <f t="shared" si="81"/>
        <v>0</v>
      </c>
      <c r="D134" s="614">
        <v>0.0</v>
      </c>
      <c r="E134" s="614">
        <v>0.0</v>
      </c>
      <c r="F134" s="614">
        <v>0.0</v>
      </c>
      <c r="G134" s="614">
        <v>0.0</v>
      </c>
      <c r="H134" s="614">
        <v>0.0</v>
      </c>
      <c r="I134" s="614">
        <v>0.0</v>
      </c>
      <c r="J134" s="614">
        <v>0.0</v>
      </c>
      <c r="K134" s="614">
        <v>0.0</v>
      </c>
      <c r="L134" s="614">
        <v>0.0</v>
      </c>
      <c r="M134" s="614">
        <v>0.0</v>
      </c>
      <c r="N134" s="614">
        <v>0.0</v>
      </c>
      <c r="O134" s="614">
        <v>0.0</v>
      </c>
      <c r="P134" s="460">
        <v>0.0</v>
      </c>
      <c r="Q134" s="460">
        <v>0.0</v>
      </c>
    </row>
    <row r="135" outlineLevel="1">
      <c r="A135" s="343" t="s">
        <v>393</v>
      </c>
      <c r="B135" s="612">
        <f t="shared" si="80"/>
        <v>0</v>
      </c>
      <c r="C135" s="461">
        <f t="shared" si="81"/>
        <v>0</v>
      </c>
      <c r="D135" s="614">
        <v>0.0</v>
      </c>
      <c r="E135" s="614">
        <v>0.0</v>
      </c>
      <c r="F135" s="614">
        <v>0.0</v>
      </c>
      <c r="G135" s="614">
        <v>0.0</v>
      </c>
      <c r="H135" s="614">
        <v>0.0</v>
      </c>
      <c r="I135" s="614">
        <v>0.0</v>
      </c>
      <c r="J135" s="614">
        <v>0.0</v>
      </c>
      <c r="K135" s="614">
        <v>0.0</v>
      </c>
      <c r="L135" s="614">
        <v>0.0</v>
      </c>
      <c r="M135" s="614">
        <v>0.0</v>
      </c>
      <c r="N135" s="614">
        <v>0.0</v>
      </c>
      <c r="O135" s="614">
        <v>0.0</v>
      </c>
      <c r="P135" s="460">
        <v>0.0</v>
      </c>
      <c r="Q135" s="460">
        <v>0.0</v>
      </c>
    </row>
    <row r="136" outlineLevel="1">
      <c r="A136" s="343"/>
      <c r="B136" s="295"/>
      <c r="C136" s="417"/>
      <c r="D136" s="443"/>
      <c r="E136" s="443"/>
      <c r="F136" s="443"/>
      <c r="G136" s="443"/>
      <c r="H136" s="443"/>
      <c r="I136" s="443"/>
      <c r="J136" s="443"/>
      <c r="K136" s="443"/>
      <c r="L136" s="443"/>
      <c r="M136" s="443"/>
      <c r="N136" s="443"/>
      <c r="O136" s="443"/>
      <c r="P136" s="417"/>
      <c r="Q136" s="417"/>
    </row>
    <row r="137" outlineLevel="1">
      <c r="A137" s="343" t="s">
        <v>287</v>
      </c>
      <c r="B137" s="671"/>
      <c r="C137" s="417"/>
      <c r="D137" s="467"/>
      <c r="E137" s="467"/>
      <c r="F137" s="467"/>
      <c r="G137" s="467"/>
      <c r="H137" s="467"/>
      <c r="I137" s="467"/>
      <c r="J137" s="467"/>
      <c r="K137" s="467"/>
      <c r="L137" s="467"/>
      <c r="M137" s="467"/>
      <c r="N137" s="467"/>
      <c r="O137" s="467"/>
      <c r="P137" s="441"/>
      <c r="Q137" s="441"/>
    </row>
    <row r="138" outlineLevel="1">
      <c r="A138" s="342" t="s">
        <v>391</v>
      </c>
      <c r="B138" s="612">
        <f t="shared" ref="B138:B140" si="82">index(A138:J138,,match($A$3,$A$1:$J$1,0))</f>
        <v>0</v>
      </c>
      <c r="C138" s="461">
        <f t="shared" ref="C138:C140" si="83">sumif(D138:Y138,"&lt;&gt;#DIV/0!")</f>
        <v>0</v>
      </c>
      <c r="D138" s="614">
        <v>0.0</v>
      </c>
      <c r="E138" s="614">
        <v>0.0</v>
      </c>
      <c r="F138" s="614">
        <v>0.0</v>
      </c>
      <c r="G138" s="614">
        <v>0.0</v>
      </c>
      <c r="H138" s="614">
        <v>0.0</v>
      </c>
      <c r="I138" s="614">
        <v>0.0</v>
      </c>
      <c r="J138" s="614">
        <v>0.0</v>
      </c>
      <c r="K138" s="614">
        <v>0.0</v>
      </c>
      <c r="L138" s="614">
        <v>0.0</v>
      </c>
      <c r="M138" s="614">
        <v>0.0</v>
      </c>
      <c r="N138" s="614">
        <v>0.0</v>
      </c>
      <c r="O138" s="614">
        <v>0.0</v>
      </c>
      <c r="P138" s="460">
        <v>0.0</v>
      </c>
      <c r="Q138" s="460">
        <v>0.0</v>
      </c>
    </row>
    <row r="139" outlineLevel="1">
      <c r="A139" s="343" t="s">
        <v>392</v>
      </c>
      <c r="B139" s="612">
        <f t="shared" si="82"/>
        <v>-77293.45085</v>
      </c>
      <c r="C139" s="461">
        <f t="shared" si="83"/>
        <v>-77293.45085</v>
      </c>
      <c r="D139" s="461">
        <f t="shared" ref="D139:Q139" si="84">(D108-D128*D108)*-1</f>
        <v>-18094.26212</v>
      </c>
      <c r="E139" s="461">
        <f t="shared" si="84"/>
        <v>-5644.902217</v>
      </c>
      <c r="F139" s="461">
        <f t="shared" si="84"/>
        <v>-10163.67757</v>
      </c>
      <c r="G139" s="461">
        <f t="shared" si="84"/>
        <v>-12836.06216</v>
      </c>
      <c r="H139" s="461">
        <f t="shared" si="84"/>
        <v>-4537.794118</v>
      </c>
      <c r="I139" s="461">
        <f t="shared" si="84"/>
        <v>-10021.25438</v>
      </c>
      <c r="J139" s="461">
        <f t="shared" si="84"/>
        <v>-967.7997206</v>
      </c>
      <c r="K139" s="461">
        <f t="shared" si="84"/>
        <v>-2908.941615</v>
      </c>
      <c r="L139" s="461">
        <f t="shared" si="84"/>
        <v>-307.6888447</v>
      </c>
      <c r="M139" s="461">
        <f t="shared" si="84"/>
        <v>-1156.824793</v>
      </c>
      <c r="N139" s="461">
        <f t="shared" si="84"/>
        <v>-7357.144036</v>
      </c>
      <c r="O139" s="461">
        <f t="shared" si="84"/>
        <v>-1026.591596</v>
      </c>
      <c r="P139" s="461">
        <f t="shared" si="84"/>
        <v>-618.0392758</v>
      </c>
      <c r="Q139" s="461">
        <f t="shared" si="84"/>
        <v>-1652.46841</v>
      </c>
    </row>
    <row r="140" outlineLevel="1">
      <c r="A140" s="342" t="s">
        <v>393</v>
      </c>
      <c r="B140" s="612">
        <f t="shared" si="82"/>
        <v>-80351.38533</v>
      </c>
      <c r="C140" s="461">
        <f t="shared" si="83"/>
        <v>-80351.38533</v>
      </c>
      <c r="D140" s="461">
        <f t="shared" ref="D140:Q140" si="85">(D109-D109*D128)*-1</f>
        <v>-18810.11925</v>
      </c>
      <c r="E140" s="461">
        <f t="shared" si="85"/>
        <v>-5868.229561</v>
      </c>
      <c r="F140" s="461">
        <f t="shared" si="85"/>
        <v>-10565.77968</v>
      </c>
      <c r="G140" s="461">
        <f t="shared" si="85"/>
        <v>-13343.89092</v>
      </c>
      <c r="H140" s="461">
        <f t="shared" si="85"/>
        <v>-4717.321322</v>
      </c>
      <c r="I140" s="461">
        <f t="shared" si="85"/>
        <v>-10417.72185</v>
      </c>
      <c r="J140" s="461">
        <f t="shared" si="85"/>
        <v>-1006.088451</v>
      </c>
      <c r="K140" s="461">
        <f t="shared" si="85"/>
        <v>-3024.027081</v>
      </c>
      <c r="L140" s="461">
        <f t="shared" si="85"/>
        <v>-319.8618337</v>
      </c>
      <c r="M140" s="461">
        <f t="shared" si="85"/>
        <v>-1202.591858</v>
      </c>
      <c r="N140" s="461">
        <f t="shared" si="85"/>
        <v>-7648.21222</v>
      </c>
      <c r="O140" s="461">
        <f t="shared" si="85"/>
        <v>-1067.206289</v>
      </c>
      <c r="P140" s="461">
        <f t="shared" si="85"/>
        <v>-642.4905532</v>
      </c>
      <c r="Q140" s="461">
        <f t="shared" si="85"/>
        <v>-1717.844455</v>
      </c>
    </row>
    <row r="141" outlineLevel="1">
      <c r="A141" s="343"/>
      <c r="B141" s="295"/>
      <c r="C141" s="417"/>
      <c r="D141" s="443"/>
      <c r="E141" s="443"/>
      <c r="F141" s="443"/>
      <c r="G141" s="443"/>
      <c r="H141" s="443"/>
      <c r="I141" s="443"/>
      <c r="J141" s="443"/>
      <c r="K141" s="443"/>
      <c r="L141" s="443"/>
      <c r="M141" s="443"/>
      <c r="N141" s="443"/>
      <c r="O141" s="443"/>
      <c r="P141" s="417"/>
      <c r="Q141" s="417"/>
    </row>
    <row r="142" outlineLevel="1">
      <c r="A142" s="344" t="s">
        <v>288</v>
      </c>
      <c r="B142" s="295"/>
      <c r="C142" s="417"/>
      <c r="D142" s="295"/>
      <c r="E142" s="295"/>
      <c r="F142" s="295"/>
      <c r="G142" s="295"/>
      <c r="H142" s="295"/>
      <c r="I142" s="295"/>
      <c r="J142" s="295"/>
      <c r="K142" s="295"/>
      <c r="L142" s="295"/>
      <c r="M142" s="295"/>
      <c r="N142" s="295"/>
      <c r="O142" s="295"/>
      <c r="P142" s="417"/>
      <c r="Q142" s="417"/>
    </row>
    <row r="143" outlineLevel="1">
      <c r="A143" s="342" t="s">
        <v>391</v>
      </c>
      <c r="B143" s="612">
        <f t="shared" ref="B143:B145" si="87">index(A143:J143,,match($A$3,$A$1:$J$1,0))</f>
        <v>0</v>
      </c>
      <c r="C143" s="461">
        <f t="shared" ref="C143:C145" si="88">sumif(D143:Y143,"&lt;&gt;#DIV/0!")</f>
        <v>0</v>
      </c>
      <c r="D143" s="459">
        <f t="shared" ref="D143:Q143" si="86">-D107</f>
        <v>0</v>
      </c>
      <c r="E143" s="459">
        <f t="shared" si="86"/>
        <v>0</v>
      </c>
      <c r="F143" s="459">
        <f t="shared" si="86"/>
        <v>0</v>
      </c>
      <c r="G143" s="459">
        <f t="shared" si="86"/>
        <v>0</v>
      </c>
      <c r="H143" s="459">
        <f t="shared" si="86"/>
        <v>0</v>
      </c>
      <c r="I143" s="459">
        <f t="shared" si="86"/>
        <v>0</v>
      </c>
      <c r="J143" s="459">
        <f t="shared" si="86"/>
        <v>0</v>
      </c>
      <c r="K143" s="459">
        <f t="shared" si="86"/>
        <v>0</v>
      </c>
      <c r="L143" s="459">
        <f t="shared" si="86"/>
        <v>0</v>
      </c>
      <c r="M143" s="459">
        <f t="shared" si="86"/>
        <v>0</v>
      </c>
      <c r="N143" s="459">
        <f t="shared" si="86"/>
        <v>0</v>
      </c>
      <c r="O143" s="459">
        <f t="shared" si="86"/>
        <v>0</v>
      </c>
      <c r="P143" s="302">
        <f t="shared" si="86"/>
        <v>0</v>
      </c>
      <c r="Q143" s="302">
        <f t="shared" si="86"/>
        <v>0</v>
      </c>
    </row>
    <row r="144" outlineLevel="1">
      <c r="A144" s="343" t="s">
        <v>392</v>
      </c>
      <c r="B144" s="612">
        <f t="shared" si="87"/>
        <v>-77293.45085</v>
      </c>
      <c r="C144" s="461">
        <f t="shared" si="88"/>
        <v>-77293.45085</v>
      </c>
      <c r="D144" s="459">
        <f t="shared" ref="D144:Q144" si="89">-D108</f>
        <v>-18094.26212</v>
      </c>
      <c r="E144" s="459">
        <f t="shared" si="89"/>
        <v>-5644.902217</v>
      </c>
      <c r="F144" s="459">
        <f t="shared" si="89"/>
        <v>-10163.67757</v>
      </c>
      <c r="G144" s="459">
        <f t="shared" si="89"/>
        <v>-12836.06216</v>
      </c>
      <c r="H144" s="459">
        <f t="shared" si="89"/>
        <v>-4537.794118</v>
      </c>
      <c r="I144" s="459">
        <f t="shared" si="89"/>
        <v>-10021.25438</v>
      </c>
      <c r="J144" s="459">
        <f t="shared" si="89"/>
        <v>-967.7997206</v>
      </c>
      <c r="K144" s="459">
        <f t="shared" si="89"/>
        <v>-2908.941615</v>
      </c>
      <c r="L144" s="459">
        <f t="shared" si="89"/>
        <v>-307.6888447</v>
      </c>
      <c r="M144" s="459">
        <f t="shared" si="89"/>
        <v>-1156.824793</v>
      </c>
      <c r="N144" s="459">
        <f t="shared" si="89"/>
        <v>-7357.144036</v>
      </c>
      <c r="O144" s="459">
        <f t="shared" si="89"/>
        <v>-1026.591596</v>
      </c>
      <c r="P144" s="302">
        <f t="shared" si="89"/>
        <v>-618.0392758</v>
      </c>
      <c r="Q144" s="302">
        <f t="shared" si="89"/>
        <v>-1652.46841</v>
      </c>
    </row>
    <row r="145" outlineLevel="1">
      <c r="A145" s="342" t="s">
        <v>393</v>
      </c>
      <c r="B145" s="612">
        <f t="shared" si="87"/>
        <v>-80351.38533</v>
      </c>
      <c r="C145" s="461">
        <f t="shared" si="88"/>
        <v>-80351.38533</v>
      </c>
      <c r="D145" s="459">
        <f t="shared" ref="D145:Q145" si="90">-D109</f>
        <v>-18810.11925</v>
      </c>
      <c r="E145" s="459">
        <f t="shared" si="90"/>
        <v>-5868.229561</v>
      </c>
      <c r="F145" s="459">
        <f t="shared" si="90"/>
        <v>-10565.77968</v>
      </c>
      <c r="G145" s="459">
        <f t="shared" si="90"/>
        <v>-13343.89092</v>
      </c>
      <c r="H145" s="459">
        <f t="shared" si="90"/>
        <v>-4717.321322</v>
      </c>
      <c r="I145" s="459">
        <f t="shared" si="90"/>
        <v>-10417.72185</v>
      </c>
      <c r="J145" s="459">
        <f t="shared" si="90"/>
        <v>-1006.088451</v>
      </c>
      <c r="K145" s="459">
        <f t="shared" si="90"/>
        <v>-3024.027081</v>
      </c>
      <c r="L145" s="459">
        <f t="shared" si="90"/>
        <v>-319.8618337</v>
      </c>
      <c r="M145" s="459">
        <f t="shared" si="90"/>
        <v>-1202.591858</v>
      </c>
      <c r="N145" s="459">
        <f t="shared" si="90"/>
        <v>-7648.21222</v>
      </c>
      <c r="O145" s="459">
        <f t="shared" si="90"/>
        <v>-1067.206289</v>
      </c>
      <c r="P145" s="302">
        <f t="shared" si="90"/>
        <v>-642.4905532</v>
      </c>
      <c r="Q145" s="302">
        <f t="shared" si="90"/>
        <v>-1717.844455</v>
      </c>
    </row>
    <row r="146" outlineLevel="1">
      <c r="A146" s="342"/>
      <c r="B146" s="605"/>
      <c r="C146" s="441"/>
      <c r="D146" s="441"/>
      <c r="E146" s="441"/>
      <c r="F146" s="441"/>
      <c r="G146" s="441"/>
      <c r="H146" s="441"/>
      <c r="I146" s="441"/>
      <c r="J146" s="441"/>
      <c r="K146" s="441"/>
      <c r="L146" s="441"/>
      <c r="M146" s="441"/>
      <c r="N146" s="441"/>
      <c r="O146" s="441"/>
      <c r="P146" s="441"/>
      <c r="Q146" s="441"/>
    </row>
    <row r="147" outlineLevel="1">
      <c r="A147" s="520" t="s">
        <v>394</v>
      </c>
      <c r="B147" s="605"/>
      <c r="C147" s="441"/>
      <c r="D147" s="441"/>
      <c r="E147" s="441"/>
      <c r="F147" s="441"/>
      <c r="G147" s="441"/>
      <c r="H147" s="441"/>
      <c r="I147" s="441"/>
      <c r="J147" s="441"/>
      <c r="K147" s="441"/>
      <c r="L147" s="441"/>
      <c r="M147" s="441"/>
      <c r="N147" s="441"/>
      <c r="O147" s="441"/>
      <c r="P147" s="441"/>
      <c r="Q147" s="441"/>
    </row>
    <row r="148" outlineLevel="1">
      <c r="A148" s="343" t="s">
        <v>285</v>
      </c>
      <c r="B148" s="295"/>
      <c r="C148" s="417"/>
      <c r="D148" s="252"/>
      <c r="E148" s="252"/>
      <c r="F148" s="252"/>
      <c r="G148" s="252"/>
      <c r="H148" s="252"/>
      <c r="I148" s="252"/>
      <c r="J148" s="252"/>
      <c r="K148" s="252"/>
      <c r="L148" s="252"/>
      <c r="M148" s="252"/>
      <c r="N148" s="252"/>
      <c r="O148" s="252"/>
      <c r="P148" s="417"/>
      <c r="Q148" s="417"/>
    </row>
    <row r="149" outlineLevel="1">
      <c r="A149" s="342" t="s">
        <v>391</v>
      </c>
      <c r="B149" s="295">
        <f t="shared" ref="B149:B151" si="92">index(A149:J149,,match($A$3,$A$1:$J$1,0))</f>
        <v>1892.923675</v>
      </c>
      <c r="C149" s="272">
        <f t="shared" ref="C149:C151" si="93">sumif(D149:Y149,"&lt;&gt;#DIV/0!")</f>
        <v>1892.923675</v>
      </c>
      <c r="D149" s="252">
        <f t="shared" ref="D149:Q149" si="91">D133*D$91</f>
        <v>198.3189518</v>
      </c>
      <c r="E149" s="252">
        <f t="shared" si="91"/>
        <v>356.5498043</v>
      </c>
      <c r="F149" s="252">
        <f t="shared" si="91"/>
        <v>687.7449268</v>
      </c>
      <c r="G149" s="252">
        <f t="shared" si="91"/>
        <v>214.5957751</v>
      </c>
      <c r="H149" s="252">
        <f t="shared" si="91"/>
        <v>110.9412964</v>
      </c>
      <c r="I149" s="252">
        <f t="shared" si="91"/>
        <v>15.73372631</v>
      </c>
      <c r="J149" s="252">
        <f t="shared" si="91"/>
        <v>29.8001931</v>
      </c>
      <c r="K149" s="252">
        <f t="shared" si="91"/>
        <v>97.18413459</v>
      </c>
      <c r="L149" s="252">
        <f t="shared" si="91"/>
        <v>0.6697450865</v>
      </c>
      <c r="M149" s="252">
        <f t="shared" si="91"/>
        <v>0.4663066541</v>
      </c>
      <c r="N149" s="252">
        <f t="shared" si="91"/>
        <v>102.926733</v>
      </c>
      <c r="O149" s="252">
        <f t="shared" si="91"/>
        <v>6.384499767</v>
      </c>
      <c r="P149" s="272">
        <f t="shared" si="91"/>
        <v>41.82082456</v>
      </c>
      <c r="Q149" s="272">
        <f t="shared" si="91"/>
        <v>29.7867569</v>
      </c>
    </row>
    <row r="150" outlineLevel="1">
      <c r="A150" s="343" t="s">
        <v>392</v>
      </c>
      <c r="B150" s="295">
        <f t="shared" si="92"/>
        <v>0</v>
      </c>
      <c r="C150" s="272">
        <f t="shared" si="93"/>
        <v>0</v>
      </c>
      <c r="D150" s="252">
        <f t="shared" ref="D150:Q150" si="94">D134*D$91</f>
        <v>0</v>
      </c>
      <c r="E150" s="252">
        <f t="shared" si="94"/>
        <v>0</v>
      </c>
      <c r="F150" s="252">
        <f t="shared" si="94"/>
        <v>0</v>
      </c>
      <c r="G150" s="252">
        <f t="shared" si="94"/>
        <v>0</v>
      </c>
      <c r="H150" s="252">
        <f t="shared" si="94"/>
        <v>0</v>
      </c>
      <c r="I150" s="252">
        <f t="shared" si="94"/>
        <v>0</v>
      </c>
      <c r="J150" s="252">
        <f t="shared" si="94"/>
        <v>0</v>
      </c>
      <c r="K150" s="252">
        <f t="shared" si="94"/>
        <v>0</v>
      </c>
      <c r="L150" s="252">
        <f t="shared" si="94"/>
        <v>0</v>
      </c>
      <c r="M150" s="252">
        <f t="shared" si="94"/>
        <v>0</v>
      </c>
      <c r="N150" s="252">
        <f t="shared" si="94"/>
        <v>0</v>
      </c>
      <c r="O150" s="252">
        <f t="shared" si="94"/>
        <v>0</v>
      </c>
      <c r="P150" s="272">
        <f t="shared" si="94"/>
        <v>0</v>
      </c>
      <c r="Q150" s="272">
        <f t="shared" si="94"/>
        <v>0</v>
      </c>
    </row>
    <row r="151" outlineLevel="1">
      <c r="A151" s="342" t="s">
        <v>393</v>
      </c>
      <c r="B151" s="295">
        <f t="shared" si="92"/>
        <v>0</v>
      </c>
      <c r="C151" s="272">
        <f t="shared" si="93"/>
        <v>0</v>
      </c>
      <c r="D151" s="252">
        <f t="shared" ref="D151:Q151" si="95">D135*D$91</f>
        <v>0</v>
      </c>
      <c r="E151" s="252">
        <f t="shared" si="95"/>
        <v>0</v>
      </c>
      <c r="F151" s="252">
        <f t="shared" si="95"/>
        <v>0</v>
      </c>
      <c r="G151" s="252">
        <f t="shared" si="95"/>
        <v>0</v>
      </c>
      <c r="H151" s="252">
        <f t="shared" si="95"/>
        <v>0</v>
      </c>
      <c r="I151" s="252">
        <f t="shared" si="95"/>
        <v>0</v>
      </c>
      <c r="J151" s="252">
        <f t="shared" si="95"/>
        <v>0</v>
      </c>
      <c r="K151" s="252">
        <f t="shared" si="95"/>
        <v>0</v>
      </c>
      <c r="L151" s="252">
        <f t="shared" si="95"/>
        <v>0</v>
      </c>
      <c r="M151" s="252">
        <f t="shared" si="95"/>
        <v>0</v>
      </c>
      <c r="N151" s="252">
        <f t="shared" si="95"/>
        <v>0</v>
      </c>
      <c r="O151" s="252">
        <f t="shared" si="95"/>
        <v>0</v>
      </c>
      <c r="P151" s="272">
        <f t="shared" si="95"/>
        <v>0</v>
      </c>
      <c r="Q151" s="272">
        <f t="shared" si="95"/>
        <v>0</v>
      </c>
    </row>
    <row r="152" outlineLevel="1">
      <c r="A152" s="343"/>
      <c r="B152" s="295"/>
      <c r="C152" s="417"/>
      <c r="D152" s="252"/>
      <c r="E152" s="252"/>
      <c r="F152" s="252"/>
      <c r="G152" s="252"/>
      <c r="H152" s="252"/>
      <c r="I152" s="252"/>
      <c r="J152" s="252"/>
      <c r="K152" s="252"/>
      <c r="L152" s="252"/>
      <c r="M152" s="252"/>
      <c r="N152" s="252"/>
      <c r="O152" s="252"/>
      <c r="P152" s="417"/>
      <c r="Q152" s="417"/>
    </row>
    <row r="153" outlineLevel="1">
      <c r="A153" s="343" t="s">
        <v>287</v>
      </c>
      <c r="B153" s="295"/>
      <c r="C153" s="417"/>
      <c r="D153" s="252"/>
      <c r="E153" s="252"/>
      <c r="F153" s="252"/>
      <c r="G153" s="252"/>
      <c r="H153" s="252"/>
      <c r="I153" s="252"/>
      <c r="J153" s="252"/>
      <c r="K153" s="252"/>
      <c r="L153" s="252"/>
      <c r="M153" s="252"/>
      <c r="N153" s="252"/>
      <c r="O153" s="252"/>
      <c r="P153" s="417"/>
      <c r="Q153" s="417"/>
    </row>
    <row r="154" outlineLevel="1">
      <c r="A154" s="342" t="s">
        <v>391</v>
      </c>
      <c r="B154" s="295">
        <f t="shared" ref="B154:B156" si="97">index(A154:J154,,match($A$3,$A$1:$J$1,0))</f>
        <v>0</v>
      </c>
      <c r="C154" s="272">
        <f t="shared" ref="C154:C156" si="98">sumif(D154:Y154,"&lt;&gt;#DIV/0!")</f>
        <v>0</v>
      </c>
      <c r="D154" s="252">
        <f t="shared" ref="D154:Q154" si="96">D138*D$91</f>
        <v>0</v>
      </c>
      <c r="E154" s="252">
        <f t="shared" si="96"/>
        <v>0</v>
      </c>
      <c r="F154" s="252">
        <f t="shared" si="96"/>
        <v>0</v>
      </c>
      <c r="G154" s="252">
        <f t="shared" si="96"/>
        <v>0</v>
      </c>
      <c r="H154" s="252">
        <f t="shared" si="96"/>
        <v>0</v>
      </c>
      <c r="I154" s="252">
        <f t="shared" si="96"/>
        <v>0</v>
      </c>
      <c r="J154" s="252">
        <f t="shared" si="96"/>
        <v>0</v>
      </c>
      <c r="K154" s="252">
        <f t="shared" si="96"/>
        <v>0</v>
      </c>
      <c r="L154" s="252">
        <f t="shared" si="96"/>
        <v>0</v>
      </c>
      <c r="M154" s="252">
        <f t="shared" si="96"/>
        <v>0</v>
      </c>
      <c r="N154" s="252">
        <f t="shared" si="96"/>
        <v>0</v>
      </c>
      <c r="O154" s="252">
        <f t="shared" si="96"/>
        <v>0</v>
      </c>
      <c r="P154" s="272">
        <f t="shared" si="96"/>
        <v>0</v>
      </c>
      <c r="Q154" s="272">
        <f t="shared" si="96"/>
        <v>0</v>
      </c>
    </row>
    <row r="155" outlineLevel="1">
      <c r="A155" s="343" t="s">
        <v>392</v>
      </c>
      <c r="B155" s="295">
        <f t="shared" si="97"/>
        <v>-1463.10603</v>
      </c>
      <c r="C155" s="272">
        <f t="shared" si="98"/>
        <v>-1463.10603</v>
      </c>
      <c r="D155" s="252">
        <f t="shared" ref="D155:Q155" si="99">D139*D$91</f>
        <v>-153.2875616</v>
      </c>
      <c r="E155" s="252">
        <f t="shared" si="99"/>
        <v>-275.5896477</v>
      </c>
      <c r="F155" s="252">
        <f t="shared" si="99"/>
        <v>-531.581787</v>
      </c>
      <c r="G155" s="252">
        <f t="shared" si="99"/>
        <v>-165.86848</v>
      </c>
      <c r="H155" s="252">
        <f t="shared" si="99"/>
        <v>-85.75035643</v>
      </c>
      <c r="I155" s="252">
        <f t="shared" si="99"/>
        <v>-12.16114001</v>
      </c>
      <c r="J155" s="252">
        <f t="shared" si="99"/>
        <v>-23.03359761</v>
      </c>
      <c r="K155" s="252">
        <f t="shared" si="99"/>
        <v>-75.11697131</v>
      </c>
      <c r="L155" s="252">
        <f t="shared" si="99"/>
        <v>-0.5176690893</v>
      </c>
      <c r="M155" s="252">
        <f t="shared" si="99"/>
        <v>-0.3604245046</v>
      </c>
      <c r="N155" s="252">
        <f t="shared" si="99"/>
        <v>-79.55562382</v>
      </c>
      <c r="O155" s="252">
        <f t="shared" si="99"/>
        <v>-4.934800189</v>
      </c>
      <c r="P155" s="272">
        <f t="shared" si="99"/>
        <v>-32.32475848</v>
      </c>
      <c r="Q155" s="272">
        <f t="shared" si="99"/>
        <v>-23.02321231</v>
      </c>
    </row>
    <row r="156" outlineLevel="1">
      <c r="A156" s="342" t="s">
        <v>393</v>
      </c>
      <c r="B156" s="295">
        <f t="shared" si="97"/>
        <v>-1520.990396</v>
      </c>
      <c r="C156" s="272">
        <f t="shared" si="98"/>
        <v>-1520.990396</v>
      </c>
      <c r="D156" s="252">
        <f t="shared" ref="D156:Q156" si="100">D140*D$91</f>
        <v>-159.3520252</v>
      </c>
      <c r="E156" s="252">
        <f t="shared" si="100"/>
        <v>-286.4927071</v>
      </c>
      <c r="F156" s="252">
        <f t="shared" si="100"/>
        <v>-552.6125762</v>
      </c>
      <c r="G156" s="252">
        <f t="shared" si="100"/>
        <v>-172.4306782</v>
      </c>
      <c r="H156" s="252">
        <f t="shared" si="100"/>
        <v>-89.14286858</v>
      </c>
      <c r="I156" s="252">
        <f t="shared" si="100"/>
        <v>-12.64226705</v>
      </c>
      <c r="J156" s="252">
        <f t="shared" si="100"/>
        <v>-23.94486799</v>
      </c>
      <c r="K156" s="252">
        <f t="shared" si="100"/>
        <v>-78.08879846</v>
      </c>
      <c r="L156" s="252">
        <f t="shared" si="100"/>
        <v>-0.5381494552</v>
      </c>
      <c r="M156" s="252">
        <f t="shared" si="100"/>
        <v>-0.3746838565</v>
      </c>
      <c r="N156" s="252">
        <f t="shared" si="100"/>
        <v>-82.70305587</v>
      </c>
      <c r="O156" s="252">
        <f t="shared" si="100"/>
        <v>-5.130034009</v>
      </c>
      <c r="P156" s="272">
        <f t="shared" si="100"/>
        <v>-33.60361189</v>
      </c>
      <c r="Q156" s="272">
        <f t="shared" si="100"/>
        <v>-23.93407182</v>
      </c>
    </row>
    <row r="157" outlineLevel="1">
      <c r="A157" s="343"/>
      <c r="B157" s="295"/>
      <c r="C157" s="417"/>
      <c r="D157" s="252"/>
      <c r="E157" s="252"/>
      <c r="F157" s="252"/>
      <c r="G157" s="252"/>
      <c r="H157" s="252"/>
      <c r="I157" s="252"/>
      <c r="J157" s="252"/>
      <c r="K157" s="252"/>
      <c r="L157" s="252"/>
      <c r="M157" s="252"/>
      <c r="N157" s="252"/>
      <c r="O157" s="252"/>
      <c r="P157" s="417"/>
      <c r="Q157" s="417"/>
    </row>
    <row r="158" outlineLevel="1">
      <c r="A158" s="344" t="s">
        <v>288</v>
      </c>
      <c r="B158" s="295"/>
      <c r="C158" s="417"/>
      <c r="D158" s="252"/>
      <c r="E158" s="252"/>
      <c r="F158" s="252"/>
      <c r="G158" s="252"/>
      <c r="H158" s="252"/>
      <c r="I158" s="252"/>
      <c r="J158" s="252"/>
      <c r="K158" s="252"/>
      <c r="L158" s="252"/>
      <c r="M158" s="252"/>
      <c r="N158" s="252"/>
      <c r="O158" s="252"/>
      <c r="P158" s="417"/>
      <c r="Q158" s="417"/>
    </row>
    <row r="159" outlineLevel="1">
      <c r="A159" s="342" t="s">
        <v>391</v>
      </c>
      <c r="B159" s="295">
        <f t="shared" ref="B159:B161" si="102">index(A159:J159,,match($A$3,$A$1:$J$1,0))</f>
        <v>0</v>
      </c>
      <c r="C159" s="272">
        <f t="shared" ref="C159:C161" si="103">sumif(D159:Y159,"&lt;&gt;#DIV/0!")</f>
        <v>0</v>
      </c>
      <c r="D159" s="252">
        <f t="shared" ref="D159:Q159" si="101">D143*D$91</f>
        <v>0</v>
      </c>
      <c r="E159" s="252">
        <f t="shared" si="101"/>
        <v>0</v>
      </c>
      <c r="F159" s="252">
        <f t="shared" si="101"/>
        <v>0</v>
      </c>
      <c r="G159" s="252">
        <f t="shared" si="101"/>
        <v>0</v>
      </c>
      <c r="H159" s="252">
        <f t="shared" si="101"/>
        <v>0</v>
      </c>
      <c r="I159" s="252">
        <f t="shared" si="101"/>
        <v>0</v>
      </c>
      <c r="J159" s="252">
        <f t="shared" si="101"/>
        <v>0</v>
      </c>
      <c r="K159" s="252">
        <f t="shared" si="101"/>
        <v>0</v>
      </c>
      <c r="L159" s="252">
        <f t="shared" si="101"/>
        <v>0</v>
      </c>
      <c r="M159" s="252">
        <f t="shared" si="101"/>
        <v>0</v>
      </c>
      <c r="N159" s="252">
        <f t="shared" si="101"/>
        <v>0</v>
      </c>
      <c r="O159" s="252">
        <f t="shared" si="101"/>
        <v>0</v>
      </c>
      <c r="P159" s="272">
        <f t="shared" si="101"/>
        <v>0</v>
      </c>
      <c r="Q159" s="272">
        <f t="shared" si="101"/>
        <v>0</v>
      </c>
    </row>
    <row r="160" outlineLevel="1">
      <c r="A160" s="343" t="s">
        <v>392</v>
      </c>
      <c r="B160" s="295">
        <f t="shared" si="102"/>
        <v>-1463.10603</v>
      </c>
      <c r="C160" s="272">
        <f t="shared" si="103"/>
        <v>-1463.10603</v>
      </c>
      <c r="D160" s="252">
        <f t="shared" ref="D160:Q160" si="104">D144*D$91</f>
        <v>-153.2875616</v>
      </c>
      <c r="E160" s="252">
        <f t="shared" si="104"/>
        <v>-275.5896477</v>
      </c>
      <c r="F160" s="252">
        <f t="shared" si="104"/>
        <v>-531.581787</v>
      </c>
      <c r="G160" s="252">
        <f t="shared" si="104"/>
        <v>-165.86848</v>
      </c>
      <c r="H160" s="252">
        <f t="shared" si="104"/>
        <v>-85.75035643</v>
      </c>
      <c r="I160" s="252">
        <f t="shared" si="104"/>
        <v>-12.16114001</v>
      </c>
      <c r="J160" s="252">
        <f t="shared" si="104"/>
        <v>-23.03359761</v>
      </c>
      <c r="K160" s="252">
        <f t="shared" si="104"/>
        <v>-75.11697131</v>
      </c>
      <c r="L160" s="252">
        <f t="shared" si="104"/>
        <v>-0.5176690893</v>
      </c>
      <c r="M160" s="252">
        <f t="shared" si="104"/>
        <v>-0.3604245046</v>
      </c>
      <c r="N160" s="252">
        <f t="shared" si="104"/>
        <v>-79.55562382</v>
      </c>
      <c r="O160" s="252">
        <f t="shared" si="104"/>
        <v>-4.934800189</v>
      </c>
      <c r="P160" s="272">
        <f t="shared" si="104"/>
        <v>-32.32475848</v>
      </c>
      <c r="Q160" s="272">
        <f t="shared" si="104"/>
        <v>-23.02321231</v>
      </c>
    </row>
    <row r="161" outlineLevel="1">
      <c r="A161" s="342" t="s">
        <v>393</v>
      </c>
      <c r="B161" s="295">
        <f t="shared" si="102"/>
        <v>-1520.990396</v>
      </c>
      <c r="C161" s="272">
        <f t="shared" si="103"/>
        <v>-1520.990396</v>
      </c>
      <c r="D161" s="252">
        <f t="shared" ref="D161:Q161" si="105">D145*D$91</f>
        <v>-159.3520252</v>
      </c>
      <c r="E161" s="252">
        <f t="shared" si="105"/>
        <v>-286.4927071</v>
      </c>
      <c r="F161" s="252">
        <f t="shared" si="105"/>
        <v>-552.6125762</v>
      </c>
      <c r="G161" s="252">
        <f t="shared" si="105"/>
        <v>-172.4306782</v>
      </c>
      <c r="H161" s="252">
        <f t="shared" si="105"/>
        <v>-89.14286858</v>
      </c>
      <c r="I161" s="252">
        <f t="shared" si="105"/>
        <v>-12.64226705</v>
      </c>
      <c r="J161" s="252">
        <f t="shared" si="105"/>
        <v>-23.94486799</v>
      </c>
      <c r="K161" s="252">
        <f t="shared" si="105"/>
        <v>-78.08879846</v>
      </c>
      <c r="L161" s="252">
        <f t="shared" si="105"/>
        <v>-0.5381494552</v>
      </c>
      <c r="M161" s="252">
        <f t="shared" si="105"/>
        <v>-0.3746838565</v>
      </c>
      <c r="N161" s="252">
        <f t="shared" si="105"/>
        <v>-82.70305587</v>
      </c>
      <c r="O161" s="252">
        <f t="shared" si="105"/>
        <v>-5.130034009</v>
      </c>
      <c r="P161" s="272">
        <f t="shared" si="105"/>
        <v>-33.60361189</v>
      </c>
      <c r="Q161" s="272">
        <f t="shared" si="105"/>
        <v>-23.93407182</v>
      </c>
    </row>
    <row r="162" outlineLevel="1">
      <c r="A162" s="616"/>
      <c r="B162" s="605"/>
      <c r="C162" s="441"/>
      <c r="D162" s="441"/>
      <c r="E162" s="441"/>
      <c r="F162" s="441"/>
      <c r="G162" s="441"/>
      <c r="H162" s="441"/>
      <c r="I162" s="441"/>
      <c r="J162" s="441"/>
      <c r="K162" s="441"/>
      <c r="L162" s="441"/>
      <c r="M162" s="441"/>
      <c r="N162" s="441"/>
      <c r="O162" s="441"/>
      <c r="P162" s="441"/>
      <c r="Q162" s="441"/>
    </row>
    <row r="163" outlineLevel="1">
      <c r="A163" s="616"/>
      <c r="B163" s="605"/>
      <c r="C163" s="441"/>
      <c r="D163" s="441"/>
      <c r="E163" s="441"/>
      <c r="F163" s="441"/>
      <c r="G163" s="441"/>
      <c r="H163" s="441"/>
      <c r="I163" s="441"/>
      <c r="J163" s="441"/>
      <c r="K163" s="441"/>
      <c r="L163" s="441"/>
      <c r="M163" s="441"/>
      <c r="N163" s="441"/>
      <c r="O163" s="441"/>
      <c r="P163" s="441"/>
      <c r="Q163" s="441"/>
    </row>
    <row r="164" outlineLevel="1">
      <c r="A164" s="523" t="s">
        <v>395</v>
      </c>
      <c r="B164" s="605"/>
      <c r="C164" s="441"/>
      <c r="D164" s="441"/>
      <c r="E164" s="441"/>
      <c r="F164" s="441"/>
      <c r="G164" s="441"/>
      <c r="H164" s="441"/>
      <c r="I164" s="441"/>
      <c r="J164" s="441"/>
      <c r="K164" s="441"/>
      <c r="L164" s="441"/>
      <c r="M164" s="441"/>
      <c r="N164" s="441"/>
      <c r="O164" s="441"/>
      <c r="P164" s="441"/>
      <c r="Q164" s="441"/>
    </row>
    <row r="165" outlineLevel="1">
      <c r="A165" s="343" t="s">
        <v>285</v>
      </c>
      <c r="B165" s="295"/>
      <c r="C165" s="417"/>
      <c r="D165" s="252"/>
      <c r="E165" s="252"/>
      <c r="F165" s="252"/>
      <c r="G165" s="252"/>
      <c r="H165" s="252"/>
      <c r="I165" s="252"/>
      <c r="J165" s="252"/>
      <c r="K165" s="252"/>
      <c r="L165" s="252"/>
      <c r="M165" s="252"/>
      <c r="N165" s="252"/>
      <c r="O165" s="252"/>
      <c r="P165" s="417"/>
      <c r="Q165" s="417"/>
    </row>
    <row r="166" outlineLevel="1">
      <c r="A166" s="342" t="s">
        <v>391</v>
      </c>
      <c r="B166" s="295">
        <f t="shared" ref="B166:B168" si="107">index(A166:J166,,match($A$3,$A$1:$J$1,0))</f>
        <v>-360.953606</v>
      </c>
      <c r="C166" s="272">
        <f t="shared" ref="C166:C168" si="108">sumif(D166:Y166,"&lt;&gt;#DIV/0!")</f>
        <v>-360.953606</v>
      </c>
      <c r="D166" s="252">
        <f t="shared" ref="D166:Q166" si="106">-D133*D117</f>
        <v>-84.49861002</v>
      </c>
      <c r="E166" s="252">
        <f t="shared" si="106"/>
        <v>-26.36119605</v>
      </c>
      <c r="F166" s="252">
        <f t="shared" si="106"/>
        <v>-47.46347884</v>
      </c>
      <c r="G166" s="252">
        <f t="shared" si="106"/>
        <v>-59.94327946</v>
      </c>
      <c r="H166" s="252">
        <f t="shared" si="106"/>
        <v>-21.19109876</v>
      </c>
      <c r="I166" s="252">
        <f t="shared" si="106"/>
        <v>-46.79837508</v>
      </c>
      <c r="J166" s="252">
        <f t="shared" si="106"/>
        <v>-4.519539433</v>
      </c>
      <c r="K166" s="252">
        <f t="shared" si="106"/>
        <v>-13.58450107</v>
      </c>
      <c r="L166" s="252">
        <f t="shared" si="106"/>
        <v>-1.436879798</v>
      </c>
      <c r="M166" s="252">
        <f t="shared" si="106"/>
        <v>-5.402269866</v>
      </c>
      <c r="N166" s="252">
        <f t="shared" si="106"/>
        <v>-34.3572145</v>
      </c>
      <c r="O166" s="252">
        <f t="shared" si="106"/>
        <v>-4.79409231</v>
      </c>
      <c r="P166" s="272">
        <f t="shared" si="106"/>
        <v>-2.88618897</v>
      </c>
      <c r="Q166" s="272">
        <f t="shared" si="106"/>
        <v>-7.716881895</v>
      </c>
    </row>
    <row r="167" outlineLevel="1">
      <c r="A167" s="343" t="s">
        <v>392</v>
      </c>
      <c r="B167" s="295">
        <f t="shared" si="107"/>
        <v>0</v>
      </c>
      <c r="C167" s="272">
        <f t="shared" si="108"/>
        <v>0</v>
      </c>
      <c r="D167" s="252">
        <f t="shared" ref="D167:Q167" si="109">-D134*D118</f>
        <v>0</v>
      </c>
      <c r="E167" s="252">
        <f t="shared" si="109"/>
        <v>0</v>
      </c>
      <c r="F167" s="252">
        <f t="shared" si="109"/>
        <v>0</v>
      </c>
      <c r="G167" s="252">
        <f t="shared" si="109"/>
        <v>0</v>
      </c>
      <c r="H167" s="252">
        <f t="shared" si="109"/>
        <v>0</v>
      </c>
      <c r="I167" s="252">
        <f t="shared" si="109"/>
        <v>0</v>
      </c>
      <c r="J167" s="252">
        <f t="shared" si="109"/>
        <v>0</v>
      </c>
      <c r="K167" s="252">
        <f t="shared" si="109"/>
        <v>0</v>
      </c>
      <c r="L167" s="252">
        <f t="shared" si="109"/>
        <v>0</v>
      </c>
      <c r="M167" s="252">
        <f t="shared" si="109"/>
        <v>0</v>
      </c>
      <c r="N167" s="252">
        <f t="shared" si="109"/>
        <v>0</v>
      </c>
      <c r="O167" s="252">
        <f t="shared" si="109"/>
        <v>0</v>
      </c>
      <c r="P167" s="272">
        <f t="shared" si="109"/>
        <v>0</v>
      </c>
      <c r="Q167" s="272">
        <f t="shared" si="109"/>
        <v>0</v>
      </c>
    </row>
    <row r="168" outlineLevel="1">
      <c r="A168" s="342" t="s">
        <v>393</v>
      </c>
      <c r="B168" s="295">
        <f t="shared" si="107"/>
        <v>0</v>
      </c>
      <c r="C168" s="272">
        <f t="shared" si="108"/>
        <v>0</v>
      </c>
      <c r="D168" s="252">
        <f t="shared" ref="D168:Q168" si="110">-D135*D119</f>
        <v>0</v>
      </c>
      <c r="E168" s="252">
        <f t="shared" si="110"/>
        <v>0</v>
      </c>
      <c r="F168" s="252">
        <f t="shared" si="110"/>
        <v>0</v>
      </c>
      <c r="G168" s="252">
        <f t="shared" si="110"/>
        <v>0</v>
      </c>
      <c r="H168" s="252">
        <f t="shared" si="110"/>
        <v>0</v>
      </c>
      <c r="I168" s="252">
        <f t="shared" si="110"/>
        <v>0</v>
      </c>
      <c r="J168" s="252">
        <f t="shared" si="110"/>
        <v>0</v>
      </c>
      <c r="K168" s="252">
        <f t="shared" si="110"/>
        <v>0</v>
      </c>
      <c r="L168" s="252">
        <f t="shared" si="110"/>
        <v>0</v>
      </c>
      <c r="M168" s="252">
        <f t="shared" si="110"/>
        <v>0</v>
      </c>
      <c r="N168" s="252">
        <f t="shared" si="110"/>
        <v>0</v>
      </c>
      <c r="O168" s="252">
        <f t="shared" si="110"/>
        <v>0</v>
      </c>
      <c r="P168" s="272">
        <f t="shared" si="110"/>
        <v>0</v>
      </c>
      <c r="Q168" s="272">
        <f t="shared" si="110"/>
        <v>0</v>
      </c>
    </row>
    <row r="169" outlineLevel="1">
      <c r="A169" s="342"/>
      <c r="B169" s="295"/>
      <c r="C169" s="417"/>
      <c r="D169" s="252"/>
      <c r="E169" s="252"/>
      <c r="F169" s="252"/>
      <c r="G169" s="252"/>
      <c r="H169" s="252"/>
      <c r="I169" s="252"/>
      <c r="J169" s="252"/>
      <c r="K169" s="252"/>
      <c r="L169" s="252"/>
      <c r="M169" s="252"/>
      <c r="N169" s="252"/>
      <c r="O169" s="252"/>
      <c r="P169" s="417"/>
      <c r="Q169" s="417"/>
    </row>
    <row r="170" outlineLevel="1">
      <c r="A170" s="343" t="s">
        <v>287</v>
      </c>
      <c r="B170" s="295"/>
      <c r="C170" s="417"/>
      <c r="D170" s="252"/>
      <c r="E170" s="252"/>
      <c r="F170" s="252"/>
      <c r="G170" s="252"/>
      <c r="H170" s="252"/>
      <c r="I170" s="252"/>
      <c r="J170" s="252"/>
      <c r="K170" s="252"/>
      <c r="L170" s="252"/>
      <c r="M170" s="252"/>
      <c r="N170" s="252"/>
      <c r="O170" s="252"/>
      <c r="P170" s="417"/>
      <c r="Q170" s="417"/>
    </row>
    <row r="171" outlineLevel="1">
      <c r="A171" s="342" t="s">
        <v>391</v>
      </c>
      <c r="B171" s="295">
        <f t="shared" ref="B171:B173" si="112">index(A171:J171,,match($A$3,$A$1:$J$1,0))</f>
        <v>0</v>
      </c>
      <c r="C171" s="272">
        <f t="shared" ref="C171:C173" si="113">sumif(D171:Y171,"&lt;&gt;#DIV/0!")</f>
        <v>0</v>
      </c>
      <c r="D171" s="252">
        <f t="shared" ref="D171:Q171" si="111">-D138*D117</f>
        <v>0</v>
      </c>
      <c r="E171" s="252">
        <f t="shared" si="111"/>
        <v>0</v>
      </c>
      <c r="F171" s="252">
        <f t="shared" si="111"/>
        <v>0</v>
      </c>
      <c r="G171" s="252">
        <f t="shared" si="111"/>
        <v>0</v>
      </c>
      <c r="H171" s="252">
        <f t="shared" si="111"/>
        <v>0</v>
      </c>
      <c r="I171" s="252">
        <f t="shared" si="111"/>
        <v>0</v>
      </c>
      <c r="J171" s="252">
        <f t="shared" si="111"/>
        <v>0</v>
      </c>
      <c r="K171" s="252">
        <f t="shared" si="111"/>
        <v>0</v>
      </c>
      <c r="L171" s="252">
        <f t="shared" si="111"/>
        <v>0</v>
      </c>
      <c r="M171" s="252">
        <f t="shared" si="111"/>
        <v>0</v>
      </c>
      <c r="N171" s="252">
        <f t="shared" si="111"/>
        <v>0</v>
      </c>
      <c r="O171" s="252">
        <f t="shared" si="111"/>
        <v>0</v>
      </c>
      <c r="P171" s="272">
        <f t="shared" si="111"/>
        <v>0</v>
      </c>
      <c r="Q171" s="272">
        <f t="shared" si="111"/>
        <v>0</v>
      </c>
    </row>
    <row r="172" outlineLevel="1">
      <c r="A172" s="343" t="s">
        <v>392</v>
      </c>
      <c r="B172" s="295">
        <f t="shared" si="112"/>
        <v>278.9934981</v>
      </c>
      <c r="C172" s="272">
        <f t="shared" si="113"/>
        <v>278.9934981</v>
      </c>
      <c r="D172" s="252">
        <f t="shared" ref="D172:Q172" si="114">-D139*D118</f>
        <v>65.31189161</v>
      </c>
      <c r="E172" s="252">
        <f t="shared" si="114"/>
        <v>20.37547811</v>
      </c>
      <c r="F172" s="252">
        <f t="shared" si="114"/>
        <v>36.68616069</v>
      </c>
      <c r="G172" s="252">
        <f t="shared" si="114"/>
        <v>46.33222925</v>
      </c>
      <c r="H172" s="252">
        <f t="shared" si="114"/>
        <v>16.37933151</v>
      </c>
      <c r="I172" s="252">
        <f t="shared" si="114"/>
        <v>36.17207904</v>
      </c>
      <c r="J172" s="252">
        <f t="shared" si="114"/>
        <v>3.493307991</v>
      </c>
      <c r="K172" s="252">
        <f t="shared" si="114"/>
        <v>10.49992966</v>
      </c>
      <c r="L172" s="252">
        <f t="shared" si="114"/>
        <v>1.11061398</v>
      </c>
      <c r="M172" s="252">
        <f t="shared" si="114"/>
        <v>4.175600804</v>
      </c>
      <c r="N172" s="252">
        <f t="shared" si="114"/>
        <v>26.5558767</v>
      </c>
      <c r="O172" s="252">
        <f t="shared" si="114"/>
        <v>3.705519384</v>
      </c>
      <c r="P172" s="272">
        <f t="shared" si="114"/>
        <v>2.230835053</v>
      </c>
      <c r="Q172" s="272">
        <f t="shared" si="114"/>
        <v>5.964644315</v>
      </c>
    </row>
    <row r="173" outlineLevel="1">
      <c r="A173" s="342" t="s">
        <v>393</v>
      </c>
      <c r="B173" s="295">
        <f t="shared" si="112"/>
        <v>437.3627155</v>
      </c>
      <c r="C173" s="272">
        <f t="shared" si="113"/>
        <v>437.3627155</v>
      </c>
      <c r="D173" s="252">
        <f t="shared" ref="D173:Q173" si="115">-D140*D119</f>
        <v>102.3858494</v>
      </c>
      <c r="E173" s="252">
        <f t="shared" si="115"/>
        <v>31.94151296</v>
      </c>
      <c r="F173" s="252">
        <f t="shared" si="115"/>
        <v>57.51087022</v>
      </c>
      <c r="G173" s="252">
        <f t="shared" si="115"/>
        <v>72.63247976</v>
      </c>
      <c r="H173" s="252">
        <f t="shared" si="115"/>
        <v>25.67697439</v>
      </c>
      <c r="I173" s="252">
        <f t="shared" si="115"/>
        <v>56.70497279</v>
      </c>
      <c r="J173" s="252">
        <f t="shared" si="115"/>
        <v>5.476266219</v>
      </c>
      <c r="K173" s="252">
        <f t="shared" si="115"/>
        <v>16.46016046</v>
      </c>
      <c r="L173" s="252">
        <f t="shared" si="115"/>
        <v>1.741048267</v>
      </c>
      <c r="M173" s="252">
        <f t="shared" si="115"/>
        <v>6.545859022</v>
      </c>
      <c r="N173" s="252">
        <f t="shared" si="115"/>
        <v>41.63018288</v>
      </c>
      <c r="O173" s="252">
        <f t="shared" si="115"/>
        <v>5.808938313</v>
      </c>
      <c r="P173" s="272">
        <f t="shared" si="115"/>
        <v>3.497157042</v>
      </c>
      <c r="Q173" s="272">
        <f t="shared" si="115"/>
        <v>9.350443837</v>
      </c>
    </row>
    <row r="174" outlineLevel="1">
      <c r="A174" s="343"/>
      <c r="B174" s="295"/>
      <c r="C174" s="417"/>
      <c r="D174" s="252"/>
      <c r="E174" s="252"/>
      <c r="F174" s="252"/>
      <c r="G174" s="252"/>
      <c r="H174" s="252"/>
      <c r="I174" s="252"/>
      <c r="J174" s="252"/>
      <c r="K174" s="252"/>
      <c r="L174" s="252"/>
      <c r="M174" s="252"/>
      <c r="N174" s="252"/>
      <c r="O174" s="252"/>
      <c r="P174" s="417"/>
      <c r="Q174" s="417"/>
    </row>
    <row r="175" outlineLevel="1">
      <c r="A175" s="344" t="s">
        <v>288</v>
      </c>
      <c r="B175" s="295"/>
      <c r="C175" s="417"/>
      <c r="D175" s="252"/>
      <c r="E175" s="252"/>
      <c r="F175" s="252"/>
      <c r="G175" s="252"/>
      <c r="H175" s="252"/>
      <c r="I175" s="252"/>
      <c r="J175" s="252"/>
      <c r="K175" s="252"/>
      <c r="L175" s="252"/>
      <c r="M175" s="252"/>
      <c r="N175" s="252"/>
      <c r="O175" s="252"/>
      <c r="P175" s="417"/>
      <c r="Q175" s="417"/>
    </row>
    <row r="176" outlineLevel="1">
      <c r="A176" s="342" t="s">
        <v>391</v>
      </c>
      <c r="B176" s="295">
        <f t="shared" ref="B176:B178" si="117">index(A176:J176,,match($A$3,$A$1:$J$1,0))</f>
        <v>0</v>
      </c>
      <c r="C176" s="272">
        <f t="shared" ref="C176:C178" si="118">sumif(D176:Y176,"&lt;&gt;#DIV/0!")</f>
        <v>0</v>
      </c>
      <c r="D176" s="252">
        <f t="shared" ref="D176:Q176" si="116">-D143*D117</f>
        <v>0</v>
      </c>
      <c r="E176" s="252">
        <f t="shared" si="116"/>
        <v>0</v>
      </c>
      <c r="F176" s="252">
        <f t="shared" si="116"/>
        <v>0</v>
      </c>
      <c r="G176" s="252">
        <f t="shared" si="116"/>
        <v>0</v>
      </c>
      <c r="H176" s="252">
        <f t="shared" si="116"/>
        <v>0</v>
      </c>
      <c r="I176" s="252">
        <f t="shared" si="116"/>
        <v>0</v>
      </c>
      <c r="J176" s="252">
        <f t="shared" si="116"/>
        <v>0</v>
      </c>
      <c r="K176" s="252">
        <f t="shared" si="116"/>
        <v>0</v>
      </c>
      <c r="L176" s="252">
        <f t="shared" si="116"/>
        <v>0</v>
      </c>
      <c r="M176" s="252">
        <f t="shared" si="116"/>
        <v>0</v>
      </c>
      <c r="N176" s="252">
        <f t="shared" si="116"/>
        <v>0</v>
      </c>
      <c r="O176" s="252">
        <f t="shared" si="116"/>
        <v>0</v>
      </c>
      <c r="P176" s="272">
        <f t="shared" si="116"/>
        <v>0</v>
      </c>
      <c r="Q176" s="272">
        <f t="shared" si="116"/>
        <v>0</v>
      </c>
    </row>
    <row r="177" outlineLevel="1">
      <c r="A177" s="343" t="s">
        <v>392</v>
      </c>
      <c r="B177" s="295">
        <f t="shared" si="117"/>
        <v>278.9934981</v>
      </c>
      <c r="C177" s="272">
        <f t="shared" si="118"/>
        <v>278.9934981</v>
      </c>
      <c r="D177" s="252">
        <f t="shared" ref="D177:Q177" si="119">-D144*D118</f>
        <v>65.31189161</v>
      </c>
      <c r="E177" s="252">
        <f t="shared" si="119"/>
        <v>20.37547811</v>
      </c>
      <c r="F177" s="252">
        <f t="shared" si="119"/>
        <v>36.68616069</v>
      </c>
      <c r="G177" s="252">
        <f t="shared" si="119"/>
        <v>46.33222925</v>
      </c>
      <c r="H177" s="252">
        <f t="shared" si="119"/>
        <v>16.37933151</v>
      </c>
      <c r="I177" s="252">
        <f t="shared" si="119"/>
        <v>36.17207904</v>
      </c>
      <c r="J177" s="252">
        <f t="shared" si="119"/>
        <v>3.493307991</v>
      </c>
      <c r="K177" s="252">
        <f t="shared" si="119"/>
        <v>10.49992966</v>
      </c>
      <c r="L177" s="252">
        <f t="shared" si="119"/>
        <v>1.11061398</v>
      </c>
      <c r="M177" s="252">
        <f t="shared" si="119"/>
        <v>4.175600804</v>
      </c>
      <c r="N177" s="252">
        <f t="shared" si="119"/>
        <v>26.5558767</v>
      </c>
      <c r="O177" s="252">
        <f t="shared" si="119"/>
        <v>3.705519384</v>
      </c>
      <c r="P177" s="272">
        <f t="shared" si="119"/>
        <v>2.230835053</v>
      </c>
      <c r="Q177" s="272">
        <f t="shared" si="119"/>
        <v>5.964644315</v>
      </c>
    </row>
    <row r="178" outlineLevel="1">
      <c r="A178" s="342" t="s">
        <v>393</v>
      </c>
      <c r="B178" s="295">
        <f t="shared" si="117"/>
        <v>437.3627155</v>
      </c>
      <c r="C178" s="272">
        <f t="shared" si="118"/>
        <v>437.3627155</v>
      </c>
      <c r="D178" s="252">
        <f t="shared" ref="D178:Q178" si="120">-D145*D119</f>
        <v>102.3858494</v>
      </c>
      <c r="E178" s="252">
        <f t="shared" si="120"/>
        <v>31.94151296</v>
      </c>
      <c r="F178" s="252">
        <f t="shared" si="120"/>
        <v>57.51087022</v>
      </c>
      <c r="G178" s="252">
        <f t="shared" si="120"/>
        <v>72.63247976</v>
      </c>
      <c r="H178" s="252">
        <f t="shared" si="120"/>
        <v>25.67697439</v>
      </c>
      <c r="I178" s="252">
        <f t="shared" si="120"/>
        <v>56.70497279</v>
      </c>
      <c r="J178" s="252">
        <f t="shared" si="120"/>
        <v>5.476266219</v>
      </c>
      <c r="K178" s="252">
        <f t="shared" si="120"/>
        <v>16.46016046</v>
      </c>
      <c r="L178" s="252">
        <f t="shared" si="120"/>
        <v>1.741048267</v>
      </c>
      <c r="M178" s="252">
        <f t="shared" si="120"/>
        <v>6.545859022</v>
      </c>
      <c r="N178" s="252">
        <f t="shared" si="120"/>
        <v>41.63018288</v>
      </c>
      <c r="O178" s="252">
        <f t="shared" si="120"/>
        <v>5.808938313</v>
      </c>
      <c r="P178" s="272">
        <f t="shared" si="120"/>
        <v>3.497157042</v>
      </c>
      <c r="Q178" s="272">
        <f t="shared" si="120"/>
        <v>9.350443837</v>
      </c>
    </row>
    <row r="179" outlineLevel="1">
      <c r="A179" s="343"/>
      <c r="B179" s="295"/>
      <c r="C179" s="417"/>
      <c r="D179" s="252"/>
      <c r="E179" s="252"/>
      <c r="F179" s="252"/>
      <c r="G179" s="252"/>
      <c r="H179" s="252"/>
      <c r="I179" s="252"/>
      <c r="J179" s="252"/>
      <c r="K179" s="252"/>
      <c r="L179" s="252"/>
      <c r="M179" s="252"/>
      <c r="N179" s="252"/>
      <c r="O179" s="252"/>
      <c r="P179" s="417"/>
      <c r="Q179" s="417"/>
    </row>
    <row r="180" outlineLevel="1">
      <c r="A180" s="342"/>
      <c r="B180" s="605"/>
      <c r="C180" s="441"/>
      <c r="D180" s="154"/>
      <c r="E180" s="154"/>
      <c r="F180" s="154"/>
      <c r="G180" s="154"/>
      <c r="H180" s="154"/>
      <c r="I180" s="154"/>
      <c r="J180" s="154"/>
      <c r="K180" s="154"/>
      <c r="L180" s="154"/>
      <c r="M180" s="154"/>
      <c r="N180" s="154"/>
      <c r="O180" s="154"/>
      <c r="P180" s="96"/>
      <c r="Q180" s="96"/>
    </row>
    <row r="181" outlineLevel="1">
      <c r="A181" s="523" t="s">
        <v>396</v>
      </c>
      <c r="B181" s="605"/>
      <c r="C181" s="441"/>
      <c r="D181" s="441"/>
      <c r="E181" s="441"/>
      <c r="F181" s="441"/>
      <c r="G181" s="441"/>
      <c r="H181" s="441"/>
      <c r="I181" s="441"/>
      <c r="J181" s="441"/>
      <c r="K181" s="441"/>
      <c r="L181" s="441"/>
      <c r="M181" s="441"/>
      <c r="N181" s="441"/>
      <c r="O181" s="441"/>
      <c r="P181" s="441"/>
      <c r="Q181" s="441"/>
    </row>
    <row r="182" outlineLevel="1">
      <c r="A182" s="344" t="s">
        <v>285</v>
      </c>
      <c r="B182" s="295">
        <f t="shared" ref="B182:B184" si="122">index(A182:J182,,match($A$3,$A$1:$J$1,0))</f>
        <v>1531.970068</v>
      </c>
      <c r="C182" s="272">
        <f t="shared" ref="C182:C184" si="123">sumif(D182:Y182,"&lt;&gt;#DIV/0!")</f>
        <v>1531.970068</v>
      </c>
      <c r="D182" s="252">
        <f t="shared" ref="D182:Q182" si="121">SUM(D149:D151,D166:D168)</f>
        <v>113.8203418</v>
      </c>
      <c r="E182" s="252">
        <f t="shared" si="121"/>
        <v>330.1886082</v>
      </c>
      <c r="F182" s="252">
        <f t="shared" si="121"/>
        <v>640.281448</v>
      </c>
      <c r="G182" s="252">
        <f t="shared" si="121"/>
        <v>154.6524957</v>
      </c>
      <c r="H182" s="252">
        <f t="shared" si="121"/>
        <v>89.75019767</v>
      </c>
      <c r="I182" s="252">
        <f t="shared" si="121"/>
        <v>-31.06464877</v>
      </c>
      <c r="J182" s="252">
        <f t="shared" si="121"/>
        <v>25.28065367</v>
      </c>
      <c r="K182" s="252">
        <f t="shared" si="121"/>
        <v>83.59963352</v>
      </c>
      <c r="L182" s="252">
        <f t="shared" si="121"/>
        <v>-0.7671347113</v>
      </c>
      <c r="M182" s="252">
        <f t="shared" si="121"/>
        <v>-4.935963212</v>
      </c>
      <c r="N182" s="252">
        <f t="shared" si="121"/>
        <v>68.56951855</v>
      </c>
      <c r="O182" s="252">
        <f t="shared" si="121"/>
        <v>1.590407456</v>
      </c>
      <c r="P182" s="272">
        <f t="shared" si="121"/>
        <v>38.93463559</v>
      </c>
      <c r="Q182" s="272">
        <f t="shared" si="121"/>
        <v>22.06987501</v>
      </c>
    </row>
    <row r="183" outlineLevel="1">
      <c r="A183" s="344" t="s">
        <v>287</v>
      </c>
      <c r="B183" s="295">
        <f t="shared" si="122"/>
        <v>-2267.740212</v>
      </c>
      <c r="C183" s="272">
        <f t="shared" si="123"/>
        <v>-2267.740212</v>
      </c>
      <c r="D183" s="252">
        <f t="shared" ref="D183:Q183" si="124">SUM(D154:D156,D171:D173)</f>
        <v>-144.9418457</v>
      </c>
      <c r="E183" s="252">
        <f t="shared" si="124"/>
        <v>-509.7653638</v>
      </c>
      <c r="F183" s="252">
        <f t="shared" si="124"/>
        <v>-989.9973324</v>
      </c>
      <c r="G183" s="252">
        <f t="shared" si="124"/>
        <v>-219.3344491</v>
      </c>
      <c r="H183" s="252">
        <f t="shared" si="124"/>
        <v>-132.8369191</v>
      </c>
      <c r="I183" s="252">
        <f t="shared" si="124"/>
        <v>68.07364476</v>
      </c>
      <c r="J183" s="252">
        <f t="shared" si="124"/>
        <v>-38.00889139</v>
      </c>
      <c r="K183" s="252">
        <f t="shared" si="124"/>
        <v>-126.2456796</v>
      </c>
      <c r="L183" s="252">
        <f t="shared" si="124"/>
        <v>1.795843703</v>
      </c>
      <c r="M183" s="252">
        <f t="shared" si="124"/>
        <v>9.986351466</v>
      </c>
      <c r="N183" s="252">
        <f t="shared" si="124"/>
        <v>-94.07262012</v>
      </c>
      <c r="O183" s="252">
        <f t="shared" si="124"/>
        <v>-0.5503765014</v>
      </c>
      <c r="P183" s="272">
        <f t="shared" si="124"/>
        <v>-60.20037828</v>
      </c>
      <c r="Q183" s="272">
        <f t="shared" si="124"/>
        <v>-31.64219597</v>
      </c>
    </row>
    <row r="184" outlineLevel="1">
      <c r="A184" s="344" t="s">
        <v>288</v>
      </c>
      <c r="B184" s="295">
        <f t="shared" si="122"/>
        <v>-2267.740212</v>
      </c>
      <c r="C184" s="272">
        <f t="shared" si="123"/>
        <v>-2267.740212</v>
      </c>
      <c r="D184" s="252">
        <f t="shared" ref="D184:Q184" si="125">SUM(D159:D161,D176:D178)</f>
        <v>-144.9418457</v>
      </c>
      <c r="E184" s="252">
        <f t="shared" si="125"/>
        <v>-509.7653638</v>
      </c>
      <c r="F184" s="252">
        <f t="shared" si="125"/>
        <v>-989.9973324</v>
      </c>
      <c r="G184" s="252">
        <f t="shared" si="125"/>
        <v>-219.3344491</v>
      </c>
      <c r="H184" s="252">
        <f t="shared" si="125"/>
        <v>-132.8369191</v>
      </c>
      <c r="I184" s="252">
        <f t="shared" si="125"/>
        <v>68.07364476</v>
      </c>
      <c r="J184" s="252">
        <f t="shared" si="125"/>
        <v>-38.00889139</v>
      </c>
      <c r="K184" s="252">
        <f t="shared" si="125"/>
        <v>-126.2456796</v>
      </c>
      <c r="L184" s="252">
        <f t="shared" si="125"/>
        <v>1.795843703</v>
      </c>
      <c r="M184" s="252">
        <f t="shared" si="125"/>
        <v>9.986351466</v>
      </c>
      <c r="N184" s="252">
        <f t="shared" si="125"/>
        <v>-94.07262012</v>
      </c>
      <c r="O184" s="252">
        <f t="shared" si="125"/>
        <v>-0.5503765014</v>
      </c>
      <c r="P184" s="272">
        <f t="shared" si="125"/>
        <v>-60.20037828</v>
      </c>
      <c r="Q184" s="272">
        <f t="shared" si="125"/>
        <v>-31.64219597</v>
      </c>
    </row>
    <row r="185" outlineLevel="1">
      <c r="A185" s="342"/>
      <c r="B185" s="605"/>
      <c r="C185" s="441"/>
      <c r="D185" s="417"/>
      <c r="E185" s="417"/>
      <c r="F185" s="417"/>
      <c r="G185" s="417"/>
      <c r="H185" s="417"/>
      <c r="I185" s="417"/>
      <c r="J185" s="417"/>
      <c r="K185" s="417"/>
      <c r="L185" s="417"/>
      <c r="M185" s="417"/>
      <c r="N185" s="417"/>
      <c r="O185" s="417"/>
      <c r="P185" s="417"/>
      <c r="Q185" s="417"/>
    </row>
    <row r="186" outlineLevel="1">
      <c r="A186" s="523" t="s">
        <v>397</v>
      </c>
      <c r="B186" s="605"/>
      <c r="C186" s="441"/>
      <c r="D186" s="441"/>
      <c r="E186" s="441"/>
      <c r="F186" s="441"/>
      <c r="G186" s="441"/>
      <c r="H186" s="441"/>
      <c r="I186" s="441"/>
      <c r="J186" s="441"/>
      <c r="K186" s="441"/>
      <c r="L186" s="441"/>
      <c r="M186" s="441"/>
      <c r="N186" s="441"/>
      <c r="O186" s="441"/>
      <c r="P186" s="441"/>
      <c r="Q186" s="441"/>
    </row>
    <row r="187" outlineLevel="1">
      <c r="A187" s="344" t="s">
        <v>285</v>
      </c>
      <c r="B187" s="295">
        <f t="shared" ref="B187:B190" si="127">index(A187:J187,,match($A$3,$A$1:$J$1,0))</f>
        <v>360.953606</v>
      </c>
      <c r="C187" s="272">
        <f t="shared" ref="C187:C189" si="128">sumif(D187:Y187,"&lt;&gt;#DIV/0!")</f>
        <v>360.953606</v>
      </c>
      <c r="D187" s="252">
        <f t="shared" ref="D187:Q187" si="126">D$8*D$90-D182</f>
        <v>84.49861002</v>
      </c>
      <c r="E187" s="252">
        <f t="shared" si="126"/>
        <v>26.36119605</v>
      </c>
      <c r="F187" s="252">
        <f t="shared" si="126"/>
        <v>47.46347884</v>
      </c>
      <c r="G187" s="252">
        <f t="shared" si="126"/>
        <v>59.94327946</v>
      </c>
      <c r="H187" s="252">
        <f t="shared" si="126"/>
        <v>21.19109876</v>
      </c>
      <c r="I187" s="252">
        <f t="shared" si="126"/>
        <v>46.79837508</v>
      </c>
      <c r="J187" s="252">
        <f t="shared" si="126"/>
        <v>4.519539433</v>
      </c>
      <c r="K187" s="252">
        <f t="shared" si="126"/>
        <v>13.58450107</v>
      </c>
      <c r="L187" s="252">
        <f t="shared" si="126"/>
        <v>1.436879798</v>
      </c>
      <c r="M187" s="252">
        <f t="shared" si="126"/>
        <v>5.402269866</v>
      </c>
      <c r="N187" s="252">
        <f t="shared" si="126"/>
        <v>34.3572145</v>
      </c>
      <c r="O187" s="252">
        <f t="shared" si="126"/>
        <v>4.79409231</v>
      </c>
      <c r="P187" s="272">
        <f t="shared" si="126"/>
        <v>2.88618897</v>
      </c>
      <c r="Q187" s="272">
        <f t="shared" si="126"/>
        <v>7.716881895</v>
      </c>
    </row>
    <row r="188" outlineLevel="1">
      <c r="A188" s="344" t="s">
        <v>287</v>
      </c>
      <c r="B188" s="295">
        <f t="shared" si="127"/>
        <v>4160.663887</v>
      </c>
      <c r="C188" s="272">
        <f t="shared" si="128"/>
        <v>4160.663887</v>
      </c>
      <c r="D188" s="252">
        <f t="shared" ref="D188:Q188" si="129">D$8*D$90-D183</f>
        <v>343.2607976</v>
      </c>
      <c r="E188" s="252">
        <f t="shared" si="129"/>
        <v>866.3151681</v>
      </c>
      <c r="F188" s="252">
        <f t="shared" si="129"/>
        <v>1677.742259</v>
      </c>
      <c r="G188" s="252">
        <f t="shared" si="129"/>
        <v>433.9302242</v>
      </c>
      <c r="H188" s="252">
        <f t="shared" si="129"/>
        <v>243.7782155</v>
      </c>
      <c r="I188" s="252">
        <f t="shared" si="129"/>
        <v>-52.33991845</v>
      </c>
      <c r="J188" s="252">
        <f t="shared" si="129"/>
        <v>67.80908449</v>
      </c>
      <c r="K188" s="252">
        <f t="shared" si="129"/>
        <v>223.4298142</v>
      </c>
      <c r="L188" s="252">
        <f t="shared" si="129"/>
        <v>-1.126098616</v>
      </c>
      <c r="M188" s="252">
        <f t="shared" si="129"/>
        <v>-9.520044812</v>
      </c>
      <c r="N188" s="252">
        <f t="shared" si="129"/>
        <v>196.9993532</v>
      </c>
      <c r="O188" s="252">
        <f t="shared" si="129"/>
        <v>6.934876268</v>
      </c>
      <c r="P188" s="272">
        <f t="shared" si="129"/>
        <v>102.0212028</v>
      </c>
      <c r="Q188" s="272">
        <f t="shared" si="129"/>
        <v>61.42895288</v>
      </c>
    </row>
    <row r="189" outlineLevel="1">
      <c r="A189" s="344" t="s">
        <v>288</v>
      </c>
      <c r="B189" s="295">
        <f t="shared" si="127"/>
        <v>4160.663887</v>
      </c>
      <c r="C189" s="672">
        <f t="shared" si="128"/>
        <v>4160.663887</v>
      </c>
      <c r="D189" s="252">
        <f t="shared" ref="D189:Q189" si="130">D$8*D$90-D184</f>
        <v>343.2607976</v>
      </c>
      <c r="E189" s="252">
        <f t="shared" si="130"/>
        <v>866.3151681</v>
      </c>
      <c r="F189" s="252">
        <f t="shared" si="130"/>
        <v>1677.742259</v>
      </c>
      <c r="G189" s="252">
        <f t="shared" si="130"/>
        <v>433.9302242</v>
      </c>
      <c r="H189" s="252">
        <f t="shared" si="130"/>
        <v>243.7782155</v>
      </c>
      <c r="I189" s="252">
        <f t="shared" si="130"/>
        <v>-52.33991845</v>
      </c>
      <c r="J189" s="252">
        <f t="shared" si="130"/>
        <v>67.80908449</v>
      </c>
      <c r="K189" s="252">
        <f t="shared" si="130"/>
        <v>223.4298142</v>
      </c>
      <c r="L189" s="252">
        <f t="shared" si="130"/>
        <v>-1.126098616</v>
      </c>
      <c r="M189" s="252">
        <f t="shared" si="130"/>
        <v>-9.520044812</v>
      </c>
      <c r="N189" s="252">
        <f t="shared" si="130"/>
        <v>196.9993532</v>
      </c>
      <c r="O189" s="252">
        <f t="shared" si="130"/>
        <v>6.934876268</v>
      </c>
      <c r="P189" s="272">
        <f t="shared" si="130"/>
        <v>102.0212028</v>
      </c>
      <c r="Q189" s="272">
        <f t="shared" si="130"/>
        <v>61.42895288</v>
      </c>
    </row>
    <row r="190" outlineLevel="1">
      <c r="A190" s="504" t="s">
        <v>72</v>
      </c>
      <c r="B190" s="620">
        <f t="shared" si="127"/>
        <v>3400.721831</v>
      </c>
      <c r="C190" s="252">
        <f>sum(D190:Q190)</f>
        <v>3400.721831</v>
      </c>
      <c r="D190" s="524">
        <f t="shared" ref="D190:Q190" si="131">SUMPRODUCT(D187:D189,D122:D124)</f>
        <v>291.5083601</v>
      </c>
      <c r="E190" s="524">
        <f t="shared" si="131"/>
        <v>698.3243737</v>
      </c>
      <c r="F190" s="524">
        <f t="shared" si="131"/>
        <v>1351.686503</v>
      </c>
      <c r="G190" s="524">
        <f t="shared" si="131"/>
        <v>359.1328353</v>
      </c>
      <c r="H190" s="524">
        <f t="shared" si="131"/>
        <v>199.2607922</v>
      </c>
      <c r="I190" s="524">
        <f t="shared" si="131"/>
        <v>-32.51225974</v>
      </c>
      <c r="J190" s="524">
        <f t="shared" si="131"/>
        <v>55.15117548</v>
      </c>
      <c r="K190" s="524">
        <f t="shared" si="131"/>
        <v>181.4607516</v>
      </c>
      <c r="L190" s="524">
        <f t="shared" si="131"/>
        <v>-0.6135029336</v>
      </c>
      <c r="M190" s="524">
        <f t="shared" si="131"/>
        <v>-6.535581876</v>
      </c>
      <c r="N190" s="524">
        <f t="shared" si="131"/>
        <v>164.4709254</v>
      </c>
      <c r="O190" s="524">
        <f t="shared" si="131"/>
        <v>6.506719476</v>
      </c>
      <c r="P190" s="252">
        <f t="shared" si="131"/>
        <v>82.19420007</v>
      </c>
      <c r="Q190" s="252">
        <f t="shared" si="131"/>
        <v>50.68653868</v>
      </c>
    </row>
    <row r="191" outlineLevel="1">
      <c r="A191" s="342"/>
      <c r="B191" s="607"/>
      <c r="C191" s="299"/>
      <c r="D191" s="299"/>
      <c r="E191" s="299"/>
      <c r="F191" s="299"/>
      <c r="G191" s="299"/>
      <c r="H191" s="299"/>
      <c r="I191" s="299"/>
      <c r="J191" s="299"/>
      <c r="K191" s="299"/>
      <c r="L191" s="299"/>
      <c r="M191" s="299"/>
      <c r="N191" s="299"/>
      <c r="O191" s="299"/>
      <c r="P191" s="299"/>
      <c r="Q191" s="299"/>
    </row>
    <row r="192">
      <c r="A192" s="343"/>
      <c r="B192" s="266"/>
      <c r="C192" s="299"/>
      <c r="D192" s="673"/>
      <c r="E192" s="673"/>
      <c r="F192" s="673"/>
      <c r="G192" s="673"/>
      <c r="H192" s="673"/>
      <c r="I192" s="673"/>
      <c r="J192" s="673"/>
      <c r="K192" s="673"/>
      <c r="L192" s="673"/>
      <c r="M192" s="673"/>
      <c r="N192" s="673"/>
      <c r="O192" s="673"/>
      <c r="P192" s="299"/>
      <c r="Q192" s="299"/>
    </row>
    <row r="193">
      <c r="A193" s="640" t="s">
        <v>421</v>
      </c>
      <c r="B193" s="674"/>
      <c r="C193" s="65"/>
      <c r="D193" s="640"/>
      <c r="E193" s="640"/>
      <c r="F193" s="640"/>
      <c r="G193" s="640"/>
      <c r="H193" s="640"/>
      <c r="I193" s="640"/>
      <c r="J193" s="640"/>
      <c r="K193" s="640"/>
      <c r="L193" s="640"/>
      <c r="M193" s="640"/>
      <c r="N193" s="640"/>
      <c r="O193" s="640"/>
      <c r="P193" s="65"/>
      <c r="Q193" s="65"/>
    </row>
    <row r="194">
      <c r="A194" s="67"/>
      <c r="B194" s="266"/>
      <c r="C194" s="299"/>
      <c r="D194" s="673"/>
      <c r="E194" s="673"/>
      <c r="F194" s="673"/>
      <c r="G194" s="673"/>
      <c r="H194" s="673"/>
      <c r="I194" s="673"/>
      <c r="J194" s="673"/>
      <c r="K194" s="673"/>
      <c r="L194" s="673"/>
      <c r="M194" s="673"/>
      <c r="N194" s="673"/>
      <c r="O194" s="673"/>
      <c r="P194" s="299"/>
      <c r="Q194" s="299"/>
    </row>
    <row r="195">
      <c r="A195" s="540" t="s">
        <v>422</v>
      </c>
      <c r="B195" s="541">
        <f t="shared" ref="B195:B196" si="133">index(A195:J195,,match($A$3,$A$1:$J$1,0))</f>
        <v>3400.721831</v>
      </c>
      <c r="C195" s="272">
        <f t="shared" ref="C195:Q195" si="132">C190</f>
        <v>3400.721831</v>
      </c>
      <c r="D195" s="675">
        <f t="shared" si="132"/>
        <v>291.5083601</v>
      </c>
      <c r="E195" s="675">
        <f t="shared" si="132"/>
        <v>698.3243737</v>
      </c>
      <c r="F195" s="675">
        <f t="shared" si="132"/>
        <v>1351.686503</v>
      </c>
      <c r="G195" s="675">
        <f t="shared" si="132"/>
        <v>359.1328353</v>
      </c>
      <c r="H195" s="675">
        <f t="shared" si="132"/>
        <v>199.2607922</v>
      </c>
      <c r="I195" s="675">
        <f t="shared" si="132"/>
        <v>-32.51225974</v>
      </c>
      <c r="J195" s="675">
        <f t="shared" si="132"/>
        <v>55.15117548</v>
      </c>
      <c r="K195" s="675">
        <f t="shared" si="132"/>
        <v>181.4607516</v>
      </c>
      <c r="L195" s="675">
        <f t="shared" si="132"/>
        <v>-0.6135029336</v>
      </c>
      <c r="M195" s="675">
        <f t="shared" si="132"/>
        <v>-6.535581876</v>
      </c>
      <c r="N195" s="675">
        <f t="shared" si="132"/>
        <v>164.4709254</v>
      </c>
      <c r="O195" s="675">
        <f t="shared" si="132"/>
        <v>6.506719476</v>
      </c>
      <c r="P195" s="653">
        <f t="shared" si="132"/>
        <v>82.19420007</v>
      </c>
      <c r="Q195" s="653">
        <f t="shared" si="132"/>
        <v>50.68653868</v>
      </c>
    </row>
    <row r="196">
      <c r="A196" s="344" t="s">
        <v>290</v>
      </c>
      <c r="B196" s="676">
        <f t="shared" si="133"/>
        <v>0.03400721831</v>
      </c>
      <c r="C196" s="279">
        <f t="shared" ref="C196:Q196" si="134">C195/C106</f>
        <v>0.03400721831</v>
      </c>
      <c r="D196" s="677">
        <f t="shared" si="134"/>
        <v>0.01245239345</v>
      </c>
      <c r="E196" s="677">
        <f t="shared" si="134"/>
        <v>0.09561884083</v>
      </c>
      <c r="F196" s="677">
        <f t="shared" si="134"/>
        <v>0.102794007</v>
      </c>
      <c r="G196" s="677">
        <f t="shared" si="134"/>
        <v>0.02162549215</v>
      </c>
      <c r="H196" s="677">
        <f t="shared" si="134"/>
        <v>0.03394061927</v>
      </c>
      <c r="I196" s="677">
        <f t="shared" si="134"/>
        <v>-0.002507654887</v>
      </c>
      <c r="J196" s="677">
        <f t="shared" si="134"/>
        <v>0.0440465582</v>
      </c>
      <c r="K196" s="677">
        <f t="shared" si="134"/>
        <v>0.04821591336</v>
      </c>
      <c r="L196" s="677">
        <f t="shared" si="134"/>
        <v>-0.001541159508</v>
      </c>
      <c r="M196" s="677">
        <f t="shared" si="134"/>
        <v>-0.004366760462</v>
      </c>
      <c r="N196" s="677">
        <f t="shared" si="134"/>
        <v>0.01727915796</v>
      </c>
      <c r="O196" s="677">
        <f t="shared" si="134"/>
        <v>0.004898995903</v>
      </c>
      <c r="P196" s="279">
        <f t="shared" si="134"/>
        <v>0.102794007</v>
      </c>
      <c r="Q196" s="279">
        <f t="shared" si="134"/>
        <v>0.02370839565</v>
      </c>
    </row>
    <row r="197">
      <c r="A197" s="342"/>
      <c r="B197" s="635"/>
      <c r="C197" s="678"/>
      <c r="D197" s="679"/>
      <c r="E197" s="679"/>
      <c r="F197" s="679"/>
      <c r="G197" s="679"/>
      <c r="H197" s="679"/>
      <c r="I197" s="679"/>
      <c r="J197" s="679"/>
      <c r="K197" s="679"/>
      <c r="L197" s="679"/>
      <c r="M197" s="679"/>
      <c r="N197" s="679"/>
      <c r="O197" s="679"/>
      <c r="P197" s="678"/>
      <c r="Q197" s="678"/>
    </row>
    <row r="198">
      <c r="A198" s="310" t="s">
        <v>291</v>
      </c>
      <c r="B198" s="680">
        <f t="shared" ref="B198:B199" si="135">index(C198:J198,,match($A$3,$C$1:$J$1,0))</f>
        <v>9.88627329</v>
      </c>
      <c r="C198" s="328">
        <f t="array" ref="C198">C196/index(GiveDirectly!$B:$B,match("Units of value generated per dollar spent",GiveDirectly!$A:$A,0))</f>
        <v>9.88627329</v>
      </c>
      <c r="D198" s="681">
        <f t="array" ref="D198">D196/index(GiveDirectly!$B:$B,match("Units of value generated per dollar spent",GiveDirectly!$A:$A,0))</f>
        <v>3.620048062</v>
      </c>
      <c r="E198" s="681">
        <f t="array" ref="E198">E196/index(GiveDirectly!$B:$B,match("Units of value generated per dollar spent",GiveDirectly!$A:$A,0))</f>
        <v>27.79745122</v>
      </c>
      <c r="F198" s="681">
        <f t="array" ref="F198">F196/index(GiveDirectly!$B:$B,match("Units of value generated per dollar spent",GiveDirectly!$A:$A,0))</f>
        <v>29.88335113</v>
      </c>
      <c r="G198" s="681">
        <f t="array" ref="G198">G196/index(GiveDirectly!$B:$B,match("Units of value generated per dollar spent",GiveDirectly!$A:$A,0))</f>
        <v>6.286768989</v>
      </c>
      <c r="H198" s="681">
        <f t="array" ref="H198">H196/index(GiveDirectly!$B:$B,match("Units of value generated per dollar spent",GiveDirectly!$A:$A,0))</f>
        <v>9.866912215</v>
      </c>
      <c r="I198" s="681">
        <f t="array" ref="I198">I196/index(GiveDirectly!$B:$B,match("Units of value generated per dollar spent",GiveDirectly!$A:$A,0))</f>
        <v>-0.7290029224</v>
      </c>
      <c r="J198" s="681">
        <f t="array" ref="J198">J196/index(GiveDirectly!$B:$B,match("Units of value generated per dollar spent",GiveDirectly!$A:$A,0))</f>
        <v>12.80482008</v>
      </c>
      <c r="K198" s="681">
        <f t="array" ref="K198">K196/index(GiveDirectly!$B:$B,match("Units of value generated per dollar spent",GiveDirectly!$A:$A,0))</f>
        <v>14.01689759</v>
      </c>
      <c r="L198" s="681">
        <f t="array" ref="L198">L196/index(GiveDirectly!$B:$B,match("Units of value generated per dollar spent",GiveDirectly!$A:$A,0))</f>
        <v>-0.4480320602</v>
      </c>
      <c r="M198" s="681">
        <f t="array" ref="M198">M196/index(GiveDirectly!$B:$B,match("Units of value generated per dollar spent",GiveDirectly!$A:$A,0))</f>
        <v>-1.26946541</v>
      </c>
      <c r="N198" s="681">
        <f t="array" ref="N198">N196/index(GiveDirectly!$B:$B,match("Units of value generated per dollar spent",GiveDirectly!$A:$A,0))</f>
        <v>5.023241721</v>
      </c>
      <c r="O198" s="681">
        <f t="array" ref="O198">O196/index(GiveDirectly!$B:$B,match("Units of value generated per dollar spent",GiveDirectly!$A:$A,0))</f>
        <v>1.42419212</v>
      </c>
      <c r="P198" s="328">
        <f t="array" ref="P198">P196/index(GiveDirectly!$B:$B,match("Units of value generated per dollar spent",GiveDirectly!$A:$A,0))</f>
        <v>29.88335113</v>
      </c>
      <c r="Q198" s="328">
        <f t="array" ref="Q198">Q196/index(GiveDirectly!$B:$B,match("Units of value generated per dollar spent",GiveDirectly!$A:$A,0))</f>
        <v>6.892292</v>
      </c>
    </row>
    <row r="199">
      <c r="A199" s="343" t="s">
        <v>400</v>
      </c>
      <c r="B199" s="682">
        <f t="shared" si="135"/>
        <v>0.7965446131</v>
      </c>
      <c r="C199" s="152">
        <f t="shared" ref="C199:Q199" si="136">iferror((C198-C93)/C93,"N/A")</f>
        <v>0.7965446131</v>
      </c>
      <c r="D199" s="673">
        <f t="shared" si="136"/>
        <v>0.4698966356</v>
      </c>
      <c r="E199" s="673">
        <f t="shared" si="136"/>
        <v>0.9585605301</v>
      </c>
      <c r="F199" s="673">
        <f t="shared" si="136"/>
        <v>0.965389275</v>
      </c>
      <c r="G199" s="673">
        <f t="shared" si="136"/>
        <v>0.6735317137</v>
      </c>
      <c r="H199" s="673">
        <f t="shared" si="136"/>
        <v>0.7960921551</v>
      </c>
      <c r="I199" s="673">
        <f t="shared" si="136"/>
        <v>-3.066405574</v>
      </c>
      <c r="J199" s="673">
        <f t="shared" si="136"/>
        <v>0.8506985941</v>
      </c>
      <c r="K199" s="673">
        <f t="shared" si="136"/>
        <v>0.8671849306</v>
      </c>
      <c r="L199" s="673">
        <f t="shared" si="136"/>
        <v>-1.916024538</v>
      </c>
      <c r="M199" s="673">
        <f t="shared" si="136"/>
        <v>-15.01563074</v>
      </c>
      <c r="N199" s="673">
        <f t="shared" si="136"/>
        <v>0.5979417646</v>
      </c>
      <c r="O199" s="673">
        <f t="shared" si="136"/>
        <v>0.01914319278</v>
      </c>
      <c r="P199" s="152">
        <f t="shared" si="136"/>
        <v>0.965389275</v>
      </c>
      <c r="Q199" s="152">
        <f t="shared" si="136"/>
        <v>0.7016467702</v>
      </c>
    </row>
    <row r="200">
      <c r="C200" s="121"/>
      <c r="P200" s="121"/>
      <c r="Q200" s="121"/>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2" width="21.43"/>
    <col customWidth="1" min="3" max="3" width="21.14"/>
    <col customWidth="1" min="4" max="7" width="17.29"/>
    <col customWidth="1" min="8" max="8" width="20.0"/>
    <col customWidth="1" min="9" max="9" width="22.57"/>
    <col customWidth="1" min="10" max="10" width="17.29"/>
    <col customWidth="1" min="11" max="11" width="19.57"/>
    <col customWidth="1" min="12" max="17" width="17.29"/>
  </cols>
  <sheetData>
    <row r="1">
      <c r="A1" s="533" t="s">
        <v>452</v>
      </c>
      <c r="B1" s="625" t="s">
        <v>87</v>
      </c>
      <c r="C1" s="625" t="s">
        <v>72</v>
      </c>
      <c r="D1" s="683" t="s">
        <v>77</v>
      </c>
      <c r="E1" s="683" t="s">
        <v>70</v>
      </c>
      <c r="F1" s="627" t="s">
        <v>156</v>
      </c>
      <c r="G1" s="628" t="s">
        <v>453</v>
      </c>
      <c r="H1" s="628" t="s">
        <v>454</v>
      </c>
      <c r="I1" s="628" t="s">
        <v>455</v>
      </c>
      <c r="J1" s="628" t="s">
        <v>456</v>
      </c>
      <c r="K1" s="628" t="s">
        <v>457</v>
      </c>
      <c r="L1" s="627" t="s">
        <v>458</v>
      </c>
      <c r="M1" s="627" t="s">
        <v>459</v>
      </c>
      <c r="N1" s="684" t="s">
        <v>460</v>
      </c>
      <c r="O1" s="685" t="s">
        <v>461</v>
      </c>
      <c r="P1" s="686" t="s">
        <v>462</v>
      </c>
      <c r="Q1" s="684" t="s">
        <v>463</v>
      </c>
    </row>
    <row r="2">
      <c r="A2" s="534" t="s">
        <v>159</v>
      </c>
      <c r="B2" s="587"/>
      <c r="C2" s="407"/>
      <c r="D2" s="407"/>
      <c r="E2" s="407"/>
      <c r="F2" s="407"/>
      <c r="G2" s="407"/>
      <c r="H2" s="407"/>
      <c r="I2" s="407"/>
      <c r="J2" s="407"/>
      <c r="K2" s="407"/>
      <c r="L2" s="407"/>
      <c r="M2" s="407"/>
      <c r="N2" s="407"/>
      <c r="O2" s="407"/>
      <c r="P2" s="407"/>
      <c r="Q2" s="407"/>
    </row>
    <row r="3">
      <c r="A3" s="537" t="str">
        <f>Results!C12</f>
        <v>Overall</v>
      </c>
      <c r="B3" s="587"/>
      <c r="C3" s="407"/>
      <c r="D3" s="407"/>
      <c r="E3" s="407"/>
      <c r="F3" s="407"/>
      <c r="G3" s="407"/>
      <c r="H3" s="407"/>
      <c r="I3" s="407"/>
      <c r="J3" s="407"/>
      <c r="K3" s="407"/>
      <c r="L3" s="407"/>
      <c r="M3" s="407"/>
      <c r="N3" s="407"/>
      <c r="O3" s="407"/>
      <c r="P3" s="407"/>
      <c r="Q3" s="407"/>
    </row>
    <row r="4">
      <c r="A4" s="407"/>
      <c r="B4" s="587"/>
      <c r="C4" s="407"/>
      <c r="D4" s="407"/>
      <c r="E4" s="407"/>
      <c r="F4" s="407"/>
      <c r="G4" s="407"/>
      <c r="H4" s="407"/>
      <c r="I4" s="407"/>
      <c r="J4" s="407"/>
      <c r="K4" s="407"/>
      <c r="L4" s="407"/>
      <c r="M4" s="407"/>
      <c r="N4" s="407"/>
      <c r="O4" s="407"/>
      <c r="P4" s="407"/>
      <c r="Q4" s="407"/>
    </row>
    <row r="5">
      <c r="A5" s="145" t="s">
        <v>160</v>
      </c>
      <c r="B5" s="585"/>
      <c r="C5" s="586"/>
      <c r="D5" s="586"/>
      <c r="E5" s="586"/>
      <c r="F5" s="586"/>
      <c r="G5" s="586"/>
      <c r="H5" s="586"/>
      <c r="I5" s="586"/>
      <c r="J5" s="586"/>
      <c r="K5" s="586"/>
      <c r="L5" s="586"/>
      <c r="M5" s="586"/>
      <c r="N5" s="586"/>
      <c r="O5" s="586"/>
      <c r="P5" s="586"/>
      <c r="Q5" s="586"/>
    </row>
    <row r="6">
      <c r="A6" s="407"/>
      <c r="B6" s="587"/>
      <c r="C6" s="407"/>
      <c r="D6" s="407"/>
      <c r="E6" s="407"/>
      <c r="F6" s="407"/>
      <c r="G6" s="407"/>
      <c r="H6" s="407"/>
      <c r="I6" s="407"/>
      <c r="J6" s="407"/>
      <c r="K6" s="407"/>
      <c r="L6" s="407"/>
      <c r="M6" s="407"/>
      <c r="N6" s="407"/>
      <c r="O6" s="407"/>
      <c r="P6" s="407"/>
      <c r="Q6" s="407"/>
    </row>
    <row r="7">
      <c r="A7" s="96" t="s">
        <v>161</v>
      </c>
      <c r="B7" s="266">
        <f t="shared" ref="B7:B10" si="1">index(A7:AAA7,,match($A$3,$A$1:$AAA$1,0))</f>
        <v>1</v>
      </c>
      <c r="C7" s="152">
        <f>sum(D7:Q7)</f>
        <v>1</v>
      </c>
      <c r="D7" s="156">
        <v>0.1367917521124277</v>
      </c>
      <c r="E7" s="156">
        <v>0.5681272782970507</v>
      </c>
      <c r="F7" s="156">
        <v>0.017235517462369187</v>
      </c>
      <c r="G7" s="156">
        <v>0.015756444913200045</v>
      </c>
      <c r="H7" s="156">
        <v>0.02558721651098709</v>
      </c>
      <c r="I7" s="156">
        <v>0.03386945256058443</v>
      </c>
      <c r="J7" s="156">
        <v>0.0235997608420486</v>
      </c>
      <c r="K7" s="156">
        <v>0.022917879260958538</v>
      </c>
      <c r="L7" s="156">
        <v>0.04161427168065115</v>
      </c>
      <c r="M7" s="156">
        <v>0.029119100759676338</v>
      </c>
      <c r="N7" s="156">
        <v>0.025631047379366664</v>
      </c>
      <c r="O7" s="156">
        <v>0.020227269396152416</v>
      </c>
      <c r="P7" s="156">
        <v>0.02763312185932262</v>
      </c>
      <c r="Q7" s="156">
        <v>0.011889886965204507</v>
      </c>
    </row>
    <row r="8">
      <c r="A8" s="154" t="s">
        <v>464</v>
      </c>
      <c r="B8" s="266">
        <f t="shared" si="1"/>
        <v>0.4541734805</v>
      </c>
      <c r="C8" s="412">
        <f>C14/C15</f>
        <v>0.4541734805</v>
      </c>
      <c r="D8" s="156">
        <v>0.6056855549</v>
      </c>
      <c r="E8" s="156">
        <v>0.5203942856</v>
      </c>
      <c r="F8" s="156">
        <v>0.430549806061643</v>
      </c>
      <c r="G8" s="156">
        <v>0.3937507648818489</v>
      </c>
      <c r="H8" s="156">
        <v>0.3937507648818489</v>
      </c>
      <c r="I8" s="156">
        <v>0.3937507648818489</v>
      </c>
      <c r="J8" s="156">
        <v>0.3937507648818489</v>
      </c>
      <c r="K8" s="156">
        <v>0.3937507648818489</v>
      </c>
      <c r="L8" s="156">
        <v>0.427845647965894</v>
      </c>
      <c r="M8" s="156">
        <v>0.253962517088602</v>
      </c>
      <c r="N8" s="156">
        <v>0.253962517088602</v>
      </c>
      <c r="O8" s="156">
        <v>0.253962517088602</v>
      </c>
      <c r="P8" s="156">
        <v>0.253962517088602</v>
      </c>
      <c r="Q8" s="156">
        <v>0.3523982404479891</v>
      </c>
    </row>
    <row r="9">
      <c r="A9" s="154" t="s">
        <v>465</v>
      </c>
      <c r="B9" s="266">
        <f t="shared" si="1"/>
        <v>0.3</v>
      </c>
      <c r="C9" s="412">
        <f>SUMPRODUCT(D9:Q9,D15:Q15)/C15</f>
        <v>0.3</v>
      </c>
      <c r="D9" s="156">
        <v>0.3</v>
      </c>
      <c r="E9" s="156">
        <v>0.3</v>
      </c>
      <c r="F9" s="156">
        <v>0.3</v>
      </c>
      <c r="G9" s="156">
        <v>0.3</v>
      </c>
      <c r="H9" s="156">
        <v>0.3</v>
      </c>
      <c r="I9" s="156">
        <v>0.3</v>
      </c>
      <c r="J9" s="156">
        <v>0.3</v>
      </c>
      <c r="K9" s="156">
        <v>0.3</v>
      </c>
      <c r="L9" s="156">
        <v>0.3</v>
      </c>
      <c r="M9" s="156">
        <v>0.3</v>
      </c>
      <c r="N9" s="156">
        <v>0.3</v>
      </c>
      <c r="O9" s="156">
        <v>0.3</v>
      </c>
      <c r="P9" s="156">
        <v>0.3</v>
      </c>
      <c r="Q9" s="156">
        <v>0.3</v>
      </c>
    </row>
    <row r="10">
      <c r="A10" s="154" t="s">
        <v>356</v>
      </c>
      <c r="B10" s="266">
        <f t="shared" si="1"/>
        <v>0.2458265195</v>
      </c>
      <c r="C10" s="412">
        <f>sumproduct(D10:Q10,D15:Q15)/C15</f>
        <v>0.2458265195</v>
      </c>
      <c r="D10" s="156">
        <v>0.09431444506336864</v>
      </c>
      <c r="E10" s="156">
        <v>0.1796057144</v>
      </c>
      <c r="F10" s="156">
        <v>0.269450193938357</v>
      </c>
      <c r="G10" s="156">
        <v>0.30624923511815105</v>
      </c>
      <c r="H10" s="156">
        <v>0.30624923511815105</v>
      </c>
      <c r="I10" s="156">
        <v>0.30624923511815105</v>
      </c>
      <c r="J10" s="156">
        <v>0.30624923511815105</v>
      </c>
      <c r="K10" s="156">
        <v>0.30624923511815105</v>
      </c>
      <c r="L10" s="156">
        <v>0.272154352034106</v>
      </c>
      <c r="M10" s="156">
        <v>0.446037482911398</v>
      </c>
      <c r="N10" s="156">
        <v>0.446037482911398</v>
      </c>
      <c r="O10" s="156">
        <v>0.446037482911398</v>
      </c>
      <c r="P10" s="156">
        <v>0.446037482911398</v>
      </c>
      <c r="Q10" s="156">
        <v>0.3476017595520109</v>
      </c>
    </row>
    <row r="11">
      <c r="A11" s="407"/>
      <c r="B11" s="587"/>
      <c r="C11" s="407"/>
      <c r="D11" s="407"/>
      <c r="E11" s="407"/>
      <c r="F11" s="407"/>
      <c r="G11" s="407"/>
      <c r="H11" s="407"/>
      <c r="I11" s="407"/>
      <c r="J11" s="407"/>
      <c r="K11" s="407"/>
      <c r="L11" s="407"/>
      <c r="M11" s="407"/>
      <c r="N11" s="407"/>
      <c r="O11" s="407"/>
      <c r="P11" s="407"/>
      <c r="Q11" s="407"/>
    </row>
    <row r="12">
      <c r="A12" s="145" t="s">
        <v>466</v>
      </c>
      <c r="B12" s="687"/>
      <c r="C12" s="147"/>
      <c r="D12" s="586"/>
      <c r="E12" s="586"/>
      <c r="F12" s="586"/>
      <c r="G12" s="586"/>
      <c r="H12" s="586"/>
      <c r="I12" s="586"/>
      <c r="J12" s="586"/>
      <c r="K12" s="586"/>
      <c r="L12" s="586"/>
      <c r="M12" s="586"/>
      <c r="N12" s="586"/>
      <c r="O12" s="586"/>
      <c r="P12" s="586"/>
      <c r="Q12" s="586"/>
    </row>
    <row r="13">
      <c r="A13" s="10"/>
      <c r="B13" s="688"/>
      <c r="C13" s="10"/>
      <c r="D13" s="10"/>
      <c r="E13" s="10"/>
      <c r="F13" s="10"/>
      <c r="G13" s="10"/>
      <c r="H13" s="10"/>
      <c r="I13" s="10"/>
      <c r="J13" s="10"/>
      <c r="K13" s="10"/>
      <c r="L13" s="10"/>
      <c r="M13" s="10"/>
      <c r="N13" s="10"/>
      <c r="O13" s="10"/>
      <c r="P13" s="10"/>
      <c r="Q13" s="10"/>
    </row>
    <row r="14">
      <c r="A14" s="154" t="s">
        <v>467</v>
      </c>
      <c r="B14" s="544">
        <f t="shared" ref="B14:B24" si="3">index(A14:AAA14,,match($A$3,$A$1:$AAA$1,0))</f>
        <v>100000</v>
      </c>
      <c r="C14" s="545">
        <v>100000.0</v>
      </c>
      <c r="D14" s="599">
        <f t="shared" ref="D14:Q14" si="2">if(D7*$C$14&lt;&gt;0,D7*$C$14,0.01)</f>
        <v>13679.17521</v>
      </c>
      <c r="E14" s="599">
        <f t="shared" si="2"/>
        <v>56812.72783</v>
      </c>
      <c r="F14" s="599">
        <f t="shared" si="2"/>
        <v>1723.551746</v>
      </c>
      <c r="G14" s="599">
        <f t="shared" si="2"/>
        <v>1575.644491</v>
      </c>
      <c r="H14" s="599">
        <f t="shared" si="2"/>
        <v>2558.721651</v>
      </c>
      <c r="I14" s="599">
        <f t="shared" si="2"/>
        <v>3386.945256</v>
      </c>
      <c r="J14" s="599">
        <f t="shared" si="2"/>
        <v>2359.976084</v>
      </c>
      <c r="K14" s="599">
        <f t="shared" si="2"/>
        <v>2291.787926</v>
      </c>
      <c r="L14" s="599">
        <f t="shared" si="2"/>
        <v>4161.427168</v>
      </c>
      <c r="M14" s="599">
        <f t="shared" si="2"/>
        <v>2911.910076</v>
      </c>
      <c r="N14" s="599">
        <f t="shared" si="2"/>
        <v>2563.104738</v>
      </c>
      <c r="O14" s="599">
        <f t="shared" si="2"/>
        <v>2022.72694</v>
      </c>
      <c r="P14" s="599">
        <f t="shared" si="2"/>
        <v>2763.312186</v>
      </c>
      <c r="Q14" s="599">
        <f t="shared" si="2"/>
        <v>1188.988697</v>
      </c>
    </row>
    <row r="15">
      <c r="A15" s="154" t="s">
        <v>438</v>
      </c>
      <c r="B15" s="544">
        <f t="shared" si="3"/>
        <v>220180.1829</v>
      </c>
      <c r="C15" s="545">
        <f>sum(D15:Q15)</f>
        <v>220180.1829</v>
      </c>
      <c r="D15" s="599">
        <f t="shared" ref="D15:Q15" si="4">D14/D8</f>
        <v>22584.61524</v>
      </c>
      <c r="E15" s="599">
        <f t="shared" si="4"/>
        <v>109172.4667</v>
      </c>
      <c r="F15" s="599">
        <f t="shared" si="4"/>
        <v>4003.141383</v>
      </c>
      <c r="G15" s="599">
        <f t="shared" si="4"/>
        <v>4001.62903</v>
      </c>
      <c r="H15" s="599">
        <f t="shared" si="4"/>
        <v>6498.328078</v>
      </c>
      <c r="I15" s="599">
        <f t="shared" si="4"/>
        <v>8601.74902</v>
      </c>
      <c r="J15" s="599">
        <f t="shared" si="4"/>
        <v>5993.578412</v>
      </c>
      <c r="K15" s="599">
        <f t="shared" si="4"/>
        <v>5820.402474</v>
      </c>
      <c r="L15" s="599">
        <f t="shared" si="4"/>
        <v>9726.468384</v>
      </c>
      <c r="M15" s="599">
        <f t="shared" si="4"/>
        <v>11465.90493</v>
      </c>
      <c r="N15" s="599">
        <f t="shared" si="4"/>
        <v>10092.45288</v>
      </c>
      <c r="O15" s="599">
        <f t="shared" si="4"/>
        <v>7964.667238</v>
      </c>
      <c r="P15" s="599">
        <f t="shared" si="4"/>
        <v>10880.78752</v>
      </c>
      <c r="Q15" s="599">
        <f t="shared" si="4"/>
        <v>3373.991581</v>
      </c>
    </row>
    <row r="16">
      <c r="A16" s="366" t="s">
        <v>468</v>
      </c>
      <c r="B16" s="689">
        <f t="shared" si="3"/>
        <v>1</v>
      </c>
      <c r="C16" s="367">
        <v>1.0</v>
      </c>
      <c r="D16" s="690">
        <f t="shared" ref="D16:Q16" si="5">$C$16</f>
        <v>1</v>
      </c>
      <c r="E16" s="690">
        <f t="shared" si="5"/>
        <v>1</v>
      </c>
      <c r="F16" s="690">
        <f t="shared" si="5"/>
        <v>1</v>
      </c>
      <c r="G16" s="690">
        <f t="shared" si="5"/>
        <v>1</v>
      </c>
      <c r="H16" s="690">
        <f t="shared" si="5"/>
        <v>1</v>
      </c>
      <c r="I16" s="690">
        <f t="shared" si="5"/>
        <v>1</v>
      </c>
      <c r="J16" s="690">
        <f t="shared" si="5"/>
        <v>1</v>
      </c>
      <c r="K16" s="690">
        <f t="shared" si="5"/>
        <v>1</v>
      </c>
      <c r="L16" s="690">
        <f t="shared" si="5"/>
        <v>1</v>
      </c>
      <c r="M16" s="690">
        <f t="shared" si="5"/>
        <v>1</v>
      </c>
      <c r="N16" s="690">
        <f t="shared" si="5"/>
        <v>1</v>
      </c>
      <c r="O16" s="690">
        <f t="shared" si="5"/>
        <v>1</v>
      </c>
      <c r="P16" s="690">
        <f t="shared" si="5"/>
        <v>1</v>
      </c>
      <c r="Q16" s="690">
        <f t="shared" si="5"/>
        <v>1</v>
      </c>
    </row>
    <row r="17">
      <c r="A17" s="548" t="s">
        <v>469</v>
      </c>
      <c r="B17" s="691">
        <f t="shared" si="3"/>
        <v>0.1099346165</v>
      </c>
      <c r="C17" s="692">
        <f>sumproduct(D17:Q17,D24:Q24)</f>
        <v>0.1099346165</v>
      </c>
      <c r="D17" s="693">
        <v>0.04871564123803683</v>
      </c>
      <c r="E17" s="693">
        <v>0.1784563729927242</v>
      </c>
      <c r="F17" s="693">
        <v>0.016514594773130754</v>
      </c>
      <c r="G17" s="693">
        <v>0.06022331467420858</v>
      </c>
      <c r="H17" s="693">
        <v>0.11502914108084908</v>
      </c>
      <c r="I17" s="693">
        <v>0.09018639114143967</v>
      </c>
      <c r="J17" s="693">
        <v>0.04866366104974426</v>
      </c>
      <c r="K17" s="693">
        <v>0.0567913916177136</v>
      </c>
      <c r="L17" s="693">
        <v>0.07871657476045542</v>
      </c>
      <c r="M17" s="693">
        <v>0.12345056615675189</v>
      </c>
      <c r="N17" s="693">
        <v>0.026994354860559656</v>
      </c>
      <c r="O17" s="693">
        <v>0.10153951663619805</v>
      </c>
      <c r="P17" s="693">
        <v>0.10390752754458765</v>
      </c>
      <c r="Q17" s="693">
        <v>0.01506934502220106</v>
      </c>
    </row>
    <row r="18">
      <c r="A18" s="548" t="s">
        <v>412</v>
      </c>
      <c r="B18" s="694">
        <f t="shared" si="3"/>
        <v>0.2291896943</v>
      </c>
      <c r="C18" s="695">
        <f>'Deworm the World'!C25</f>
        <v>0.2291896943</v>
      </c>
      <c r="D18" s="196">
        <f t="shared" ref="D18:Q18" si="6">$C$18</f>
        <v>0.2291896943</v>
      </c>
      <c r="E18" s="196">
        <f t="shared" si="6"/>
        <v>0.2291896943</v>
      </c>
      <c r="F18" s="196">
        <f t="shared" si="6"/>
        <v>0.2291896943</v>
      </c>
      <c r="G18" s="196">
        <f t="shared" si="6"/>
        <v>0.2291896943</v>
      </c>
      <c r="H18" s="196">
        <f t="shared" si="6"/>
        <v>0.2291896943</v>
      </c>
      <c r="I18" s="196">
        <f t="shared" si="6"/>
        <v>0.2291896943</v>
      </c>
      <c r="J18" s="196">
        <f t="shared" si="6"/>
        <v>0.2291896943</v>
      </c>
      <c r="K18" s="196">
        <f t="shared" si="6"/>
        <v>0.2291896943</v>
      </c>
      <c r="L18" s="196">
        <f t="shared" si="6"/>
        <v>0.2291896943</v>
      </c>
      <c r="M18" s="196">
        <f t="shared" si="6"/>
        <v>0.2291896943</v>
      </c>
      <c r="N18" s="196">
        <f t="shared" si="6"/>
        <v>0.2291896943</v>
      </c>
      <c r="O18" s="196">
        <f t="shared" si="6"/>
        <v>0.2291896943</v>
      </c>
      <c r="P18" s="196">
        <f t="shared" si="6"/>
        <v>0.2291896943</v>
      </c>
      <c r="Q18" s="196">
        <f t="shared" si="6"/>
        <v>0.2291896943</v>
      </c>
    </row>
    <row r="19">
      <c r="A19" s="696" t="s">
        <v>470</v>
      </c>
      <c r="B19" s="697">
        <f t="shared" si="3"/>
        <v>0.02519588114</v>
      </c>
      <c r="C19" s="698">
        <f t="shared" ref="C19:Q19" si="7">C17*C16*C18</f>
        <v>0.02519588114</v>
      </c>
      <c r="D19" s="698">
        <f t="shared" si="7"/>
        <v>0.01116512292</v>
      </c>
      <c r="E19" s="698">
        <f t="shared" si="7"/>
        <v>0.04090036157</v>
      </c>
      <c r="F19" s="698">
        <f t="shared" si="7"/>
        <v>0.003784974927</v>
      </c>
      <c r="G19" s="698">
        <f t="shared" si="7"/>
        <v>0.01380256308</v>
      </c>
      <c r="H19" s="698">
        <f t="shared" si="7"/>
        <v>0.02636349368</v>
      </c>
      <c r="I19" s="698">
        <f t="shared" si="7"/>
        <v>0.02066979141</v>
      </c>
      <c r="J19" s="698">
        <f t="shared" si="7"/>
        <v>0.0111532096</v>
      </c>
      <c r="K19" s="698">
        <f t="shared" si="7"/>
        <v>0.01301600168</v>
      </c>
      <c r="L19" s="698">
        <f t="shared" si="7"/>
        <v>0.0180410277</v>
      </c>
      <c r="M19" s="698">
        <f t="shared" si="7"/>
        <v>0.02829359751</v>
      </c>
      <c r="N19" s="698">
        <f t="shared" si="7"/>
        <v>0.006186827937</v>
      </c>
      <c r="O19" s="698">
        <f t="shared" si="7"/>
        <v>0.02327181077</v>
      </c>
      <c r="P19" s="698">
        <f t="shared" si="7"/>
        <v>0.02381453447</v>
      </c>
      <c r="Q19" s="698">
        <f t="shared" si="7"/>
        <v>0.003453738578</v>
      </c>
    </row>
    <row r="20">
      <c r="A20" s="396" t="s">
        <v>121</v>
      </c>
      <c r="B20" s="699">
        <f t="shared" si="3"/>
        <v>1.442695041</v>
      </c>
      <c r="C20" s="699">
        <f t="array" ref="C20">index('Moral weights and discount rate'!$A$1:$ZU$35,match($A20,'Moral weights and discount rate'!$A$1:$A$35,0),match('Deworm the World'!B$1,'Moral weights and discount rate'!$A$1:$ZU$1,0))</f>
        <v>1.442695041</v>
      </c>
      <c r="D20" s="575">
        <f t="shared" ref="D20:Q20" si="8">$C$20</f>
        <v>1.442695041</v>
      </c>
      <c r="E20" s="575">
        <f t="shared" si="8"/>
        <v>1.442695041</v>
      </c>
      <c r="F20" s="575">
        <f t="shared" si="8"/>
        <v>1.442695041</v>
      </c>
      <c r="G20" s="575">
        <f t="shared" si="8"/>
        <v>1.442695041</v>
      </c>
      <c r="H20" s="575">
        <f t="shared" si="8"/>
        <v>1.442695041</v>
      </c>
      <c r="I20" s="575">
        <f t="shared" si="8"/>
        <v>1.442695041</v>
      </c>
      <c r="J20" s="575">
        <f t="shared" si="8"/>
        <v>1.442695041</v>
      </c>
      <c r="K20" s="575">
        <f t="shared" si="8"/>
        <v>1.442695041</v>
      </c>
      <c r="L20" s="575">
        <f t="shared" si="8"/>
        <v>1.442695041</v>
      </c>
      <c r="M20" s="575">
        <f t="shared" si="8"/>
        <v>1.442695041</v>
      </c>
      <c r="N20" s="575">
        <f t="shared" si="8"/>
        <v>1.442695041</v>
      </c>
      <c r="O20" s="575">
        <f t="shared" si="8"/>
        <v>1.442695041</v>
      </c>
      <c r="P20" s="575">
        <f t="shared" si="8"/>
        <v>1.442695041</v>
      </c>
      <c r="Q20" s="575">
        <f t="shared" si="8"/>
        <v>1.442695041</v>
      </c>
    </row>
    <row r="21">
      <c r="A21" s="393" t="s">
        <v>471</v>
      </c>
      <c r="B21" s="700">
        <f t="shared" si="3"/>
        <v>0.03634997277</v>
      </c>
      <c r="C21" s="701">
        <f>(C19*$C$20)</f>
        <v>0.03634997277</v>
      </c>
      <c r="D21" s="701">
        <f t="shared" ref="D21:Q21" si="9">(D19*D20)</f>
        <v>0.01610786747</v>
      </c>
      <c r="E21" s="701">
        <f t="shared" si="9"/>
        <v>0.0590067488</v>
      </c>
      <c r="F21" s="701">
        <f t="shared" si="9"/>
        <v>0.005460564557</v>
      </c>
      <c r="G21" s="701">
        <f t="shared" si="9"/>
        <v>0.0199128893</v>
      </c>
      <c r="H21" s="701">
        <f t="shared" si="9"/>
        <v>0.03803448159</v>
      </c>
      <c r="I21" s="701">
        <f t="shared" si="9"/>
        <v>0.02982020557</v>
      </c>
      <c r="J21" s="701">
        <f t="shared" si="9"/>
        <v>0.01609068018</v>
      </c>
      <c r="K21" s="701">
        <f t="shared" si="9"/>
        <v>0.01877812108</v>
      </c>
      <c r="L21" s="701">
        <f t="shared" si="9"/>
        <v>0.0260277012</v>
      </c>
      <c r="M21" s="701">
        <f t="shared" si="9"/>
        <v>0.04081903282</v>
      </c>
      <c r="N21" s="701">
        <f t="shared" si="9"/>
        <v>0.008925705984</v>
      </c>
      <c r="O21" s="701">
        <f t="shared" si="9"/>
        <v>0.033574126</v>
      </c>
      <c r="P21" s="701">
        <f t="shared" si="9"/>
        <v>0.03435711078</v>
      </c>
      <c r="Q21" s="701">
        <f t="shared" si="9"/>
        <v>0.00498269152</v>
      </c>
    </row>
    <row r="22">
      <c r="A22" s="500" t="s">
        <v>472</v>
      </c>
      <c r="B22" s="702">
        <f t="shared" si="3"/>
        <v>1.131083869</v>
      </c>
      <c r="C22" s="703">
        <f>IFERROR(__xludf.DUMMYFUNCTION("average.weighted(D22:Q22,D23:Q23)"),1.1310838693926013)</f>
        <v>1.131083869</v>
      </c>
      <c r="D22" s="704">
        <v>1.5164831</v>
      </c>
      <c r="E22" s="704">
        <v>1.7137181751209551</v>
      </c>
      <c r="F22" s="704">
        <v>1.06210226851869</v>
      </c>
      <c r="G22" s="704">
        <v>0.8716020816220384</v>
      </c>
      <c r="H22" s="704">
        <v>0.8716020816220384</v>
      </c>
      <c r="I22" s="704">
        <v>0.8716020816220384</v>
      </c>
      <c r="J22" s="704">
        <v>0.8716020816220384</v>
      </c>
      <c r="K22" s="704">
        <v>0.8716020816220384</v>
      </c>
      <c r="L22" s="704">
        <v>0.998650175015194</v>
      </c>
      <c r="M22" s="704">
        <v>0.638372815900836</v>
      </c>
      <c r="N22" s="704">
        <v>0.638372815900836</v>
      </c>
      <c r="O22" s="704">
        <v>0.638372815900836</v>
      </c>
      <c r="P22" s="704">
        <v>0.638372815900836</v>
      </c>
      <c r="Q22" s="704">
        <v>0.8891333212895719</v>
      </c>
    </row>
    <row r="23">
      <c r="A23" s="82" t="s">
        <v>473</v>
      </c>
      <c r="B23" s="564">
        <f t="shared" si="3"/>
        <v>194663.0032</v>
      </c>
      <c r="C23" s="565">
        <f t="shared" ref="C23:C24" si="11">sum(D23:Q23)</f>
        <v>194663.0032</v>
      </c>
      <c r="D23" s="565">
        <f t="shared" ref="D23:Q23" si="10">D15/D22</f>
        <v>14892.75762</v>
      </c>
      <c r="E23" s="565">
        <f t="shared" si="10"/>
        <v>63705.0294</v>
      </c>
      <c r="F23" s="565">
        <f t="shared" si="10"/>
        <v>3769.073376</v>
      </c>
      <c r="G23" s="565">
        <f t="shared" si="10"/>
        <v>4591.119175</v>
      </c>
      <c r="H23" s="565">
        <f t="shared" si="10"/>
        <v>7455.613307</v>
      </c>
      <c r="I23" s="565">
        <f t="shared" si="10"/>
        <v>9868.894535</v>
      </c>
      <c r="J23" s="565">
        <f t="shared" si="10"/>
        <v>6876.507685</v>
      </c>
      <c r="K23" s="565">
        <f t="shared" si="10"/>
        <v>6677.820759</v>
      </c>
      <c r="L23" s="565">
        <f t="shared" si="10"/>
        <v>9739.61516</v>
      </c>
      <c r="M23" s="565">
        <f t="shared" si="10"/>
        <v>17961.14221</v>
      </c>
      <c r="N23" s="565">
        <f t="shared" si="10"/>
        <v>15809.65328</v>
      </c>
      <c r="O23" s="565">
        <f t="shared" si="10"/>
        <v>12476.51379</v>
      </c>
      <c r="P23" s="565">
        <f t="shared" si="10"/>
        <v>17044.56588</v>
      </c>
      <c r="Q23" s="565">
        <f t="shared" si="10"/>
        <v>3794.697039</v>
      </c>
    </row>
    <row r="24">
      <c r="A24" s="632" t="s">
        <v>365</v>
      </c>
      <c r="B24" s="266">
        <f t="shared" si="3"/>
        <v>1</v>
      </c>
      <c r="C24" s="152">
        <f t="shared" si="11"/>
        <v>1</v>
      </c>
      <c r="D24" s="705">
        <f t="shared" ref="D24:Q24" si="12">D23/$C$23</f>
        <v>0.07650533162</v>
      </c>
      <c r="E24" s="705">
        <f t="shared" si="12"/>
        <v>0.3272580221</v>
      </c>
      <c r="F24" s="705">
        <f t="shared" si="12"/>
        <v>0.01936204268</v>
      </c>
      <c r="G24" s="705">
        <f t="shared" si="12"/>
        <v>0.02358496016</v>
      </c>
      <c r="H24" s="705">
        <f t="shared" si="12"/>
        <v>0.0383001042</v>
      </c>
      <c r="I24" s="705">
        <f t="shared" si="12"/>
        <v>0.05069733012</v>
      </c>
      <c r="J24" s="705">
        <f t="shared" si="12"/>
        <v>0.03532519057</v>
      </c>
      <c r="K24" s="705">
        <f t="shared" si="12"/>
        <v>0.03430451934</v>
      </c>
      <c r="L24" s="705">
        <f t="shared" si="12"/>
        <v>0.05003321124</v>
      </c>
      <c r="M24" s="705">
        <f t="shared" si="12"/>
        <v>0.09226787787</v>
      </c>
      <c r="N24" s="705">
        <f t="shared" si="12"/>
        <v>0.08121550074</v>
      </c>
      <c r="O24" s="705">
        <f t="shared" si="12"/>
        <v>0.06409288658</v>
      </c>
      <c r="P24" s="705">
        <f t="shared" si="12"/>
        <v>0.08755934924</v>
      </c>
      <c r="Q24" s="705">
        <f t="shared" si="12"/>
        <v>0.01949367356</v>
      </c>
    </row>
    <row r="25">
      <c r="A25" s="571"/>
      <c r="B25" s="706"/>
      <c r="C25" s="707"/>
      <c r="D25" s="407"/>
      <c r="E25" s="407"/>
      <c r="F25" s="407"/>
      <c r="G25" s="407"/>
      <c r="H25" s="407"/>
      <c r="I25" s="407"/>
      <c r="J25" s="407"/>
      <c r="K25" s="407"/>
      <c r="L25" s="407"/>
      <c r="M25" s="407"/>
      <c r="N25" s="407"/>
      <c r="O25" s="407"/>
      <c r="P25" s="407"/>
      <c r="Q25" s="407"/>
    </row>
    <row r="26">
      <c r="A26" s="637" t="s">
        <v>366</v>
      </c>
      <c r="B26" s="708"/>
      <c r="C26" s="709"/>
      <c r="D26" s="586"/>
      <c r="E26" s="586"/>
      <c r="F26" s="586"/>
      <c r="G26" s="586"/>
      <c r="H26" s="586"/>
      <c r="I26" s="586"/>
      <c r="J26" s="586"/>
      <c r="K26" s="586"/>
      <c r="L26" s="586"/>
      <c r="M26" s="586"/>
      <c r="N26" s="586"/>
      <c r="O26" s="586"/>
      <c r="P26" s="586"/>
      <c r="Q26" s="586"/>
    </row>
    <row r="27">
      <c r="A27" s="638"/>
      <c r="B27" s="706"/>
      <c r="C27" s="707"/>
      <c r="D27" s="407"/>
      <c r="E27" s="407"/>
      <c r="F27" s="407"/>
      <c r="G27" s="407"/>
      <c r="H27" s="407"/>
      <c r="I27" s="407"/>
      <c r="J27" s="407"/>
      <c r="K27" s="407"/>
      <c r="L27" s="407"/>
      <c r="M27" s="407"/>
      <c r="N27" s="407"/>
      <c r="O27" s="407"/>
      <c r="P27" s="407"/>
      <c r="Q27" s="407"/>
    </row>
    <row r="28">
      <c r="A28" s="82" t="s">
        <v>474</v>
      </c>
      <c r="B28" s="579">
        <f t="array" ref="B28">index(A28:AAA28,,match($A$3,$A$1:$AAA$1,0))</f>
        <v>0.01286235013</v>
      </c>
      <c r="C28" s="452">
        <f>product('Deworm the World'!C11:C12,C17)</f>
        <v>0.01286235013</v>
      </c>
      <c r="D28" s="452">
        <f>product('Deworm the World'!$C$11:$C$12,D17)</f>
        <v>0.005699730025</v>
      </c>
      <c r="E28" s="452">
        <f>product('Deworm the World'!$C$11:$C$12,E17)</f>
        <v>0.02087939564</v>
      </c>
      <c r="F28" s="452">
        <f>product('Deworm the World'!$C$11:$C$12,F17)</f>
        <v>0.001932207588</v>
      </c>
      <c r="G28" s="452">
        <f>product('Deworm the World'!$C$11:$C$12,G17)</f>
        <v>0.007046127817</v>
      </c>
      <c r="H28" s="452">
        <f>product('Deworm the World'!$C$11:$C$12,H17)</f>
        <v>0.01345840951</v>
      </c>
      <c r="I28" s="452">
        <f>product('Deworm the World'!$C$11:$C$12,I17)</f>
        <v>0.01055180776</v>
      </c>
      <c r="J28" s="452">
        <f>product('Deworm the World'!$C$11:$C$12,J17)</f>
        <v>0.005693648343</v>
      </c>
      <c r="K28" s="452">
        <f>product('Deworm the World'!$C$11:$C$12,K17)</f>
        <v>0.006644592819</v>
      </c>
      <c r="L28" s="452">
        <f>product('Deworm the World'!$C$11:$C$12,L17)</f>
        <v>0.009209839247</v>
      </c>
      <c r="M28" s="452">
        <f>product('Deworm the World'!$C$11:$C$12,M17)</f>
        <v>0.01444371624</v>
      </c>
      <c r="N28" s="452">
        <f>product('Deworm the World'!$C$11:$C$12,N17)</f>
        <v>0.003158339519</v>
      </c>
      <c r="O28" s="452">
        <f>product('Deworm the World'!$C$11:$C$12,O17)</f>
        <v>0.01188012345</v>
      </c>
      <c r="P28" s="452">
        <f>product('Deworm the World'!$C$11:$C$12,P17)</f>
        <v>0.01215718072</v>
      </c>
      <c r="Q28" s="452">
        <f>product('Deworm the World'!$C$11:$C$12,Q17)</f>
        <v>0.001763113368</v>
      </c>
    </row>
    <row r="29">
      <c r="A29" s="571"/>
      <c r="B29" s="706"/>
      <c r="C29" s="707"/>
      <c r="D29" s="407"/>
      <c r="E29" s="407"/>
      <c r="F29" s="407"/>
      <c r="G29" s="407"/>
      <c r="H29" s="407"/>
      <c r="I29" s="407"/>
      <c r="J29" s="407"/>
      <c r="K29" s="407"/>
      <c r="L29" s="407"/>
      <c r="M29" s="407"/>
      <c r="N29" s="407"/>
      <c r="O29" s="407"/>
      <c r="P29" s="407"/>
      <c r="Q29" s="407"/>
    </row>
    <row r="30">
      <c r="A30" s="568" t="s">
        <v>249</v>
      </c>
      <c r="B30" s="708"/>
      <c r="C30" s="709"/>
      <c r="D30" s="586"/>
      <c r="E30" s="586"/>
      <c r="F30" s="586"/>
      <c r="G30" s="586"/>
      <c r="H30" s="586"/>
      <c r="I30" s="586"/>
      <c r="J30" s="586"/>
      <c r="K30" s="586"/>
      <c r="L30" s="586"/>
      <c r="M30" s="586"/>
      <c r="N30" s="586"/>
      <c r="O30" s="586"/>
      <c r="P30" s="586"/>
      <c r="Q30" s="586"/>
    </row>
    <row r="31">
      <c r="A31" s="571"/>
      <c r="B31" s="706"/>
      <c r="C31" s="707"/>
      <c r="D31" s="407"/>
      <c r="E31" s="407"/>
      <c r="F31" s="407"/>
      <c r="G31" s="407"/>
      <c r="H31" s="407"/>
      <c r="I31" s="407"/>
      <c r="J31" s="407"/>
      <c r="K31" s="407"/>
      <c r="L31" s="407"/>
      <c r="M31" s="407"/>
      <c r="N31" s="407"/>
      <c r="O31" s="407"/>
      <c r="P31" s="407"/>
      <c r="Q31" s="407"/>
    </row>
    <row r="32">
      <c r="A32" s="710" t="str">
        <f t="shared" ref="A32:A33" si="14">A19</f>
        <v>Present value of lifetime benefits from a year of deworming — in terms of increases in ln(consumption)</v>
      </c>
      <c r="B32" s="711">
        <f t="shared" ref="B32:B36" si="15">index(A32:AAA32,,match($A$3,$A$1:$AAA$1,0))</f>
        <v>0.02519588114</v>
      </c>
      <c r="C32" s="711">
        <f t="shared" ref="C32:Q32" si="13">C19</f>
        <v>0.02519588114</v>
      </c>
      <c r="D32" s="711">
        <f t="shared" si="13"/>
        <v>0.01116512292</v>
      </c>
      <c r="E32" s="711">
        <f t="shared" si="13"/>
        <v>0.04090036157</v>
      </c>
      <c r="F32" s="711">
        <f t="shared" si="13"/>
        <v>0.003784974927</v>
      </c>
      <c r="G32" s="711">
        <f t="shared" si="13"/>
        <v>0.01380256308</v>
      </c>
      <c r="H32" s="711">
        <f t="shared" si="13"/>
        <v>0.02636349368</v>
      </c>
      <c r="I32" s="711">
        <f t="shared" si="13"/>
        <v>0.02066979141</v>
      </c>
      <c r="J32" s="711">
        <f t="shared" si="13"/>
        <v>0.0111532096</v>
      </c>
      <c r="K32" s="711">
        <f t="shared" si="13"/>
        <v>0.01301600168</v>
      </c>
      <c r="L32" s="711">
        <f t="shared" si="13"/>
        <v>0.0180410277</v>
      </c>
      <c r="M32" s="711">
        <f t="shared" si="13"/>
        <v>0.02829359751</v>
      </c>
      <c r="N32" s="711">
        <f t="shared" si="13"/>
        <v>0.006186827937</v>
      </c>
      <c r="O32" s="711">
        <f t="shared" si="13"/>
        <v>0.02327181077</v>
      </c>
      <c r="P32" s="711">
        <f t="shared" si="13"/>
        <v>0.02381453447</v>
      </c>
      <c r="Q32" s="711">
        <f t="shared" si="13"/>
        <v>0.003453738578</v>
      </c>
    </row>
    <row r="33">
      <c r="A33" s="485" t="str">
        <f t="shared" si="14"/>
        <v>Value assigned to increasing ln(consumption) by one unit for one person for one year</v>
      </c>
      <c r="B33" s="487">
        <f t="shared" si="15"/>
        <v>1.442695041</v>
      </c>
      <c r="C33" s="487">
        <f t="shared" ref="C33:Q33" si="16">C20</f>
        <v>1.442695041</v>
      </c>
      <c r="D33" s="487">
        <f t="shared" si="16"/>
        <v>1.442695041</v>
      </c>
      <c r="E33" s="487">
        <f t="shared" si="16"/>
        <v>1.442695041</v>
      </c>
      <c r="F33" s="487">
        <f t="shared" si="16"/>
        <v>1.442695041</v>
      </c>
      <c r="G33" s="487">
        <f t="shared" si="16"/>
        <v>1.442695041</v>
      </c>
      <c r="H33" s="487">
        <f t="shared" si="16"/>
        <v>1.442695041</v>
      </c>
      <c r="I33" s="487">
        <f t="shared" si="16"/>
        <v>1.442695041</v>
      </c>
      <c r="J33" s="487">
        <f t="shared" si="16"/>
        <v>1.442695041</v>
      </c>
      <c r="K33" s="487">
        <f t="shared" si="16"/>
        <v>1.442695041</v>
      </c>
      <c r="L33" s="487">
        <f t="shared" si="16"/>
        <v>1.442695041</v>
      </c>
      <c r="M33" s="487">
        <f t="shared" si="16"/>
        <v>1.442695041</v>
      </c>
      <c r="N33" s="487">
        <f t="shared" si="16"/>
        <v>1.442695041</v>
      </c>
      <c r="O33" s="487">
        <f t="shared" si="16"/>
        <v>1.442695041</v>
      </c>
      <c r="P33" s="487">
        <f t="shared" si="16"/>
        <v>1.442695041</v>
      </c>
      <c r="Q33" s="487">
        <f t="shared" si="16"/>
        <v>1.442695041</v>
      </c>
    </row>
    <row r="34">
      <c r="A34" s="540" t="str">
        <f>A23</f>
        <v>Total number of children dewormed (per year)</v>
      </c>
      <c r="B34" s="490">
        <f t="shared" si="15"/>
        <v>194663.0032</v>
      </c>
      <c r="C34" s="490">
        <f t="shared" ref="C34:Q34" si="17">C23</f>
        <v>194663.0032</v>
      </c>
      <c r="D34" s="490">
        <f t="shared" si="17"/>
        <v>14892.75762</v>
      </c>
      <c r="E34" s="490">
        <f t="shared" si="17"/>
        <v>63705.0294</v>
      </c>
      <c r="F34" s="490">
        <f t="shared" si="17"/>
        <v>3769.073376</v>
      </c>
      <c r="G34" s="490">
        <f t="shared" si="17"/>
        <v>4591.119175</v>
      </c>
      <c r="H34" s="490">
        <f t="shared" si="17"/>
        <v>7455.613307</v>
      </c>
      <c r="I34" s="490">
        <f t="shared" si="17"/>
        <v>9868.894535</v>
      </c>
      <c r="J34" s="490">
        <f t="shared" si="17"/>
        <v>6876.507685</v>
      </c>
      <c r="K34" s="490">
        <f t="shared" si="17"/>
        <v>6677.820759</v>
      </c>
      <c r="L34" s="490">
        <f t="shared" si="17"/>
        <v>9739.61516</v>
      </c>
      <c r="M34" s="490">
        <f t="shared" si="17"/>
        <v>17961.14221</v>
      </c>
      <c r="N34" s="490">
        <f t="shared" si="17"/>
        <v>15809.65328</v>
      </c>
      <c r="O34" s="490">
        <f t="shared" si="17"/>
        <v>12476.51379</v>
      </c>
      <c r="P34" s="490">
        <f t="shared" si="17"/>
        <v>17044.56588</v>
      </c>
      <c r="Q34" s="490">
        <f t="shared" si="17"/>
        <v>3794.697039</v>
      </c>
    </row>
    <row r="35">
      <c r="A35" s="540" t="s">
        <v>281</v>
      </c>
      <c r="B35" s="490">
        <f t="shared" si="15"/>
        <v>7075.994865</v>
      </c>
      <c r="C35" s="573">
        <f>sum(D35:Q35)</f>
        <v>7075.994865</v>
      </c>
      <c r="D35" s="573">
        <f t="shared" ref="D35:Q35" si="18">product(D32:D34)</f>
        <v>239.8905659</v>
      </c>
      <c r="E35" s="573">
        <f t="shared" si="18"/>
        <v>3759.026667</v>
      </c>
      <c r="F35" s="573">
        <f t="shared" si="18"/>
        <v>20.58126849</v>
      </c>
      <c r="G35" s="573">
        <f t="shared" si="18"/>
        <v>91.42244791</v>
      </c>
      <c r="H35" s="573">
        <f t="shared" si="18"/>
        <v>283.570387</v>
      </c>
      <c r="I35" s="573">
        <f t="shared" si="18"/>
        <v>294.2924638</v>
      </c>
      <c r="J35" s="573">
        <f t="shared" si="18"/>
        <v>110.6476859</v>
      </c>
      <c r="K35" s="573">
        <f t="shared" si="18"/>
        <v>125.3969267</v>
      </c>
      <c r="L35" s="573">
        <f t="shared" si="18"/>
        <v>253.4997932</v>
      </c>
      <c r="M35" s="573">
        <f t="shared" si="18"/>
        <v>733.1564532</v>
      </c>
      <c r="N35" s="573">
        <f t="shared" si="18"/>
        <v>141.1123169</v>
      </c>
      <c r="O35" s="573">
        <f t="shared" si="18"/>
        <v>418.8880458</v>
      </c>
      <c r="P35" s="573">
        <f t="shared" si="18"/>
        <v>585.6020382</v>
      </c>
      <c r="Q35" s="573">
        <f t="shared" si="18"/>
        <v>18.90780475</v>
      </c>
    </row>
    <row r="36">
      <c r="A36" s="118" t="s">
        <v>252</v>
      </c>
      <c r="B36" s="575">
        <f t="shared" si="15"/>
        <v>0.03213729216</v>
      </c>
      <c r="C36" s="583">
        <f t="shared" ref="C36:Q36" si="19">C35/C15</f>
        <v>0.03213729216</v>
      </c>
      <c r="D36" s="583">
        <f t="shared" si="19"/>
        <v>0.01062185755</v>
      </c>
      <c r="E36" s="583">
        <f t="shared" si="19"/>
        <v>0.03443200268</v>
      </c>
      <c r="F36" s="583">
        <f t="shared" si="19"/>
        <v>0.005141279441</v>
      </c>
      <c r="G36" s="583">
        <f t="shared" si="19"/>
        <v>0.02284630765</v>
      </c>
      <c r="H36" s="583">
        <f t="shared" si="19"/>
        <v>0.04363743776</v>
      </c>
      <c r="I36" s="583">
        <f t="shared" si="19"/>
        <v>0.03421309586</v>
      </c>
      <c r="J36" s="583">
        <f t="shared" si="19"/>
        <v>0.01846103918</v>
      </c>
      <c r="K36" s="583">
        <f t="shared" si="19"/>
        <v>0.02154437383</v>
      </c>
      <c r="L36" s="583">
        <f t="shared" si="19"/>
        <v>0.02606288153</v>
      </c>
      <c r="M36" s="583">
        <f t="shared" si="19"/>
        <v>0.06394231052</v>
      </c>
      <c r="N36" s="583">
        <f t="shared" si="19"/>
        <v>0.0139819644</v>
      </c>
      <c r="O36" s="583">
        <f t="shared" si="19"/>
        <v>0.052593289</v>
      </c>
      <c r="P36" s="583">
        <f t="shared" si="19"/>
        <v>0.05381982115</v>
      </c>
      <c r="Q36" s="583">
        <f t="shared" si="19"/>
        <v>0.005603986939</v>
      </c>
    </row>
    <row r="37">
      <c r="A37" s="638"/>
      <c r="B37" s="658"/>
      <c r="C37" s="659"/>
      <c r="D37" s="659"/>
      <c r="E37" s="659"/>
      <c r="F37" s="659"/>
      <c r="G37" s="659"/>
      <c r="H37" s="659"/>
      <c r="I37" s="659"/>
      <c r="J37" s="659"/>
      <c r="K37" s="659"/>
      <c r="L37" s="659"/>
      <c r="M37" s="659"/>
      <c r="N37" s="659"/>
      <c r="O37" s="659"/>
      <c r="P37" s="659"/>
      <c r="Q37" s="659"/>
    </row>
    <row r="38">
      <c r="A38" s="304" t="s">
        <v>253</v>
      </c>
      <c r="B38" s="306">
        <f t="array" ref="B38">index(C38:AB38,,match($A$3,$C$1:$AB$1,0))</f>
        <v>9.342665143</v>
      </c>
      <c r="C38" s="307">
        <f t="array" ref="C38">C36/index(GiveDirectly!$B:$B,match("Units of value generated per dollar spent",GiveDirectly!$A:$A,0))</f>
        <v>9.342665143</v>
      </c>
      <c r="D38" s="307">
        <f t="array" ref="D38">D36/index(GiveDirectly!$B:$B,match("Units of value generated per dollar spent",GiveDirectly!$A:$A,0))</f>
        <v>3.087891096</v>
      </c>
      <c r="E38" s="307">
        <f t="array" ref="E38">E36/index(GiveDirectly!$B:$B,match("Units of value generated per dollar spent",GiveDirectly!$A:$A,0))</f>
        <v>10.00976279</v>
      </c>
      <c r="F38" s="307">
        <f t="array" ref="F38">F36/index(GiveDirectly!$B:$B,match("Units of value generated per dollar spent",GiveDirectly!$A:$A,0))</f>
        <v>1.494626616</v>
      </c>
      <c r="G38" s="307">
        <f t="array" ref="G38">G36/index(GiveDirectly!$B:$B,match("Units of value generated per dollar spent",GiveDirectly!$A:$A,0))</f>
        <v>6.641673514</v>
      </c>
      <c r="H38" s="307">
        <f t="array" ref="H38">H36/index(GiveDirectly!$B:$B,match("Units of value generated per dollar spent",GiveDirectly!$A:$A,0))</f>
        <v>12.68588426</v>
      </c>
      <c r="I38" s="307">
        <f t="array" ref="I38">I36/index(GiveDirectly!$B:$B,match("Units of value generated per dollar spent",GiveDirectly!$A:$A,0))</f>
        <v>9.946124164</v>
      </c>
      <c r="J38" s="307">
        <f t="array" ref="J38">J36/index(GiveDirectly!$B:$B,match("Units of value generated per dollar spent",GiveDirectly!$A:$A,0))</f>
        <v>5.366827622</v>
      </c>
      <c r="K38" s="307">
        <f t="array" ref="K38">K36/index(GiveDirectly!$B:$B,match("Units of value generated per dollar spent",GiveDirectly!$A:$A,0))</f>
        <v>6.263186999</v>
      </c>
      <c r="L38" s="307">
        <f t="array" ref="L38">L36/index(GiveDirectly!$B:$B,match("Units of value generated per dollar spent",GiveDirectly!$A:$A,0))</f>
        <v>7.576767003</v>
      </c>
      <c r="M38" s="307">
        <f t="array" ref="M38">M36/index(GiveDirectly!$B:$B,match("Units of value generated per dollar spent",GiveDirectly!$A:$A,0))</f>
        <v>18.58873463</v>
      </c>
      <c r="N38" s="307">
        <f t="array" ref="N38">N36/index(GiveDirectly!$B:$B,match("Units of value generated per dollar spent",GiveDirectly!$A:$A,0))</f>
        <v>4.064711201</v>
      </c>
      <c r="O38" s="307">
        <f t="array" ref="O38">O36/index(GiveDirectly!$B:$B,match("Units of value generated per dollar spent",GiveDirectly!$A:$A,0))</f>
        <v>15.28944895</v>
      </c>
      <c r="P38" s="307">
        <f t="array" ref="P38">P36/index(GiveDirectly!$B:$B,match("Units of value generated per dollar spent",GiveDirectly!$A:$A,0))</f>
        <v>15.64601537</v>
      </c>
      <c r="Q38" s="307">
        <f t="array" ref="Q38">Q36/index(GiveDirectly!$B:$B,match("Units of value generated per dollar spent",GiveDirectly!$A:$A,0))</f>
        <v>1.629140787</v>
      </c>
    </row>
    <row r="39">
      <c r="A39" s="571"/>
      <c r="B39" s="706"/>
      <c r="C39" s="707"/>
      <c r="D39" s="407"/>
      <c r="E39" s="407"/>
      <c r="F39" s="407"/>
      <c r="G39" s="407"/>
      <c r="H39" s="407"/>
      <c r="I39" s="407"/>
      <c r="J39" s="407"/>
      <c r="K39" s="407"/>
      <c r="L39" s="407"/>
      <c r="M39" s="407"/>
      <c r="N39" s="407"/>
      <c r="O39" s="407"/>
      <c r="P39" s="407"/>
      <c r="Q39" s="407"/>
    </row>
    <row r="40">
      <c r="A40" s="308" t="s">
        <v>475</v>
      </c>
      <c r="B40" s="308"/>
      <c r="C40" s="308"/>
      <c r="D40" s="308"/>
      <c r="E40" s="308"/>
      <c r="F40" s="308"/>
      <c r="G40" s="308"/>
      <c r="H40" s="308"/>
      <c r="I40" s="308"/>
      <c r="J40" s="308"/>
      <c r="K40" s="308"/>
      <c r="L40" s="308"/>
      <c r="M40" s="308"/>
      <c r="N40" s="308"/>
      <c r="O40" s="308"/>
      <c r="P40" s="308"/>
      <c r="Q40" s="308"/>
    </row>
    <row r="41" outlineLevel="1">
      <c r="A41" s="310"/>
      <c r="D41" s="407"/>
      <c r="E41" s="407"/>
      <c r="F41" s="407"/>
      <c r="G41" s="407"/>
      <c r="H41" s="407"/>
      <c r="I41" s="407"/>
      <c r="J41" s="407"/>
      <c r="K41" s="407"/>
      <c r="L41" s="407"/>
      <c r="M41" s="407"/>
      <c r="N41" s="407"/>
      <c r="O41" s="407"/>
      <c r="P41" s="407"/>
      <c r="Q41" s="407"/>
    </row>
    <row r="42" outlineLevel="1">
      <c r="A42" s="312" t="s">
        <v>255</v>
      </c>
      <c r="B42" s="311"/>
      <c r="C42" s="314"/>
      <c r="D42" s="407"/>
      <c r="E42" s="407"/>
      <c r="F42" s="407"/>
      <c r="G42" s="407"/>
      <c r="H42" s="407"/>
      <c r="I42" s="407"/>
      <c r="J42" s="407"/>
      <c r="K42" s="407"/>
      <c r="L42" s="407"/>
      <c r="M42" s="407"/>
      <c r="N42" s="407"/>
      <c r="O42" s="407"/>
      <c r="P42" s="407"/>
      <c r="Q42" s="407"/>
    </row>
    <row r="43" outlineLevel="1">
      <c r="A43" s="138" t="s">
        <v>256</v>
      </c>
      <c r="B43" s="581">
        <f t="shared" ref="B43:B46" si="21">index(C43:AA43,,match($A$3,$C$1:$AA$1,0))</f>
        <v>0</v>
      </c>
      <c r="C43" s="155">
        <v>0.0</v>
      </c>
      <c r="D43" s="317">
        <f t="shared" ref="D43:Q43" si="20">$C43</f>
        <v>0</v>
      </c>
      <c r="E43" s="317">
        <f t="shared" si="20"/>
        <v>0</v>
      </c>
      <c r="F43" s="317">
        <f t="shared" si="20"/>
        <v>0</v>
      </c>
      <c r="G43" s="317">
        <f t="shared" si="20"/>
        <v>0</v>
      </c>
      <c r="H43" s="317">
        <f t="shared" si="20"/>
        <v>0</v>
      </c>
      <c r="I43" s="317">
        <f t="shared" si="20"/>
        <v>0</v>
      </c>
      <c r="J43" s="317">
        <f t="shared" si="20"/>
        <v>0</v>
      </c>
      <c r="K43" s="317">
        <f t="shared" si="20"/>
        <v>0</v>
      </c>
      <c r="L43" s="317">
        <f t="shared" si="20"/>
        <v>0</v>
      </c>
      <c r="M43" s="317">
        <f t="shared" si="20"/>
        <v>0</v>
      </c>
      <c r="N43" s="317">
        <f t="shared" si="20"/>
        <v>0</v>
      </c>
      <c r="O43" s="317">
        <f t="shared" si="20"/>
        <v>0</v>
      </c>
      <c r="P43" s="317">
        <f t="shared" si="20"/>
        <v>0</v>
      </c>
      <c r="Q43" s="317">
        <f t="shared" si="20"/>
        <v>0</v>
      </c>
    </row>
    <row r="44" outlineLevel="1">
      <c r="A44" s="138" t="s">
        <v>257</v>
      </c>
      <c r="B44" s="581">
        <f t="shared" si="21"/>
        <v>0</v>
      </c>
      <c r="C44" s="155">
        <v>0.0</v>
      </c>
      <c r="D44" s="317">
        <f t="shared" ref="D44:Q44" si="22">$C44</f>
        <v>0</v>
      </c>
      <c r="E44" s="317">
        <f t="shared" si="22"/>
        <v>0</v>
      </c>
      <c r="F44" s="317">
        <f t="shared" si="22"/>
        <v>0</v>
      </c>
      <c r="G44" s="317">
        <f t="shared" si="22"/>
        <v>0</v>
      </c>
      <c r="H44" s="317">
        <f t="shared" si="22"/>
        <v>0</v>
      </c>
      <c r="I44" s="317">
        <f t="shared" si="22"/>
        <v>0</v>
      </c>
      <c r="J44" s="317">
        <f t="shared" si="22"/>
        <v>0</v>
      </c>
      <c r="K44" s="317">
        <f t="shared" si="22"/>
        <v>0</v>
      </c>
      <c r="L44" s="317">
        <f t="shared" si="22"/>
        <v>0</v>
      </c>
      <c r="M44" s="317">
        <f t="shared" si="22"/>
        <v>0</v>
      </c>
      <c r="N44" s="317">
        <f t="shared" si="22"/>
        <v>0</v>
      </c>
      <c r="O44" s="317">
        <f t="shared" si="22"/>
        <v>0</v>
      </c>
      <c r="P44" s="317">
        <f t="shared" si="22"/>
        <v>0</v>
      </c>
      <c r="Q44" s="317">
        <f t="shared" si="22"/>
        <v>0</v>
      </c>
    </row>
    <row r="45" outlineLevel="1">
      <c r="A45" s="138" t="s">
        <v>258</v>
      </c>
      <c r="B45" s="581">
        <f t="shared" si="21"/>
        <v>0</v>
      </c>
      <c r="C45" s="499">
        <v>0.0</v>
      </c>
      <c r="D45" s="317">
        <f t="shared" ref="D45:Q45" si="23">$C45</f>
        <v>0</v>
      </c>
      <c r="E45" s="317">
        <f t="shared" si="23"/>
        <v>0</v>
      </c>
      <c r="F45" s="317">
        <f t="shared" si="23"/>
        <v>0</v>
      </c>
      <c r="G45" s="317">
        <f t="shared" si="23"/>
        <v>0</v>
      </c>
      <c r="H45" s="317">
        <f t="shared" si="23"/>
        <v>0</v>
      </c>
      <c r="I45" s="317">
        <f t="shared" si="23"/>
        <v>0</v>
      </c>
      <c r="J45" s="317">
        <f t="shared" si="23"/>
        <v>0</v>
      </c>
      <c r="K45" s="317">
        <f t="shared" si="23"/>
        <v>0</v>
      </c>
      <c r="L45" s="317">
        <f t="shared" si="23"/>
        <v>0</v>
      </c>
      <c r="M45" s="317">
        <f t="shared" si="23"/>
        <v>0</v>
      </c>
      <c r="N45" s="317">
        <f t="shared" si="23"/>
        <v>0</v>
      </c>
      <c r="O45" s="317">
        <f t="shared" si="23"/>
        <v>0</v>
      </c>
      <c r="P45" s="317">
        <f t="shared" si="23"/>
        <v>0</v>
      </c>
      <c r="Q45" s="317">
        <f t="shared" si="23"/>
        <v>0</v>
      </c>
    </row>
    <row r="46" outlineLevel="1">
      <c r="A46" s="319" t="s">
        <v>259</v>
      </c>
      <c r="B46" s="582">
        <f t="shared" si="21"/>
        <v>0</v>
      </c>
      <c r="C46" s="321">
        <f t="shared" ref="C46:Q46" si="24">SUM(C43:C45)</f>
        <v>0</v>
      </c>
      <c r="D46" s="321">
        <f t="shared" si="24"/>
        <v>0</v>
      </c>
      <c r="E46" s="321">
        <f t="shared" si="24"/>
        <v>0</v>
      </c>
      <c r="F46" s="321">
        <f t="shared" si="24"/>
        <v>0</v>
      </c>
      <c r="G46" s="321">
        <f t="shared" si="24"/>
        <v>0</v>
      </c>
      <c r="H46" s="321">
        <f t="shared" si="24"/>
        <v>0</v>
      </c>
      <c r="I46" s="321">
        <f t="shared" si="24"/>
        <v>0</v>
      </c>
      <c r="J46" s="321">
        <f t="shared" si="24"/>
        <v>0</v>
      </c>
      <c r="K46" s="321">
        <f t="shared" si="24"/>
        <v>0</v>
      </c>
      <c r="L46" s="321">
        <f t="shared" si="24"/>
        <v>0</v>
      </c>
      <c r="M46" s="321">
        <f t="shared" si="24"/>
        <v>0</v>
      </c>
      <c r="N46" s="321">
        <f t="shared" si="24"/>
        <v>0</v>
      </c>
      <c r="O46" s="321">
        <f t="shared" si="24"/>
        <v>0</v>
      </c>
      <c r="P46" s="321">
        <f t="shared" si="24"/>
        <v>0</v>
      </c>
      <c r="Q46" s="321">
        <f t="shared" si="24"/>
        <v>0</v>
      </c>
    </row>
    <row r="47" outlineLevel="1">
      <c r="A47" s="138"/>
      <c r="B47" s="311"/>
      <c r="C47" s="299"/>
      <c r="D47" s="311"/>
      <c r="E47" s="311"/>
      <c r="F47" s="311"/>
      <c r="G47" s="311"/>
      <c r="H47" s="311"/>
      <c r="I47" s="311"/>
      <c r="J47" s="311"/>
      <c r="K47" s="311"/>
      <c r="L47" s="311"/>
      <c r="M47" s="311"/>
      <c r="N47" s="311"/>
      <c r="O47" s="311"/>
      <c r="P47" s="311"/>
      <c r="Q47" s="311"/>
    </row>
    <row r="48" outlineLevel="1">
      <c r="A48" s="312" t="s">
        <v>260</v>
      </c>
      <c r="B48" s="581" t="str">
        <f t="shared" ref="B48:B51" si="25">index(C48:AA48,,match($A$3,$C$1:$AA$1,0))</f>
        <v/>
      </c>
      <c r="C48" s="299"/>
      <c r="D48" s="311"/>
      <c r="E48" s="311"/>
      <c r="F48" s="311"/>
      <c r="G48" s="311"/>
      <c r="H48" s="311"/>
      <c r="I48" s="311"/>
      <c r="J48" s="311"/>
      <c r="K48" s="311"/>
      <c r="L48" s="311"/>
      <c r="M48" s="311"/>
      <c r="N48" s="311"/>
      <c r="O48" s="311"/>
      <c r="P48" s="311"/>
      <c r="Q48" s="311"/>
    </row>
    <row r="49" outlineLevel="1">
      <c r="A49" s="138" t="s">
        <v>261</v>
      </c>
      <c r="B49" s="581">
        <f t="shared" si="25"/>
        <v>0.1</v>
      </c>
      <c r="C49" s="155">
        <v>0.1</v>
      </c>
      <c r="D49" s="317">
        <f t="shared" ref="D49:Q49" si="26">$C49</f>
        <v>0.1</v>
      </c>
      <c r="E49" s="317">
        <f t="shared" si="26"/>
        <v>0.1</v>
      </c>
      <c r="F49" s="317">
        <f t="shared" si="26"/>
        <v>0.1</v>
      </c>
      <c r="G49" s="317">
        <f t="shared" si="26"/>
        <v>0.1</v>
      </c>
      <c r="H49" s="317">
        <f t="shared" si="26"/>
        <v>0.1</v>
      </c>
      <c r="I49" s="317">
        <f t="shared" si="26"/>
        <v>0.1</v>
      </c>
      <c r="J49" s="317">
        <f t="shared" si="26"/>
        <v>0.1</v>
      </c>
      <c r="K49" s="317">
        <f t="shared" si="26"/>
        <v>0.1</v>
      </c>
      <c r="L49" s="317">
        <f t="shared" si="26"/>
        <v>0.1</v>
      </c>
      <c r="M49" s="317">
        <f t="shared" si="26"/>
        <v>0.1</v>
      </c>
      <c r="N49" s="317">
        <f t="shared" si="26"/>
        <v>0.1</v>
      </c>
      <c r="O49" s="317">
        <f t="shared" si="26"/>
        <v>0.1</v>
      </c>
      <c r="P49" s="317">
        <f t="shared" si="26"/>
        <v>0.1</v>
      </c>
      <c r="Q49" s="317">
        <f t="shared" si="26"/>
        <v>0.1</v>
      </c>
    </row>
    <row r="50" outlineLevel="1">
      <c r="A50" s="138" t="s">
        <v>262</v>
      </c>
      <c r="B50" s="581">
        <f t="shared" si="25"/>
        <v>0.05</v>
      </c>
      <c r="C50" s="499">
        <v>0.05</v>
      </c>
      <c r="D50" s="317">
        <f t="shared" ref="D50:Q50" si="27">$C50</f>
        <v>0.05</v>
      </c>
      <c r="E50" s="317">
        <f t="shared" si="27"/>
        <v>0.05</v>
      </c>
      <c r="F50" s="317">
        <f t="shared" si="27"/>
        <v>0.05</v>
      </c>
      <c r="G50" s="317">
        <f t="shared" si="27"/>
        <v>0.05</v>
      </c>
      <c r="H50" s="317">
        <f t="shared" si="27"/>
        <v>0.05</v>
      </c>
      <c r="I50" s="317">
        <f t="shared" si="27"/>
        <v>0.05</v>
      </c>
      <c r="J50" s="317">
        <f t="shared" si="27"/>
        <v>0.05</v>
      </c>
      <c r="K50" s="317">
        <f t="shared" si="27"/>
        <v>0.05</v>
      </c>
      <c r="L50" s="317">
        <f t="shared" si="27"/>
        <v>0.05</v>
      </c>
      <c r="M50" s="317">
        <f t="shared" si="27"/>
        <v>0.05</v>
      </c>
      <c r="N50" s="317">
        <f t="shared" si="27"/>
        <v>0.05</v>
      </c>
      <c r="O50" s="317">
        <f t="shared" si="27"/>
        <v>0.05</v>
      </c>
      <c r="P50" s="317">
        <f t="shared" si="27"/>
        <v>0.05</v>
      </c>
      <c r="Q50" s="317">
        <f t="shared" si="27"/>
        <v>0.05</v>
      </c>
    </row>
    <row r="51" outlineLevel="1">
      <c r="A51" s="319" t="s">
        <v>263</v>
      </c>
      <c r="B51" s="582">
        <f t="shared" si="25"/>
        <v>0.15</v>
      </c>
      <c r="C51" s="321">
        <f t="shared" ref="C51:Q51" si="28">sum(C48:C50)</f>
        <v>0.15</v>
      </c>
      <c r="D51" s="321">
        <f t="shared" si="28"/>
        <v>0.15</v>
      </c>
      <c r="E51" s="321">
        <f t="shared" si="28"/>
        <v>0.15</v>
      </c>
      <c r="F51" s="321">
        <f t="shared" si="28"/>
        <v>0.15</v>
      </c>
      <c r="G51" s="321">
        <f t="shared" si="28"/>
        <v>0.15</v>
      </c>
      <c r="H51" s="321">
        <f t="shared" si="28"/>
        <v>0.15</v>
      </c>
      <c r="I51" s="321">
        <f t="shared" si="28"/>
        <v>0.15</v>
      </c>
      <c r="J51" s="321">
        <f t="shared" si="28"/>
        <v>0.15</v>
      </c>
      <c r="K51" s="321">
        <f t="shared" si="28"/>
        <v>0.15</v>
      </c>
      <c r="L51" s="321">
        <f t="shared" si="28"/>
        <v>0.15</v>
      </c>
      <c r="M51" s="321">
        <f t="shared" si="28"/>
        <v>0.15</v>
      </c>
      <c r="N51" s="321">
        <f t="shared" si="28"/>
        <v>0.15</v>
      </c>
      <c r="O51" s="321">
        <f t="shared" si="28"/>
        <v>0.15</v>
      </c>
      <c r="P51" s="321">
        <f t="shared" si="28"/>
        <v>0.15</v>
      </c>
      <c r="Q51" s="321">
        <f t="shared" si="28"/>
        <v>0.15</v>
      </c>
    </row>
    <row r="52" outlineLevel="1">
      <c r="A52" s="138"/>
      <c r="B52" s="311"/>
      <c r="C52" s="299"/>
      <c r="D52" s="311"/>
      <c r="E52" s="311"/>
      <c r="F52" s="311"/>
      <c r="G52" s="311"/>
      <c r="H52" s="311"/>
      <c r="I52" s="311"/>
      <c r="J52" s="311"/>
      <c r="K52" s="311"/>
      <c r="L52" s="311"/>
      <c r="M52" s="311"/>
      <c r="N52" s="311"/>
      <c r="O52" s="311"/>
      <c r="P52" s="311"/>
      <c r="Q52" s="311"/>
    </row>
    <row r="53" outlineLevel="1">
      <c r="A53" s="312" t="s">
        <v>264</v>
      </c>
      <c r="B53" s="311"/>
      <c r="C53" s="299"/>
      <c r="D53" s="311"/>
      <c r="E53" s="311"/>
      <c r="F53" s="311"/>
      <c r="G53" s="311"/>
      <c r="H53" s="311"/>
      <c r="I53" s="311"/>
      <c r="J53" s="311"/>
      <c r="K53" s="311"/>
      <c r="L53" s="311"/>
      <c r="M53" s="311"/>
      <c r="N53" s="311"/>
      <c r="O53" s="311"/>
      <c r="P53" s="311"/>
      <c r="Q53" s="311"/>
    </row>
    <row r="54" outlineLevel="1">
      <c r="A54" s="138" t="s">
        <v>265</v>
      </c>
      <c r="B54" s="581">
        <f t="shared" ref="B54:B57" si="30">index(C54:AA54,,match($A$3,$C$1:$AA$1,0))</f>
        <v>0.02</v>
      </c>
      <c r="C54" s="155">
        <v>0.02</v>
      </c>
      <c r="D54" s="317">
        <f t="shared" ref="D54:Q54" si="29">$C54</f>
        <v>0.02</v>
      </c>
      <c r="E54" s="317">
        <f t="shared" si="29"/>
        <v>0.02</v>
      </c>
      <c r="F54" s="317">
        <f t="shared" si="29"/>
        <v>0.02</v>
      </c>
      <c r="G54" s="317">
        <f t="shared" si="29"/>
        <v>0.02</v>
      </c>
      <c r="H54" s="317">
        <f t="shared" si="29"/>
        <v>0.02</v>
      </c>
      <c r="I54" s="317">
        <f t="shared" si="29"/>
        <v>0.02</v>
      </c>
      <c r="J54" s="317">
        <f t="shared" si="29"/>
        <v>0.02</v>
      </c>
      <c r="K54" s="317">
        <f t="shared" si="29"/>
        <v>0.02</v>
      </c>
      <c r="L54" s="317">
        <f t="shared" si="29"/>
        <v>0.02</v>
      </c>
      <c r="M54" s="317">
        <f t="shared" si="29"/>
        <v>0.02</v>
      </c>
      <c r="N54" s="317">
        <f t="shared" si="29"/>
        <v>0.02</v>
      </c>
      <c r="O54" s="317">
        <f t="shared" si="29"/>
        <v>0.02</v>
      </c>
      <c r="P54" s="317">
        <f t="shared" si="29"/>
        <v>0.02</v>
      </c>
      <c r="Q54" s="317">
        <f t="shared" si="29"/>
        <v>0.02</v>
      </c>
    </row>
    <row r="55" outlineLevel="1">
      <c r="A55" s="138" t="s">
        <v>266</v>
      </c>
      <c r="B55" s="581">
        <f t="shared" si="30"/>
        <v>0</v>
      </c>
      <c r="C55" s="155">
        <v>0.0</v>
      </c>
      <c r="D55" s="317">
        <f t="shared" ref="D55:Q55" si="31">$C55</f>
        <v>0</v>
      </c>
      <c r="E55" s="317">
        <f t="shared" si="31"/>
        <v>0</v>
      </c>
      <c r="F55" s="317">
        <f t="shared" si="31"/>
        <v>0</v>
      </c>
      <c r="G55" s="317">
        <f t="shared" si="31"/>
        <v>0</v>
      </c>
      <c r="H55" s="317">
        <f t="shared" si="31"/>
        <v>0</v>
      </c>
      <c r="I55" s="317">
        <f t="shared" si="31"/>
        <v>0</v>
      </c>
      <c r="J55" s="317">
        <f t="shared" si="31"/>
        <v>0</v>
      </c>
      <c r="K55" s="317">
        <f t="shared" si="31"/>
        <v>0</v>
      </c>
      <c r="L55" s="317">
        <f t="shared" si="31"/>
        <v>0</v>
      </c>
      <c r="M55" s="317">
        <f t="shared" si="31"/>
        <v>0</v>
      </c>
      <c r="N55" s="317">
        <f t="shared" si="31"/>
        <v>0</v>
      </c>
      <c r="O55" s="317">
        <f t="shared" si="31"/>
        <v>0</v>
      </c>
      <c r="P55" s="317">
        <f t="shared" si="31"/>
        <v>0</v>
      </c>
      <c r="Q55" s="317">
        <f t="shared" si="31"/>
        <v>0</v>
      </c>
    </row>
    <row r="56" outlineLevel="1">
      <c r="A56" s="138" t="s">
        <v>267</v>
      </c>
      <c r="B56" s="581">
        <f t="shared" si="30"/>
        <v>0.05</v>
      </c>
      <c r="C56" s="499">
        <v>0.05</v>
      </c>
      <c r="D56" s="317">
        <f t="shared" ref="D56:Q56" si="32">$C56</f>
        <v>0.05</v>
      </c>
      <c r="E56" s="317">
        <f t="shared" si="32"/>
        <v>0.05</v>
      </c>
      <c r="F56" s="317">
        <f t="shared" si="32"/>
        <v>0.05</v>
      </c>
      <c r="G56" s="317">
        <f t="shared" si="32"/>
        <v>0.05</v>
      </c>
      <c r="H56" s="317">
        <f t="shared" si="32"/>
        <v>0.05</v>
      </c>
      <c r="I56" s="317">
        <f t="shared" si="32"/>
        <v>0.05</v>
      </c>
      <c r="J56" s="317">
        <f t="shared" si="32"/>
        <v>0.05</v>
      </c>
      <c r="K56" s="317">
        <f t="shared" si="32"/>
        <v>0.05</v>
      </c>
      <c r="L56" s="317">
        <f t="shared" si="32"/>
        <v>0.05</v>
      </c>
      <c r="M56" s="317">
        <f t="shared" si="32"/>
        <v>0.05</v>
      </c>
      <c r="N56" s="317">
        <f t="shared" si="32"/>
        <v>0.05</v>
      </c>
      <c r="O56" s="317">
        <f t="shared" si="32"/>
        <v>0.05</v>
      </c>
      <c r="P56" s="317">
        <f t="shared" si="32"/>
        <v>0.05</v>
      </c>
      <c r="Q56" s="317">
        <f t="shared" si="32"/>
        <v>0.05</v>
      </c>
    </row>
    <row r="57" outlineLevel="1">
      <c r="A57" s="322" t="s">
        <v>268</v>
      </c>
      <c r="B57" s="582">
        <f t="shared" si="30"/>
        <v>0.07</v>
      </c>
      <c r="C57" s="321">
        <f t="shared" ref="C57:Q57" si="33">sum(C54:C56)</f>
        <v>0.07</v>
      </c>
      <c r="D57" s="321">
        <f t="shared" si="33"/>
        <v>0.07</v>
      </c>
      <c r="E57" s="321">
        <f t="shared" si="33"/>
        <v>0.07</v>
      </c>
      <c r="F57" s="321">
        <f t="shared" si="33"/>
        <v>0.07</v>
      </c>
      <c r="G57" s="321">
        <f t="shared" si="33"/>
        <v>0.07</v>
      </c>
      <c r="H57" s="321">
        <f t="shared" si="33"/>
        <v>0.07</v>
      </c>
      <c r="I57" s="321">
        <f t="shared" si="33"/>
        <v>0.07</v>
      </c>
      <c r="J57" s="321">
        <f t="shared" si="33"/>
        <v>0.07</v>
      </c>
      <c r="K57" s="321">
        <f t="shared" si="33"/>
        <v>0.07</v>
      </c>
      <c r="L57" s="321">
        <f t="shared" si="33"/>
        <v>0.07</v>
      </c>
      <c r="M57" s="321">
        <f t="shared" si="33"/>
        <v>0.07</v>
      </c>
      <c r="N57" s="321">
        <f t="shared" si="33"/>
        <v>0.07</v>
      </c>
      <c r="O57" s="321">
        <f t="shared" si="33"/>
        <v>0.07</v>
      </c>
      <c r="P57" s="321">
        <f t="shared" si="33"/>
        <v>0.07</v>
      </c>
      <c r="Q57" s="321">
        <f t="shared" si="33"/>
        <v>0.07</v>
      </c>
    </row>
    <row r="58" outlineLevel="1">
      <c r="A58" s="138"/>
      <c r="B58" s="311"/>
      <c r="C58" s="299"/>
      <c r="D58" s="311"/>
      <c r="E58" s="311"/>
      <c r="F58" s="311"/>
      <c r="G58" s="311"/>
      <c r="H58" s="311"/>
      <c r="I58" s="311"/>
      <c r="J58" s="311"/>
      <c r="K58" s="311"/>
      <c r="L58" s="311"/>
      <c r="M58" s="311"/>
      <c r="N58" s="311"/>
      <c r="O58" s="311"/>
      <c r="P58" s="311"/>
      <c r="Q58" s="311"/>
    </row>
    <row r="59">
      <c r="A59" s="112" t="s">
        <v>269</v>
      </c>
      <c r="B59" s="581">
        <f t="array" ref="B59">index(C59:AA59,,match($A$3,$C$1:$AA$1,0))</f>
        <v>0.78</v>
      </c>
      <c r="C59" s="153">
        <f t="shared" ref="C59:Q59" si="34">1-sum(C46,C51,C57)</f>
        <v>0.78</v>
      </c>
      <c r="D59" s="153">
        <f t="shared" si="34"/>
        <v>0.78</v>
      </c>
      <c r="E59" s="153">
        <f t="shared" si="34"/>
        <v>0.78</v>
      </c>
      <c r="F59" s="153">
        <f t="shared" si="34"/>
        <v>0.78</v>
      </c>
      <c r="G59" s="153">
        <f t="shared" si="34"/>
        <v>0.78</v>
      </c>
      <c r="H59" s="153">
        <f t="shared" si="34"/>
        <v>0.78</v>
      </c>
      <c r="I59" s="153">
        <f t="shared" si="34"/>
        <v>0.78</v>
      </c>
      <c r="J59" s="153">
        <f t="shared" si="34"/>
        <v>0.78</v>
      </c>
      <c r="K59" s="153">
        <f t="shared" si="34"/>
        <v>0.78</v>
      </c>
      <c r="L59" s="153">
        <f t="shared" si="34"/>
        <v>0.78</v>
      </c>
      <c r="M59" s="153">
        <f t="shared" si="34"/>
        <v>0.78</v>
      </c>
      <c r="N59" s="153">
        <f t="shared" si="34"/>
        <v>0.78</v>
      </c>
      <c r="O59" s="153">
        <f t="shared" si="34"/>
        <v>0.78</v>
      </c>
      <c r="P59" s="153">
        <f t="shared" si="34"/>
        <v>0.78</v>
      </c>
      <c r="Q59" s="153">
        <f t="shared" si="34"/>
        <v>0.78</v>
      </c>
    </row>
    <row r="60">
      <c r="A60" s="82"/>
      <c r="B60" s="597"/>
      <c r="C60" s="599"/>
      <c r="D60" s="712"/>
      <c r="E60" s="712"/>
      <c r="F60" s="712"/>
      <c r="G60" s="712"/>
      <c r="H60" s="712"/>
      <c r="I60" s="712"/>
      <c r="J60" s="712"/>
      <c r="K60" s="712"/>
      <c r="L60" s="712"/>
      <c r="M60" s="712"/>
      <c r="N60" s="712"/>
      <c r="O60" s="712"/>
      <c r="P60" s="712"/>
      <c r="Q60" s="712"/>
    </row>
    <row r="61">
      <c r="A61" s="568" t="s">
        <v>270</v>
      </c>
      <c r="B61" s="708"/>
      <c r="C61" s="709"/>
      <c r="D61" s="586"/>
      <c r="E61" s="586"/>
      <c r="F61" s="586"/>
      <c r="G61" s="586"/>
      <c r="H61" s="586"/>
      <c r="I61" s="586"/>
      <c r="J61" s="586"/>
      <c r="K61" s="586"/>
      <c r="L61" s="586"/>
      <c r="M61" s="586"/>
      <c r="N61" s="586"/>
      <c r="O61" s="586"/>
      <c r="P61" s="586"/>
      <c r="Q61" s="586"/>
    </row>
    <row r="62">
      <c r="A62" s="500" t="s">
        <v>281</v>
      </c>
      <c r="B62" s="713">
        <f t="shared" ref="B62:B64" si="36">index(C62:AA62,,match($A$3,$C$1:$AA$1,0))</f>
        <v>5519.275995</v>
      </c>
      <c r="C62" s="565">
        <f>sum(D62:Q62)</f>
        <v>5519.275995</v>
      </c>
      <c r="D62" s="654">
        <f t="shared" ref="D62:Q62" si="35">D35*D59</f>
        <v>187.1146414</v>
      </c>
      <c r="E62" s="654">
        <f t="shared" si="35"/>
        <v>2932.0408</v>
      </c>
      <c r="F62" s="654">
        <f t="shared" si="35"/>
        <v>16.05338942</v>
      </c>
      <c r="G62" s="654">
        <f t="shared" si="35"/>
        <v>71.30950937</v>
      </c>
      <c r="H62" s="654">
        <f t="shared" si="35"/>
        <v>221.1849019</v>
      </c>
      <c r="I62" s="654">
        <f t="shared" si="35"/>
        <v>229.5481217</v>
      </c>
      <c r="J62" s="654">
        <f t="shared" si="35"/>
        <v>86.30519499</v>
      </c>
      <c r="K62" s="654">
        <f t="shared" si="35"/>
        <v>97.80960286</v>
      </c>
      <c r="L62" s="654">
        <f t="shared" si="35"/>
        <v>197.7298387</v>
      </c>
      <c r="M62" s="654">
        <f t="shared" si="35"/>
        <v>571.8620335</v>
      </c>
      <c r="N62" s="654">
        <f t="shared" si="35"/>
        <v>110.0676072</v>
      </c>
      <c r="O62" s="654">
        <f t="shared" si="35"/>
        <v>326.7326758</v>
      </c>
      <c r="P62" s="654">
        <f t="shared" si="35"/>
        <v>456.7695898</v>
      </c>
      <c r="Q62" s="654">
        <f t="shared" si="35"/>
        <v>14.74808771</v>
      </c>
    </row>
    <row r="63">
      <c r="A63" s="82" t="s">
        <v>369</v>
      </c>
      <c r="B63" s="714">
        <f t="shared" si="36"/>
        <v>0.02506708788</v>
      </c>
      <c r="C63" s="715">
        <f t="shared" ref="C63:Q63" si="37">C62/C15</f>
        <v>0.02506708788</v>
      </c>
      <c r="D63" s="715">
        <f t="shared" si="37"/>
        <v>0.008285048891</v>
      </c>
      <c r="E63" s="715">
        <f t="shared" si="37"/>
        <v>0.02685696209</v>
      </c>
      <c r="F63" s="715">
        <f t="shared" si="37"/>
        <v>0.004010197964</v>
      </c>
      <c r="G63" s="715">
        <f t="shared" si="37"/>
        <v>0.01782011997</v>
      </c>
      <c r="H63" s="715">
        <f t="shared" si="37"/>
        <v>0.03403720145</v>
      </c>
      <c r="I63" s="715">
        <f t="shared" si="37"/>
        <v>0.02668621477</v>
      </c>
      <c r="J63" s="715">
        <f t="shared" si="37"/>
        <v>0.01439961056</v>
      </c>
      <c r="K63" s="715">
        <f t="shared" si="37"/>
        <v>0.01680461159</v>
      </c>
      <c r="L63" s="715">
        <f t="shared" si="37"/>
        <v>0.02032904759</v>
      </c>
      <c r="M63" s="715">
        <f t="shared" si="37"/>
        <v>0.04987500221</v>
      </c>
      <c r="N63" s="715">
        <f t="shared" si="37"/>
        <v>0.01090593223</v>
      </c>
      <c r="O63" s="715">
        <f t="shared" si="37"/>
        <v>0.04102276542</v>
      </c>
      <c r="P63" s="715">
        <f t="shared" si="37"/>
        <v>0.0419794605</v>
      </c>
      <c r="Q63" s="715">
        <f t="shared" si="37"/>
        <v>0.004371109812</v>
      </c>
    </row>
    <row r="64">
      <c r="A64" s="67" t="s">
        <v>275</v>
      </c>
      <c r="B64" s="716">
        <f t="shared" si="36"/>
        <v>7.287278812</v>
      </c>
      <c r="C64" s="584">
        <f t="array" ref="C64">C63/index(GiveDirectly!$B:$B,match("Units of value generated per dollar spent",GiveDirectly!$A:$A,0))</f>
        <v>7.287278812</v>
      </c>
      <c r="D64" s="584">
        <f t="array" ref="D64">D63/index(GiveDirectly!$B:$B,match("Units of value generated per dollar spent",GiveDirectly!$A:$A,0))</f>
        <v>2.408555055</v>
      </c>
      <c r="E64" s="584">
        <f t="array" ref="E64">E63/index(GiveDirectly!$B:$B,match("Units of value generated per dollar spent",GiveDirectly!$A:$A,0))</f>
        <v>7.807614978</v>
      </c>
      <c r="F64" s="584">
        <f t="array" ref="F64">F63/index(GiveDirectly!$B:$B,match("Units of value generated per dollar spent",GiveDirectly!$A:$A,0))</f>
        <v>1.16580876</v>
      </c>
      <c r="G64" s="584">
        <f t="array" ref="G64">G63/index(GiveDirectly!$B:$B,match("Units of value generated per dollar spent",GiveDirectly!$A:$A,0))</f>
        <v>5.180505341</v>
      </c>
      <c r="H64" s="584">
        <f t="array" ref="H64">H63/index(GiveDirectly!$B:$B,match("Units of value generated per dollar spent",GiveDirectly!$A:$A,0))</f>
        <v>9.894989721</v>
      </c>
      <c r="I64" s="584">
        <f t="array" ref="I64">I63/index(GiveDirectly!$B:$B,match("Units of value generated per dollar spent",GiveDirectly!$A:$A,0))</f>
        <v>7.757976848</v>
      </c>
      <c r="J64" s="584">
        <f t="array" ref="J64">J63/index(GiveDirectly!$B:$B,match("Units of value generated per dollar spent",GiveDirectly!$A:$A,0))</f>
        <v>4.186125545</v>
      </c>
      <c r="K64" s="584">
        <f t="array" ref="K64">K63/index(GiveDirectly!$B:$B,match("Units of value generated per dollar spent",GiveDirectly!$A:$A,0))</f>
        <v>4.885285859</v>
      </c>
      <c r="L64" s="584">
        <f t="array" ref="L64">L63/index(GiveDirectly!$B:$B,match("Units of value generated per dollar spent",GiveDirectly!$A:$A,0))</f>
        <v>5.909878262</v>
      </c>
      <c r="M64" s="584">
        <f t="array" ref="M64">M63/index(GiveDirectly!$B:$B,match("Units of value generated per dollar spent",GiveDirectly!$A:$A,0))</f>
        <v>14.49921301</v>
      </c>
      <c r="N64" s="584">
        <f t="array" ref="N64">N63/index(GiveDirectly!$B:$B,match("Units of value generated per dollar spent",GiveDirectly!$A:$A,0))</f>
        <v>3.170474737</v>
      </c>
      <c r="O64" s="584">
        <f t="array" ref="O64">O63/index(GiveDirectly!$B:$B,match("Units of value generated per dollar spent",GiveDirectly!$A:$A,0))</f>
        <v>11.92577018</v>
      </c>
      <c r="P64" s="584">
        <f t="array" ref="P64">P63/index(GiveDirectly!$B:$B,match("Units of value generated per dollar spent",GiveDirectly!$A:$A,0))</f>
        <v>12.20389199</v>
      </c>
      <c r="Q64" s="584">
        <f t="array" ref="Q64">Q63/index(GiveDirectly!$B:$B,match("Units of value generated per dollar spent",GiveDirectly!$A:$A,0))</f>
        <v>1.270729814</v>
      </c>
    </row>
    <row r="65">
      <c r="A65" s="82"/>
      <c r="B65" s="597"/>
      <c r="C65" s="599"/>
      <c r="D65" s="715"/>
      <c r="E65" s="715"/>
      <c r="F65" s="715"/>
      <c r="G65" s="715"/>
      <c r="H65" s="715"/>
      <c r="I65" s="715"/>
      <c r="J65" s="715"/>
      <c r="K65" s="715"/>
      <c r="L65" s="715"/>
      <c r="M65" s="715"/>
      <c r="N65" s="715"/>
      <c r="O65" s="715"/>
      <c r="P65" s="715"/>
      <c r="Q65" s="715"/>
    </row>
    <row r="66">
      <c r="A66" s="308" t="s">
        <v>370</v>
      </c>
      <c r="B66" s="309"/>
      <c r="C66" s="308"/>
      <c r="D66" s="308"/>
      <c r="E66" s="308"/>
      <c r="F66" s="308"/>
      <c r="G66" s="308"/>
      <c r="H66" s="308"/>
      <c r="I66" s="308"/>
      <c r="J66" s="308"/>
      <c r="K66" s="308"/>
      <c r="L66" s="308"/>
      <c r="M66" s="308"/>
      <c r="N66" s="308"/>
      <c r="O66" s="308"/>
      <c r="P66" s="308"/>
      <c r="Q66" s="308"/>
    </row>
    <row r="67" outlineLevel="1">
      <c r="A67" s="310" t="s">
        <v>277</v>
      </c>
      <c r="B67" s="330"/>
      <c r="C67" s="331"/>
      <c r="D67" s="331"/>
      <c r="E67" s="331"/>
      <c r="F67" s="331"/>
      <c r="G67" s="331"/>
      <c r="H67" s="331"/>
      <c r="I67" s="331"/>
      <c r="J67" s="331"/>
      <c r="K67" s="331"/>
      <c r="L67" s="331"/>
      <c r="M67" s="331"/>
      <c r="N67" s="331"/>
      <c r="O67" s="331"/>
      <c r="P67" s="331"/>
      <c r="Q67" s="331"/>
    </row>
    <row r="68" outlineLevel="1">
      <c r="A68" s="118" t="str">
        <f>IFERROR(__xludf.DUMMYFUNCTION("filter(InclusionExclusion!C:C,InclusionExclusion!A:A=""Deworming"",InclusionExclusion!D:D=""Included"")"),"Developmental effects")</f>
        <v>Developmental effects</v>
      </c>
      <c r="B68" s="330"/>
      <c r="C68" s="331"/>
      <c r="D68" s="331"/>
      <c r="E68" s="331"/>
      <c r="F68" s="331"/>
      <c r="G68" s="331"/>
      <c r="H68" s="331"/>
      <c r="I68" s="331"/>
      <c r="J68" s="331"/>
      <c r="K68" s="331"/>
      <c r="L68" s="331"/>
      <c r="M68" s="331"/>
      <c r="N68" s="331"/>
      <c r="O68" s="331"/>
      <c r="P68" s="331"/>
      <c r="Q68" s="331"/>
    </row>
    <row r="69" outlineLevel="1">
      <c r="A69" s="112"/>
      <c r="B69" s="330"/>
      <c r="C69" s="331"/>
      <c r="D69" s="331"/>
      <c r="E69" s="331"/>
      <c r="F69" s="331"/>
      <c r="G69" s="331"/>
      <c r="H69" s="331"/>
      <c r="I69" s="331"/>
      <c r="J69" s="331"/>
      <c r="K69" s="331"/>
      <c r="L69" s="331"/>
      <c r="M69" s="331"/>
      <c r="N69" s="331"/>
      <c r="O69" s="331"/>
      <c r="P69" s="331"/>
      <c r="Q69" s="331"/>
    </row>
    <row r="70" outlineLevel="1">
      <c r="A70" s="310" t="s">
        <v>278</v>
      </c>
      <c r="B70" s="330"/>
      <c r="C70" s="331"/>
      <c r="D70" s="331"/>
      <c r="E70" s="331"/>
      <c r="F70" s="331"/>
      <c r="G70" s="331"/>
      <c r="H70" s="331"/>
      <c r="I70" s="331"/>
      <c r="J70" s="331"/>
      <c r="K70" s="331"/>
      <c r="L70" s="331"/>
      <c r="M70" s="331"/>
      <c r="N70" s="331"/>
      <c r="O70" s="331"/>
      <c r="P70" s="331"/>
      <c r="Q70" s="331"/>
    </row>
    <row r="71" outlineLevel="1">
      <c r="A71" s="118" t="str">
        <f>IFERROR(__xludf.DUMMYFUNCTION("filter(InclusionExclusion!C:C,InclusionExclusion!A:A=""Deworming"",InclusionExclusion!D:D=""Excluded"")"),"Direct health effects")</f>
        <v>Direct health effects</v>
      </c>
      <c r="B71" s="313">
        <f t="shared" ref="B71:B84" si="39">index(C71:Z71,,match($A$3,$C$1:$Z$1,0))</f>
        <v>0.008</v>
      </c>
      <c r="C71" s="314">
        <f t="array" ref="C71">iferror(if(isblank(A71),"",index(InclusionExclusion!$M:M,match(1,(InclusionExclusion!C:C=A71)*(InclusionExclusion!A:A="Deworming"),0))),"Not specified")</f>
        <v>0.008</v>
      </c>
      <c r="D71" s="334">
        <f t="shared" ref="D71:Q71" si="38">$C71</f>
        <v>0.008</v>
      </c>
      <c r="E71" s="334">
        <f t="shared" si="38"/>
        <v>0.008</v>
      </c>
      <c r="F71" s="334">
        <f t="shared" si="38"/>
        <v>0.008</v>
      </c>
      <c r="G71" s="334">
        <f t="shared" si="38"/>
        <v>0.008</v>
      </c>
      <c r="H71" s="334">
        <f t="shared" si="38"/>
        <v>0.008</v>
      </c>
      <c r="I71" s="334">
        <f t="shared" si="38"/>
        <v>0.008</v>
      </c>
      <c r="J71" s="334">
        <f t="shared" si="38"/>
        <v>0.008</v>
      </c>
      <c r="K71" s="334">
        <f t="shared" si="38"/>
        <v>0.008</v>
      </c>
      <c r="L71" s="334">
        <f t="shared" si="38"/>
        <v>0.008</v>
      </c>
      <c r="M71" s="334">
        <f t="shared" si="38"/>
        <v>0.008</v>
      </c>
      <c r="N71" s="334">
        <f t="shared" si="38"/>
        <v>0.008</v>
      </c>
      <c r="O71" s="334">
        <f t="shared" si="38"/>
        <v>0.008</v>
      </c>
      <c r="P71" s="334">
        <f t="shared" si="38"/>
        <v>0.008</v>
      </c>
      <c r="Q71" s="334">
        <f t="shared" si="38"/>
        <v>0.008</v>
      </c>
    </row>
    <row r="72" outlineLevel="1">
      <c r="A72" s="176" t="str">
        <f>IFERROR(__xludf.DUMMYFUNCTION("""COMPUTED_VALUE"""),"HIV reduction")</f>
        <v>HIV reduction</v>
      </c>
      <c r="B72" s="313">
        <f t="shared" si="39"/>
        <v>0.06</v>
      </c>
      <c r="C72" s="314">
        <f t="array" ref="C72">iferror(if(isblank(A72),"",index(InclusionExclusion!$M:M,match(1,(InclusionExclusion!C:C=A72)*(InclusionExclusion!A:A="Deworming"),0))),"Not specified")</f>
        <v>0.06</v>
      </c>
      <c r="D72" s="334">
        <f t="shared" ref="D72:Q72" si="40">$C72</f>
        <v>0.06</v>
      </c>
      <c r="E72" s="334">
        <f t="shared" si="40"/>
        <v>0.06</v>
      </c>
      <c r="F72" s="334">
        <f t="shared" si="40"/>
        <v>0.06</v>
      </c>
      <c r="G72" s="334">
        <f t="shared" si="40"/>
        <v>0.06</v>
      </c>
      <c r="H72" s="334">
        <f t="shared" si="40"/>
        <v>0.06</v>
      </c>
      <c r="I72" s="334">
        <f t="shared" si="40"/>
        <v>0.06</v>
      </c>
      <c r="J72" s="334">
        <f t="shared" si="40"/>
        <v>0.06</v>
      </c>
      <c r="K72" s="334">
        <f t="shared" si="40"/>
        <v>0.06</v>
      </c>
      <c r="L72" s="334">
        <f t="shared" si="40"/>
        <v>0.06</v>
      </c>
      <c r="M72" s="334">
        <f t="shared" si="40"/>
        <v>0.06</v>
      </c>
      <c r="N72" s="334">
        <f t="shared" si="40"/>
        <v>0.06</v>
      </c>
      <c r="O72" s="334">
        <f t="shared" si="40"/>
        <v>0.06</v>
      </c>
      <c r="P72" s="334">
        <f t="shared" si="40"/>
        <v>0.06</v>
      </c>
      <c r="Q72" s="334">
        <f t="shared" si="40"/>
        <v>0.06</v>
      </c>
    </row>
    <row r="73" outlineLevel="1">
      <c r="A73" s="176" t="str">
        <f>IFERROR(__xludf.DUMMYFUNCTION("""COMPUTED_VALUE"""),"Possible increases in diseases of affluence (harms of deworming)")</f>
        <v>Possible increases in diseases of affluence (harms of deworming)</v>
      </c>
      <c r="B73" s="313">
        <f t="shared" si="39"/>
        <v>-0.025</v>
      </c>
      <c r="C73" s="314">
        <f t="array" ref="C73">iferror(if(isblank(A73),"",index(InclusionExclusion!$M:M,match(1,(InclusionExclusion!C:C=A73)*(InclusionExclusion!A:A="Deworming"),0))),"Not specified")</f>
        <v>-0.025</v>
      </c>
      <c r="D73" s="334">
        <f t="shared" ref="D73:Q73" si="41">$C73</f>
        <v>-0.025</v>
      </c>
      <c r="E73" s="334">
        <f t="shared" si="41"/>
        <v>-0.025</v>
      </c>
      <c r="F73" s="334">
        <f t="shared" si="41"/>
        <v>-0.025</v>
      </c>
      <c r="G73" s="334">
        <f t="shared" si="41"/>
        <v>-0.025</v>
      </c>
      <c r="H73" s="334">
        <f t="shared" si="41"/>
        <v>-0.025</v>
      </c>
      <c r="I73" s="334">
        <f t="shared" si="41"/>
        <v>-0.025</v>
      </c>
      <c r="J73" s="334">
        <f t="shared" si="41"/>
        <v>-0.025</v>
      </c>
      <c r="K73" s="334">
        <f t="shared" si="41"/>
        <v>-0.025</v>
      </c>
      <c r="L73" s="334">
        <f t="shared" si="41"/>
        <v>-0.025</v>
      </c>
      <c r="M73" s="334">
        <f t="shared" si="41"/>
        <v>-0.025</v>
      </c>
      <c r="N73" s="334">
        <f t="shared" si="41"/>
        <v>-0.025</v>
      </c>
      <c r="O73" s="334">
        <f t="shared" si="41"/>
        <v>-0.025</v>
      </c>
      <c r="P73" s="334">
        <f t="shared" si="41"/>
        <v>-0.025</v>
      </c>
      <c r="Q73" s="334">
        <f t="shared" si="41"/>
        <v>-0.025</v>
      </c>
    </row>
    <row r="74" outlineLevel="1">
      <c r="A74" s="176" t="str">
        <f>IFERROR(__xludf.DUMMYFUNCTION("""COMPUTED_VALUE"""),"Averted mortality")</f>
        <v>Averted mortality</v>
      </c>
      <c r="B74" s="313">
        <f t="shared" si="39"/>
        <v>0.035</v>
      </c>
      <c r="C74" s="314">
        <f t="array" ref="C74">iferror(if(isblank(A74),"",index(InclusionExclusion!$M:M,match(1,(InclusionExclusion!C:C=A74)*(InclusionExclusion!A:A="Deworming"),0))),"Not specified")</f>
        <v>0.035</v>
      </c>
      <c r="D74" s="334">
        <f t="shared" ref="D74:Q74" si="42">$C74</f>
        <v>0.035</v>
      </c>
      <c r="E74" s="334">
        <f t="shared" si="42"/>
        <v>0.035</v>
      </c>
      <c r="F74" s="334">
        <f t="shared" si="42"/>
        <v>0.035</v>
      </c>
      <c r="G74" s="334">
        <f t="shared" si="42"/>
        <v>0.035</v>
      </c>
      <c r="H74" s="334">
        <f t="shared" si="42"/>
        <v>0.035</v>
      </c>
      <c r="I74" s="334">
        <f t="shared" si="42"/>
        <v>0.035</v>
      </c>
      <c r="J74" s="334">
        <f t="shared" si="42"/>
        <v>0.035</v>
      </c>
      <c r="K74" s="334">
        <f t="shared" si="42"/>
        <v>0.035</v>
      </c>
      <c r="L74" s="334">
        <f t="shared" si="42"/>
        <v>0.035</v>
      </c>
      <c r="M74" s="334">
        <f t="shared" si="42"/>
        <v>0.035</v>
      </c>
      <c r="N74" s="334">
        <f t="shared" si="42"/>
        <v>0.035</v>
      </c>
      <c r="O74" s="334">
        <f t="shared" si="42"/>
        <v>0.035</v>
      </c>
      <c r="P74" s="334">
        <f t="shared" si="42"/>
        <v>0.035</v>
      </c>
      <c r="Q74" s="334">
        <f t="shared" si="42"/>
        <v>0.035</v>
      </c>
    </row>
    <row r="75" outlineLevel="1">
      <c r="A75" s="176" t="str">
        <f>IFERROR(__xludf.DUMMYFUNCTION("""COMPUTED_VALUE"""),"Short-term anemia effects")</f>
        <v>Short-term anemia effects</v>
      </c>
      <c r="B75" s="313">
        <f t="shared" si="39"/>
        <v>0.09</v>
      </c>
      <c r="C75" s="314">
        <f t="array" ref="C75">iferror(if(isblank(A75),"",index(InclusionExclusion!$M:M,match(1,(InclusionExclusion!C:C=A75)*(InclusionExclusion!A:A="Deworming"),0))),"Not specified")</f>
        <v>0.09</v>
      </c>
      <c r="D75" s="334">
        <f t="shared" ref="D75:Q75" si="43">$C75</f>
        <v>0.09</v>
      </c>
      <c r="E75" s="334">
        <f t="shared" si="43"/>
        <v>0.09</v>
      </c>
      <c r="F75" s="334">
        <f t="shared" si="43"/>
        <v>0.09</v>
      </c>
      <c r="G75" s="334">
        <f t="shared" si="43"/>
        <v>0.09</v>
      </c>
      <c r="H75" s="334">
        <f t="shared" si="43"/>
        <v>0.09</v>
      </c>
      <c r="I75" s="334">
        <f t="shared" si="43"/>
        <v>0.09</v>
      </c>
      <c r="J75" s="334">
        <f t="shared" si="43"/>
        <v>0.09</v>
      </c>
      <c r="K75" s="334">
        <f t="shared" si="43"/>
        <v>0.09</v>
      </c>
      <c r="L75" s="334">
        <f t="shared" si="43"/>
        <v>0.09</v>
      </c>
      <c r="M75" s="334">
        <f t="shared" si="43"/>
        <v>0.09</v>
      </c>
      <c r="N75" s="334">
        <f t="shared" si="43"/>
        <v>0.09</v>
      </c>
      <c r="O75" s="334">
        <f t="shared" si="43"/>
        <v>0.09</v>
      </c>
      <c r="P75" s="334">
        <f t="shared" si="43"/>
        <v>0.09</v>
      </c>
      <c r="Q75" s="334">
        <f t="shared" si="43"/>
        <v>0.09</v>
      </c>
    </row>
    <row r="76" outlineLevel="1">
      <c r="A76" s="96" t="str">
        <f>IFERROR(__xludf.DUMMYFUNCTION("""COMPUTED_VALUE"""),"Investment of income increases")</f>
        <v>Investment of income increases</v>
      </c>
      <c r="B76" s="313">
        <f t="shared" si="39"/>
        <v>0.1</v>
      </c>
      <c r="C76" s="314">
        <f t="array" ref="C76">iferror(if(isblank(A76),"",index(InclusionExclusion!$M:M,match(1,(InclusionExclusion!C:C=A76)*(InclusionExclusion!A:A="Deworming"),0))),"Not specified")</f>
        <v>0.1</v>
      </c>
      <c r="D76" s="334">
        <f t="shared" ref="D76:Q76" si="44">$C76</f>
        <v>0.1</v>
      </c>
      <c r="E76" s="334">
        <f t="shared" si="44"/>
        <v>0.1</v>
      </c>
      <c r="F76" s="334">
        <f t="shared" si="44"/>
        <v>0.1</v>
      </c>
      <c r="G76" s="334">
        <f t="shared" si="44"/>
        <v>0.1</v>
      </c>
      <c r="H76" s="334">
        <f t="shared" si="44"/>
        <v>0.1</v>
      </c>
      <c r="I76" s="334">
        <f t="shared" si="44"/>
        <v>0.1</v>
      </c>
      <c r="J76" s="334">
        <f t="shared" si="44"/>
        <v>0.1</v>
      </c>
      <c r="K76" s="334">
        <f t="shared" si="44"/>
        <v>0.1</v>
      </c>
      <c r="L76" s="334">
        <f t="shared" si="44"/>
        <v>0.1</v>
      </c>
      <c r="M76" s="334">
        <f t="shared" si="44"/>
        <v>0.1</v>
      </c>
      <c r="N76" s="334">
        <f t="shared" si="44"/>
        <v>0.1</v>
      </c>
      <c r="O76" s="334">
        <f t="shared" si="44"/>
        <v>0.1</v>
      </c>
      <c r="P76" s="334">
        <f t="shared" si="44"/>
        <v>0.1</v>
      </c>
      <c r="Q76" s="334">
        <f t="shared" si="44"/>
        <v>0.1</v>
      </c>
    </row>
    <row r="77" outlineLevel="1">
      <c r="A77" s="176" t="str">
        <f>IFERROR(__xludf.DUMMYFUNCTION("""COMPUTED_VALUE"""),"Non-income long-run benefits of deworming")</f>
        <v>Non-income long-run benefits of deworming</v>
      </c>
      <c r="B77" s="313">
        <f t="shared" si="39"/>
        <v>0.04</v>
      </c>
      <c r="C77" s="314">
        <f t="array" ref="C77">iferror(if(isblank(A77),"",index(InclusionExclusion!$M:M,match(1,(InclusionExclusion!C:C=A77)*(InclusionExclusion!A:A="Deworming"),0))),"Not specified")</f>
        <v>0.04</v>
      </c>
      <c r="D77" s="334">
        <f t="shared" ref="D77:Q77" si="45">$C77</f>
        <v>0.04</v>
      </c>
      <c r="E77" s="334">
        <f t="shared" si="45"/>
        <v>0.04</v>
      </c>
      <c r="F77" s="334">
        <f t="shared" si="45"/>
        <v>0.04</v>
      </c>
      <c r="G77" s="334">
        <f t="shared" si="45"/>
        <v>0.04</v>
      </c>
      <c r="H77" s="334">
        <f t="shared" si="45"/>
        <v>0.04</v>
      </c>
      <c r="I77" s="334">
        <f t="shared" si="45"/>
        <v>0.04</v>
      </c>
      <c r="J77" s="334">
        <f t="shared" si="45"/>
        <v>0.04</v>
      </c>
      <c r="K77" s="334">
        <f t="shared" si="45"/>
        <v>0.04</v>
      </c>
      <c r="L77" s="334">
        <f t="shared" si="45"/>
        <v>0.04</v>
      </c>
      <c r="M77" s="334">
        <f t="shared" si="45"/>
        <v>0.04</v>
      </c>
      <c r="N77" s="334">
        <f t="shared" si="45"/>
        <v>0.04</v>
      </c>
      <c r="O77" s="334">
        <f t="shared" si="45"/>
        <v>0.04</v>
      </c>
      <c r="P77" s="334">
        <f t="shared" si="45"/>
        <v>0.04</v>
      </c>
      <c r="Q77" s="334">
        <f t="shared" si="45"/>
        <v>0.04</v>
      </c>
    </row>
    <row r="78" outlineLevel="1">
      <c r="A78" s="176" t="str">
        <f>IFERROR(__xludf.DUMMYFUNCTION("""COMPUTED_VALUE"""),"Other NTD prevention (relevant to Sightsavers and END Fund)")</f>
        <v>Other NTD prevention (relevant to Sightsavers and END Fund)</v>
      </c>
      <c r="B78" s="313">
        <f t="shared" si="39"/>
        <v>0.14</v>
      </c>
      <c r="C78" s="314">
        <f t="array" ref="C78">iferror(if(isblank(A78),"",index(InclusionExclusion!$M:M,match(1,(InclusionExclusion!C:C=A78)*(InclusionExclusion!A:A="Deworming"),0))),"Not specified")</f>
        <v>0.14</v>
      </c>
      <c r="D78" s="334">
        <f t="shared" ref="D78:Q78" si="46">$C78</f>
        <v>0.14</v>
      </c>
      <c r="E78" s="334">
        <f t="shared" si="46"/>
        <v>0.14</v>
      </c>
      <c r="F78" s="334">
        <f t="shared" si="46"/>
        <v>0.14</v>
      </c>
      <c r="G78" s="334">
        <f t="shared" si="46"/>
        <v>0.14</v>
      </c>
      <c r="H78" s="334">
        <f t="shared" si="46"/>
        <v>0.14</v>
      </c>
      <c r="I78" s="334">
        <f t="shared" si="46"/>
        <v>0.14</v>
      </c>
      <c r="J78" s="334">
        <f t="shared" si="46"/>
        <v>0.14</v>
      </c>
      <c r="K78" s="334">
        <f t="shared" si="46"/>
        <v>0.14</v>
      </c>
      <c r="L78" s="334">
        <f t="shared" si="46"/>
        <v>0.14</v>
      </c>
      <c r="M78" s="334">
        <f t="shared" si="46"/>
        <v>0.14</v>
      </c>
      <c r="N78" s="334">
        <f t="shared" si="46"/>
        <v>0.14</v>
      </c>
      <c r="O78" s="334">
        <f t="shared" si="46"/>
        <v>0.14</v>
      </c>
      <c r="P78" s="334">
        <f t="shared" si="46"/>
        <v>0.14</v>
      </c>
      <c r="Q78" s="334">
        <f t="shared" si="46"/>
        <v>0.14</v>
      </c>
    </row>
    <row r="79" outlineLevel="1">
      <c r="A79" s="176" t="str">
        <f>IFERROR(__xludf.DUMMYFUNCTION("""COMPUTED_VALUE"""),"Drug resistance")</f>
        <v>Drug resistance</v>
      </c>
      <c r="B79" s="313">
        <f t="shared" si="39"/>
        <v>-0.04</v>
      </c>
      <c r="C79" s="314">
        <f t="array" ref="C79">iferror(if(isblank(A79),"",index(InclusionExclusion!$M:M,match(1,(InclusionExclusion!C:C=A79)*(InclusionExclusion!A:A="Deworming"),0))),"Not specified")</f>
        <v>-0.04</v>
      </c>
      <c r="D79" s="334">
        <f t="shared" ref="D79:Q79" si="47">$C79</f>
        <v>-0.04</v>
      </c>
      <c r="E79" s="334">
        <f t="shared" si="47"/>
        <v>-0.04</v>
      </c>
      <c r="F79" s="334">
        <f t="shared" si="47"/>
        <v>-0.04</v>
      </c>
      <c r="G79" s="334">
        <f t="shared" si="47"/>
        <v>-0.04</v>
      </c>
      <c r="H79" s="334">
        <f t="shared" si="47"/>
        <v>-0.04</v>
      </c>
      <c r="I79" s="334">
        <f t="shared" si="47"/>
        <v>-0.04</v>
      </c>
      <c r="J79" s="334">
        <f t="shared" si="47"/>
        <v>-0.04</v>
      </c>
      <c r="K79" s="334">
        <f t="shared" si="47"/>
        <v>-0.04</v>
      </c>
      <c r="L79" s="334">
        <f t="shared" si="47"/>
        <v>-0.04</v>
      </c>
      <c r="M79" s="334">
        <f t="shared" si="47"/>
        <v>-0.04</v>
      </c>
      <c r="N79" s="334">
        <f t="shared" si="47"/>
        <v>-0.04</v>
      </c>
      <c r="O79" s="334">
        <f t="shared" si="47"/>
        <v>-0.04</v>
      </c>
      <c r="P79" s="334">
        <f t="shared" si="47"/>
        <v>-0.04</v>
      </c>
      <c r="Q79" s="334">
        <f t="shared" si="47"/>
        <v>-0.04</v>
      </c>
    </row>
    <row r="80" outlineLevel="1">
      <c r="A80" s="176" t="str">
        <f>IFERROR(__xludf.DUMMYFUNCTION("""COMPUTED_VALUE"""),"Unprogrammed deworming")</f>
        <v>Unprogrammed deworming</v>
      </c>
      <c r="B80" s="313">
        <f t="shared" si="39"/>
        <v>-0.14</v>
      </c>
      <c r="C80" s="314">
        <f t="array" ref="C80">iferror(if(isblank(A80),"",index(InclusionExclusion!$M:M,match(1,(InclusionExclusion!C:C=A80)*(InclusionExclusion!A:A="Deworming"),0))),"Not specified")</f>
        <v>-0.14</v>
      </c>
      <c r="D80" s="334">
        <f t="shared" ref="D80:Q80" si="48">$C80</f>
        <v>-0.14</v>
      </c>
      <c r="E80" s="334">
        <f t="shared" si="48"/>
        <v>-0.14</v>
      </c>
      <c r="F80" s="334">
        <f t="shared" si="48"/>
        <v>-0.14</v>
      </c>
      <c r="G80" s="334">
        <f t="shared" si="48"/>
        <v>-0.14</v>
      </c>
      <c r="H80" s="334">
        <f t="shared" si="48"/>
        <v>-0.14</v>
      </c>
      <c r="I80" s="334">
        <f t="shared" si="48"/>
        <v>-0.14</v>
      </c>
      <c r="J80" s="334">
        <f t="shared" si="48"/>
        <v>-0.14</v>
      </c>
      <c r="K80" s="334">
        <f t="shared" si="48"/>
        <v>-0.14</v>
      </c>
      <c r="L80" s="334">
        <f t="shared" si="48"/>
        <v>-0.14</v>
      </c>
      <c r="M80" s="334">
        <f t="shared" si="48"/>
        <v>-0.14</v>
      </c>
      <c r="N80" s="334">
        <f t="shared" si="48"/>
        <v>-0.14</v>
      </c>
      <c r="O80" s="334">
        <f t="shared" si="48"/>
        <v>-0.14</v>
      </c>
      <c r="P80" s="334">
        <f t="shared" si="48"/>
        <v>-0.14</v>
      </c>
      <c r="Q80" s="334">
        <f t="shared" si="48"/>
        <v>-0.14</v>
      </c>
    </row>
    <row r="81" outlineLevel="1">
      <c r="A81" s="96" t="str">
        <f>IFERROR(__xludf.DUMMYFUNCTION("""COMPUTED_VALUE"""),"Marginal funding goes to lower priority areas")</f>
        <v>Marginal funding goes to lower priority areas</v>
      </c>
      <c r="B81" s="313">
        <f t="shared" si="39"/>
        <v>-0.025</v>
      </c>
      <c r="C81" s="314">
        <f t="array" ref="C81">iferror(if(isblank(A81),"",index(InclusionExclusion!$M:M,match(1,(InclusionExclusion!C:C=A81)*(InclusionExclusion!A:A="Deworming"),0))),"Not specified")</f>
        <v>-0.025</v>
      </c>
      <c r="D81" s="334">
        <f t="shared" ref="D81:Q81" si="49">$C81</f>
        <v>-0.025</v>
      </c>
      <c r="E81" s="334">
        <f t="shared" si="49"/>
        <v>-0.025</v>
      </c>
      <c r="F81" s="334">
        <f t="shared" si="49"/>
        <v>-0.025</v>
      </c>
      <c r="G81" s="334">
        <f t="shared" si="49"/>
        <v>-0.025</v>
      </c>
      <c r="H81" s="334">
        <f t="shared" si="49"/>
        <v>-0.025</v>
      </c>
      <c r="I81" s="334">
        <f t="shared" si="49"/>
        <v>-0.025</v>
      </c>
      <c r="J81" s="334">
        <f t="shared" si="49"/>
        <v>-0.025</v>
      </c>
      <c r="K81" s="334">
        <f t="shared" si="49"/>
        <v>-0.025</v>
      </c>
      <c r="L81" s="334">
        <f t="shared" si="49"/>
        <v>-0.025</v>
      </c>
      <c r="M81" s="334">
        <f t="shared" si="49"/>
        <v>-0.025</v>
      </c>
      <c r="N81" s="334">
        <f t="shared" si="49"/>
        <v>-0.025</v>
      </c>
      <c r="O81" s="334">
        <f t="shared" si="49"/>
        <v>-0.025</v>
      </c>
      <c r="P81" s="334">
        <f t="shared" si="49"/>
        <v>-0.025</v>
      </c>
      <c r="Q81" s="334">
        <f t="shared" si="49"/>
        <v>-0.025</v>
      </c>
    </row>
    <row r="82" outlineLevel="1">
      <c r="A82" s="96" t="str">
        <f>IFERROR(__xludf.DUMMYFUNCTION("""COMPUTED_VALUE"""),"General equilibrium effects")</f>
        <v>General equilibrium effects</v>
      </c>
      <c r="B82" s="313">
        <f t="shared" si="39"/>
        <v>-0.03</v>
      </c>
      <c r="C82" s="314">
        <f t="array" ref="C82">iferror(if(isblank(A82),"",index(InclusionExclusion!$M:M,match(1,(InclusionExclusion!C:C=A82)*(InclusionExclusion!A:A="Deworming"),0))),"Not specified")</f>
        <v>-0.03</v>
      </c>
      <c r="D82" s="334">
        <f t="shared" ref="D82:Q82" si="50">$C82</f>
        <v>-0.03</v>
      </c>
      <c r="E82" s="334">
        <f t="shared" si="50"/>
        <v>-0.03</v>
      </c>
      <c r="F82" s="334">
        <f t="shared" si="50"/>
        <v>-0.03</v>
      </c>
      <c r="G82" s="334">
        <f t="shared" si="50"/>
        <v>-0.03</v>
      </c>
      <c r="H82" s="334">
        <f t="shared" si="50"/>
        <v>-0.03</v>
      </c>
      <c r="I82" s="334">
        <f t="shared" si="50"/>
        <v>-0.03</v>
      </c>
      <c r="J82" s="334">
        <f t="shared" si="50"/>
        <v>-0.03</v>
      </c>
      <c r="K82" s="334">
        <f t="shared" si="50"/>
        <v>-0.03</v>
      </c>
      <c r="L82" s="334">
        <f t="shared" si="50"/>
        <v>-0.03</v>
      </c>
      <c r="M82" s="334">
        <f t="shared" si="50"/>
        <v>-0.03</v>
      </c>
      <c r="N82" s="334">
        <f t="shared" si="50"/>
        <v>-0.03</v>
      </c>
      <c r="O82" s="334">
        <f t="shared" si="50"/>
        <v>-0.03</v>
      </c>
      <c r="P82" s="334">
        <f t="shared" si="50"/>
        <v>-0.03</v>
      </c>
      <c r="Q82" s="334">
        <f t="shared" si="50"/>
        <v>-0.03</v>
      </c>
    </row>
    <row r="83" outlineLevel="1">
      <c r="A83" s="96"/>
      <c r="B83" s="313" t="str">
        <f t="shared" si="39"/>
        <v/>
      </c>
      <c r="C83" s="314" t="str">
        <f t="array" ref="C83">iferror(if(isblank(A83),"",index(InclusionExclusion!$M:M,match(1,(InclusionExclusion!C:C=A83)*(InclusionExclusion!A:A="Deworming"),0))),"Not specified")</f>
        <v/>
      </c>
      <c r="D83" s="334" t="str">
        <f t="shared" ref="D83:Q83" si="51">$C83</f>
        <v/>
      </c>
      <c r="E83" s="334" t="str">
        <f t="shared" si="51"/>
        <v/>
      </c>
      <c r="F83" s="334" t="str">
        <f t="shared" si="51"/>
        <v/>
      </c>
      <c r="G83" s="334" t="str">
        <f t="shared" si="51"/>
        <v/>
      </c>
      <c r="H83" s="334" t="str">
        <f t="shared" si="51"/>
        <v/>
      </c>
      <c r="I83" s="334" t="str">
        <f t="shared" si="51"/>
        <v/>
      </c>
      <c r="J83" s="334" t="str">
        <f t="shared" si="51"/>
        <v/>
      </c>
      <c r="K83" s="334" t="str">
        <f t="shared" si="51"/>
        <v/>
      </c>
      <c r="L83" s="334" t="str">
        <f t="shared" si="51"/>
        <v/>
      </c>
      <c r="M83" s="334" t="str">
        <f t="shared" si="51"/>
        <v/>
      </c>
      <c r="N83" s="334" t="str">
        <f t="shared" si="51"/>
        <v/>
      </c>
      <c r="O83" s="334" t="str">
        <f t="shared" si="51"/>
        <v/>
      </c>
      <c r="P83" s="334" t="str">
        <f t="shared" si="51"/>
        <v/>
      </c>
      <c r="Q83" s="334" t="str">
        <f t="shared" si="51"/>
        <v/>
      </c>
    </row>
    <row r="84">
      <c r="A84" s="335" t="s">
        <v>279</v>
      </c>
      <c r="B84" s="315">
        <f t="shared" si="39"/>
        <v>1.213</v>
      </c>
      <c r="C84" s="153">
        <f t="shared" ref="C84:Q84" si="52">1+sum(C70:C83)</f>
        <v>1.213</v>
      </c>
      <c r="D84" s="153">
        <f t="shared" si="52"/>
        <v>1.213</v>
      </c>
      <c r="E84" s="153">
        <f t="shared" si="52"/>
        <v>1.213</v>
      </c>
      <c r="F84" s="153">
        <f t="shared" si="52"/>
        <v>1.213</v>
      </c>
      <c r="G84" s="153">
        <f t="shared" si="52"/>
        <v>1.213</v>
      </c>
      <c r="H84" s="153">
        <f t="shared" si="52"/>
        <v>1.213</v>
      </c>
      <c r="I84" s="153">
        <f t="shared" si="52"/>
        <v>1.213</v>
      </c>
      <c r="J84" s="153">
        <f t="shared" si="52"/>
        <v>1.213</v>
      </c>
      <c r="K84" s="153">
        <f t="shared" si="52"/>
        <v>1.213</v>
      </c>
      <c r="L84" s="153">
        <f t="shared" si="52"/>
        <v>1.213</v>
      </c>
      <c r="M84" s="153">
        <f t="shared" si="52"/>
        <v>1.213</v>
      </c>
      <c r="N84" s="153">
        <f t="shared" si="52"/>
        <v>1.213</v>
      </c>
      <c r="O84" s="153">
        <f t="shared" si="52"/>
        <v>1.213</v>
      </c>
      <c r="P84" s="153">
        <f t="shared" si="52"/>
        <v>1.213</v>
      </c>
      <c r="Q84" s="153">
        <f t="shared" si="52"/>
        <v>1.213</v>
      </c>
    </row>
    <row r="85">
      <c r="A85" s="82"/>
      <c r="B85" s="597"/>
      <c r="C85" s="599"/>
      <c r="D85" s="712"/>
      <c r="E85" s="712"/>
      <c r="F85" s="712"/>
      <c r="G85" s="712"/>
      <c r="H85" s="712"/>
      <c r="I85" s="712"/>
      <c r="J85" s="712"/>
      <c r="K85" s="712"/>
      <c r="L85" s="712"/>
      <c r="M85" s="712"/>
      <c r="N85" s="712"/>
      <c r="O85" s="712"/>
      <c r="P85" s="712"/>
      <c r="Q85" s="712"/>
    </row>
    <row r="86">
      <c r="A86" s="308" t="s">
        <v>280</v>
      </c>
      <c r="B86" s="309"/>
      <c r="C86" s="308"/>
      <c r="D86" s="308"/>
      <c r="E86" s="308"/>
      <c r="F86" s="308"/>
      <c r="G86" s="308"/>
      <c r="H86" s="308"/>
      <c r="I86" s="308"/>
      <c r="J86" s="308"/>
      <c r="K86" s="308"/>
      <c r="L86" s="308"/>
      <c r="M86" s="308"/>
      <c r="N86" s="308"/>
      <c r="O86" s="308"/>
      <c r="P86" s="308"/>
      <c r="Q86" s="308"/>
    </row>
    <row r="87">
      <c r="A87" s="540" t="s">
        <v>281</v>
      </c>
      <c r="B87" s="572">
        <f t="array" ref="B87">index(A87:AAA87,,match($A$3,$A$1:$AAA$1,0))</f>
        <v>6694.881781</v>
      </c>
      <c r="C87" s="573">
        <f>sum(D87:Q87)</f>
        <v>6694.881781</v>
      </c>
      <c r="D87" s="573">
        <f t="shared" ref="D87:Q87" si="53">D62*D84</f>
        <v>226.97006</v>
      </c>
      <c r="E87" s="573">
        <f t="shared" si="53"/>
        <v>3556.565491</v>
      </c>
      <c r="F87" s="573">
        <f t="shared" si="53"/>
        <v>19.47276137</v>
      </c>
      <c r="G87" s="573">
        <f t="shared" si="53"/>
        <v>86.49843487</v>
      </c>
      <c r="H87" s="573">
        <f t="shared" si="53"/>
        <v>268.297286</v>
      </c>
      <c r="I87" s="573">
        <f t="shared" si="53"/>
        <v>278.4418717</v>
      </c>
      <c r="J87" s="573">
        <f t="shared" si="53"/>
        <v>104.6882015</v>
      </c>
      <c r="K87" s="573">
        <f t="shared" si="53"/>
        <v>118.6430483</v>
      </c>
      <c r="L87" s="573">
        <f t="shared" si="53"/>
        <v>239.8462943</v>
      </c>
      <c r="M87" s="573">
        <f t="shared" si="53"/>
        <v>693.6686467</v>
      </c>
      <c r="N87" s="573">
        <f t="shared" si="53"/>
        <v>133.5120075</v>
      </c>
      <c r="O87" s="573">
        <f t="shared" si="53"/>
        <v>396.3267357</v>
      </c>
      <c r="P87" s="573">
        <f t="shared" si="53"/>
        <v>554.0615124</v>
      </c>
      <c r="Q87" s="573">
        <f t="shared" si="53"/>
        <v>17.88943039</v>
      </c>
    </row>
    <row r="88">
      <c r="A88" s="82" t="s">
        <v>252</v>
      </c>
      <c r="B88" s="323">
        <f t="shared" ref="B88:B89" si="55">index(C88:Z88,,match($A$3,$C$1:$Z$1,0))</f>
        <v>0.0304063776</v>
      </c>
      <c r="C88" s="715">
        <f t="shared" ref="C88:Q88" si="54">C87/C15</f>
        <v>0.0304063776</v>
      </c>
      <c r="D88" s="715">
        <f t="shared" si="54"/>
        <v>0.0100497643</v>
      </c>
      <c r="E88" s="715">
        <f t="shared" si="54"/>
        <v>0.03257749502</v>
      </c>
      <c r="F88" s="715">
        <f t="shared" si="54"/>
        <v>0.00486437013</v>
      </c>
      <c r="G88" s="715">
        <f t="shared" si="54"/>
        <v>0.02161580552</v>
      </c>
      <c r="H88" s="715">
        <f t="shared" si="54"/>
        <v>0.04128712536</v>
      </c>
      <c r="I88" s="715">
        <f t="shared" si="54"/>
        <v>0.03237037851</v>
      </c>
      <c r="J88" s="715">
        <f t="shared" si="54"/>
        <v>0.01746672761</v>
      </c>
      <c r="K88" s="715">
        <f t="shared" si="54"/>
        <v>0.02038399386</v>
      </c>
      <c r="L88" s="715">
        <f t="shared" si="54"/>
        <v>0.02465913473</v>
      </c>
      <c r="M88" s="715">
        <f t="shared" si="54"/>
        <v>0.06049837768</v>
      </c>
      <c r="N88" s="715">
        <f t="shared" si="54"/>
        <v>0.01322889579</v>
      </c>
      <c r="O88" s="715">
        <f t="shared" si="54"/>
        <v>0.04976061445</v>
      </c>
      <c r="P88" s="715">
        <f t="shared" si="54"/>
        <v>0.05092108558</v>
      </c>
      <c r="Q88" s="715">
        <f t="shared" si="54"/>
        <v>0.005302156202</v>
      </c>
    </row>
    <row r="89">
      <c r="A89" s="67" t="s">
        <v>282</v>
      </c>
      <c r="B89" s="717">
        <f t="shared" si="55"/>
        <v>8.839469199</v>
      </c>
      <c r="C89" s="584">
        <f t="array" ref="C89">C88/index(GiveDirectly!$B:$B,match("Units of value generated per dollar spent",GiveDirectly!$A:$A,0))</f>
        <v>8.839469199</v>
      </c>
      <c r="D89" s="584">
        <f t="array" ref="D89">D88/index(GiveDirectly!$B:$B,match("Units of value generated per dollar spent",GiveDirectly!$A:$A,0))</f>
        <v>2.921577282</v>
      </c>
      <c r="E89" s="584">
        <f t="array" ref="E89">E88/index(GiveDirectly!$B:$B,match("Units of value generated per dollar spent",GiveDirectly!$A:$A,0))</f>
        <v>9.470636968</v>
      </c>
      <c r="F89" s="584">
        <f t="array" ref="F89">F88/index(GiveDirectly!$B:$B,match("Units of value generated per dollar spent",GiveDirectly!$A:$A,0))</f>
        <v>1.414126026</v>
      </c>
      <c r="G89" s="584">
        <f t="array" ref="G89">G88/index(GiveDirectly!$B:$B,match("Units of value generated per dollar spent",GiveDirectly!$A:$A,0))</f>
        <v>6.283952978</v>
      </c>
      <c r="H89" s="584">
        <f t="array" ref="H89">H88/index(GiveDirectly!$B:$B,match("Units of value generated per dollar spent",GiveDirectly!$A:$A,0))</f>
        <v>12.00262253</v>
      </c>
      <c r="I89" s="584">
        <f t="array" ref="I89">I88/index(GiveDirectly!$B:$B,match("Units of value generated per dollar spent",GiveDirectly!$A:$A,0))</f>
        <v>9.410425917</v>
      </c>
      <c r="J89" s="584">
        <f t="array" ref="J89">J88/index(GiveDirectly!$B:$B,match("Units of value generated per dollar spent",GiveDirectly!$A:$A,0))</f>
        <v>5.077770286</v>
      </c>
      <c r="K89" s="584">
        <f t="array" ref="K89">K88/index(GiveDirectly!$B:$B,match("Units of value generated per dollar spent",GiveDirectly!$A:$A,0))</f>
        <v>5.925851747</v>
      </c>
      <c r="L89" s="584">
        <f t="array" ref="L89">L88/index(GiveDirectly!$B:$B,match("Units of value generated per dollar spent",GiveDirectly!$A:$A,0))</f>
        <v>7.168682332</v>
      </c>
      <c r="M89" s="584">
        <f t="array" ref="M89">M88/index(GiveDirectly!$B:$B,match("Units of value generated per dollar spent",GiveDirectly!$A:$A,0))</f>
        <v>17.58754538</v>
      </c>
      <c r="N89" s="584">
        <f t="array" ref="N89">N88/index(GiveDirectly!$B:$B,match("Units of value generated per dollar spent",GiveDirectly!$A:$A,0))</f>
        <v>3.845785856</v>
      </c>
      <c r="O89" s="584">
        <f t="array" ref="O89">O88/index(GiveDirectly!$B:$B,match("Units of value generated per dollar spent",GiveDirectly!$A:$A,0))</f>
        <v>14.46595923</v>
      </c>
      <c r="P89" s="584">
        <f t="array" ref="P89">P88/index(GiveDirectly!$B:$B,match("Units of value generated per dollar spent",GiveDirectly!$A:$A,0))</f>
        <v>14.80332098</v>
      </c>
      <c r="Q89" s="584">
        <f t="array" ref="Q89">Q88/index(GiveDirectly!$B:$B,match("Units of value generated per dollar spent",GiveDirectly!$A:$A,0))</f>
        <v>1.541395264</v>
      </c>
    </row>
    <row r="90">
      <c r="A90" s="82"/>
      <c r="B90" s="597"/>
      <c r="C90" s="599"/>
      <c r="D90" s="712"/>
      <c r="E90" s="712"/>
      <c r="F90" s="712"/>
      <c r="G90" s="712"/>
      <c r="H90" s="712"/>
      <c r="I90" s="712"/>
      <c r="J90" s="712"/>
      <c r="K90" s="712"/>
      <c r="L90" s="712"/>
      <c r="M90" s="718"/>
      <c r="N90" s="712"/>
      <c r="O90" s="712"/>
      <c r="P90" s="712"/>
      <c r="Q90" s="712"/>
    </row>
    <row r="91">
      <c r="A91" s="241" t="s">
        <v>371</v>
      </c>
      <c r="B91" s="585"/>
      <c r="C91" s="586"/>
      <c r="D91" s="586"/>
      <c r="E91" s="586"/>
      <c r="F91" s="586"/>
      <c r="G91" s="586"/>
      <c r="H91" s="586"/>
      <c r="I91" s="586"/>
      <c r="J91" s="586"/>
      <c r="K91" s="586"/>
      <c r="L91" s="586"/>
      <c r="M91" s="586"/>
      <c r="N91" s="586"/>
      <c r="O91" s="586"/>
      <c r="P91" s="586"/>
      <c r="Q91" s="586"/>
    </row>
    <row r="92" outlineLevel="1">
      <c r="A92" s="287"/>
      <c r="B92" s="587"/>
      <c r="C92" s="407"/>
      <c r="D92" s="407"/>
      <c r="E92" s="407"/>
      <c r="F92" s="407"/>
      <c r="G92" s="407"/>
      <c r="H92" s="407"/>
      <c r="I92" s="407"/>
      <c r="J92" s="407"/>
      <c r="K92" s="407"/>
      <c r="L92" s="407"/>
      <c r="M92" s="407"/>
      <c r="N92" s="407"/>
      <c r="O92" s="407"/>
      <c r="P92" s="407"/>
      <c r="Q92" s="407"/>
    </row>
    <row r="93" outlineLevel="1">
      <c r="A93" s="588" t="s">
        <v>476</v>
      </c>
      <c r="B93" s="587"/>
      <c r="C93" s="407"/>
      <c r="D93" s="407"/>
      <c r="E93" s="407"/>
      <c r="F93" s="407"/>
      <c r="G93" s="407"/>
      <c r="H93" s="407"/>
      <c r="I93" s="407"/>
      <c r="J93" s="407"/>
      <c r="K93" s="407"/>
      <c r="L93" s="407"/>
      <c r="M93" s="407"/>
      <c r="N93" s="407"/>
      <c r="O93" s="407"/>
      <c r="P93" s="407"/>
      <c r="Q93" s="407"/>
    </row>
    <row r="94" outlineLevel="1">
      <c r="A94" s="344" t="s">
        <v>451</v>
      </c>
      <c r="B94" s="635">
        <f t="shared" ref="B94:B99" si="57">index(A94:AAA94,,match($A$3,$A$1:$AAA$1,0))</f>
        <v>0.5137082977</v>
      </c>
      <c r="C94" s="719">
        <f t="shared" ref="C94:Q94" si="56">C8*C22</f>
        <v>0.5137082977</v>
      </c>
      <c r="D94" s="719">
        <f t="shared" si="56"/>
        <v>0.9185119079</v>
      </c>
      <c r="E94" s="719">
        <f t="shared" si="56"/>
        <v>0.8918091455</v>
      </c>
      <c r="F94" s="719">
        <f t="shared" si="56"/>
        <v>0.4572879257</v>
      </c>
      <c r="G94" s="719">
        <f t="shared" si="56"/>
        <v>0.3431939863</v>
      </c>
      <c r="H94" s="719">
        <f t="shared" si="56"/>
        <v>0.3431939863</v>
      </c>
      <c r="I94" s="719">
        <f t="shared" si="56"/>
        <v>0.3431939863</v>
      </c>
      <c r="J94" s="719">
        <f t="shared" si="56"/>
        <v>0.3431939863</v>
      </c>
      <c r="K94" s="719">
        <f t="shared" si="56"/>
        <v>0.3431939863</v>
      </c>
      <c r="L94" s="719">
        <f t="shared" si="56"/>
        <v>0.4272681312</v>
      </c>
      <c r="M94" s="719">
        <f t="shared" si="56"/>
        <v>0.1621227672</v>
      </c>
      <c r="N94" s="719">
        <f t="shared" si="56"/>
        <v>0.1621227672</v>
      </c>
      <c r="O94" s="719">
        <f t="shared" si="56"/>
        <v>0.1621227672</v>
      </c>
      <c r="P94" s="719">
        <f t="shared" si="56"/>
        <v>0.1621227672</v>
      </c>
      <c r="Q94" s="719">
        <f t="shared" si="56"/>
        <v>0.3133290179</v>
      </c>
    </row>
    <row r="95" outlineLevel="1">
      <c r="A95" s="344" t="s">
        <v>374</v>
      </c>
      <c r="B95" s="635">
        <f t="shared" si="57"/>
        <v>0</v>
      </c>
      <c r="C95" s="719">
        <v>0.0</v>
      </c>
      <c r="D95" s="719">
        <v>0.0</v>
      </c>
      <c r="E95" s="719">
        <v>0.0</v>
      </c>
      <c r="F95" s="719">
        <v>0.0</v>
      </c>
      <c r="G95" s="719">
        <v>0.0</v>
      </c>
      <c r="H95" s="719">
        <v>0.0</v>
      </c>
      <c r="I95" s="719">
        <v>0.0</v>
      </c>
      <c r="J95" s="719">
        <v>0.0</v>
      </c>
      <c r="K95" s="719">
        <v>0.0</v>
      </c>
      <c r="L95" s="719">
        <v>0.0</v>
      </c>
      <c r="M95" s="719">
        <v>0.0</v>
      </c>
      <c r="N95" s="719">
        <v>0.0</v>
      </c>
      <c r="O95" s="719">
        <v>0.0</v>
      </c>
      <c r="P95" s="719">
        <v>0.0</v>
      </c>
      <c r="Q95" s="719">
        <v>0.0</v>
      </c>
    </row>
    <row r="96" outlineLevel="1">
      <c r="A96" s="344" t="s">
        <v>375</v>
      </c>
      <c r="B96" s="635">
        <f t="shared" si="57"/>
        <v>0.3393251608</v>
      </c>
      <c r="C96" s="719">
        <f t="shared" ref="C96:Q96" si="58">C9*C22</f>
        <v>0.3393251608</v>
      </c>
      <c r="D96" s="719">
        <f t="shared" si="58"/>
        <v>0.45494493</v>
      </c>
      <c r="E96" s="719">
        <f t="shared" si="58"/>
        <v>0.5141154525</v>
      </c>
      <c r="F96" s="719">
        <f t="shared" si="58"/>
        <v>0.3186306806</v>
      </c>
      <c r="G96" s="719">
        <f t="shared" si="58"/>
        <v>0.2614806245</v>
      </c>
      <c r="H96" s="719">
        <f t="shared" si="58"/>
        <v>0.2614806245</v>
      </c>
      <c r="I96" s="719">
        <f t="shared" si="58"/>
        <v>0.2614806245</v>
      </c>
      <c r="J96" s="719">
        <f t="shared" si="58"/>
        <v>0.2614806245</v>
      </c>
      <c r="K96" s="719">
        <f t="shared" si="58"/>
        <v>0.2614806245</v>
      </c>
      <c r="L96" s="719">
        <f t="shared" si="58"/>
        <v>0.2995950525</v>
      </c>
      <c r="M96" s="719">
        <f t="shared" si="58"/>
        <v>0.1915118448</v>
      </c>
      <c r="N96" s="719">
        <f t="shared" si="58"/>
        <v>0.1915118448</v>
      </c>
      <c r="O96" s="719">
        <f t="shared" si="58"/>
        <v>0.1915118448</v>
      </c>
      <c r="P96" s="719">
        <f t="shared" si="58"/>
        <v>0.1915118448</v>
      </c>
      <c r="Q96" s="719">
        <f t="shared" si="58"/>
        <v>0.2667399964</v>
      </c>
    </row>
    <row r="97" outlineLevel="1">
      <c r="A97" s="344" t="s">
        <v>387</v>
      </c>
      <c r="B97" s="635">
        <f t="shared" si="57"/>
        <v>0.2780504109</v>
      </c>
      <c r="C97" s="719">
        <f t="shared" ref="C97:Q97" si="59">C10*C22</f>
        <v>0.2780504109</v>
      </c>
      <c r="D97" s="719">
        <f t="shared" si="59"/>
        <v>0.143026262</v>
      </c>
      <c r="E97" s="719">
        <f t="shared" si="59"/>
        <v>0.3077935771</v>
      </c>
      <c r="F97" s="719">
        <f t="shared" si="59"/>
        <v>0.2861836622</v>
      </c>
      <c r="G97" s="719">
        <f t="shared" si="59"/>
        <v>0.2669274708</v>
      </c>
      <c r="H97" s="719">
        <f t="shared" si="59"/>
        <v>0.2669274708</v>
      </c>
      <c r="I97" s="719">
        <f t="shared" si="59"/>
        <v>0.2669274708</v>
      </c>
      <c r="J97" s="719">
        <f t="shared" si="59"/>
        <v>0.2669274708</v>
      </c>
      <c r="K97" s="719">
        <f t="shared" si="59"/>
        <v>0.2669274708</v>
      </c>
      <c r="L97" s="719">
        <f t="shared" si="59"/>
        <v>0.2717869913</v>
      </c>
      <c r="M97" s="719">
        <f t="shared" si="59"/>
        <v>0.284738204</v>
      </c>
      <c r="N97" s="719">
        <f t="shared" si="59"/>
        <v>0.284738204</v>
      </c>
      <c r="O97" s="719">
        <f t="shared" si="59"/>
        <v>0.284738204</v>
      </c>
      <c r="P97" s="719">
        <f t="shared" si="59"/>
        <v>0.284738204</v>
      </c>
      <c r="Q97" s="719">
        <f t="shared" si="59"/>
        <v>0.309064307</v>
      </c>
    </row>
    <row r="98" outlineLevel="1">
      <c r="A98" s="591" t="s">
        <v>377</v>
      </c>
      <c r="B98" s="592">
        <f t="shared" si="57"/>
        <v>1.131083869</v>
      </c>
      <c r="C98" s="593">
        <f t="shared" ref="C98:Q98" si="60">sum(C94:C97)</f>
        <v>1.131083869</v>
      </c>
      <c r="D98" s="593">
        <f t="shared" si="60"/>
        <v>1.5164831</v>
      </c>
      <c r="E98" s="593">
        <f t="shared" si="60"/>
        <v>1.713718175</v>
      </c>
      <c r="F98" s="593">
        <f t="shared" si="60"/>
        <v>1.062102269</v>
      </c>
      <c r="G98" s="593">
        <f t="shared" si="60"/>
        <v>0.8716020816</v>
      </c>
      <c r="H98" s="593">
        <f t="shared" si="60"/>
        <v>0.8716020816</v>
      </c>
      <c r="I98" s="593">
        <f t="shared" si="60"/>
        <v>0.8716020816</v>
      </c>
      <c r="J98" s="593">
        <f t="shared" si="60"/>
        <v>0.8716020816</v>
      </c>
      <c r="K98" s="593">
        <f t="shared" si="60"/>
        <v>0.8716020816</v>
      </c>
      <c r="L98" s="593">
        <f t="shared" si="60"/>
        <v>0.998650175</v>
      </c>
      <c r="M98" s="593">
        <f t="shared" si="60"/>
        <v>0.6383728159</v>
      </c>
      <c r="N98" s="593">
        <f t="shared" si="60"/>
        <v>0.6383728159</v>
      </c>
      <c r="O98" s="593">
        <f t="shared" si="60"/>
        <v>0.6383728159</v>
      </c>
      <c r="P98" s="593">
        <f t="shared" si="60"/>
        <v>0.6383728159</v>
      </c>
      <c r="Q98" s="593">
        <f t="shared" si="60"/>
        <v>0.8891333213</v>
      </c>
    </row>
    <row r="99" outlineLevel="1">
      <c r="A99" s="594" t="s">
        <v>378</v>
      </c>
      <c r="B99" s="595">
        <f t="shared" si="57"/>
        <v>0</v>
      </c>
      <c r="C99" s="596">
        <f t="shared" ref="C99:Q99" si="61">(C98-C22)/C98</f>
        <v>0</v>
      </c>
      <c r="D99" s="596">
        <f t="shared" si="61"/>
        <v>0</v>
      </c>
      <c r="E99" s="596">
        <f t="shared" si="61"/>
        <v>0</v>
      </c>
      <c r="F99" s="596">
        <f t="shared" si="61"/>
        <v>0</v>
      </c>
      <c r="G99" s="596">
        <f t="shared" si="61"/>
        <v>0</v>
      </c>
      <c r="H99" s="596">
        <f t="shared" si="61"/>
        <v>0</v>
      </c>
      <c r="I99" s="596">
        <f t="shared" si="61"/>
        <v>0</v>
      </c>
      <c r="J99" s="596">
        <f t="shared" si="61"/>
        <v>0</v>
      </c>
      <c r="K99" s="596">
        <f t="shared" si="61"/>
        <v>0</v>
      </c>
      <c r="L99" s="596">
        <f t="shared" si="61"/>
        <v>0</v>
      </c>
      <c r="M99" s="596">
        <f t="shared" si="61"/>
        <v>0</v>
      </c>
      <c r="N99" s="596">
        <f t="shared" si="61"/>
        <v>0</v>
      </c>
      <c r="O99" s="596">
        <f t="shared" si="61"/>
        <v>0</v>
      </c>
      <c r="P99" s="596">
        <f t="shared" si="61"/>
        <v>0</v>
      </c>
      <c r="Q99" s="596">
        <f t="shared" si="61"/>
        <v>0</v>
      </c>
    </row>
    <row r="100" outlineLevel="1">
      <c r="A100" s="287"/>
      <c r="B100" s="587"/>
      <c r="C100" s="407"/>
      <c r="D100" s="407"/>
      <c r="E100" s="407"/>
      <c r="F100" s="407"/>
      <c r="G100" s="407"/>
      <c r="H100" s="407"/>
      <c r="I100" s="407"/>
      <c r="J100" s="407"/>
      <c r="K100" s="407"/>
      <c r="L100" s="407"/>
      <c r="M100" s="407"/>
      <c r="N100" s="407"/>
      <c r="O100" s="407"/>
      <c r="P100" s="407"/>
      <c r="Q100" s="407"/>
    </row>
    <row r="101" outlineLevel="1">
      <c r="A101" s="277" t="s">
        <v>379</v>
      </c>
      <c r="B101" s="587"/>
      <c r="C101" s="407"/>
      <c r="D101" s="407"/>
      <c r="E101" s="407"/>
      <c r="F101" s="407"/>
      <c r="G101" s="407"/>
      <c r="H101" s="407"/>
      <c r="I101" s="407"/>
      <c r="J101" s="407"/>
      <c r="K101" s="407"/>
      <c r="L101" s="407"/>
      <c r="M101" s="407"/>
      <c r="N101" s="407"/>
      <c r="O101" s="407"/>
      <c r="P101" s="407"/>
      <c r="Q101" s="407"/>
    </row>
    <row r="102" outlineLevel="1">
      <c r="A102" s="270" t="s">
        <v>451</v>
      </c>
      <c r="B102" s="597">
        <f t="shared" ref="B102:B106" si="63">index(A102:AAA102,,match($A$3,$A$1:$AAA$1,0))</f>
        <v>100000</v>
      </c>
      <c r="C102" s="597">
        <f t="shared" ref="C102:Q102" si="62">C14</f>
        <v>100000</v>
      </c>
      <c r="D102" s="597">
        <f t="shared" si="62"/>
        <v>13679.17521</v>
      </c>
      <c r="E102" s="597">
        <f t="shared" si="62"/>
        <v>56812.72783</v>
      </c>
      <c r="F102" s="597">
        <f t="shared" si="62"/>
        <v>1723.551746</v>
      </c>
      <c r="G102" s="597">
        <f t="shared" si="62"/>
        <v>1575.644491</v>
      </c>
      <c r="H102" s="597">
        <f t="shared" si="62"/>
        <v>2558.721651</v>
      </c>
      <c r="I102" s="597">
        <f t="shared" si="62"/>
        <v>3386.945256</v>
      </c>
      <c r="J102" s="597">
        <f t="shared" si="62"/>
        <v>2359.976084</v>
      </c>
      <c r="K102" s="597">
        <f t="shared" si="62"/>
        <v>2291.787926</v>
      </c>
      <c r="L102" s="597">
        <f t="shared" si="62"/>
        <v>4161.427168</v>
      </c>
      <c r="M102" s="597">
        <f t="shared" si="62"/>
        <v>2911.910076</v>
      </c>
      <c r="N102" s="597">
        <f t="shared" si="62"/>
        <v>2563.104738</v>
      </c>
      <c r="O102" s="597">
        <f t="shared" si="62"/>
        <v>2022.72694</v>
      </c>
      <c r="P102" s="597">
        <f t="shared" si="62"/>
        <v>2763.312186</v>
      </c>
      <c r="Q102" s="597">
        <f t="shared" si="62"/>
        <v>1188.988697</v>
      </c>
    </row>
    <row r="103" outlineLevel="1">
      <c r="A103" s="344" t="s">
        <v>374</v>
      </c>
      <c r="B103" s="597">
        <f t="shared" si="63"/>
        <v>0</v>
      </c>
      <c r="C103" s="599">
        <f t="shared" ref="C103:C105" si="65">sum(D103:Q103)</f>
        <v>0</v>
      </c>
      <c r="D103" s="599">
        <f t="shared" ref="D103:Q103" si="64">(D95/D94)*D102</f>
        <v>0</v>
      </c>
      <c r="E103" s="599">
        <f t="shared" si="64"/>
        <v>0</v>
      </c>
      <c r="F103" s="599">
        <f t="shared" si="64"/>
        <v>0</v>
      </c>
      <c r="G103" s="599">
        <f t="shared" si="64"/>
        <v>0</v>
      </c>
      <c r="H103" s="599">
        <f t="shared" si="64"/>
        <v>0</v>
      </c>
      <c r="I103" s="599">
        <f t="shared" si="64"/>
        <v>0</v>
      </c>
      <c r="J103" s="599">
        <f t="shared" si="64"/>
        <v>0</v>
      </c>
      <c r="K103" s="599">
        <f t="shared" si="64"/>
        <v>0</v>
      </c>
      <c r="L103" s="599">
        <f t="shared" si="64"/>
        <v>0</v>
      </c>
      <c r="M103" s="599">
        <f t="shared" si="64"/>
        <v>0</v>
      </c>
      <c r="N103" s="599">
        <f t="shared" si="64"/>
        <v>0</v>
      </c>
      <c r="O103" s="599">
        <f t="shared" si="64"/>
        <v>0</v>
      </c>
      <c r="P103" s="599">
        <f t="shared" si="64"/>
        <v>0</v>
      </c>
      <c r="Q103" s="599">
        <f t="shared" si="64"/>
        <v>0</v>
      </c>
    </row>
    <row r="104" outlineLevel="1">
      <c r="A104" s="344" t="s">
        <v>375</v>
      </c>
      <c r="B104" s="597">
        <f t="shared" si="63"/>
        <v>66054.05487</v>
      </c>
      <c r="C104" s="599">
        <f t="shared" si="65"/>
        <v>66054.05487</v>
      </c>
      <c r="D104" s="599">
        <f t="shared" ref="D104:Q104" si="66">(D96/D94)*D102</f>
        <v>6775.384571</v>
      </c>
      <c r="E104" s="599">
        <f t="shared" si="66"/>
        <v>32751.74002</v>
      </c>
      <c r="F104" s="599">
        <f t="shared" si="66"/>
        <v>1200.942415</v>
      </c>
      <c r="G104" s="599">
        <f t="shared" si="66"/>
        <v>1200.488709</v>
      </c>
      <c r="H104" s="599">
        <f t="shared" si="66"/>
        <v>1949.498423</v>
      </c>
      <c r="I104" s="599">
        <f t="shared" si="66"/>
        <v>2580.524706</v>
      </c>
      <c r="J104" s="599">
        <f t="shared" si="66"/>
        <v>1798.073524</v>
      </c>
      <c r="K104" s="599">
        <f t="shared" si="66"/>
        <v>1746.120742</v>
      </c>
      <c r="L104" s="599">
        <f t="shared" si="66"/>
        <v>2917.940515</v>
      </c>
      <c r="M104" s="599">
        <f t="shared" si="66"/>
        <v>3439.771478</v>
      </c>
      <c r="N104" s="599">
        <f t="shared" si="66"/>
        <v>3027.735865</v>
      </c>
      <c r="O104" s="599">
        <f t="shared" si="66"/>
        <v>2389.400171</v>
      </c>
      <c r="P104" s="599">
        <f t="shared" si="66"/>
        <v>3264.236255</v>
      </c>
      <c r="Q104" s="599">
        <f t="shared" si="66"/>
        <v>1012.197474</v>
      </c>
    </row>
    <row r="105" outlineLevel="1">
      <c r="A105" s="600" t="s">
        <v>387</v>
      </c>
      <c r="B105" s="665">
        <f t="shared" si="63"/>
        <v>54126.12802</v>
      </c>
      <c r="C105" s="599">
        <f t="shared" si="65"/>
        <v>54126.12802</v>
      </c>
      <c r="D105" s="601">
        <f t="shared" ref="D105:Q105" si="67">(D97/D94)*D102</f>
        <v>2130.055453</v>
      </c>
      <c r="E105" s="601">
        <f t="shared" si="67"/>
        <v>19607.99888</v>
      </c>
      <c r="F105" s="601">
        <f t="shared" si="67"/>
        <v>1078.647222</v>
      </c>
      <c r="G105" s="601">
        <f t="shared" si="67"/>
        <v>1225.49583</v>
      </c>
      <c r="H105" s="601">
        <f t="shared" si="67"/>
        <v>1990.108003</v>
      </c>
      <c r="I105" s="601">
        <f t="shared" si="67"/>
        <v>2634.279058</v>
      </c>
      <c r="J105" s="601">
        <f t="shared" si="67"/>
        <v>1835.528804</v>
      </c>
      <c r="K105" s="601">
        <f t="shared" si="67"/>
        <v>1782.493806</v>
      </c>
      <c r="L105" s="601">
        <f t="shared" si="67"/>
        <v>2647.100701</v>
      </c>
      <c r="M105" s="601">
        <f t="shared" si="67"/>
        <v>5114.223373</v>
      </c>
      <c r="N105" s="601">
        <f t="shared" si="67"/>
        <v>4501.612281</v>
      </c>
      <c r="O105" s="601">
        <f t="shared" si="67"/>
        <v>3552.540127</v>
      </c>
      <c r="P105" s="601">
        <f t="shared" si="67"/>
        <v>4853.239077</v>
      </c>
      <c r="Q105" s="601">
        <f t="shared" si="67"/>
        <v>1172.80541</v>
      </c>
    </row>
    <row r="106" outlineLevel="1">
      <c r="A106" s="602" t="s">
        <v>380</v>
      </c>
      <c r="B106" s="597">
        <f t="shared" si="63"/>
        <v>220180.1829</v>
      </c>
      <c r="C106" s="604">
        <f t="shared" ref="C106:Q106" si="68">sum(C102:C105)</f>
        <v>220180.1829</v>
      </c>
      <c r="D106" s="604">
        <f t="shared" si="68"/>
        <v>22584.61523</v>
      </c>
      <c r="E106" s="604">
        <f t="shared" si="68"/>
        <v>109172.4667</v>
      </c>
      <c r="F106" s="604">
        <f t="shared" si="68"/>
        <v>4003.141383</v>
      </c>
      <c r="G106" s="604">
        <f t="shared" si="68"/>
        <v>4001.62903</v>
      </c>
      <c r="H106" s="604">
        <f t="shared" si="68"/>
        <v>6498.328078</v>
      </c>
      <c r="I106" s="604">
        <f t="shared" si="68"/>
        <v>8601.74902</v>
      </c>
      <c r="J106" s="604">
        <f t="shared" si="68"/>
        <v>5993.578412</v>
      </c>
      <c r="K106" s="604">
        <f t="shared" si="68"/>
        <v>5820.402474</v>
      </c>
      <c r="L106" s="604">
        <f t="shared" si="68"/>
        <v>9726.468384</v>
      </c>
      <c r="M106" s="604">
        <f t="shared" si="68"/>
        <v>11465.90493</v>
      </c>
      <c r="N106" s="604">
        <f t="shared" si="68"/>
        <v>10092.45288</v>
      </c>
      <c r="O106" s="604">
        <f t="shared" si="68"/>
        <v>7964.667238</v>
      </c>
      <c r="P106" s="604">
        <f t="shared" si="68"/>
        <v>10880.78752</v>
      </c>
      <c r="Q106" s="604">
        <f t="shared" si="68"/>
        <v>3373.991581</v>
      </c>
    </row>
    <row r="107" outlineLevel="1">
      <c r="A107" s="287"/>
      <c r="B107" s="587"/>
      <c r="C107" s="407"/>
      <c r="D107" s="407"/>
      <c r="E107" s="407"/>
      <c r="F107" s="407"/>
      <c r="G107" s="407"/>
      <c r="H107" s="407"/>
      <c r="I107" s="407"/>
      <c r="J107" s="407"/>
      <c r="K107" s="407"/>
      <c r="L107" s="407"/>
      <c r="M107" s="407"/>
      <c r="N107" s="407"/>
      <c r="O107" s="407"/>
      <c r="P107" s="407"/>
      <c r="Q107" s="407"/>
    </row>
    <row r="108" outlineLevel="1">
      <c r="A108" s="277" t="s">
        <v>381</v>
      </c>
      <c r="B108" s="587"/>
      <c r="C108" s="407"/>
      <c r="D108" s="407"/>
      <c r="E108" s="407"/>
      <c r="F108" s="407"/>
      <c r="G108" s="407"/>
      <c r="H108" s="407"/>
      <c r="I108" s="407"/>
      <c r="J108" s="407"/>
      <c r="K108" s="407"/>
      <c r="L108" s="407"/>
      <c r="M108" s="407"/>
      <c r="N108" s="407"/>
      <c r="O108" s="407"/>
      <c r="P108" s="407"/>
      <c r="Q108" s="407"/>
    </row>
    <row r="109" outlineLevel="1">
      <c r="A109" s="270" t="s">
        <v>382</v>
      </c>
      <c r="B109" s="597">
        <f t="shared" ref="B109:B110" si="70">index(A109:AAA109,,match($A$3,$A$1:$AAA$1,0))</f>
        <v>100000</v>
      </c>
      <c r="C109" s="599">
        <f t="shared" ref="C109:Q109" si="69">C102+C103</f>
        <v>100000</v>
      </c>
      <c r="D109" s="599">
        <f t="shared" si="69"/>
        <v>13679.17521</v>
      </c>
      <c r="E109" s="599">
        <f t="shared" si="69"/>
        <v>56812.72783</v>
      </c>
      <c r="F109" s="599">
        <f t="shared" si="69"/>
        <v>1723.551746</v>
      </c>
      <c r="G109" s="599">
        <f t="shared" si="69"/>
        <v>1575.644491</v>
      </c>
      <c r="H109" s="599">
        <f t="shared" si="69"/>
        <v>2558.721651</v>
      </c>
      <c r="I109" s="599">
        <f t="shared" si="69"/>
        <v>3386.945256</v>
      </c>
      <c r="J109" s="599">
        <f t="shared" si="69"/>
        <v>2359.976084</v>
      </c>
      <c r="K109" s="599">
        <f t="shared" si="69"/>
        <v>2291.787926</v>
      </c>
      <c r="L109" s="599">
        <f t="shared" si="69"/>
        <v>4161.427168</v>
      </c>
      <c r="M109" s="599">
        <f t="shared" si="69"/>
        <v>2911.910076</v>
      </c>
      <c r="N109" s="599">
        <f t="shared" si="69"/>
        <v>2563.104738</v>
      </c>
      <c r="O109" s="599">
        <f t="shared" si="69"/>
        <v>2022.72694</v>
      </c>
      <c r="P109" s="599">
        <f t="shared" si="69"/>
        <v>2763.312186</v>
      </c>
      <c r="Q109" s="599">
        <f t="shared" si="69"/>
        <v>1188.988697</v>
      </c>
    </row>
    <row r="110" outlineLevel="1">
      <c r="A110" s="270" t="s">
        <v>383</v>
      </c>
      <c r="B110" s="597">
        <f t="shared" si="70"/>
        <v>120180.1829</v>
      </c>
      <c r="C110" s="599">
        <f t="shared" ref="C110:Q110" si="71">C104+C105</f>
        <v>120180.1829</v>
      </c>
      <c r="D110" s="599">
        <f t="shared" si="71"/>
        <v>8905.440024</v>
      </c>
      <c r="E110" s="599">
        <f t="shared" si="71"/>
        <v>52359.7389</v>
      </c>
      <c r="F110" s="599">
        <f t="shared" si="71"/>
        <v>2279.589637</v>
      </c>
      <c r="G110" s="599">
        <f t="shared" si="71"/>
        <v>2425.984539</v>
      </c>
      <c r="H110" s="599">
        <f t="shared" si="71"/>
        <v>3939.606427</v>
      </c>
      <c r="I110" s="599">
        <f t="shared" si="71"/>
        <v>5214.803764</v>
      </c>
      <c r="J110" s="599">
        <f t="shared" si="71"/>
        <v>3633.602328</v>
      </c>
      <c r="K110" s="599">
        <f t="shared" si="71"/>
        <v>3528.614548</v>
      </c>
      <c r="L110" s="599">
        <f t="shared" si="71"/>
        <v>5565.041216</v>
      </c>
      <c r="M110" s="599">
        <f t="shared" si="71"/>
        <v>8553.994851</v>
      </c>
      <c r="N110" s="599">
        <f t="shared" si="71"/>
        <v>7529.348146</v>
      </c>
      <c r="O110" s="599">
        <f t="shared" si="71"/>
        <v>5941.940299</v>
      </c>
      <c r="P110" s="599">
        <f t="shared" si="71"/>
        <v>8117.475332</v>
      </c>
      <c r="Q110" s="599">
        <f t="shared" si="71"/>
        <v>2185.002885</v>
      </c>
    </row>
    <row r="111" outlineLevel="1">
      <c r="A111" s="287"/>
      <c r="B111" s="587"/>
      <c r="C111" s="407"/>
      <c r="D111" s="407"/>
      <c r="E111" s="407"/>
      <c r="F111" s="407"/>
      <c r="G111" s="407"/>
      <c r="H111" s="407"/>
      <c r="I111" s="407"/>
      <c r="J111" s="407"/>
      <c r="K111" s="407"/>
      <c r="L111" s="407"/>
      <c r="M111" s="407"/>
      <c r="N111" s="407"/>
      <c r="O111" s="407"/>
      <c r="P111" s="407"/>
      <c r="Q111" s="407"/>
    </row>
    <row r="112" outlineLevel="1">
      <c r="A112" s="514" t="s">
        <v>384</v>
      </c>
      <c r="B112" s="667"/>
      <c r="C112" s="342"/>
      <c r="D112" s="342"/>
      <c r="E112" s="342"/>
      <c r="F112" s="342"/>
      <c r="G112" s="342"/>
      <c r="H112" s="342"/>
      <c r="I112" s="342"/>
      <c r="J112" s="342"/>
      <c r="K112" s="342"/>
      <c r="L112" s="342"/>
      <c r="M112" s="342"/>
      <c r="N112" s="342"/>
      <c r="O112" s="342"/>
      <c r="P112" s="342"/>
      <c r="Q112" s="342"/>
    </row>
    <row r="113" outlineLevel="1">
      <c r="A113" s="343" t="s">
        <v>385</v>
      </c>
      <c r="B113" s="668">
        <f t="shared" ref="B113:B115" si="72">index(A113:O113,,match($A$3,$A$1:$O$1,0))</f>
        <v>0.00360953606</v>
      </c>
      <c r="C113" s="669">
        <f>'Moral weights and discount rate'!$B$8/'Counterfactual non-philanthropi'!$D$32</f>
        <v>0.00360953606</v>
      </c>
      <c r="D113" s="669">
        <f>'Moral weights and discount rate'!$B$8/'Counterfactual non-philanthropi'!$D$32</f>
        <v>0.00360953606</v>
      </c>
      <c r="E113" s="669">
        <f>'Moral weights and discount rate'!$B$8/'Counterfactual non-philanthropi'!$D$32</f>
        <v>0.00360953606</v>
      </c>
      <c r="F113" s="669">
        <f>'Moral weights and discount rate'!$B$8/'Counterfactual non-philanthropi'!$D$32</f>
        <v>0.00360953606</v>
      </c>
      <c r="G113" s="669">
        <f>'Moral weights and discount rate'!$B$8/'Counterfactual non-philanthropi'!$D$32</f>
        <v>0.00360953606</v>
      </c>
      <c r="H113" s="669">
        <f>'Moral weights and discount rate'!$B$8/'Counterfactual non-philanthropi'!$D$32</f>
        <v>0.00360953606</v>
      </c>
      <c r="I113" s="669">
        <f>'Moral weights and discount rate'!$B$8/'Counterfactual non-philanthropi'!$D$32</f>
        <v>0.00360953606</v>
      </c>
      <c r="J113" s="669">
        <f>'Moral weights and discount rate'!$B$8/'Counterfactual non-philanthropi'!$D$32</f>
        <v>0.00360953606</v>
      </c>
      <c r="K113" s="669">
        <f>'Moral weights and discount rate'!$B$8/'Counterfactual non-philanthropi'!$D$32</f>
        <v>0.00360953606</v>
      </c>
      <c r="L113" s="669">
        <f>'Moral weights and discount rate'!$B$8/'Counterfactual non-philanthropi'!$D$32</f>
        <v>0.00360953606</v>
      </c>
      <c r="M113" s="669">
        <f>'Moral weights and discount rate'!$B$8/'Counterfactual non-philanthropi'!$D$32</f>
        <v>0.00360953606</v>
      </c>
      <c r="N113" s="669">
        <f>'Moral weights and discount rate'!$B$8/'Counterfactual non-philanthropi'!$D$32</f>
        <v>0.00360953606</v>
      </c>
      <c r="O113" s="669">
        <f>'Moral weights and discount rate'!$B$8/'Counterfactual non-philanthropi'!$D$32</f>
        <v>0.00360953606</v>
      </c>
      <c r="P113" s="669">
        <f>'Moral weights and discount rate'!$B$8/'Counterfactual non-philanthropi'!$D$32</f>
        <v>0.00360953606</v>
      </c>
      <c r="Q113" s="669">
        <f>'Moral weights and discount rate'!$B$8/'Counterfactual non-philanthropi'!$D$32</f>
        <v>0.00360953606</v>
      </c>
    </row>
    <row r="114" outlineLevel="1">
      <c r="A114" s="343" t="s">
        <v>386</v>
      </c>
      <c r="B114" s="668">
        <f t="shared" si="72"/>
        <v>0.00360953606</v>
      </c>
      <c r="C114" s="669">
        <f>'Moral weights and discount rate'!$B$8/'Counterfactual non-philanthropi'!$D$32</f>
        <v>0.00360953606</v>
      </c>
      <c r="D114" s="669">
        <f>'Moral weights and discount rate'!$B$8/'Counterfactual non-philanthropi'!$D$32</f>
        <v>0.00360953606</v>
      </c>
      <c r="E114" s="669">
        <f>'Moral weights and discount rate'!$B$8/'Counterfactual non-philanthropi'!$D$32</f>
        <v>0.00360953606</v>
      </c>
      <c r="F114" s="669">
        <f>'Moral weights and discount rate'!$B$8/'Counterfactual non-philanthropi'!$D$32</f>
        <v>0.00360953606</v>
      </c>
      <c r="G114" s="669">
        <f>'Moral weights and discount rate'!$B$8/'Counterfactual non-philanthropi'!$D$32</f>
        <v>0.00360953606</v>
      </c>
      <c r="H114" s="669">
        <f>'Moral weights and discount rate'!$B$8/'Counterfactual non-philanthropi'!$D$32</f>
        <v>0.00360953606</v>
      </c>
      <c r="I114" s="669">
        <f>'Moral weights and discount rate'!$B$8/'Counterfactual non-philanthropi'!$D$32</f>
        <v>0.00360953606</v>
      </c>
      <c r="J114" s="669">
        <f>'Moral weights and discount rate'!$B$8/'Counterfactual non-philanthropi'!$D$32</f>
        <v>0.00360953606</v>
      </c>
      <c r="K114" s="669">
        <f>'Moral weights and discount rate'!$B$8/'Counterfactual non-philanthropi'!$D$32</f>
        <v>0.00360953606</v>
      </c>
      <c r="L114" s="669">
        <f>'Moral weights and discount rate'!$B$8/'Counterfactual non-philanthropi'!$D$32</f>
        <v>0.00360953606</v>
      </c>
      <c r="M114" s="669">
        <f>'Moral weights and discount rate'!$B$8/'Counterfactual non-philanthropi'!$D$32</f>
        <v>0.00360953606</v>
      </c>
      <c r="N114" s="669">
        <f>'Moral weights and discount rate'!$B$8/'Counterfactual non-philanthropi'!$D$32</f>
        <v>0.00360953606</v>
      </c>
      <c r="O114" s="669">
        <f>'Moral weights and discount rate'!$B$8/'Counterfactual non-philanthropi'!$D$32</f>
        <v>0.00360953606</v>
      </c>
      <c r="P114" s="669">
        <f>'Moral weights and discount rate'!$B$8/'Counterfactual non-philanthropi'!$D$32</f>
        <v>0.00360953606</v>
      </c>
      <c r="Q114" s="669">
        <f>'Moral weights and discount rate'!$B$8/'Counterfactual non-philanthropi'!$D$32</f>
        <v>0.00360953606</v>
      </c>
    </row>
    <row r="115" outlineLevel="1">
      <c r="A115" s="342" t="s">
        <v>387</v>
      </c>
      <c r="B115" s="668">
        <f t="shared" si="72"/>
        <v>0.005443126011</v>
      </c>
      <c r="C115" s="279">
        <f>'Moral weights and discount rate'!$B$8/'Counterfactual non-philanthropi'!$D$34</f>
        <v>0.005443126011</v>
      </c>
      <c r="D115" s="279">
        <f>'Moral weights and discount rate'!$B$8/'Counterfactual non-philanthropi'!$D$34</f>
        <v>0.005443126011</v>
      </c>
      <c r="E115" s="279">
        <f>'Moral weights and discount rate'!$B$8/'Counterfactual non-philanthropi'!$D$34</f>
        <v>0.005443126011</v>
      </c>
      <c r="F115" s="279">
        <f>'Moral weights and discount rate'!$B$8/'Counterfactual non-philanthropi'!$D$34</f>
        <v>0.005443126011</v>
      </c>
      <c r="G115" s="279">
        <f>'Moral weights and discount rate'!$B$8/'Counterfactual non-philanthropi'!$D$34</f>
        <v>0.005443126011</v>
      </c>
      <c r="H115" s="279">
        <f>'Moral weights and discount rate'!$B$8/'Counterfactual non-philanthropi'!$D$34</f>
        <v>0.005443126011</v>
      </c>
      <c r="I115" s="279">
        <f>'Moral weights and discount rate'!$B$8/'Counterfactual non-philanthropi'!$D$34</f>
        <v>0.005443126011</v>
      </c>
      <c r="J115" s="279">
        <f>'Moral weights and discount rate'!$B$8/'Counterfactual non-philanthropi'!$D$34</f>
        <v>0.005443126011</v>
      </c>
      <c r="K115" s="279">
        <f>'Moral weights and discount rate'!$B$8/'Counterfactual non-philanthropi'!$D$34</f>
        <v>0.005443126011</v>
      </c>
      <c r="L115" s="279">
        <f>'Moral weights and discount rate'!$B$8/'Counterfactual non-philanthropi'!$D$34</f>
        <v>0.005443126011</v>
      </c>
      <c r="M115" s="279">
        <f>'Moral weights and discount rate'!$B$8/'Counterfactual non-philanthropi'!$D$34</f>
        <v>0.005443126011</v>
      </c>
      <c r="N115" s="279">
        <f>'Moral weights and discount rate'!$B$8/'Counterfactual non-philanthropi'!$D$34</f>
        <v>0.005443126011</v>
      </c>
      <c r="O115" s="279">
        <f>'Moral weights and discount rate'!$B$8/'Counterfactual non-philanthropi'!$D$34</f>
        <v>0.005443126011</v>
      </c>
      <c r="P115" s="279">
        <f>'Moral weights and discount rate'!$B$8/'Counterfactual non-philanthropi'!$D$34</f>
        <v>0.005443126011</v>
      </c>
      <c r="Q115" s="279">
        <f>'Moral weights and discount rate'!$B$8/'Counterfactual non-philanthropi'!$D$34</f>
        <v>0.005443126011</v>
      </c>
    </row>
    <row r="116" outlineLevel="1">
      <c r="A116" s="344"/>
      <c r="B116" s="605"/>
      <c r="C116" s="441"/>
      <c r="D116" s="441"/>
      <c r="E116" s="441"/>
      <c r="F116" s="441"/>
      <c r="G116" s="441"/>
      <c r="H116" s="441"/>
      <c r="I116" s="441"/>
      <c r="J116" s="441"/>
      <c r="K116" s="441"/>
      <c r="L116" s="441"/>
      <c r="M116" s="441"/>
      <c r="N116" s="441"/>
      <c r="O116" s="441"/>
      <c r="P116" s="441"/>
      <c r="Q116" s="441"/>
    </row>
    <row r="117" outlineLevel="1">
      <c r="A117" s="514" t="s">
        <v>388</v>
      </c>
      <c r="B117" s="605"/>
      <c r="C117" s="441"/>
      <c r="D117" s="441"/>
      <c r="E117" s="441"/>
      <c r="F117" s="441"/>
      <c r="G117" s="441"/>
      <c r="H117" s="441"/>
      <c r="I117" s="441"/>
      <c r="J117" s="441"/>
      <c r="K117" s="441"/>
      <c r="L117" s="441"/>
      <c r="M117" s="441"/>
      <c r="N117" s="441"/>
      <c r="O117" s="441"/>
      <c r="P117" s="441"/>
      <c r="Q117" s="441"/>
    </row>
    <row r="118" outlineLevel="1">
      <c r="A118" s="344" t="s">
        <v>285</v>
      </c>
      <c r="B118" s="266">
        <f t="shared" ref="B118:B120" si="73">index(A118:AAA118,,match($A$3,$A$1:$AAA$1,0))</f>
        <v>0.2</v>
      </c>
      <c r="C118" s="155">
        <v>0.2</v>
      </c>
      <c r="D118" s="155">
        <v>0.2</v>
      </c>
      <c r="E118" s="155">
        <v>0.2</v>
      </c>
      <c r="F118" s="155">
        <v>0.2</v>
      </c>
      <c r="G118" s="155">
        <v>0.2</v>
      </c>
      <c r="H118" s="155">
        <v>0.2</v>
      </c>
      <c r="I118" s="155">
        <v>0.2</v>
      </c>
      <c r="J118" s="155">
        <v>0.2</v>
      </c>
      <c r="K118" s="155">
        <v>0.2</v>
      </c>
      <c r="L118" s="155">
        <v>0.2</v>
      </c>
      <c r="M118" s="155">
        <v>0.2</v>
      </c>
      <c r="N118" s="155">
        <v>0.2</v>
      </c>
      <c r="O118" s="155">
        <v>0.2</v>
      </c>
      <c r="P118" s="155">
        <v>0.2</v>
      </c>
      <c r="Q118" s="155">
        <v>0.2</v>
      </c>
    </row>
    <row r="119" outlineLevel="1">
      <c r="A119" s="344" t="s">
        <v>287</v>
      </c>
      <c r="B119" s="266">
        <f t="shared" si="73"/>
        <v>0</v>
      </c>
      <c r="C119" s="155">
        <v>0.0</v>
      </c>
      <c r="D119" s="155">
        <v>0.0</v>
      </c>
      <c r="E119" s="155">
        <v>0.0</v>
      </c>
      <c r="F119" s="155">
        <v>0.0</v>
      </c>
      <c r="G119" s="155">
        <v>0.0</v>
      </c>
      <c r="H119" s="155">
        <v>0.0</v>
      </c>
      <c r="I119" s="155">
        <v>0.0</v>
      </c>
      <c r="J119" s="155">
        <v>0.0</v>
      </c>
      <c r="K119" s="155">
        <v>0.0</v>
      </c>
      <c r="L119" s="155">
        <v>0.0</v>
      </c>
      <c r="M119" s="155">
        <v>0.0</v>
      </c>
      <c r="N119" s="155">
        <v>0.0</v>
      </c>
      <c r="O119" s="155">
        <v>0.0</v>
      </c>
      <c r="P119" s="155">
        <v>0.0</v>
      </c>
      <c r="Q119" s="155">
        <v>0.0</v>
      </c>
    </row>
    <row r="120" outlineLevel="1">
      <c r="A120" s="344" t="s">
        <v>288</v>
      </c>
      <c r="B120" s="266">
        <f t="shared" si="73"/>
        <v>0.8</v>
      </c>
      <c r="C120" s="155">
        <v>0.8</v>
      </c>
      <c r="D120" s="155">
        <v>0.8</v>
      </c>
      <c r="E120" s="155">
        <v>0.8</v>
      </c>
      <c r="F120" s="155">
        <v>0.8</v>
      </c>
      <c r="G120" s="155">
        <v>0.8</v>
      </c>
      <c r="H120" s="155">
        <v>0.8</v>
      </c>
      <c r="I120" s="155">
        <v>0.8</v>
      </c>
      <c r="J120" s="155">
        <v>0.8</v>
      </c>
      <c r="K120" s="155">
        <v>0.8</v>
      </c>
      <c r="L120" s="155">
        <v>0.8</v>
      </c>
      <c r="M120" s="155">
        <v>0.8</v>
      </c>
      <c r="N120" s="155">
        <v>0.8</v>
      </c>
      <c r="O120" s="155">
        <v>0.8</v>
      </c>
      <c r="P120" s="155">
        <v>0.8</v>
      </c>
      <c r="Q120" s="155">
        <v>0.8</v>
      </c>
    </row>
    <row r="121" outlineLevel="1">
      <c r="A121" s="342"/>
      <c r="B121" s="605"/>
      <c r="C121" s="441"/>
      <c r="D121" s="441"/>
      <c r="E121" s="441"/>
      <c r="F121" s="441"/>
      <c r="G121" s="441"/>
      <c r="H121" s="441"/>
      <c r="I121" s="441"/>
      <c r="J121" s="441"/>
      <c r="K121" s="441"/>
      <c r="L121" s="441"/>
      <c r="M121" s="441"/>
      <c r="N121" s="441"/>
      <c r="O121" s="441"/>
      <c r="P121" s="441"/>
      <c r="Q121" s="441"/>
    </row>
    <row r="122" outlineLevel="1">
      <c r="A122" s="514" t="s">
        <v>389</v>
      </c>
      <c r="B122" s="605"/>
      <c r="C122" s="441"/>
      <c r="D122" s="441"/>
      <c r="E122" s="441"/>
      <c r="F122" s="441"/>
      <c r="G122" s="441"/>
      <c r="H122" s="441"/>
      <c r="I122" s="441"/>
      <c r="J122" s="441"/>
      <c r="K122" s="441"/>
      <c r="L122" s="441"/>
      <c r="M122" s="441"/>
      <c r="N122" s="441"/>
      <c r="O122" s="441"/>
      <c r="P122" s="441"/>
      <c r="Q122" s="441"/>
    </row>
    <row r="123" outlineLevel="1">
      <c r="A123" s="344" t="s">
        <v>285</v>
      </c>
      <c r="B123" s="605">
        <f t="shared" ref="B123:B125" si="75">index(A123:AAA123,,match($A$3,$A$1:$AAA$1,0))</f>
        <v>1</v>
      </c>
      <c r="C123" s="441">
        <f t="shared" ref="C123:Q123" si="74">1</f>
        <v>1</v>
      </c>
      <c r="D123" s="299">
        <f t="shared" si="74"/>
        <v>1</v>
      </c>
      <c r="E123" s="299">
        <f t="shared" si="74"/>
        <v>1</v>
      </c>
      <c r="F123" s="299">
        <f t="shared" si="74"/>
        <v>1</v>
      </c>
      <c r="G123" s="299">
        <f t="shared" si="74"/>
        <v>1</v>
      </c>
      <c r="H123" s="299">
        <f t="shared" si="74"/>
        <v>1</v>
      </c>
      <c r="I123" s="299">
        <f t="shared" si="74"/>
        <v>1</v>
      </c>
      <c r="J123" s="299">
        <f t="shared" si="74"/>
        <v>1</v>
      </c>
      <c r="K123" s="299">
        <f t="shared" si="74"/>
        <v>1</v>
      </c>
      <c r="L123" s="299">
        <f t="shared" si="74"/>
        <v>1</v>
      </c>
      <c r="M123" s="299">
        <f t="shared" si="74"/>
        <v>1</v>
      </c>
      <c r="N123" s="299">
        <f t="shared" si="74"/>
        <v>1</v>
      </c>
      <c r="O123" s="299">
        <f t="shared" si="74"/>
        <v>1</v>
      </c>
      <c r="P123" s="299">
        <f t="shared" si="74"/>
        <v>1</v>
      </c>
      <c r="Q123" s="299">
        <f t="shared" si="74"/>
        <v>1</v>
      </c>
    </row>
    <row r="124" outlineLevel="1">
      <c r="A124" s="344" t="s">
        <v>287</v>
      </c>
      <c r="B124" s="605">
        <f t="shared" si="75"/>
        <v>0</v>
      </c>
      <c r="C124" s="441">
        <f t="shared" ref="C124:Q124" si="76">C103/C109</f>
        <v>0</v>
      </c>
      <c r="D124" s="299">
        <f t="shared" si="76"/>
        <v>0</v>
      </c>
      <c r="E124" s="299">
        <f t="shared" si="76"/>
        <v>0</v>
      </c>
      <c r="F124" s="299">
        <f t="shared" si="76"/>
        <v>0</v>
      </c>
      <c r="G124" s="299">
        <f t="shared" si="76"/>
        <v>0</v>
      </c>
      <c r="H124" s="299">
        <f t="shared" si="76"/>
        <v>0</v>
      </c>
      <c r="I124" s="299">
        <f t="shared" si="76"/>
        <v>0</v>
      </c>
      <c r="J124" s="299">
        <f t="shared" si="76"/>
        <v>0</v>
      </c>
      <c r="K124" s="299">
        <f t="shared" si="76"/>
        <v>0</v>
      </c>
      <c r="L124" s="299">
        <f t="shared" si="76"/>
        <v>0</v>
      </c>
      <c r="M124" s="299">
        <f t="shared" si="76"/>
        <v>0</v>
      </c>
      <c r="N124" s="299">
        <f t="shared" si="76"/>
        <v>0</v>
      </c>
      <c r="O124" s="299">
        <f t="shared" si="76"/>
        <v>0</v>
      </c>
      <c r="P124" s="299">
        <f t="shared" si="76"/>
        <v>0</v>
      </c>
      <c r="Q124" s="299">
        <f t="shared" si="76"/>
        <v>0</v>
      </c>
    </row>
    <row r="125" outlineLevel="1">
      <c r="A125" s="344" t="s">
        <v>288</v>
      </c>
      <c r="B125" s="617">
        <f t="shared" si="75"/>
        <v>0</v>
      </c>
      <c r="C125" s="154">
        <v>0.0</v>
      </c>
      <c r="D125" s="670">
        <v>0.0</v>
      </c>
      <c r="E125" s="670">
        <v>0.0</v>
      </c>
      <c r="F125" s="670">
        <v>0.0</v>
      </c>
      <c r="G125" s="670">
        <v>0.0</v>
      </c>
      <c r="H125" s="670">
        <v>0.0</v>
      </c>
      <c r="I125" s="670">
        <v>0.0</v>
      </c>
      <c r="J125" s="670">
        <v>0.0</v>
      </c>
      <c r="K125" s="670">
        <v>0.0</v>
      </c>
      <c r="L125" s="670">
        <v>0.0</v>
      </c>
      <c r="M125" s="670">
        <v>0.0</v>
      </c>
      <c r="N125" s="670">
        <v>0.0</v>
      </c>
      <c r="O125" s="670">
        <v>0.0</v>
      </c>
      <c r="P125" s="670">
        <v>0.0</v>
      </c>
      <c r="Q125" s="670">
        <v>0.0</v>
      </c>
    </row>
    <row r="126" outlineLevel="1">
      <c r="B126" s="605"/>
      <c r="C126" s="441"/>
      <c r="D126" s="441"/>
      <c r="E126" s="441"/>
      <c r="F126" s="441"/>
      <c r="G126" s="441"/>
      <c r="H126" s="441"/>
      <c r="I126" s="441"/>
      <c r="J126" s="441"/>
      <c r="K126" s="441"/>
      <c r="L126" s="441"/>
      <c r="M126" s="441"/>
      <c r="N126" s="441"/>
      <c r="O126" s="441"/>
      <c r="P126" s="441"/>
      <c r="Q126" s="441"/>
    </row>
    <row r="127" outlineLevel="1">
      <c r="A127" s="518" t="s">
        <v>390</v>
      </c>
      <c r="B127" s="605"/>
      <c r="C127" s="441"/>
      <c r="D127" s="441"/>
      <c r="E127" s="441"/>
      <c r="F127" s="441"/>
      <c r="G127" s="441"/>
      <c r="H127" s="441"/>
      <c r="I127" s="441"/>
      <c r="J127" s="441"/>
      <c r="K127" s="441"/>
      <c r="L127" s="441"/>
      <c r="M127" s="441"/>
      <c r="N127" s="441"/>
      <c r="O127" s="441"/>
      <c r="P127" s="441"/>
      <c r="Q127" s="441"/>
    </row>
    <row r="128" outlineLevel="1">
      <c r="A128" s="343" t="s">
        <v>285</v>
      </c>
      <c r="B128" s="295"/>
      <c r="C128" s="252"/>
    </row>
    <row r="129" outlineLevel="1">
      <c r="A129" s="343" t="s">
        <v>391</v>
      </c>
      <c r="B129" s="612">
        <f t="shared" ref="B129:B131" si="78">index(A129:AAA129,,match($A$3,$A$1:$AAA$1,0))</f>
        <v>100000</v>
      </c>
      <c r="C129" s="461">
        <f t="shared" ref="C129:C131" si="79">sumif(D129:U129,"&lt;&gt;#DIV/0!")</f>
        <v>100000</v>
      </c>
      <c r="D129" s="461">
        <f t="shared" ref="D129:Q129" si="77">D102</f>
        <v>13679.17521</v>
      </c>
      <c r="E129" s="461">
        <f t="shared" si="77"/>
        <v>56812.72783</v>
      </c>
      <c r="F129" s="461">
        <f t="shared" si="77"/>
        <v>1723.551746</v>
      </c>
      <c r="G129" s="461">
        <f t="shared" si="77"/>
        <v>1575.644491</v>
      </c>
      <c r="H129" s="461">
        <f t="shared" si="77"/>
        <v>2558.721651</v>
      </c>
      <c r="I129" s="461">
        <f t="shared" si="77"/>
        <v>3386.945256</v>
      </c>
      <c r="J129" s="461">
        <f t="shared" si="77"/>
        <v>2359.976084</v>
      </c>
      <c r="K129" s="461">
        <f t="shared" si="77"/>
        <v>2291.787926</v>
      </c>
      <c r="L129" s="461">
        <f t="shared" si="77"/>
        <v>4161.427168</v>
      </c>
      <c r="M129" s="461">
        <f t="shared" si="77"/>
        <v>2911.910076</v>
      </c>
      <c r="N129" s="461">
        <f t="shared" si="77"/>
        <v>2563.104738</v>
      </c>
      <c r="O129" s="461">
        <f t="shared" si="77"/>
        <v>2022.72694</v>
      </c>
      <c r="P129" s="461">
        <f t="shared" si="77"/>
        <v>2763.312186</v>
      </c>
      <c r="Q129" s="461">
        <f t="shared" si="77"/>
        <v>1188.988697</v>
      </c>
    </row>
    <row r="130" outlineLevel="1">
      <c r="A130" s="343" t="s">
        <v>392</v>
      </c>
      <c r="B130" s="612">
        <f t="shared" si="78"/>
        <v>0</v>
      </c>
      <c r="C130" s="461">
        <f t="shared" si="79"/>
        <v>0</v>
      </c>
      <c r="D130" s="614">
        <v>0.0</v>
      </c>
      <c r="E130" s="614">
        <v>0.0</v>
      </c>
      <c r="F130" s="614">
        <v>0.0</v>
      </c>
      <c r="G130" s="614">
        <v>0.0</v>
      </c>
      <c r="H130" s="614">
        <v>0.0</v>
      </c>
      <c r="I130" s="614">
        <v>0.0</v>
      </c>
      <c r="J130" s="614">
        <v>0.0</v>
      </c>
      <c r="K130" s="614">
        <v>0.0</v>
      </c>
      <c r="L130" s="614">
        <v>0.0</v>
      </c>
      <c r="M130" s="614">
        <v>0.0</v>
      </c>
      <c r="N130" s="614">
        <v>0.0</v>
      </c>
      <c r="O130" s="614">
        <v>0.0</v>
      </c>
      <c r="P130" s="614">
        <v>0.0</v>
      </c>
      <c r="Q130" s="614">
        <v>0.0</v>
      </c>
    </row>
    <row r="131" outlineLevel="1">
      <c r="A131" s="343" t="s">
        <v>393</v>
      </c>
      <c r="B131" s="612">
        <f t="shared" si="78"/>
        <v>0</v>
      </c>
      <c r="C131" s="461">
        <f t="shared" si="79"/>
        <v>0</v>
      </c>
      <c r="D131" s="614">
        <v>0.0</v>
      </c>
      <c r="E131" s="614">
        <v>0.0</v>
      </c>
      <c r="F131" s="614">
        <v>0.0</v>
      </c>
      <c r="G131" s="614">
        <v>0.0</v>
      </c>
      <c r="H131" s="614">
        <v>0.0</v>
      </c>
      <c r="I131" s="614">
        <v>0.0</v>
      </c>
      <c r="J131" s="614">
        <v>0.0</v>
      </c>
      <c r="K131" s="614">
        <v>0.0</v>
      </c>
      <c r="L131" s="614">
        <v>0.0</v>
      </c>
      <c r="M131" s="614">
        <v>0.0</v>
      </c>
      <c r="N131" s="614">
        <v>0.0</v>
      </c>
      <c r="O131" s="614">
        <v>0.0</v>
      </c>
      <c r="P131" s="614">
        <v>0.0</v>
      </c>
      <c r="Q131" s="614">
        <v>0.0</v>
      </c>
    </row>
    <row r="132" outlineLevel="1">
      <c r="A132" s="343"/>
      <c r="B132" s="295"/>
      <c r="C132" s="252"/>
      <c r="D132" s="443"/>
      <c r="E132" s="443"/>
      <c r="F132" s="443"/>
      <c r="G132" s="443"/>
      <c r="H132" s="443"/>
      <c r="I132" s="443"/>
      <c r="J132" s="443"/>
      <c r="K132" s="443"/>
      <c r="L132" s="443"/>
      <c r="M132" s="443"/>
      <c r="N132" s="443"/>
      <c r="O132" s="443"/>
      <c r="P132" s="443"/>
      <c r="Q132" s="443"/>
    </row>
    <row r="133" outlineLevel="1">
      <c r="A133" s="343" t="s">
        <v>287</v>
      </c>
      <c r="B133" s="671"/>
      <c r="C133" s="246"/>
      <c r="D133" s="467"/>
      <c r="E133" s="467"/>
      <c r="F133" s="467"/>
      <c r="G133" s="467"/>
      <c r="H133" s="467"/>
      <c r="I133" s="467"/>
      <c r="J133" s="467"/>
      <c r="K133" s="467"/>
      <c r="L133" s="467"/>
      <c r="M133" s="467"/>
      <c r="N133" s="467"/>
      <c r="O133" s="467"/>
      <c r="P133" s="467"/>
      <c r="Q133" s="467"/>
    </row>
    <row r="134" outlineLevel="1">
      <c r="A134" s="342" t="s">
        <v>391</v>
      </c>
      <c r="B134" s="612">
        <f t="shared" ref="B134:B136" si="80">index(A134:AAA134,,match($A$3,$A$1:$AAA$1,0))</f>
        <v>0</v>
      </c>
      <c r="C134" s="461">
        <f t="shared" ref="C134:C136" si="81">sumif(D134:U134,"&lt;&gt;#DIV/0!")</f>
        <v>0</v>
      </c>
      <c r="D134" s="614">
        <v>0.0</v>
      </c>
      <c r="E134" s="614">
        <v>0.0</v>
      </c>
      <c r="F134" s="614">
        <v>0.0</v>
      </c>
      <c r="G134" s="614">
        <v>0.0</v>
      </c>
      <c r="H134" s="614">
        <v>0.0</v>
      </c>
      <c r="I134" s="614">
        <v>0.0</v>
      </c>
      <c r="J134" s="614">
        <v>0.0</v>
      </c>
      <c r="K134" s="614">
        <v>0.0</v>
      </c>
      <c r="L134" s="614">
        <v>0.0</v>
      </c>
      <c r="M134" s="614">
        <v>0.0</v>
      </c>
      <c r="N134" s="614">
        <v>0.0</v>
      </c>
      <c r="O134" s="614">
        <v>0.0</v>
      </c>
      <c r="P134" s="614">
        <v>0.0</v>
      </c>
      <c r="Q134" s="614">
        <v>0.0</v>
      </c>
    </row>
    <row r="135" outlineLevel="1">
      <c r="A135" s="343" t="s">
        <v>392</v>
      </c>
      <c r="B135" s="612">
        <f t="shared" si="80"/>
        <v>-66054.05487</v>
      </c>
      <c r="C135" s="461">
        <f t="shared" si="81"/>
        <v>-66054.05487</v>
      </c>
      <c r="D135" s="461">
        <f t="shared" ref="D135:Q135" si="82">(D104-D124*D104)*-1</f>
        <v>-6775.384571</v>
      </c>
      <c r="E135" s="461">
        <f t="shared" si="82"/>
        <v>-32751.74002</v>
      </c>
      <c r="F135" s="461">
        <f t="shared" si="82"/>
        <v>-1200.942415</v>
      </c>
      <c r="G135" s="461">
        <f t="shared" si="82"/>
        <v>-1200.488709</v>
      </c>
      <c r="H135" s="461">
        <f t="shared" si="82"/>
        <v>-1949.498423</v>
      </c>
      <c r="I135" s="461">
        <f t="shared" si="82"/>
        <v>-2580.524706</v>
      </c>
      <c r="J135" s="461">
        <f t="shared" si="82"/>
        <v>-1798.073524</v>
      </c>
      <c r="K135" s="461">
        <f t="shared" si="82"/>
        <v>-1746.120742</v>
      </c>
      <c r="L135" s="461">
        <f t="shared" si="82"/>
        <v>-2917.940515</v>
      </c>
      <c r="M135" s="461">
        <f t="shared" si="82"/>
        <v>-3439.771478</v>
      </c>
      <c r="N135" s="461">
        <f t="shared" si="82"/>
        <v>-3027.735865</v>
      </c>
      <c r="O135" s="461">
        <f t="shared" si="82"/>
        <v>-2389.400171</v>
      </c>
      <c r="P135" s="461">
        <f t="shared" si="82"/>
        <v>-3264.236255</v>
      </c>
      <c r="Q135" s="461">
        <f t="shared" si="82"/>
        <v>-1012.197474</v>
      </c>
    </row>
    <row r="136" outlineLevel="1">
      <c r="A136" s="342" t="s">
        <v>393</v>
      </c>
      <c r="B136" s="612">
        <f t="shared" si="80"/>
        <v>-54126.12802</v>
      </c>
      <c r="C136" s="461">
        <f t="shared" si="81"/>
        <v>-54126.12802</v>
      </c>
      <c r="D136" s="461">
        <f t="shared" ref="D136:Q136" si="83">(D105-D105*D124)*-1</f>
        <v>-2130.055453</v>
      </c>
      <c r="E136" s="461">
        <f t="shared" si="83"/>
        <v>-19607.99888</v>
      </c>
      <c r="F136" s="461">
        <f t="shared" si="83"/>
        <v>-1078.647222</v>
      </c>
      <c r="G136" s="461">
        <f t="shared" si="83"/>
        <v>-1225.49583</v>
      </c>
      <c r="H136" s="461">
        <f t="shared" si="83"/>
        <v>-1990.108003</v>
      </c>
      <c r="I136" s="461">
        <f t="shared" si="83"/>
        <v>-2634.279058</v>
      </c>
      <c r="J136" s="461">
        <f t="shared" si="83"/>
        <v>-1835.528804</v>
      </c>
      <c r="K136" s="461">
        <f t="shared" si="83"/>
        <v>-1782.493806</v>
      </c>
      <c r="L136" s="461">
        <f t="shared" si="83"/>
        <v>-2647.100701</v>
      </c>
      <c r="M136" s="461">
        <f t="shared" si="83"/>
        <v>-5114.223373</v>
      </c>
      <c r="N136" s="461">
        <f t="shared" si="83"/>
        <v>-4501.612281</v>
      </c>
      <c r="O136" s="461">
        <f t="shared" si="83"/>
        <v>-3552.540127</v>
      </c>
      <c r="P136" s="461">
        <f t="shared" si="83"/>
        <v>-4853.239077</v>
      </c>
      <c r="Q136" s="461">
        <f t="shared" si="83"/>
        <v>-1172.80541</v>
      </c>
    </row>
    <row r="137" outlineLevel="1">
      <c r="A137" s="343"/>
      <c r="B137" s="295"/>
      <c r="C137" s="252"/>
      <c r="D137" s="443"/>
      <c r="E137" s="443"/>
      <c r="F137" s="443"/>
      <c r="G137" s="443"/>
      <c r="H137" s="443"/>
      <c r="I137" s="443"/>
      <c r="J137" s="443"/>
      <c r="K137" s="443"/>
      <c r="L137" s="443"/>
      <c r="M137" s="443"/>
      <c r="N137" s="443"/>
      <c r="O137" s="443"/>
      <c r="P137" s="443"/>
      <c r="Q137" s="443"/>
    </row>
    <row r="138" outlineLevel="1">
      <c r="A138" s="343" t="s">
        <v>288</v>
      </c>
      <c r="B138" s="295"/>
      <c r="C138" s="252"/>
      <c r="D138" s="295"/>
      <c r="E138" s="295"/>
      <c r="F138" s="295"/>
      <c r="G138" s="295"/>
      <c r="H138" s="295"/>
      <c r="I138" s="295"/>
      <c r="J138" s="295"/>
      <c r="K138" s="295"/>
      <c r="L138" s="295"/>
      <c r="M138" s="295"/>
      <c r="N138" s="295"/>
      <c r="O138" s="295"/>
      <c r="P138" s="295"/>
      <c r="Q138" s="295"/>
    </row>
    <row r="139" outlineLevel="1">
      <c r="A139" s="342" t="s">
        <v>391</v>
      </c>
      <c r="B139" s="612">
        <f t="shared" ref="B139:B141" si="85">index(A139:AAA139,,match($A$3,$A$1:$AAA$1,0))</f>
        <v>0</v>
      </c>
      <c r="C139" s="461">
        <f t="shared" ref="C139:C141" si="86">sumif(D139:U139,"&lt;&gt;#DIV/0!")</f>
        <v>0</v>
      </c>
      <c r="D139" s="459">
        <f t="shared" ref="D139:Q139" si="84">-D103</f>
        <v>0</v>
      </c>
      <c r="E139" s="459">
        <f t="shared" si="84"/>
        <v>0</v>
      </c>
      <c r="F139" s="459">
        <f t="shared" si="84"/>
        <v>0</v>
      </c>
      <c r="G139" s="459">
        <f t="shared" si="84"/>
        <v>0</v>
      </c>
      <c r="H139" s="459">
        <f t="shared" si="84"/>
        <v>0</v>
      </c>
      <c r="I139" s="459">
        <f t="shared" si="84"/>
        <v>0</v>
      </c>
      <c r="J139" s="459">
        <f t="shared" si="84"/>
        <v>0</v>
      </c>
      <c r="K139" s="459">
        <f t="shared" si="84"/>
        <v>0</v>
      </c>
      <c r="L139" s="459">
        <f t="shared" si="84"/>
        <v>0</v>
      </c>
      <c r="M139" s="459">
        <f t="shared" si="84"/>
        <v>0</v>
      </c>
      <c r="N139" s="459">
        <f t="shared" si="84"/>
        <v>0</v>
      </c>
      <c r="O139" s="459">
        <f t="shared" si="84"/>
        <v>0</v>
      </c>
      <c r="P139" s="459">
        <f t="shared" si="84"/>
        <v>0</v>
      </c>
      <c r="Q139" s="459">
        <f t="shared" si="84"/>
        <v>0</v>
      </c>
    </row>
    <row r="140" outlineLevel="1">
      <c r="A140" s="343" t="s">
        <v>392</v>
      </c>
      <c r="B140" s="612">
        <f t="shared" si="85"/>
        <v>-66054.05487</v>
      </c>
      <c r="C140" s="461">
        <f t="shared" si="86"/>
        <v>-66054.05487</v>
      </c>
      <c r="D140" s="459">
        <f t="shared" ref="D140:Q140" si="87">-D104</f>
        <v>-6775.384571</v>
      </c>
      <c r="E140" s="459">
        <f t="shared" si="87"/>
        <v>-32751.74002</v>
      </c>
      <c r="F140" s="459">
        <f t="shared" si="87"/>
        <v>-1200.942415</v>
      </c>
      <c r="G140" s="459">
        <f t="shared" si="87"/>
        <v>-1200.488709</v>
      </c>
      <c r="H140" s="459">
        <f t="shared" si="87"/>
        <v>-1949.498423</v>
      </c>
      <c r="I140" s="459">
        <f t="shared" si="87"/>
        <v>-2580.524706</v>
      </c>
      <c r="J140" s="459">
        <f t="shared" si="87"/>
        <v>-1798.073524</v>
      </c>
      <c r="K140" s="459">
        <f t="shared" si="87"/>
        <v>-1746.120742</v>
      </c>
      <c r="L140" s="459">
        <f t="shared" si="87"/>
        <v>-2917.940515</v>
      </c>
      <c r="M140" s="459">
        <f t="shared" si="87"/>
        <v>-3439.771478</v>
      </c>
      <c r="N140" s="459">
        <f t="shared" si="87"/>
        <v>-3027.735865</v>
      </c>
      <c r="O140" s="459">
        <f t="shared" si="87"/>
        <v>-2389.400171</v>
      </c>
      <c r="P140" s="459">
        <f t="shared" si="87"/>
        <v>-3264.236255</v>
      </c>
      <c r="Q140" s="459">
        <f t="shared" si="87"/>
        <v>-1012.197474</v>
      </c>
    </row>
    <row r="141" outlineLevel="1">
      <c r="A141" s="342" t="s">
        <v>393</v>
      </c>
      <c r="B141" s="612">
        <f t="shared" si="85"/>
        <v>-54126.12802</v>
      </c>
      <c r="C141" s="461">
        <f t="shared" si="86"/>
        <v>-54126.12802</v>
      </c>
      <c r="D141" s="459">
        <f t="shared" ref="D141:Q141" si="88">-D105</f>
        <v>-2130.055453</v>
      </c>
      <c r="E141" s="459">
        <f t="shared" si="88"/>
        <v>-19607.99888</v>
      </c>
      <c r="F141" s="459">
        <f t="shared" si="88"/>
        <v>-1078.647222</v>
      </c>
      <c r="G141" s="459">
        <f t="shared" si="88"/>
        <v>-1225.49583</v>
      </c>
      <c r="H141" s="459">
        <f t="shared" si="88"/>
        <v>-1990.108003</v>
      </c>
      <c r="I141" s="459">
        <f t="shared" si="88"/>
        <v>-2634.279058</v>
      </c>
      <c r="J141" s="459">
        <f t="shared" si="88"/>
        <v>-1835.528804</v>
      </c>
      <c r="K141" s="459">
        <f t="shared" si="88"/>
        <v>-1782.493806</v>
      </c>
      <c r="L141" s="459">
        <f t="shared" si="88"/>
        <v>-2647.100701</v>
      </c>
      <c r="M141" s="459">
        <f t="shared" si="88"/>
        <v>-5114.223373</v>
      </c>
      <c r="N141" s="459">
        <f t="shared" si="88"/>
        <v>-4501.612281</v>
      </c>
      <c r="O141" s="459">
        <f t="shared" si="88"/>
        <v>-3552.540127</v>
      </c>
      <c r="P141" s="459">
        <f t="shared" si="88"/>
        <v>-4853.239077</v>
      </c>
      <c r="Q141" s="459">
        <f t="shared" si="88"/>
        <v>-1172.80541</v>
      </c>
    </row>
    <row r="142" outlineLevel="1">
      <c r="A142" s="342"/>
      <c r="B142" s="605"/>
      <c r="C142" s="441"/>
      <c r="D142" s="441"/>
      <c r="E142" s="441"/>
      <c r="F142" s="441"/>
      <c r="G142" s="441"/>
      <c r="H142" s="441"/>
      <c r="I142" s="441"/>
      <c r="J142" s="441"/>
      <c r="K142" s="441"/>
      <c r="L142" s="441"/>
      <c r="M142" s="441"/>
      <c r="N142" s="441"/>
      <c r="O142" s="441"/>
      <c r="P142" s="441"/>
      <c r="Q142" s="441"/>
    </row>
    <row r="143" outlineLevel="1">
      <c r="A143" s="520" t="s">
        <v>394</v>
      </c>
      <c r="B143" s="605"/>
      <c r="C143" s="441"/>
      <c r="D143" s="441"/>
      <c r="E143" s="441"/>
      <c r="F143" s="441"/>
      <c r="G143" s="441"/>
      <c r="H143" s="441"/>
      <c r="I143" s="441"/>
      <c r="J143" s="441"/>
      <c r="K143" s="441"/>
      <c r="L143" s="441"/>
      <c r="M143" s="441"/>
      <c r="N143" s="441"/>
      <c r="O143" s="441"/>
      <c r="P143" s="441"/>
      <c r="Q143" s="441"/>
    </row>
    <row r="144" outlineLevel="1">
      <c r="A144" s="343" t="s">
        <v>285</v>
      </c>
      <c r="B144" s="295"/>
      <c r="C144" s="252"/>
      <c r="D144" s="252"/>
      <c r="E144" s="252"/>
      <c r="F144" s="252"/>
      <c r="G144" s="252"/>
      <c r="H144" s="252"/>
      <c r="I144" s="252"/>
      <c r="J144" s="252"/>
      <c r="K144" s="252"/>
      <c r="L144" s="252"/>
      <c r="M144" s="252"/>
      <c r="N144" s="252"/>
      <c r="O144" s="252"/>
      <c r="P144" s="252"/>
      <c r="Q144" s="252"/>
    </row>
    <row r="145" outlineLevel="1">
      <c r="A145" s="342" t="s">
        <v>391</v>
      </c>
      <c r="B145" s="295">
        <f t="shared" ref="B145:B147" si="90">index(A145:AAA145,,match($A$3,$A$1:$AAA$1,0))</f>
        <v>3059.066042</v>
      </c>
      <c r="C145" s="252">
        <f t="shared" ref="C145:C147" si="91">sumif(D145:U145,"&lt;&gt;#DIV/0!")</f>
        <v>3059.066042</v>
      </c>
      <c r="D145" s="252">
        <f t="shared" ref="D145:Q145" si="89">D129*D$36</f>
        <v>145.2982505</v>
      </c>
      <c r="E145" s="252">
        <f t="shared" si="89"/>
        <v>1956.175997</v>
      </c>
      <c r="F145" s="252">
        <f t="shared" si="89"/>
        <v>8.861261158</v>
      </c>
      <c r="G145" s="252">
        <f t="shared" si="89"/>
        <v>35.99765879</v>
      </c>
      <c r="H145" s="252">
        <f t="shared" si="89"/>
        <v>111.6560568</v>
      </c>
      <c r="I145" s="252">
        <f t="shared" si="89"/>
        <v>115.8778827</v>
      </c>
      <c r="J145" s="252">
        <f t="shared" si="89"/>
        <v>43.56761095</v>
      </c>
      <c r="K145" s="252">
        <f t="shared" si="89"/>
        <v>49.37513582</v>
      </c>
      <c r="L145" s="252">
        <f t="shared" si="89"/>
        <v>108.4587833</v>
      </c>
      <c r="M145" s="252">
        <f t="shared" si="89"/>
        <v>186.1942583</v>
      </c>
      <c r="N145" s="252">
        <f t="shared" si="89"/>
        <v>35.83723919</v>
      </c>
      <c r="O145" s="252">
        <f t="shared" si="89"/>
        <v>106.3818625</v>
      </c>
      <c r="P145" s="252">
        <f t="shared" si="89"/>
        <v>148.7209676</v>
      </c>
      <c r="Q145" s="252">
        <f t="shared" si="89"/>
        <v>6.663077126</v>
      </c>
    </row>
    <row r="146" outlineLevel="1">
      <c r="A146" s="343" t="s">
        <v>392</v>
      </c>
      <c r="B146" s="295">
        <f t="shared" si="90"/>
        <v>0</v>
      </c>
      <c r="C146" s="252">
        <f t="shared" si="91"/>
        <v>0</v>
      </c>
      <c r="D146" s="252">
        <f t="shared" ref="D146:Q146" si="92">D130*D$36</f>
        <v>0</v>
      </c>
      <c r="E146" s="252">
        <f t="shared" si="92"/>
        <v>0</v>
      </c>
      <c r="F146" s="252">
        <f t="shared" si="92"/>
        <v>0</v>
      </c>
      <c r="G146" s="252">
        <f t="shared" si="92"/>
        <v>0</v>
      </c>
      <c r="H146" s="252">
        <f t="shared" si="92"/>
        <v>0</v>
      </c>
      <c r="I146" s="252">
        <f t="shared" si="92"/>
        <v>0</v>
      </c>
      <c r="J146" s="252">
        <f t="shared" si="92"/>
        <v>0</v>
      </c>
      <c r="K146" s="252">
        <f t="shared" si="92"/>
        <v>0</v>
      </c>
      <c r="L146" s="252">
        <f t="shared" si="92"/>
        <v>0</v>
      </c>
      <c r="M146" s="252">
        <f t="shared" si="92"/>
        <v>0</v>
      </c>
      <c r="N146" s="252">
        <f t="shared" si="92"/>
        <v>0</v>
      </c>
      <c r="O146" s="252">
        <f t="shared" si="92"/>
        <v>0</v>
      </c>
      <c r="P146" s="252">
        <f t="shared" si="92"/>
        <v>0</v>
      </c>
      <c r="Q146" s="252">
        <f t="shared" si="92"/>
        <v>0</v>
      </c>
    </row>
    <row r="147" outlineLevel="1">
      <c r="A147" s="342" t="s">
        <v>393</v>
      </c>
      <c r="B147" s="295">
        <f t="shared" si="90"/>
        <v>0</v>
      </c>
      <c r="C147" s="252">
        <f t="shared" si="91"/>
        <v>0</v>
      </c>
      <c r="D147" s="252">
        <f t="shared" ref="D147:Q147" si="93">D131*D$36</f>
        <v>0</v>
      </c>
      <c r="E147" s="252">
        <f t="shared" si="93"/>
        <v>0</v>
      </c>
      <c r="F147" s="252">
        <f t="shared" si="93"/>
        <v>0</v>
      </c>
      <c r="G147" s="252">
        <f t="shared" si="93"/>
        <v>0</v>
      </c>
      <c r="H147" s="252">
        <f t="shared" si="93"/>
        <v>0</v>
      </c>
      <c r="I147" s="252">
        <f t="shared" si="93"/>
        <v>0</v>
      </c>
      <c r="J147" s="252">
        <f t="shared" si="93"/>
        <v>0</v>
      </c>
      <c r="K147" s="252">
        <f t="shared" si="93"/>
        <v>0</v>
      </c>
      <c r="L147" s="252">
        <f t="shared" si="93"/>
        <v>0</v>
      </c>
      <c r="M147" s="252">
        <f t="shared" si="93"/>
        <v>0</v>
      </c>
      <c r="N147" s="252">
        <f t="shared" si="93"/>
        <v>0</v>
      </c>
      <c r="O147" s="252">
        <f t="shared" si="93"/>
        <v>0</v>
      </c>
      <c r="P147" s="252">
        <f t="shared" si="93"/>
        <v>0</v>
      </c>
      <c r="Q147" s="252">
        <f t="shared" si="93"/>
        <v>0</v>
      </c>
    </row>
    <row r="148" outlineLevel="1">
      <c r="A148" s="343"/>
      <c r="B148" s="295"/>
      <c r="C148" s="252"/>
      <c r="D148" s="252"/>
      <c r="E148" s="252"/>
      <c r="F148" s="252"/>
      <c r="G148" s="252"/>
      <c r="H148" s="252"/>
      <c r="I148" s="252"/>
      <c r="J148" s="252"/>
      <c r="K148" s="252"/>
      <c r="L148" s="252"/>
      <c r="M148" s="252"/>
      <c r="N148" s="252"/>
      <c r="O148" s="252"/>
      <c r="P148" s="252"/>
      <c r="Q148" s="252"/>
    </row>
    <row r="149" outlineLevel="1">
      <c r="A149" s="343" t="s">
        <v>287</v>
      </c>
      <c r="B149" s="295"/>
      <c r="C149" s="252"/>
      <c r="D149" s="252"/>
      <c r="E149" s="252"/>
      <c r="F149" s="252"/>
      <c r="G149" s="252"/>
      <c r="H149" s="252"/>
      <c r="I149" s="252"/>
      <c r="J149" s="252"/>
      <c r="K149" s="252"/>
      <c r="L149" s="252"/>
      <c r="M149" s="252"/>
      <c r="N149" s="252"/>
      <c r="O149" s="252"/>
      <c r="P149" s="252"/>
      <c r="Q149" s="252"/>
    </row>
    <row r="150" outlineLevel="1">
      <c r="A150" s="342" t="s">
        <v>391</v>
      </c>
      <c r="B150" s="295">
        <f t="shared" ref="B150:B152" si="95">index(A150:AAA150,,match($A$3,$A$1:$AAA$1,0))</f>
        <v>0</v>
      </c>
      <c r="C150" s="252">
        <f t="shared" ref="C150:C152" si="96">sumif(D150:U150,"&lt;&gt;#DIV/0!")</f>
        <v>0</v>
      </c>
      <c r="D150" s="252">
        <f t="shared" ref="D150:Q150" si="94">D134*D$36</f>
        <v>0</v>
      </c>
      <c r="E150" s="252">
        <f t="shared" si="94"/>
        <v>0</v>
      </c>
      <c r="F150" s="252">
        <f t="shared" si="94"/>
        <v>0</v>
      </c>
      <c r="G150" s="252">
        <f t="shared" si="94"/>
        <v>0</v>
      </c>
      <c r="H150" s="252">
        <f t="shared" si="94"/>
        <v>0</v>
      </c>
      <c r="I150" s="252">
        <f t="shared" si="94"/>
        <v>0</v>
      </c>
      <c r="J150" s="252">
        <f t="shared" si="94"/>
        <v>0</v>
      </c>
      <c r="K150" s="252">
        <f t="shared" si="94"/>
        <v>0</v>
      </c>
      <c r="L150" s="252">
        <f t="shared" si="94"/>
        <v>0</v>
      </c>
      <c r="M150" s="252">
        <f t="shared" si="94"/>
        <v>0</v>
      </c>
      <c r="N150" s="252">
        <f t="shared" si="94"/>
        <v>0</v>
      </c>
      <c r="O150" s="252">
        <f t="shared" si="94"/>
        <v>0</v>
      </c>
      <c r="P150" s="252">
        <f t="shared" si="94"/>
        <v>0</v>
      </c>
      <c r="Q150" s="252">
        <f t="shared" si="94"/>
        <v>0</v>
      </c>
    </row>
    <row r="151" outlineLevel="1">
      <c r="A151" s="343" t="s">
        <v>392</v>
      </c>
      <c r="B151" s="295">
        <f t="shared" si="95"/>
        <v>-2122.798459</v>
      </c>
      <c r="C151" s="252">
        <f t="shared" si="96"/>
        <v>-2122.798459</v>
      </c>
      <c r="D151" s="252">
        <f t="shared" ref="D151:Q151" si="97">D135*D$36</f>
        <v>-71.96716977</v>
      </c>
      <c r="E151" s="252">
        <f t="shared" si="97"/>
        <v>-1127.708</v>
      </c>
      <c r="F151" s="252">
        <f t="shared" si="97"/>
        <v>-6.174380548</v>
      </c>
      <c r="G151" s="252">
        <f t="shared" si="97"/>
        <v>-27.42673437</v>
      </c>
      <c r="H151" s="252">
        <f t="shared" si="97"/>
        <v>-85.07111611</v>
      </c>
      <c r="I151" s="252">
        <f t="shared" si="97"/>
        <v>-88.28773913</v>
      </c>
      <c r="J151" s="252">
        <f t="shared" si="97"/>
        <v>-33.19430577</v>
      </c>
      <c r="K151" s="252">
        <f t="shared" si="97"/>
        <v>-37.61907802</v>
      </c>
      <c r="L151" s="252">
        <f t="shared" si="97"/>
        <v>-76.04993795</v>
      </c>
      <c r="M151" s="252">
        <f t="shared" si="97"/>
        <v>-219.946936</v>
      </c>
      <c r="N151" s="252">
        <f t="shared" si="97"/>
        <v>-42.33369507</v>
      </c>
      <c r="O151" s="252">
        <f t="shared" si="97"/>
        <v>-125.6664138</v>
      </c>
      <c r="P151" s="252">
        <f t="shared" si="97"/>
        <v>-175.6806115</v>
      </c>
      <c r="Q151" s="252">
        <f t="shared" si="97"/>
        <v>-5.672341426</v>
      </c>
    </row>
    <row r="152" outlineLevel="1">
      <c r="A152" s="342" t="s">
        <v>393</v>
      </c>
      <c r="B152" s="295">
        <f t="shared" si="95"/>
        <v>-1894.130364</v>
      </c>
      <c r="C152" s="252">
        <f t="shared" si="96"/>
        <v>-1894.130364</v>
      </c>
      <c r="D152" s="252">
        <f t="shared" ref="D152:Q152" si="98">D136*D$36</f>
        <v>-22.6251456</v>
      </c>
      <c r="E152" s="252">
        <f t="shared" si="98"/>
        <v>-675.14267</v>
      </c>
      <c r="F152" s="252">
        <f t="shared" si="98"/>
        <v>-5.545626787</v>
      </c>
      <c r="G152" s="252">
        <f t="shared" si="98"/>
        <v>-27.99805475</v>
      </c>
      <c r="H152" s="252">
        <f t="shared" si="98"/>
        <v>-86.84321413</v>
      </c>
      <c r="I152" s="252">
        <f t="shared" si="98"/>
        <v>-90.12684193</v>
      </c>
      <c r="J152" s="252">
        <f t="shared" si="98"/>
        <v>-33.88576917</v>
      </c>
      <c r="K152" s="252">
        <f t="shared" si="98"/>
        <v>-38.4027129</v>
      </c>
      <c r="L152" s="252">
        <f t="shared" si="98"/>
        <v>-68.99107195</v>
      </c>
      <c r="M152" s="252">
        <f t="shared" si="98"/>
        <v>-327.015259</v>
      </c>
      <c r="N152" s="252">
        <f t="shared" si="98"/>
        <v>-62.94138264</v>
      </c>
      <c r="O152" s="252">
        <f t="shared" si="98"/>
        <v>-186.8397696</v>
      </c>
      <c r="P152" s="252">
        <f t="shared" si="98"/>
        <v>-261.2004591</v>
      </c>
      <c r="Q152" s="252">
        <f t="shared" si="98"/>
        <v>-6.572386202</v>
      </c>
    </row>
    <row r="153" outlineLevel="1">
      <c r="A153" s="343"/>
      <c r="B153" s="295"/>
      <c r="C153" s="252"/>
      <c r="D153" s="252"/>
      <c r="E153" s="252"/>
      <c r="F153" s="252"/>
      <c r="G153" s="252"/>
      <c r="H153" s="252"/>
      <c r="I153" s="252"/>
      <c r="J153" s="252"/>
      <c r="K153" s="252"/>
      <c r="L153" s="252"/>
      <c r="M153" s="252"/>
      <c r="N153" s="252"/>
      <c r="O153" s="252"/>
      <c r="P153" s="252"/>
      <c r="Q153" s="252"/>
    </row>
    <row r="154" outlineLevel="1">
      <c r="A154" s="344" t="s">
        <v>288</v>
      </c>
      <c r="B154" s="295"/>
      <c r="C154" s="252"/>
      <c r="D154" s="252"/>
      <c r="E154" s="252"/>
      <c r="F154" s="252"/>
      <c r="G154" s="252"/>
      <c r="H154" s="252"/>
      <c r="I154" s="252"/>
      <c r="J154" s="252"/>
      <c r="K154" s="252"/>
      <c r="L154" s="252"/>
      <c r="M154" s="252"/>
      <c r="N154" s="252"/>
      <c r="O154" s="252"/>
      <c r="P154" s="252"/>
      <c r="Q154" s="252"/>
    </row>
    <row r="155" outlineLevel="1">
      <c r="A155" s="342" t="s">
        <v>391</v>
      </c>
      <c r="B155" s="295">
        <f t="shared" ref="B155:B157" si="100">index(A155:AAA155,,match($A$3,$A$1:$AAA$1,0))</f>
        <v>0</v>
      </c>
      <c r="C155" s="252">
        <f t="shared" ref="C155:C157" si="101">sumif(D155:U155,"&lt;&gt;#DIV/0!")</f>
        <v>0</v>
      </c>
      <c r="D155" s="252">
        <f t="shared" ref="D155:Q155" si="99">D139*D$36</f>
        <v>0</v>
      </c>
      <c r="E155" s="252">
        <f t="shared" si="99"/>
        <v>0</v>
      </c>
      <c r="F155" s="252">
        <f t="shared" si="99"/>
        <v>0</v>
      </c>
      <c r="G155" s="252">
        <f t="shared" si="99"/>
        <v>0</v>
      </c>
      <c r="H155" s="252">
        <f t="shared" si="99"/>
        <v>0</v>
      </c>
      <c r="I155" s="252">
        <f t="shared" si="99"/>
        <v>0</v>
      </c>
      <c r="J155" s="252">
        <f t="shared" si="99"/>
        <v>0</v>
      </c>
      <c r="K155" s="252">
        <f t="shared" si="99"/>
        <v>0</v>
      </c>
      <c r="L155" s="252">
        <f t="shared" si="99"/>
        <v>0</v>
      </c>
      <c r="M155" s="252">
        <f t="shared" si="99"/>
        <v>0</v>
      </c>
      <c r="N155" s="252">
        <f t="shared" si="99"/>
        <v>0</v>
      </c>
      <c r="O155" s="252">
        <f t="shared" si="99"/>
        <v>0</v>
      </c>
      <c r="P155" s="252">
        <f t="shared" si="99"/>
        <v>0</v>
      </c>
      <c r="Q155" s="252">
        <f t="shared" si="99"/>
        <v>0</v>
      </c>
    </row>
    <row r="156" outlineLevel="1">
      <c r="A156" s="343" t="s">
        <v>392</v>
      </c>
      <c r="B156" s="295">
        <f t="shared" si="100"/>
        <v>-2122.798459</v>
      </c>
      <c r="C156" s="252">
        <f t="shared" si="101"/>
        <v>-2122.798459</v>
      </c>
      <c r="D156" s="252">
        <f t="shared" ref="D156:Q156" si="102">D140*D$36</f>
        <v>-71.96716977</v>
      </c>
      <c r="E156" s="252">
        <f t="shared" si="102"/>
        <v>-1127.708</v>
      </c>
      <c r="F156" s="252">
        <f t="shared" si="102"/>
        <v>-6.174380548</v>
      </c>
      <c r="G156" s="252">
        <f t="shared" si="102"/>
        <v>-27.42673437</v>
      </c>
      <c r="H156" s="252">
        <f t="shared" si="102"/>
        <v>-85.07111611</v>
      </c>
      <c r="I156" s="252">
        <f t="shared" si="102"/>
        <v>-88.28773913</v>
      </c>
      <c r="J156" s="252">
        <f t="shared" si="102"/>
        <v>-33.19430577</v>
      </c>
      <c r="K156" s="252">
        <f t="shared" si="102"/>
        <v>-37.61907802</v>
      </c>
      <c r="L156" s="252">
        <f t="shared" si="102"/>
        <v>-76.04993795</v>
      </c>
      <c r="M156" s="252">
        <f t="shared" si="102"/>
        <v>-219.946936</v>
      </c>
      <c r="N156" s="252">
        <f t="shared" si="102"/>
        <v>-42.33369507</v>
      </c>
      <c r="O156" s="252">
        <f t="shared" si="102"/>
        <v>-125.6664138</v>
      </c>
      <c r="P156" s="252">
        <f t="shared" si="102"/>
        <v>-175.6806115</v>
      </c>
      <c r="Q156" s="252">
        <f t="shared" si="102"/>
        <v>-5.672341426</v>
      </c>
    </row>
    <row r="157" outlineLevel="1">
      <c r="A157" s="342" t="s">
        <v>393</v>
      </c>
      <c r="B157" s="295">
        <f t="shared" si="100"/>
        <v>-1894.130364</v>
      </c>
      <c r="C157" s="252">
        <f t="shared" si="101"/>
        <v>-1894.130364</v>
      </c>
      <c r="D157" s="252">
        <f t="shared" ref="D157:Q157" si="103">D141*D$36</f>
        <v>-22.6251456</v>
      </c>
      <c r="E157" s="252">
        <f t="shared" si="103"/>
        <v>-675.14267</v>
      </c>
      <c r="F157" s="252">
        <f t="shared" si="103"/>
        <v>-5.545626787</v>
      </c>
      <c r="G157" s="252">
        <f t="shared" si="103"/>
        <v>-27.99805475</v>
      </c>
      <c r="H157" s="252">
        <f t="shared" si="103"/>
        <v>-86.84321413</v>
      </c>
      <c r="I157" s="252">
        <f t="shared" si="103"/>
        <v>-90.12684193</v>
      </c>
      <c r="J157" s="252">
        <f t="shared" si="103"/>
        <v>-33.88576917</v>
      </c>
      <c r="K157" s="252">
        <f t="shared" si="103"/>
        <v>-38.4027129</v>
      </c>
      <c r="L157" s="252">
        <f t="shared" si="103"/>
        <v>-68.99107195</v>
      </c>
      <c r="M157" s="252">
        <f t="shared" si="103"/>
        <v>-327.015259</v>
      </c>
      <c r="N157" s="252">
        <f t="shared" si="103"/>
        <v>-62.94138264</v>
      </c>
      <c r="O157" s="252">
        <f t="shared" si="103"/>
        <v>-186.8397696</v>
      </c>
      <c r="P157" s="252">
        <f t="shared" si="103"/>
        <v>-261.2004591</v>
      </c>
      <c r="Q157" s="252">
        <f t="shared" si="103"/>
        <v>-6.572386202</v>
      </c>
    </row>
    <row r="158" outlineLevel="1">
      <c r="A158" s="616"/>
      <c r="B158" s="605"/>
      <c r="C158" s="441"/>
      <c r="D158" s="441"/>
      <c r="E158" s="441"/>
      <c r="F158" s="441"/>
      <c r="G158" s="441"/>
      <c r="H158" s="441"/>
      <c r="I158" s="441"/>
      <c r="J158" s="441"/>
      <c r="K158" s="441"/>
      <c r="L158" s="441"/>
      <c r="M158" s="441"/>
      <c r="N158" s="441"/>
      <c r="O158" s="441"/>
      <c r="P158" s="441"/>
      <c r="Q158" s="441"/>
    </row>
    <row r="159" outlineLevel="1">
      <c r="A159" s="616"/>
      <c r="B159" s="605"/>
      <c r="C159" s="441"/>
      <c r="D159" s="441"/>
      <c r="E159" s="441"/>
      <c r="F159" s="441"/>
      <c r="G159" s="441"/>
      <c r="H159" s="441"/>
      <c r="I159" s="441"/>
      <c r="J159" s="441"/>
      <c r="K159" s="441"/>
      <c r="L159" s="441"/>
      <c r="M159" s="441"/>
      <c r="N159" s="441"/>
      <c r="O159" s="441"/>
      <c r="P159" s="441"/>
      <c r="Q159" s="441"/>
    </row>
    <row r="160" outlineLevel="1">
      <c r="A160" s="523" t="s">
        <v>395</v>
      </c>
      <c r="B160" s="605"/>
      <c r="C160" s="441"/>
      <c r="D160" s="441"/>
      <c r="E160" s="441"/>
      <c r="F160" s="441"/>
      <c r="G160" s="441"/>
      <c r="H160" s="441"/>
      <c r="I160" s="441"/>
      <c r="J160" s="441"/>
      <c r="K160" s="441"/>
      <c r="L160" s="441"/>
      <c r="M160" s="441"/>
      <c r="N160" s="441"/>
      <c r="O160" s="441"/>
      <c r="P160" s="441"/>
      <c r="Q160" s="441"/>
    </row>
    <row r="161" outlineLevel="1">
      <c r="A161" s="343" t="s">
        <v>285</v>
      </c>
      <c r="B161" s="295"/>
      <c r="C161" s="252"/>
      <c r="D161" s="252"/>
      <c r="E161" s="252"/>
      <c r="F161" s="252"/>
      <c r="G161" s="252"/>
      <c r="H161" s="252"/>
      <c r="I161" s="252"/>
      <c r="J161" s="252"/>
      <c r="K161" s="252"/>
      <c r="L161" s="252"/>
      <c r="M161" s="252"/>
      <c r="N161" s="252"/>
      <c r="O161" s="252"/>
      <c r="P161" s="252"/>
      <c r="Q161" s="252"/>
    </row>
    <row r="162" outlineLevel="1">
      <c r="A162" s="342" t="s">
        <v>391</v>
      </c>
      <c r="B162" s="295">
        <f t="shared" ref="B162:B164" si="105">index(A162:AAA162,,match($A$3,$A$1:$AAA$1,0))</f>
        <v>-360.953606</v>
      </c>
      <c r="C162" s="252">
        <f t="shared" ref="C162:C164" si="106">sumif(D162:U162,"&lt;&gt;#DIV/0!")</f>
        <v>-360.953606</v>
      </c>
      <c r="D162" s="252">
        <f t="shared" ref="D162:Q162" si="104">-D129*D113</f>
        <v>-49.3754762</v>
      </c>
      <c r="E162" s="252">
        <f t="shared" si="104"/>
        <v>-205.0675898</v>
      </c>
      <c r="F162" s="252">
        <f t="shared" si="104"/>
        <v>-6.22122218</v>
      </c>
      <c r="G162" s="252">
        <f t="shared" si="104"/>
        <v>-5.68734561</v>
      </c>
      <c r="H162" s="252">
        <f t="shared" si="104"/>
        <v>-9.235798068</v>
      </c>
      <c r="I162" s="252">
        <f t="shared" si="104"/>
        <v>-12.22530104</v>
      </c>
      <c r="J162" s="252">
        <f t="shared" si="104"/>
        <v>-8.518418778</v>
      </c>
      <c r="K162" s="252">
        <f t="shared" si="104"/>
        <v>-8.272291162</v>
      </c>
      <c r="L162" s="252">
        <f t="shared" si="104"/>
        <v>-15.02082143</v>
      </c>
      <c r="M162" s="252">
        <f t="shared" si="104"/>
        <v>-10.51064442</v>
      </c>
      <c r="N162" s="252">
        <f t="shared" si="104"/>
        <v>-9.251618978</v>
      </c>
      <c r="O162" s="252">
        <f t="shared" si="104"/>
        <v>-7.301105829</v>
      </c>
      <c r="P162" s="252">
        <f t="shared" si="104"/>
        <v>-9.974274981</v>
      </c>
      <c r="Q162" s="252">
        <f t="shared" si="104"/>
        <v>-4.291697576</v>
      </c>
    </row>
    <row r="163" outlineLevel="1">
      <c r="A163" s="343" t="s">
        <v>392</v>
      </c>
      <c r="B163" s="295">
        <f t="shared" si="105"/>
        <v>0</v>
      </c>
      <c r="C163" s="252">
        <f t="shared" si="106"/>
        <v>0</v>
      </c>
      <c r="D163" s="252">
        <f t="shared" ref="D163:Q163" si="107">-D130*D114</f>
        <v>0</v>
      </c>
      <c r="E163" s="252">
        <f t="shared" si="107"/>
        <v>0</v>
      </c>
      <c r="F163" s="252">
        <f t="shared" si="107"/>
        <v>0</v>
      </c>
      <c r="G163" s="252">
        <f t="shared" si="107"/>
        <v>0</v>
      </c>
      <c r="H163" s="252">
        <f t="shared" si="107"/>
        <v>0</v>
      </c>
      <c r="I163" s="252">
        <f t="shared" si="107"/>
        <v>0</v>
      </c>
      <c r="J163" s="252">
        <f t="shared" si="107"/>
        <v>0</v>
      </c>
      <c r="K163" s="252">
        <f t="shared" si="107"/>
        <v>0</v>
      </c>
      <c r="L163" s="252">
        <f t="shared" si="107"/>
        <v>0</v>
      </c>
      <c r="M163" s="252">
        <f t="shared" si="107"/>
        <v>0</v>
      </c>
      <c r="N163" s="252">
        <f t="shared" si="107"/>
        <v>0</v>
      </c>
      <c r="O163" s="252">
        <f t="shared" si="107"/>
        <v>0</v>
      </c>
      <c r="P163" s="252">
        <f t="shared" si="107"/>
        <v>0</v>
      </c>
      <c r="Q163" s="252">
        <f t="shared" si="107"/>
        <v>0</v>
      </c>
    </row>
    <row r="164" outlineLevel="1">
      <c r="A164" s="342" t="s">
        <v>393</v>
      </c>
      <c r="B164" s="295">
        <f t="shared" si="105"/>
        <v>0</v>
      </c>
      <c r="C164" s="252">
        <f t="shared" si="106"/>
        <v>0</v>
      </c>
      <c r="D164" s="252">
        <f t="shared" ref="D164:Q164" si="108">-D131*D115</f>
        <v>0</v>
      </c>
      <c r="E164" s="252">
        <f t="shared" si="108"/>
        <v>0</v>
      </c>
      <c r="F164" s="252">
        <f t="shared" si="108"/>
        <v>0</v>
      </c>
      <c r="G164" s="252">
        <f t="shared" si="108"/>
        <v>0</v>
      </c>
      <c r="H164" s="252">
        <f t="shared" si="108"/>
        <v>0</v>
      </c>
      <c r="I164" s="252">
        <f t="shared" si="108"/>
        <v>0</v>
      </c>
      <c r="J164" s="252">
        <f t="shared" si="108"/>
        <v>0</v>
      </c>
      <c r="K164" s="252">
        <f t="shared" si="108"/>
        <v>0</v>
      </c>
      <c r="L164" s="252">
        <f t="shared" si="108"/>
        <v>0</v>
      </c>
      <c r="M164" s="252">
        <f t="shared" si="108"/>
        <v>0</v>
      </c>
      <c r="N164" s="252">
        <f t="shared" si="108"/>
        <v>0</v>
      </c>
      <c r="O164" s="252">
        <f t="shared" si="108"/>
        <v>0</v>
      </c>
      <c r="P164" s="252">
        <f t="shared" si="108"/>
        <v>0</v>
      </c>
      <c r="Q164" s="252">
        <f t="shared" si="108"/>
        <v>0</v>
      </c>
    </row>
    <row r="165" outlineLevel="1">
      <c r="A165" s="342"/>
      <c r="B165" s="295"/>
      <c r="C165" s="252"/>
      <c r="D165" s="252"/>
      <c r="E165" s="252"/>
      <c r="F165" s="252"/>
      <c r="G165" s="252"/>
      <c r="H165" s="252"/>
      <c r="I165" s="252"/>
      <c r="J165" s="252"/>
      <c r="K165" s="252"/>
      <c r="L165" s="252"/>
      <c r="M165" s="252"/>
      <c r="N165" s="252"/>
      <c r="O165" s="252"/>
      <c r="P165" s="252"/>
      <c r="Q165" s="252"/>
    </row>
    <row r="166" outlineLevel="1">
      <c r="A166" s="343" t="s">
        <v>287</v>
      </c>
      <c r="B166" s="295"/>
      <c r="C166" s="252"/>
      <c r="D166" s="252"/>
      <c r="E166" s="252"/>
      <c r="F166" s="252"/>
      <c r="G166" s="252"/>
      <c r="H166" s="252"/>
      <c r="I166" s="252"/>
      <c r="J166" s="252"/>
      <c r="K166" s="252"/>
      <c r="L166" s="252"/>
      <c r="M166" s="252"/>
      <c r="N166" s="252"/>
      <c r="O166" s="252"/>
      <c r="P166" s="252"/>
      <c r="Q166" s="252"/>
    </row>
    <row r="167" outlineLevel="1">
      <c r="A167" s="342" t="s">
        <v>391</v>
      </c>
      <c r="B167" s="295">
        <f t="shared" ref="B167:B170" si="110">index(A167:AAA167,,match($A$3,$A$1:$AAA$1,0))</f>
        <v>0</v>
      </c>
      <c r="C167" s="252">
        <f t="shared" ref="C167:C169" si="111">sumif(D167:U167,"&lt;&gt;#DIV/0!")</f>
        <v>0</v>
      </c>
      <c r="D167" s="252">
        <f t="shared" ref="D167:Q167" si="109">-D134*D113</f>
        <v>0</v>
      </c>
      <c r="E167" s="252">
        <f t="shared" si="109"/>
        <v>0</v>
      </c>
      <c r="F167" s="252">
        <f t="shared" si="109"/>
        <v>0</v>
      </c>
      <c r="G167" s="252">
        <f t="shared" si="109"/>
        <v>0</v>
      </c>
      <c r="H167" s="252">
        <f t="shared" si="109"/>
        <v>0</v>
      </c>
      <c r="I167" s="252">
        <f t="shared" si="109"/>
        <v>0</v>
      </c>
      <c r="J167" s="252">
        <f t="shared" si="109"/>
        <v>0</v>
      </c>
      <c r="K167" s="252">
        <f t="shared" si="109"/>
        <v>0</v>
      </c>
      <c r="L167" s="252">
        <f t="shared" si="109"/>
        <v>0</v>
      </c>
      <c r="M167" s="252">
        <f t="shared" si="109"/>
        <v>0</v>
      </c>
      <c r="N167" s="252">
        <f t="shared" si="109"/>
        <v>0</v>
      </c>
      <c r="O167" s="252">
        <f t="shared" si="109"/>
        <v>0</v>
      </c>
      <c r="P167" s="252">
        <f t="shared" si="109"/>
        <v>0</v>
      </c>
      <c r="Q167" s="252">
        <f t="shared" si="109"/>
        <v>0</v>
      </c>
    </row>
    <row r="168" outlineLevel="1">
      <c r="A168" s="343" t="s">
        <v>392</v>
      </c>
      <c r="B168" s="295">
        <f t="shared" si="110"/>
        <v>238.424493</v>
      </c>
      <c r="C168" s="252">
        <f t="shared" si="111"/>
        <v>238.424493</v>
      </c>
      <c r="D168" s="252">
        <f t="shared" ref="D168:Q168" si="112">-D135*D114</f>
        <v>24.45599493</v>
      </c>
      <c r="E168" s="252">
        <f t="shared" si="112"/>
        <v>118.2185866</v>
      </c>
      <c r="F168" s="252">
        <f t="shared" si="112"/>
        <v>4.334844953</v>
      </c>
      <c r="G168" s="252">
        <f t="shared" si="112"/>
        <v>4.333207285</v>
      </c>
      <c r="H168" s="252">
        <f t="shared" si="112"/>
        <v>7.036784859</v>
      </c>
      <c r="I168" s="252">
        <f t="shared" si="112"/>
        <v>9.314496982</v>
      </c>
      <c r="J168" s="252">
        <f t="shared" si="112"/>
        <v>6.490211223</v>
      </c>
      <c r="K168" s="252">
        <f t="shared" si="112"/>
        <v>6.302685785</v>
      </c>
      <c r="L168" s="252">
        <f t="shared" si="112"/>
        <v>10.53241151</v>
      </c>
      <c r="M168" s="252">
        <f t="shared" si="112"/>
        <v>12.41597919</v>
      </c>
      <c r="N168" s="252">
        <f t="shared" si="112"/>
        <v>10.92872179</v>
      </c>
      <c r="O168" s="252">
        <f t="shared" si="112"/>
        <v>8.624626082</v>
      </c>
      <c r="P168" s="252">
        <f t="shared" si="112"/>
        <v>11.78237847</v>
      </c>
      <c r="Q168" s="252">
        <f t="shared" si="112"/>
        <v>3.653563284</v>
      </c>
    </row>
    <row r="169" outlineLevel="1">
      <c r="A169" s="342" t="s">
        <v>393</v>
      </c>
      <c r="B169" s="295">
        <f t="shared" si="110"/>
        <v>294.6153353</v>
      </c>
      <c r="C169" s="252">
        <f t="shared" si="111"/>
        <v>294.6153353</v>
      </c>
      <c r="D169" s="252">
        <f t="shared" ref="D169:Q169" si="113">-D136*D115</f>
        <v>11.59416024</v>
      </c>
      <c r="E169" s="252">
        <f t="shared" si="113"/>
        <v>106.7288087</v>
      </c>
      <c r="F169" s="252">
        <f t="shared" si="113"/>
        <v>5.871212752</v>
      </c>
      <c r="G169" s="252">
        <f t="shared" si="113"/>
        <v>6.670528227</v>
      </c>
      <c r="H169" s="252">
        <f t="shared" si="113"/>
        <v>10.83240864</v>
      </c>
      <c r="I169" s="252">
        <f t="shared" si="113"/>
        <v>14.33871286</v>
      </c>
      <c r="J169" s="252">
        <f t="shared" si="113"/>
        <v>9.99101458</v>
      </c>
      <c r="K169" s="252">
        <f t="shared" si="113"/>
        <v>9.702338399</v>
      </c>
      <c r="L169" s="252">
        <f t="shared" si="113"/>
        <v>14.40850268</v>
      </c>
      <c r="M169" s="252">
        <f t="shared" si="113"/>
        <v>27.83736227</v>
      </c>
      <c r="N169" s="252">
        <f t="shared" si="113"/>
        <v>24.5028429</v>
      </c>
      <c r="O169" s="252">
        <f t="shared" si="113"/>
        <v>19.33692357</v>
      </c>
      <c r="P169" s="252">
        <f t="shared" si="113"/>
        <v>26.41679186</v>
      </c>
      <c r="Q169" s="252">
        <f t="shared" si="113"/>
        <v>6.383727636</v>
      </c>
    </row>
    <row r="170" outlineLevel="1">
      <c r="A170" s="343"/>
      <c r="B170" s="295" t="str">
        <f t="shared" si="110"/>
        <v/>
      </c>
      <c r="C170" s="252"/>
      <c r="D170" s="252"/>
      <c r="E170" s="252"/>
      <c r="F170" s="252"/>
      <c r="G170" s="252"/>
      <c r="H170" s="252"/>
      <c r="I170" s="252"/>
      <c r="J170" s="252"/>
      <c r="K170" s="252"/>
      <c r="L170" s="252"/>
      <c r="M170" s="252"/>
      <c r="N170" s="252"/>
      <c r="O170" s="252"/>
      <c r="P170" s="252"/>
      <c r="Q170" s="252"/>
    </row>
    <row r="171" outlineLevel="1">
      <c r="A171" s="344" t="s">
        <v>288</v>
      </c>
      <c r="B171" s="295"/>
      <c r="C171" s="252"/>
      <c r="D171" s="252"/>
      <c r="E171" s="252"/>
      <c r="F171" s="252"/>
      <c r="G171" s="252"/>
      <c r="H171" s="252"/>
      <c r="I171" s="252"/>
      <c r="J171" s="252"/>
      <c r="K171" s="252"/>
      <c r="L171" s="252"/>
      <c r="M171" s="252"/>
      <c r="N171" s="252"/>
      <c r="O171" s="252"/>
      <c r="P171" s="252"/>
      <c r="Q171" s="252"/>
    </row>
    <row r="172" outlineLevel="1">
      <c r="A172" s="342" t="s">
        <v>391</v>
      </c>
      <c r="B172" s="295">
        <f t="shared" ref="B172:B174" si="115">index(A172:AAA172,,match($A$3,$A$1:$AAA$1,0))</f>
        <v>0</v>
      </c>
      <c r="C172" s="252">
        <f t="shared" ref="C172:C174" si="116">sumif(D172:U172,"&lt;&gt;#DIV/0!")</f>
        <v>0</v>
      </c>
      <c r="D172" s="252">
        <f t="shared" ref="D172:Q172" si="114">-D139*D113</f>
        <v>0</v>
      </c>
      <c r="E172" s="252">
        <f t="shared" si="114"/>
        <v>0</v>
      </c>
      <c r="F172" s="252">
        <f t="shared" si="114"/>
        <v>0</v>
      </c>
      <c r="G172" s="252">
        <f t="shared" si="114"/>
        <v>0</v>
      </c>
      <c r="H172" s="252">
        <f t="shared" si="114"/>
        <v>0</v>
      </c>
      <c r="I172" s="252">
        <f t="shared" si="114"/>
        <v>0</v>
      </c>
      <c r="J172" s="252">
        <f t="shared" si="114"/>
        <v>0</v>
      </c>
      <c r="K172" s="252">
        <f t="shared" si="114"/>
        <v>0</v>
      </c>
      <c r="L172" s="252">
        <f t="shared" si="114"/>
        <v>0</v>
      </c>
      <c r="M172" s="252">
        <f t="shared" si="114"/>
        <v>0</v>
      </c>
      <c r="N172" s="252">
        <f t="shared" si="114"/>
        <v>0</v>
      </c>
      <c r="O172" s="252">
        <f t="shared" si="114"/>
        <v>0</v>
      </c>
      <c r="P172" s="252">
        <f t="shared" si="114"/>
        <v>0</v>
      </c>
      <c r="Q172" s="252">
        <f t="shared" si="114"/>
        <v>0</v>
      </c>
    </row>
    <row r="173" outlineLevel="1">
      <c r="A173" s="343" t="s">
        <v>392</v>
      </c>
      <c r="B173" s="295">
        <f t="shared" si="115"/>
        <v>238.424493</v>
      </c>
      <c r="C173" s="252">
        <f t="shared" si="116"/>
        <v>238.424493</v>
      </c>
      <c r="D173" s="252">
        <f t="shared" ref="D173:Q173" si="117">-D140*D114</f>
        <v>24.45599493</v>
      </c>
      <c r="E173" s="252">
        <f t="shared" si="117"/>
        <v>118.2185866</v>
      </c>
      <c r="F173" s="252">
        <f t="shared" si="117"/>
        <v>4.334844953</v>
      </c>
      <c r="G173" s="252">
        <f t="shared" si="117"/>
        <v>4.333207285</v>
      </c>
      <c r="H173" s="252">
        <f t="shared" si="117"/>
        <v>7.036784859</v>
      </c>
      <c r="I173" s="252">
        <f t="shared" si="117"/>
        <v>9.314496982</v>
      </c>
      <c r="J173" s="252">
        <f t="shared" si="117"/>
        <v>6.490211223</v>
      </c>
      <c r="K173" s="252">
        <f t="shared" si="117"/>
        <v>6.302685785</v>
      </c>
      <c r="L173" s="252">
        <f t="shared" si="117"/>
        <v>10.53241151</v>
      </c>
      <c r="M173" s="252">
        <f t="shared" si="117"/>
        <v>12.41597919</v>
      </c>
      <c r="N173" s="252">
        <f t="shared" si="117"/>
        <v>10.92872179</v>
      </c>
      <c r="O173" s="252">
        <f t="shared" si="117"/>
        <v>8.624626082</v>
      </c>
      <c r="P173" s="252">
        <f t="shared" si="117"/>
        <v>11.78237847</v>
      </c>
      <c r="Q173" s="252">
        <f t="shared" si="117"/>
        <v>3.653563284</v>
      </c>
    </row>
    <row r="174" outlineLevel="1">
      <c r="A174" s="342" t="s">
        <v>393</v>
      </c>
      <c r="B174" s="295">
        <f t="shared" si="115"/>
        <v>294.6153353</v>
      </c>
      <c r="C174" s="252">
        <f t="shared" si="116"/>
        <v>294.6153353</v>
      </c>
      <c r="D174" s="252">
        <f t="shared" ref="D174:Q174" si="118">-D141*D115</f>
        <v>11.59416024</v>
      </c>
      <c r="E174" s="252">
        <f t="shared" si="118"/>
        <v>106.7288087</v>
      </c>
      <c r="F174" s="252">
        <f t="shared" si="118"/>
        <v>5.871212752</v>
      </c>
      <c r="G174" s="252">
        <f t="shared" si="118"/>
        <v>6.670528227</v>
      </c>
      <c r="H174" s="252">
        <f t="shared" si="118"/>
        <v>10.83240864</v>
      </c>
      <c r="I174" s="252">
        <f t="shared" si="118"/>
        <v>14.33871286</v>
      </c>
      <c r="J174" s="252">
        <f t="shared" si="118"/>
        <v>9.99101458</v>
      </c>
      <c r="K174" s="252">
        <f t="shared" si="118"/>
        <v>9.702338399</v>
      </c>
      <c r="L174" s="252">
        <f t="shared" si="118"/>
        <v>14.40850268</v>
      </c>
      <c r="M174" s="252">
        <f t="shared" si="118"/>
        <v>27.83736227</v>
      </c>
      <c r="N174" s="252">
        <f t="shared" si="118"/>
        <v>24.5028429</v>
      </c>
      <c r="O174" s="252">
        <f t="shared" si="118"/>
        <v>19.33692357</v>
      </c>
      <c r="P174" s="252">
        <f t="shared" si="118"/>
        <v>26.41679186</v>
      </c>
      <c r="Q174" s="252">
        <f t="shared" si="118"/>
        <v>6.383727636</v>
      </c>
    </row>
    <row r="175" outlineLevel="1">
      <c r="A175" s="343"/>
      <c r="B175" s="295"/>
      <c r="C175" s="252"/>
      <c r="D175" s="252"/>
      <c r="E175" s="252"/>
      <c r="F175" s="252"/>
      <c r="G175" s="252"/>
      <c r="H175" s="252"/>
      <c r="I175" s="252"/>
      <c r="J175" s="252"/>
      <c r="K175" s="252"/>
      <c r="L175" s="252"/>
      <c r="M175" s="252"/>
      <c r="N175" s="252"/>
      <c r="O175" s="252"/>
      <c r="P175" s="252"/>
      <c r="Q175" s="252"/>
    </row>
    <row r="176" outlineLevel="1">
      <c r="A176" s="342"/>
      <c r="B176" s="605"/>
      <c r="C176" s="441"/>
      <c r="D176" s="154"/>
      <c r="E176" s="154"/>
      <c r="F176" s="154"/>
      <c r="G176" s="154"/>
      <c r="H176" s="154"/>
      <c r="I176" s="154"/>
      <c r="J176" s="154"/>
      <c r="K176" s="154"/>
      <c r="L176" s="154"/>
      <c r="M176" s="154"/>
      <c r="N176" s="154"/>
      <c r="O176" s="154"/>
      <c r="P176" s="154"/>
      <c r="Q176" s="154"/>
    </row>
    <row r="177" outlineLevel="1">
      <c r="A177" s="523" t="s">
        <v>396</v>
      </c>
      <c r="B177" s="605"/>
      <c r="C177" s="441"/>
      <c r="D177" s="441"/>
      <c r="E177" s="441"/>
      <c r="F177" s="441"/>
      <c r="G177" s="441"/>
      <c r="H177" s="441"/>
      <c r="I177" s="441"/>
      <c r="J177" s="441"/>
      <c r="K177" s="441"/>
      <c r="L177" s="441"/>
      <c r="M177" s="441"/>
      <c r="N177" s="441"/>
      <c r="O177" s="441"/>
      <c r="P177" s="441"/>
      <c r="Q177" s="441"/>
    </row>
    <row r="178" outlineLevel="1">
      <c r="A178" s="344" t="s">
        <v>285</v>
      </c>
      <c r="B178" s="295">
        <f t="shared" ref="B178:B180" si="120">index(A178:AAA178,,match($A$3,$A$1:$AAA$1,0))</f>
        <v>2698.112436</v>
      </c>
      <c r="C178" s="252">
        <f t="shared" ref="C178:C180" si="121">sumif(D178:U178,"&lt;&gt;#DIV/0!")</f>
        <v>2698.112436</v>
      </c>
      <c r="D178" s="252">
        <f t="shared" ref="D178:Q178" si="119">sum(D145:D147,D162:D164)</f>
        <v>95.92277433</v>
      </c>
      <c r="E178" s="252">
        <f t="shared" si="119"/>
        <v>1751.108407</v>
      </c>
      <c r="F178" s="252">
        <f t="shared" si="119"/>
        <v>2.640038978</v>
      </c>
      <c r="G178" s="252">
        <f t="shared" si="119"/>
        <v>30.31031318</v>
      </c>
      <c r="H178" s="252">
        <f t="shared" si="119"/>
        <v>102.4202587</v>
      </c>
      <c r="I178" s="252">
        <f t="shared" si="119"/>
        <v>103.6525817</v>
      </c>
      <c r="J178" s="252">
        <f t="shared" si="119"/>
        <v>35.04919217</v>
      </c>
      <c r="K178" s="252">
        <f t="shared" si="119"/>
        <v>41.10284466</v>
      </c>
      <c r="L178" s="252">
        <f t="shared" si="119"/>
        <v>93.43796184</v>
      </c>
      <c r="M178" s="252">
        <f t="shared" si="119"/>
        <v>175.6836139</v>
      </c>
      <c r="N178" s="252">
        <f t="shared" si="119"/>
        <v>26.58562021</v>
      </c>
      <c r="O178" s="252">
        <f t="shared" si="119"/>
        <v>99.08075667</v>
      </c>
      <c r="P178" s="252">
        <f t="shared" si="119"/>
        <v>138.7466927</v>
      </c>
      <c r="Q178" s="252">
        <f t="shared" si="119"/>
        <v>2.37137955</v>
      </c>
    </row>
    <row r="179" outlineLevel="1">
      <c r="A179" s="344" t="s">
        <v>287</v>
      </c>
      <c r="B179" s="295">
        <f t="shared" si="120"/>
        <v>-3483.888995</v>
      </c>
      <c r="C179" s="252">
        <f t="shared" si="121"/>
        <v>-3483.888995</v>
      </c>
      <c r="D179" s="252">
        <f t="shared" ref="D179:Q179" si="122">sum(D150:D152,D167:D169)</f>
        <v>-58.5421602</v>
      </c>
      <c r="E179" s="252">
        <f t="shared" si="122"/>
        <v>-1577.903275</v>
      </c>
      <c r="F179" s="252">
        <f t="shared" si="122"/>
        <v>-1.513949629</v>
      </c>
      <c r="G179" s="252">
        <f t="shared" si="122"/>
        <v>-44.42105361</v>
      </c>
      <c r="H179" s="252">
        <f t="shared" si="122"/>
        <v>-154.0451367</v>
      </c>
      <c r="I179" s="252">
        <f t="shared" si="122"/>
        <v>-154.7613712</v>
      </c>
      <c r="J179" s="252">
        <f t="shared" si="122"/>
        <v>-50.59884913</v>
      </c>
      <c r="K179" s="252">
        <f t="shared" si="122"/>
        <v>-60.01676674</v>
      </c>
      <c r="L179" s="252">
        <f t="shared" si="122"/>
        <v>-120.1000957</v>
      </c>
      <c r="M179" s="252">
        <f t="shared" si="122"/>
        <v>-506.7088535</v>
      </c>
      <c r="N179" s="252">
        <f t="shared" si="122"/>
        <v>-69.84351302</v>
      </c>
      <c r="O179" s="252">
        <f t="shared" si="122"/>
        <v>-284.5446337</v>
      </c>
      <c r="P179" s="252">
        <f t="shared" si="122"/>
        <v>-398.6819002</v>
      </c>
      <c r="Q179" s="252">
        <f t="shared" si="122"/>
        <v>-2.207436708</v>
      </c>
    </row>
    <row r="180" outlineLevel="1">
      <c r="A180" s="344" t="s">
        <v>288</v>
      </c>
      <c r="B180" s="295">
        <f t="shared" si="120"/>
        <v>-3483.888995</v>
      </c>
      <c r="C180" s="252">
        <f t="shared" si="121"/>
        <v>-3483.888995</v>
      </c>
      <c r="D180" s="252">
        <f t="shared" ref="D180:Q180" si="123">sum(D155:D157,D172:D174)</f>
        <v>-58.5421602</v>
      </c>
      <c r="E180" s="252">
        <f t="shared" si="123"/>
        <v>-1577.903275</v>
      </c>
      <c r="F180" s="252">
        <f t="shared" si="123"/>
        <v>-1.513949629</v>
      </c>
      <c r="G180" s="252">
        <f t="shared" si="123"/>
        <v>-44.42105361</v>
      </c>
      <c r="H180" s="252">
        <f t="shared" si="123"/>
        <v>-154.0451367</v>
      </c>
      <c r="I180" s="252">
        <f t="shared" si="123"/>
        <v>-154.7613712</v>
      </c>
      <c r="J180" s="252">
        <f t="shared" si="123"/>
        <v>-50.59884913</v>
      </c>
      <c r="K180" s="252">
        <f t="shared" si="123"/>
        <v>-60.01676674</v>
      </c>
      <c r="L180" s="252">
        <f t="shared" si="123"/>
        <v>-120.1000957</v>
      </c>
      <c r="M180" s="252">
        <f t="shared" si="123"/>
        <v>-506.7088535</v>
      </c>
      <c r="N180" s="252">
        <f t="shared" si="123"/>
        <v>-69.84351302</v>
      </c>
      <c r="O180" s="252">
        <f t="shared" si="123"/>
        <v>-284.5446337</v>
      </c>
      <c r="P180" s="252">
        <f t="shared" si="123"/>
        <v>-398.6819002</v>
      </c>
      <c r="Q180" s="252">
        <f t="shared" si="123"/>
        <v>-2.207436708</v>
      </c>
    </row>
    <row r="181" outlineLevel="1">
      <c r="A181" s="342"/>
      <c r="B181" s="605"/>
      <c r="C181" s="441"/>
      <c r="D181" s="417"/>
      <c r="E181" s="417"/>
      <c r="F181" s="417"/>
      <c r="G181" s="417"/>
      <c r="H181" s="417"/>
      <c r="I181" s="417"/>
      <c r="J181" s="417"/>
      <c r="K181" s="417"/>
      <c r="L181" s="417"/>
      <c r="M181" s="417"/>
      <c r="N181" s="417"/>
      <c r="O181" s="417"/>
      <c r="P181" s="417"/>
      <c r="Q181" s="417"/>
    </row>
    <row r="182" outlineLevel="1">
      <c r="A182" s="523" t="s">
        <v>397</v>
      </c>
      <c r="B182" s="605"/>
      <c r="C182" s="441"/>
      <c r="D182" s="441"/>
      <c r="E182" s="441"/>
      <c r="F182" s="441"/>
      <c r="G182" s="441"/>
      <c r="H182" s="441"/>
      <c r="I182" s="441"/>
      <c r="J182" s="441"/>
      <c r="K182" s="441"/>
      <c r="L182" s="441"/>
      <c r="M182" s="441"/>
      <c r="N182" s="441"/>
      <c r="O182" s="441"/>
      <c r="P182" s="441"/>
      <c r="Q182" s="441"/>
    </row>
    <row r="183" outlineLevel="1">
      <c r="A183" s="344" t="s">
        <v>285</v>
      </c>
      <c r="B183" s="295">
        <f t="shared" ref="B183:B185" si="125">index(A183:AAA183,,match($A$3,$A$1:$AAA$1,0))</f>
        <v>196.192309</v>
      </c>
      <c r="C183" s="252">
        <f t="shared" ref="C183:C185" si="126">sumif(D183:U183,"&lt;&gt;#DIV/0!")</f>
        <v>196.192309</v>
      </c>
      <c r="D183" s="252">
        <f t="shared" ref="D183:Q183" si="124">D$8*D$87-D178</f>
        <v>41.54971243</v>
      </c>
      <c r="E183" s="252">
        <f t="shared" si="124"/>
        <v>99.7079506</v>
      </c>
      <c r="F183" s="252">
        <f t="shared" si="124"/>
        <v>5.743954654</v>
      </c>
      <c r="G183" s="252">
        <f t="shared" si="124"/>
        <v>3.748511707</v>
      </c>
      <c r="H183" s="252">
        <f t="shared" si="124"/>
        <v>3.22200285</v>
      </c>
      <c r="I183" s="252">
        <f t="shared" si="124"/>
        <v>5.984118274</v>
      </c>
      <c r="J183" s="252">
        <f t="shared" si="124"/>
        <v>6.171867252</v>
      </c>
      <c r="K183" s="252">
        <f t="shared" si="124"/>
        <v>5.612946347</v>
      </c>
      <c r="L183" s="252">
        <f t="shared" si="124"/>
        <v>9.179231359</v>
      </c>
      <c r="M183" s="252">
        <f t="shared" si="124"/>
        <v>0.4822216728</v>
      </c>
      <c r="N183" s="252">
        <f t="shared" si="124"/>
        <v>7.321425275</v>
      </c>
      <c r="O183" s="252">
        <f t="shared" si="124"/>
        <v>1.571378715</v>
      </c>
      <c r="P183" s="252">
        <f t="shared" si="124"/>
        <v>1.964163665</v>
      </c>
      <c r="Q183" s="252">
        <f t="shared" si="124"/>
        <v>3.932824242</v>
      </c>
    </row>
    <row r="184" outlineLevel="1">
      <c r="A184" s="344" t="s">
        <v>287</v>
      </c>
      <c r="B184" s="295">
        <f t="shared" si="125"/>
        <v>6378.19374</v>
      </c>
      <c r="C184" s="252">
        <f t="shared" si="126"/>
        <v>6378.19374</v>
      </c>
      <c r="D184" s="252">
        <f t="shared" ref="D184:Q184" si="127">D$8*D$87-D179</f>
        <v>196.014647</v>
      </c>
      <c r="E184" s="252">
        <f t="shared" si="127"/>
        <v>3428.719633</v>
      </c>
      <c r="F184" s="252">
        <f t="shared" si="127"/>
        <v>9.897943261</v>
      </c>
      <c r="G184" s="252">
        <f t="shared" si="127"/>
        <v>78.4798785</v>
      </c>
      <c r="H184" s="252">
        <f t="shared" si="127"/>
        <v>259.6873983</v>
      </c>
      <c r="I184" s="252">
        <f t="shared" si="127"/>
        <v>264.3980712</v>
      </c>
      <c r="J184" s="252">
        <f t="shared" si="127"/>
        <v>91.81990856</v>
      </c>
      <c r="K184" s="252">
        <f t="shared" si="127"/>
        <v>106.7325577</v>
      </c>
      <c r="L184" s="252">
        <f t="shared" si="127"/>
        <v>222.7172889</v>
      </c>
      <c r="M184" s="252">
        <f t="shared" si="127"/>
        <v>682.874689</v>
      </c>
      <c r="N184" s="252">
        <f t="shared" si="127"/>
        <v>103.7505585</v>
      </c>
      <c r="O184" s="252">
        <f t="shared" si="127"/>
        <v>385.1967691</v>
      </c>
      <c r="P184" s="252">
        <f t="shared" si="127"/>
        <v>539.3927566</v>
      </c>
      <c r="Q184" s="252">
        <f t="shared" si="127"/>
        <v>8.5116405</v>
      </c>
    </row>
    <row r="185" outlineLevel="1">
      <c r="A185" s="344" t="s">
        <v>288</v>
      </c>
      <c r="B185" s="295">
        <f t="shared" si="125"/>
        <v>6378.19374</v>
      </c>
      <c r="C185" s="252">
        <f t="shared" si="126"/>
        <v>6378.19374</v>
      </c>
      <c r="D185" s="252">
        <f t="shared" ref="D185:Q185" si="128">D$8*D$87-D180</f>
        <v>196.014647</v>
      </c>
      <c r="E185" s="252">
        <f t="shared" si="128"/>
        <v>3428.719633</v>
      </c>
      <c r="F185" s="252">
        <f t="shared" si="128"/>
        <v>9.897943261</v>
      </c>
      <c r="G185" s="252">
        <f t="shared" si="128"/>
        <v>78.4798785</v>
      </c>
      <c r="H185" s="252">
        <f t="shared" si="128"/>
        <v>259.6873983</v>
      </c>
      <c r="I185" s="252">
        <f t="shared" si="128"/>
        <v>264.3980712</v>
      </c>
      <c r="J185" s="252">
        <f t="shared" si="128"/>
        <v>91.81990856</v>
      </c>
      <c r="K185" s="252">
        <f t="shared" si="128"/>
        <v>106.7325577</v>
      </c>
      <c r="L185" s="252">
        <f t="shared" si="128"/>
        <v>222.7172889</v>
      </c>
      <c r="M185" s="252">
        <f t="shared" si="128"/>
        <v>682.874689</v>
      </c>
      <c r="N185" s="252">
        <f t="shared" si="128"/>
        <v>103.7505585</v>
      </c>
      <c r="O185" s="252">
        <f t="shared" si="128"/>
        <v>385.1967691</v>
      </c>
      <c r="P185" s="252">
        <f t="shared" si="128"/>
        <v>539.3927566</v>
      </c>
      <c r="Q185" s="252">
        <f t="shared" si="128"/>
        <v>8.5116405</v>
      </c>
    </row>
    <row r="186" outlineLevel="1">
      <c r="A186" s="504" t="s">
        <v>72</v>
      </c>
      <c r="B186" s="620">
        <f t="array" ref="B186">index(A186:P186,,match($A$3,$A$1:$P$1,0))</f>
        <v>5141.793453</v>
      </c>
      <c r="C186" s="524">
        <f>SUM(D186:Q186)</f>
        <v>5141.793453</v>
      </c>
      <c r="D186" s="524">
        <f t="shared" ref="D186:Q186" si="129">SUMPRODUCT(D183:D185,D118:D120)</f>
        <v>165.1216601</v>
      </c>
      <c r="E186" s="524">
        <f t="shared" si="129"/>
        <v>2762.917296</v>
      </c>
      <c r="F186" s="524">
        <f t="shared" si="129"/>
        <v>9.067145539</v>
      </c>
      <c r="G186" s="524">
        <f t="shared" si="129"/>
        <v>63.53360514</v>
      </c>
      <c r="H186" s="524">
        <f t="shared" si="129"/>
        <v>208.3943192</v>
      </c>
      <c r="I186" s="524">
        <f t="shared" si="129"/>
        <v>212.7152806</v>
      </c>
      <c r="J186" s="524">
        <f t="shared" si="129"/>
        <v>74.6903003</v>
      </c>
      <c r="K186" s="524">
        <f t="shared" si="129"/>
        <v>86.50863547</v>
      </c>
      <c r="L186" s="524">
        <f t="shared" si="129"/>
        <v>180.0096774</v>
      </c>
      <c r="M186" s="524">
        <f t="shared" si="129"/>
        <v>546.3961956</v>
      </c>
      <c r="N186" s="524">
        <f t="shared" si="129"/>
        <v>84.46473186</v>
      </c>
      <c r="O186" s="524">
        <f t="shared" si="129"/>
        <v>308.471691</v>
      </c>
      <c r="P186" s="524">
        <f t="shared" si="129"/>
        <v>431.907038</v>
      </c>
      <c r="Q186" s="524">
        <f t="shared" si="129"/>
        <v>7.595877248</v>
      </c>
    </row>
    <row r="187" outlineLevel="1">
      <c r="A187" s="342"/>
      <c r="B187" s="607"/>
      <c r="C187" s="299"/>
      <c r="D187" s="299"/>
      <c r="E187" s="299"/>
      <c r="F187" s="299"/>
      <c r="G187" s="299"/>
      <c r="H187" s="299"/>
      <c r="I187" s="299"/>
      <c r="J187" s="299"/>
      <c r="K187" s="299"/>
      <c r="L187" s="299"/>
      <c r="M187" s="299"/>
      <c r="N187" s="299"/>
      <c r="O187" s="299"/>
      <c r="P187" s="299"/>
      <c r="Q187" s="299"/>
    </row>
    <row r="188">
      <c r="A188" s="568" t="s">
        <v>421</v>
      </c>
      <c r="B188" s="621"/>
      <c r="C188" s="568"/>
      <c r="D188" s="568"/>
      <c r="E188" s="568"/>
      <c r="F188" s="568"/>
      <c r="G188" s="568"/>
      <c r="H188" s="568"/>
      <c r="I188" s="568"/>
      <c r="J188" s="568"/>
      <c r="K188" s="568"/>
      <c r="L188" s="568"/>
      <c r="M188" s="568"/>
      <c r="N188" s="568"/>
      <c r="O188" s="568"/>
      <c r="P188" s="568"/>
      <c r="Q188" s="568"/>
    </row>
    <row r="189">
      <c r="A189" s="571"/>
      <c r="B189" s="597"/>
      <c r="C189" s="599"/>
      <c r="D189" s="712"/>
      <c r="E189" s="712"/>
      <c r="F189" s="712"/>
      <c r="G189" s="712"/>
      <c r="H189" s="712"/>
      <c r="I189" s="712"/>
      <c r="J189" s="712"/>
      <c r="K189" s="712"/>
      <c r="L189" s="712"/>
      <c r="M189" s="712"/>
      <c r="N189" s="712"/>
      <c r="O189" s="712"/>
      <c r="P189" s="712"/>
      <c r="Q189" s="712"/>
    </row>
    <row r="190">
      <c r="A190" s="540" t="s">
        <v>399</v>
      </c>
      <c r="B190" s="645">
        <f t="shared" ref="B190:B191" si="131">index(A190:AAA190,,match($A$3,$A$1:$AAA$1,0))</f>
        <v>5141.793453</v>
      </c>
      <c r="C190" s="720">
        <f t="shared" ref="C190:Q190" si="130">C186</f>
        <v>5141.793453</v>
      </c>
      <c r="D190" s="720">
        <f t="shared" si="130"/>
        <v>165.1216601</v>
      </c>
      <c r="E190" s="720">
        <f t="shared" si="130"/>
        <v>2762.917296</v>
      </c>
      <c r="F190" s="720">
        <f t="shared" si="130"/>
        <v>9.067145539</v>
      </c>
      <c r="G190" s="720">
        <f t="shared" si="130"/>
        <v>63.53360514</v>
      </c>
      <c r="H190" s="720">
        <f t="shared" si="130"/>
        <v>208.3943192</v>
      </c>
      <c r="I190" s="720">
        <f t="shared" si="130"/>
        <v>212.7152806</v>
      </c>
      <c r="J190" s="720">
        <f t="shared" si="130"/>
        <v>74.6903003</v>
      </c>
      <c r="K190" s="720">
        <f t="shared" si="130"/>
        <v>86.50863547</v>
      </c>
      <c r="L190" s="720">
        <f t="shared" si="130"/>
        <v>180.0096774</v>
      </c>
      <c r="M190" s="720">
        <f t="shared" si="130"/>
        <v>546.3961956</v>
      </c>
      <c r="N190" s="720">
        <f t="shared" si="130"/>
        <v>84.46473186</v>
      </c>
      <c r="O190" s="720">
        <f t="shared" si="130"/>
        <v>308.471691</v>
      </c>
      <c r="P190" s="720">
        <f t="shared" si="130"/>
        <v>431.907038</v>
      </c>
      <c r="Q190" s="720">
        <f t="shared" si="130"/>
        <v>7.595877248</v>
      </c>
    </row>
    <row r="191">
      <c r="A191" s="344" t="s">
        <v>290</v>
      </c>
      <c r="B191" s="676">
        <f t="shared" si="131"/>
        <v>0.05141793453</v>
      </c>
      <c r="C191" s="677">
        <f t="shared" ref="C191:Q191" si="132">C190/C102</f>
        <v>0.05141793453</v>
      </c>
      <c r="D191" s="677">
        <f t="shared" si="132"/>
        <v>0.01207102457</v>
      </c>
      <c r="E191" s="677">
        <f t="shared" si="132"/>
        <v>0.04863201261</v>
      </c>
      <c r="F191" s="677">
        <f t="shared" si="132"/>
        <v>0.005260732995</v>
      </c>
      <c r="G191" s="677">
        <f t="shared" si="132"/>
        <v>0.040322297</v>
      </c>
      <c r="H191" s="677">
        <f t="shared" si="132"/>
        <v>0.08144470077</v>
      </c>
      <c r="I191" s="677">
        <f t="shared" si="132"/>
        <v>0.06280446376</v>
      </c>
      <c r="J191" s="677">
        <f t="shared" si="132"/>
        <v>0.03164875305</v>
      </c>
      <c r="K191" s="677">
        <f t="shared" si="132"/>
        <v>0.03774722542</v>
      </c>
      <c r="L191" s="677">
        <f t="shared" si="132"/>
        <v>0.04325671702</v>
      </c>
      <c r="M191" s="677">
        <f t="shared" si="132"/>
        <v>0.1876418506</v>
      </c>
      <c r="N191" s="677">
        <f t="shared" si="132"/>
        <v>0.03295406958</v>
      </c>
      <c r="O191" s="677">
        <f t="shared" si="132"/>
        <v>0.1525028836</v>
      </c>
      <c r="P191" s="677">
        <f t="shared" si="132"/>
        <v>0.1563004861</v>
      </c>
      <c r="Q191" s="677">
        <f t="shared" si="132"/>
        <v>0.006388519311</v>
      </c>
    </row>
    <row r="192">
      <c r="A192" s="342"/>
      <c r="B192" s="635"/>
      <c r="C192" s="679"/>
      <c r="D192" s="679"/>
      <c r="E192" s="679"/>
      <c r="F192" s="679"/>
      <c r="G192" s="679"/>
      <c r="H192" s="679"/>
      <c r="I192" s="679"/>
      <c r="J192" s="679"/>
      <c r="K192" s="679"/>
      <c r="L192" s="679"/>
      <c r="M192" s="679"/>
      <c r="N192" s="679"/>
      <c r="O192" s="679"/>
      <c r="P192" s="679"/>
      <c r="Q192" s="679"/>
    </row>
    <row r="193">
      <c r="A193" s="721" t="s">
        <v>291</v>
      </c>
      <c r="B193" s="680">
        <f t="shared" ref="B193:B194" si="133">index(C193:F193,,match($A$3,$C$1:$F$1,0))</f>
        <v>14.94776045</v>
      </c>
      <c r="C193" s="349">
        <f t="array" ref="C193">C191/index(GiveDirectly!$B:$B,match("Units of value generated per dollar spent",GiveDirectly!$A:$A,0))</f>
        <v>14.94776045</v>
      </c>
      <c r="D193" s="349">
        <f t="array" ref="D193">D191/index(GiveDirectly!$B:$B,match("Units of value generated per dollar spent",GiveDirectly!$A:$A,0))</f>
        <v>3.509179925</v>
      </c>
      <c r="E193" s="349">
        <f t="array" ref="E193">E191/index(GiveDirectly!$B:$B,match("Units of value generated per dollar spent",GiveDirectly!$A:$A,0))</f>
        <v>14.13786223</v>
      </c>
      <c r="F193" s="349">
        <f t="array" ref="F193">F191/index(GiveDirectly!$B:$B,match("Units of value generated per dollar spent",GiveDirectly!$A:$A,0))</f>
        <v>1.529353081</v>
      </c>
      <c r="G193" s="349">
        <f t="array" ref="G193">G191/index(GiveDirectly!$B:$B,match("Units of value generated per dollar spent",GiveDirectly!$A:$A,0))</f>
        <v>11.72213629</v>
      </c>
      <c r="H193" s="349">
        <f t="array" ref="H193">H191/index(GiveDirectly!$B:$B,match("Units of value generated per dollar spent",GiveDirectly!$A:$A,0))</f>
        <v>23.67687244</v>
      </c>
      <c r="I193" s="349">
        <f t="array" ref="I193">I191/index(GiveDirectly!$B:$B,match("Units of value generated per dollar spent",GiveDirectly!$A:$A,0))</f>
        <v>18.25795003</v>
      </c>
      <c r="J193" s="349">
        <f t="array" ref="J193">J191/index(GiveDirectly!$B:$B,match("Units of value generated per dollar spent",GiveDirectly!$A:$A,0))</f>
        <v>9.200641439</v>
      </c>
      <c r="K193" s="349">
        <f t="array" ref="K193">K191/index(GiveDirectly!$B:$B,match("Units of value generated per dollar spent",GiveDirectly!$A:$A,0))</f>
        <v>10.97353459</v>
      </c>
      <c r="L193" s="349">
        <f t="array" ref="L193">L191/index(GiveDirectly!$B:$B,match("Units of value generated per dollar spent",GiveDirectly!$A:$A,0))</f>
        <v>12.57520454</v>
      </c>
      <c r="M193" s="349">
        <f t="array" ref="M193">M191/index(GiveDirectly!$B:$B,match("Units of value generated per dollar spent",GiveDirectly!$A:$A,0))</f>
        <v>54.54955473</v>
      </c>
      <c r="N193" s="349">
        <f t="array" ref="N193">N191/index(GiveDirectly!$B:$B,match("Units of value generated per dollar spent",GiveDirectly!$A:$A,0))</f>
        <v>9.580111344</v>
      </c>
      <c r="O193" s="349">
        <f t="array" ref="O193">O191/index(GiveDirectly!$B:$B,match("Units of value generated per dollar spent",GiveDirectly!$A:$A,0))</f>
        <v>44.3342696</v>
      </c>
      <c r="P193" s="349">
        <f t="array" ref="P193">P191/index(GiveDirectly!$B:$B,match("Units of value generated per dollar spent",GiveDirectly!$A:$A,0))</f>
        <v>45.43827453</v>
      </c>
      <c r="Q193" s="349">
        <f t="array" ref="Q193">Q191/index(GiveDirectly!$B:$B,match("Units of value generated per dollar spent",GiveDirectly!$A:$A,0))</f>
        <v>1.857212997</v>
      </c>
    </row>
    <row r="194">
      <c r="A194" s="343" t="s">
        <v>400</v>
      </c>
      <c r="B194" s="682">
        <f t="shared" si="133"/>
        <v>0.6910246662</v>
      </c>
      <c r="C194" s="352">
        <f t="shared" ref="C194:Q194" si="134">(C193-C89)/C89</f>
        <v>0.6910246662</v>
      </c>
      <c r="D194" s="352">
        <f t="shared" si="134"/>
        <v>0.2011251411</v>
      </c>
      <c r="E194" s="352">
        <f t="shared" si="134"/>
        <v>0.4928100697</v>
      </c>
      <c r="F194" s="352">
        <f t="shared" si="134"/>
        <v>0.0814828753</v>
      </c>
      <c r="G194" s="352">
        <f t="shared" si="134"/>
        <v>0.8654080211</v>
      </c>
      <c r="H194" s="352">
        <f t="shared" si="134"/>
        <v>0.9726415936</v>
      </c>
      <c r="I194" s="352">
        <f t="shared" si="134"/>
        <v>0.9401831749</v>
      </c>
      <c r="J194" s="352">
        <f t="shared" si="134"/>
        <v>0.8119451887</v>
      </c>
      <c r="K194" s="352">
        <f t="shared" si="134"/>
        <v>0.8518071428</v>
      </c>
      <c r="L194" s="352">
        <f t="shared" si="134"/>
        <v>0.7541863287</v>
      </c>
      <c r="M194" s="352">
        <f t="shared" si="134"/>
        <v>2.101601363</v>
      </c>
      <c r="N194" s="352">
        <f t="shared" si="134"/>
        <v>1.491067288</v>
      </c>
      <c r="O194" s="352">
        <f t="shared" si="134"/>
        <v>2.064730717</v>
      </c>
      <c r="P194" s="352">
        <f t="shared" si="134"/>
        <v>2.069464925</v>
      </c>
      <c r="Q194" s="352">
        <f t="shared" si="134"/>
        <v>0.2048908156</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13.71"/>
    <col customWidth="1" min="2" max="12" width="17.29"/>
  </cols>
  <sheetData>
    <row r="1">
      <c r="A1" s="533" t="s">
        <v>477</v>
      </c>
      <c r="B1" s="362" t="s">
        <v>87</v>
      </c>
      <c r="C1" s="625" t="s">
        <v>72</v>
      </c>
      <c r="D1" s="625" t="s">
        <v>74</v>
      </c>
      <c r="E1" s="625" t="s">
        <v>70</v>
      </c>
      <c r="F1" s="625" t="s">
        <v>75</v>
      </c>
      <c r="G1" s="625" t="s">
        <v>76</v>
      </c>
      <c r="H1" s="625"/>
      <c r="I1" s="625"/>
      <c r="J1" s="625"/>
      <c r="K1" s="625"/>
      <c r="L1" s="625"/>
    </row>
    <row r="2">
      <c r="A2" s="534" t="s">
        <v>159</v>
      </c>
      <c r="B2" s="722"/>
      <c r="C2" s="407"/>
      <c r="D2" s="407"/>
      <c r="E2" s="407"/>
      <c r="F2" s="407"/>
      <c r="G2" s="407"/>
      <c r="H2" s="407"/>
      <c r="I2" s="407"/>
      <c r="J2" s="407"/>
      <c r="K2" s="407"/>
      <c r="L2" s="407"/>
    </row>
    <row r="3">
      <c r="A3" s="537" t="str">
        <f>Results!C13</f>
        <v>Overall</v>
      </c>
      <c r="B3" s="722"/>
      <c r="C3" s="407"/>
      <c r="D3" s="407"/>
      <c r="E3" s="407"/>
      <c r="F3" s="407"/>
      <c r="G3" s="407"/>
      <c r="H3" s="407"/>
      <c r="I3" s="407"/>
      <c r="J3" s="407"/>
      <c r="K3" s="407"/>
      <c r="L3" s="407"/>
    </row>
    <row r="4">
      <c r="A4" s="407"/>
      <c r="B4" s="587"/>
      <c r="C4" s="407"/>
      <c r="D4" s="407"/>
      <c r="E4" s="407"/>
      <c r="F4" s="407"/>
      <c r="G4" s="407"/>
      <c r="H4" s="407"/>
      <c r="I4" s="407"/>
      <c r="J4" s="407"/>
      <c r="K4" s="407"/>
      <c r="L4" s="407"/>
    </row>
    <row r="5">
      <c r="A5" s="145" t="s">
        <v>160</v>
      </c>
      <c r="B5" s="585"/>
      <c r="C5" s="585"/>
      <c r="D5" s="585"/>
      <c r="E5" s="585"/>
      <c r="F5" s="585"/>
      <c r="G5" s="585"/>
      <c r="H5" s="585"/>
      <c r="I5" s="585"/>
      <c r="J5" s="585"/>
      <c r="K5" s="585"/>
      <c r="L5" s="585"/>
    </row>
    <row r="6">
      <c r="A6" s="407"/>
      <c r="B6" s="587"/>
      <c r="C6" s="407"/>
      <c r="D6" s="407"/>
      <c r="E6" s="407"/>
      <c r="F6" s="407"/>
      <c r="G6" s="407"/>
      <c r="H6" s="407"/>
      <c r="I6" s="407"/>
      <c r="J6" s="407"/>
      <c r="K6" s="407"/>
      <c r="L6" s="407"/>
    </row>
    <row r="7">
      <c r="A7" s="96" t="s">
        <v>161</v>
      </c>
      <c r="B7" s="266">
        <f t="shared" ref="B7:B9" si="1">index(A7:AE7,,match($A$3,$A$1:$AE$1,0))</f>
        <v>1</v>
      </c>
      <c r="C7" s="152">
        <f>sum(D7:AE7)</f>
        <v>1</v>
      </c>
      <c r="D7" s="155">
        <v>0.17632102782902476</v>
      </c>
      <c r="E7" s="155">
        <v>0.14992420641819076</v>
      </c>
      <c r="F7" s="155">
        <v>0.6330671342702885</v>
      </c>
      <c r="G7" s="155">
        <v>0.040687631482495934</v>
      </c>
      <c r="H7" s="299"/>
      <c r="I7" s="299"/>
      <c r="J7" s="299"/>
      <c r="K7" s="299"/>
      <c r="L7" s="299"/>
    </row>
    <row r="8">
      <c r="A8" s="96" t="s">
        <v>478</v>
      </c>
      <c r="B8" s="266">
        <f t="shared" si="1"/>
        <v>0.8965940942</v>
      </c>
      <c r="C8" s="152">
        <f>C13/C14</f>
        <v>0.8965940942</v>
      </c>
      <c r="D8" s="155">
        <v>0.9088448937822331</v>
      </c>
      <c r="E8" s="155">
        <v>0.9117701309717526</v>
      </c>
      <c r="F8" s="155">
        <v>0.889258865742043</v>
      </c>
      <c r="G8" s="156">
        <v>0.9043698047</v>
      </c>
      <c r="H8" s="155"/>
      <c r="I8" s="155"/>
      <c r="J8" s="155"/>
      <c r="K8" s="155"/>
      <c r="L8" s="155"/>
    </row>
    <row r="9">
      <c r="A9" s="96" t="s">
        <v>479</v>
      </c>
      <c r="B9" s="266">
        <f t="shared" si="1"/>
        <v>0.1034059058</v>
      </c>
      <c r="C9" s="152">
        <f>sumproduct(D9:G9,D14:G14)/C14</f>
        <v>0.1034059058</v>
      </c>
      <c r="D9" s="155">
        <v>0.09115510621776694</v>
      </c>
      <c r="E9" s="155">
        <v>0.0882298690282474</v>
      </c>
      <c r="F9" s="155">
        <v>0.11074113425795697</v>
      </c>
      <c r="G9" s="156">
        <v>0.09563019534</v>
      </c>
      <c r="H9" s="155"/>
      <c r="I9" s="155"/>
      <c r="J9" s="155"/>
      <c r="K9" s="155"/>
      <c r="L9" s="155"/>
    </row>
    <row r="10">
      <c r="A10" s="407"/>
      <c r="B10" s="587"/>
      <c r="C10" s="407"/>
      <c r="D10" s="407"/>
      <c r="E10" s="407"/>
      <c r="F10" s="407"/>
      <c r="G10" s="540"/>
      <c r="H10" s="540"/>
      <c r="I10" s="540"/>
      <c r="J10" s="540"/>
      <c r="K10" s="540"/>
      <c r="L10" s="540"/>
    </row>
    <row r="11">
      <c r="A11" s="637" t="s">
        <v>480</v>
      </c>
      <c r="B11" s="585"/>
      <c r="C11" s="586"/>
      <c r="D11" s="586"/>
      <c r="E11" s="586"/>
      <c r="F11" s="586"/>
      <c r="G11" s="586"/>
      <c r="H11" s="586"/>
      <c r="I11" s="586"/>
      <c r="J11" s="586"/>
      <c r="K11" s="586"/>
      <c r="L11" s="586"/>
    </row>
    <row r="12">
      <c r="A12" s="638"/>
      <c r="B12" s="587"/>
      <c r="C12" s="407"/>
      <c r="D12" s="407"/>
      <c r="E12" s="407"/>
      <c r="F12" s="407"/>
      <c r="G12" s="407"/>
      <c r="H12" s="407"/>
      <c r="I12" s="407"/>
      <c r="J12" s="407"/>
      <c r="K12" s="407"/>
      <c r="L12" s="407"/>
    </row>
    <row r="13">
      <c r="A13" s="154" t="s">
        <v>481</v>
      </c>
      <c r="B13" s="597">
        <f t="shared" ref="B13:B18" si="3">index(A13:AB13,,match($A$3,$A$1:$AB$1,0))</f>
        <v>100000</v>
      </c>
      <c r="C13" s="723">
        <v>100000.0</v>
      </c>
      <c r="D13" s="599">
        <f t="shared" ref="D13:G13" si="2">if($C$13*D7&lt;&gt;0,$C$13*D7,1)</f>
        <v>17632.10278</v>
      </c>
      <c r="E13" s="599">
        <f t="shared" si="2"/>
        <v>14992.42064</v>
      </c>
      <c r="F13" s="599">
        <f t="shared" si="2"/>
        <v>63306.71343</v>
      </c>
      <c r="G13" s="599">
        <f t="shared" si="2"/>
        <v>4068.763148</v>
      </c>
      <c r="H13" s="599"/>
      <c r="I13" s="599"/>
      <c r="J13" s="599"/>
      <c r="K13" s="599"/>
      <c r="L13" s="599"/>
    </row>
    <row r="14">
      <c r="A14" s="333" t="s">
        <v>438</v>
      </c>
      <c r="B14" s="612">
        <f t="shared" si="3"/>
        <v>111533.1906</v>
      </c>
      <c r="C14" s="723">
        <f>sum(D14:G14)</f>
        <v>111533.1906</v>
      </c>
      <c r="D14" s="599">
        <f t="shared" ref="D14:G14" si="4">D13/D8</f>
        <v>19400.56318</v>
      </c>
      <c r="E14" s="599">
        <f t="shared" si="4"/>
        <v>16443.20222</v>
      </c>
      <c r="F14" s="599">
        <f t="shared" si="4"/>
        <v>71190.42145</v>
      </c>
      <c r="G14" s="599">
        <f t="shared" si="4"/>
        <v>4499.003756</v>
      </c>
      <c r="H14" s="407"/>
      <c r="I14" s="407"/>
      <c r="J14" s="407"/>
      <c r="K14" s="407"/>
      <c r="L14" s="407"/>
    </row>
    <row r="15">
      <c r="A15" s="540" t="s">
        <v>482</v>
      </c>
      <c r="B15" s="572">
        <f t="shared" si="3"/>
        <v>4</v>
      </c>
      <c r="C15" s="724">
        <v>4.0</v>
      </c>
      <c r="D15" s="725">
        <f t="shared" ref="D15:G15" si="5">$C$15</f>
        <v>4</v>
      </c>
      <c r="E15" s="725">
        <f t="shared" si="5"/>
        <v>4</v>
      </c>
      <c r="F15" s="725">
        <f t="shared" si="5"/>
        <v>4</v>
      </c>
      <c r="G15" s="725">
        <f t="shared" si="5"/>
        <v>4</v>
      </c>
      <c r="H15" s="725"/>
      <c r="I15" s="725"/>
      <c r="J15" s="725"/>
      <c r="K15" s="725"/>
      <c r="L15" s="725"/>
    </row>
    <row r="16">
      <c r="A16" s="540" t="s">
        <v>483</v>
      </c>
      <c r="B16" s="726">
        <f t="shared" si="3"/>
        <v>6.928357903</v>
      </c>
      <c r="C16" s="727">
        <f>sumproduct(D16:G16,D18:G18)</f>
        <v>6.928357903</v>
      </c>
      <c r="D16" s="728">
        <v>5.807956373201895</v>
      </c>
      <c r="E16" s="728">
        <v>7.791738279480442</v>
      </c>
      <c r="F16" s="728">
        <v>7.144529628284192</v>
      </c>
      <c r="G16" s="728">
        <v>6.586507964397316</v>
      </c>
      <c r="H16" s="477"/>
      <c r="I16" s="477"/>
      <c r="J16" s="477"/>
      <c r="K16" s="477"/>
      <c r="L16" s="477"/>
    </row>
    <row r="17">
      <c r="A17" s="540" t="s">
        <v>484</v>
      </c>
      <c r="B17" s="572">
        <f t="shared" si="3"/>
        <v>16098.07001</v>
      </c>
      <c r="C17" s="573">
        <f t="shared" ref="C17:C18" si="7">sum(D17:AB17)</f>
        <v>16098.07001</v>
      </c>
      <c r="D17" s="573">
        <f t="shared" ref="D17:G17" si="6">D14/D16</f>
        <v>3340.342443</v>
      </c>
      <c r="E17" s="573">
        <f t="shared" si="6"/>
        <v>2110.338108</v>
      </c>
      <c r="F17" s="573">
        <f t="shared" si="6"/>
        <v>9964.325876</v>
      </c>
      <c r="G17" s="573">
        <f t="shared" si="6"/>
        <v>683.063587</v>
      </c>
      <c r="H17" s="573"/>
      <c r="I17" s="573"/>
      <c r="J17" s="573"/>
      <c r="K17" s="573"/>
      <c r="L17" s="573"/>
    </row>
    <row r="18">
      <c r="A18" s="540" t="s">
        <v>485</v>
      </c>
      <c r="B18" s="690">
        <f t="shared" si="3"/>
        <v>1</v>
      </c>
      <c r="C18" s="406">
        <f t="shared" si="7"/>
        <v>1</v>
      </c>
      <c r="D18" s="406">
        <f t="shared" ref="D18:G18" si="8">D17/$C$17</f>
        <v>0.2074995599</v>
      </c>
      <c r="E18" s="406">
        <f t="shared" si="8"/>
        <v>0.1310926158</v>
      </c>
      <c r="F18" s="406">
        <f t="shared" si="8"/>
        <v>0.6189764281</v>
      </c>
      <c r="G18" s="406">
        <f t="shared" si="8"/>
        <v>0.04243139621</v>
      </c>
      <c r="H18" s="406"/>
      <c r="I18" s="406"/>
      <c r="J18" s="406"/>
      <c r="K18" s="406"/>
      <c r="L18" s="406"/>
    </row>
    <row r="19">
      <c r="A19" s="407"/>
      <c r="B19" s="587"/>
      <c r="C19" s="727"/>
      <c r="D19" s="407"/>
      <c r="E19" s="407"/>
      <c r="F19" s="407"/>
      <c r="G19" s="407"/>
      <c r="H19" s="407"/>
      <c r="I19" s="407"/>
      <c r="J19" s="407"/>
      <c r="K19" s="407"/>
      <c r="L19" s="407"/>
    </row>
    <row r="20">
      <c r="A20" s="241" t="s">
        <v>486</v>
      </c>
      <c r="B20" s="585"/>
      <c r="C20" s="729"/>
      <c r="D20" s="586"/>
      <c r="E20" s="586"/>
      <c r="F20" s="586"/>
      <c r="G20" s="586"/>
      <c r="H20" s="586"/>
      <c r="I20" s="586"/>
      <c r="J20" s="586"/>
      <c r="K20" s="586"/>
      <c r="L20" s="586"/>
    </row>
    <row r="21">
      <c r="A21" s="343"/>
      <c r="B21" s="587"/>
      <c r="C21" s="730"/>
      <c r="D21" s="407"/>
      <c r="E21" s="407"/>
      <c r="F21" s="407"/>
      <c r="G21" s="407"/>
      <c r="H21" s="407"/>
      <c r="I21" s="407"/>
      <c r="J21" s="407"/>
      <c r="K21" s="407"/>
      <c r="L21" s="407"/>
    </row>
    <row r="22">
      <c r="A22" s="343" t="s">
        <v>487</v>
      </c>
      <c r="B22" s="575">
        <f t="shared" ref="B22:B27" si="10">index(A22:AB22,,match($A$3,$A$1:$AB$1,0))</f>
        <v>0.25</v>
      </c>
      <c r="C22" s="731">
        <v>0.25</v>
      </c>
      <c r="D22" s="732">
        <f t="shared" ref="D22:G22" si="9">$C$22</f>
        <v>0.25</v>
      </c>
      <c r="E22" s="732">
        <f t="shared" si="9"/>
        <v>0.25</v>
      </c>
      <c r="F22" s="732">
        <f t="shared" si="9"/>
        <v>0.25</v>
      </c>
      <c r="G22" s="732">
        <f t="shared" si="9"/>
        <v>0.25</v>
      </c>
      <c r="H22" s="722"/>
      <c r="I22" s="722"/>
      <c r="J22" s="722"/>
      <c r="K22" s="722"/>
      <c r="L22" s="722"/>
    </row>
    <row r="23">
      <c r="A23" s="733" t="s">
        <v>488</v>
      </c>
      <c r="B23" s="690">
        <f t="shared" si="10"/>
        <v>0.75</v>
      </c>
      <c r="C23" s="734">
        <f>1-C22</f>
        <v>0.75</v>
      </c>
      <c r="D23" s="735">
        <f t="shared" ref="D23:G23" si="11">$C$23</f>
        <v>0.75</v>
      </c>
      <c r="E23" s="735">
        <f t="shared" si="11"/>
        <v>0.75</v>
      </c>
      <c r="F23" s="735">
        <f t="shared" si="11"/>
        <v>0.75</v>
      </c>
      <c r="G23" s="735">
        <f t="shared" si="11"/>
        <v>0.75</v>
      </c>
      <c r="H23" s="722"/>
      <c r="I23" s="722"/>
      <c r="J23" s="722"/>
      <c r="K23" s="722"/>
      <c r="L23" s="722"/>
    </row>
    <row r="24">
      <c r="A24" s="82" t="s">
        <v>489</v>
      </c>
      <c r="B24" s="690">
        <f t="shared" si="10"/>
        <v>0.95</v>
      </c>
      <c r="C24" s="391">
        <v>0.95</v>
      </c>
      <c r="D24" s="735">
        <f t="shared" ref="D24:G24" si="12">$C$24</f>
        <v>0.95</v>
      </c>
      <c r="E24" s="735">
        <f t="shared" si="12"/>
        <v>0.95</v>
      </c>
      <c r="F24" s="735">
        <f t="shared" si="12"/>
        <v>0.95</v>
      </c>
      <c r="G24" s="735">
        <f t="shared" si="12"/>
        <v>0.95</v>
      </c>
      <c r="H24" s="722"/>
      <c r="I24" s="722"/>
      <c r="J24" s="722"/>
      <c r="K24" s="722"/>
      <c r="L24" s="722"/>
    </row>
    <row r="25">
      <c r="A25" s="82" t="s">
        <v>490</v>
      </c>
      <c r="B25" s="690">
        <f t="shared" si="10"/>
        <v>1</v>
      </c>
      <c r="C25" s="391">
        <v>1.0</v>
      </c>
      <c r="D25" s="735">
        <f t="shared" ref="D25:G25" si="13">$C$25</f>
        <v>1</v>
      </c>
      <c r="E25" s="735">
        <f t="shared" si="13"/>
        <v>1</v>
      </c>
      <c r="F25" s="735">
        <f t="shared" si="13"/>
        <v>1</v>
      </c>
      <c r="G25" s="735">
        <f t="shared" si="13"/>
        <v>1</v>
      </c>
      <c r="H25" s="722"/>
      <c r="I25" s="722"/>
      <c r="J25" s="722"/>
      <c r="K25" s="722"/>
      <c r="L25" s="722"/>
    </row>
    <row r="26">
      <c r="A26" s="736" t="s">
        <v>491</v>
      </c>
      <c r="B26" s="690">
        <f t="shared" si="10"/>
        <v>0.8977</v>
      </c>
      <c r="C26" s="155">
        <v>0.8977</v>
      </c>
      <c r="D26" s="657">
        <f t="shared" ref="D26:G26" si="14">$C$26</f>
        <v>0.8977</v>
      </c>
      <c r="E26" s="657">
        <f t="shared" si="14"/>
        <v>0.8977</v>
      </c>
      <c r="F26" s="657">
        <f t="shared" si="14"/>
        <v>0.8977</v>
      </c>
      <c r="G26" s="657">
        <f t="shared" si="14"/>
        <v>0.8977</v>
      </c>
      <c r="H26" s="657"/>
      <c r="I26" s="657"/>
      <c r="J26" s="657"/>
      <c r="K26" s="657"/>
      <c r="L26" s="657"/>
    </row>
    <row r="27">
      <c r="A27" s="733" t="s">
        <v>492</v>
      </c>
      <c r="B27" s="737">
        <f t="shared" si="10"/>
        <v>0.7936949983</v>
      </c>
      <c r="C27" s="738">
        <f>$C$23/C26*$C$24*$C$25</f>
        <v>0.7936949983</v>
      </c>
      <c r="D27" s="738">
        <f t="shared" ref="D27:G27" si="15">D23/D26*D24*D25</f>
        <v>0.7936949983</v>
      </c>
      <c r="E27" s="738">
        <f t="shared" si="15"/>
        <v>0.7936949983</v>
      </c>
      <c r="F27" s="738">
        <f t="shared" si="15"/>
        <v>0.7936949983</v>
      </c>
      <c r="G27" s="738">
        <f t="shared" si="15"/>
        <v>0.7936949983</v>
      </c>
      <c r="H27" s="738"/>
      <c r="I27" s="738"/>
      <c r="J27" s="738"/>
      <c r="K27" s="738"/>
      <c r="L27" s="738"/>
    </row>
    <row r="28">
      <c r="A28" s="407"/>
      <c r="B28" s="587"/>
      <c r="C28" s="407"/>
      <c r="D28" s="407"/>
      <c r="E28" s="407"/>
      <c r="F28" s="407"/>
      <c r="G28" s="407"/>
      <c r="H28" s="407"/>
      <c r="I28" s="407"/>
      <c r="J28" s="407"/>
      <c r="K28" s="407"/>
      <c r="L28" s="407"/>
    </row>
    <row r="29">
      <c r="A29" s="637" t="s">
        <v>493</v>
      </c>
      <c r="B29" s="585"/>
      <c r="C29" s="586"/>
      <c r="D29" s="586"/>
      <c r="E29" s="586"/>
      <c r="F29" s="586"/>
      <c r="G29" s="586"/>
      <c r="H29" s="586"/>
      <c r="I29" s="586"/>
      <c r="J29" s="586"/>
      <c r="K29" s="586"/>
      <c r="L29" s="586"/>
    </row>
    <row r="30">
      <c r="A30" s="96"/>
      <c r="B30" s="121"/>
      <c r="C30" s="121"/>
      <c r="D30" s="121"/>
      <c r="E30" s="121"/>
      <c r="F30" s="121"/>
      <c r="G30" s="121"/>
      <c r="H30" s="121"/>
      <c r="I30" s="121"/>
      <c r="J30" s="121"/>
      <c r="K30" s="121"/>
      <c r="L30" s="121"/>
    </row>
    <row r="31">
      <c r="A31" s="739" t="s">
        <v>494</v>
      </c>
      <c r="B31" s="121"/>
      <c r="C31" s="121"/>
      <c r="D31" s="96"/>
      <c r="E31" s="96"/>
      <c r="F31" s="96"/>
      <c r="G31" s="96"/>
      <c r="H31" s="96"/>
      <c r="I31" s="96"/>
      <c r="J31" s="96"/>
      <c r="K31" s="96"/>
      <c r="L31" s="96"/>
    </row>
    <row r="32">
      <c r="A32" s="740"/>
      <c r="B32" s="121"/>
      <c r="C32" s="121"/>
      <c r="D32" s="121"/>
      <c r="E32" s="121"/>
      <c r="F32" s="121"/>
      <c r="G32" s="121"/>
      <c r="H32" s="121"/>
      <c r="I32" s="121"/>
      <c r="J32" s="121"/>
      <c r="K32" s="121"/>
      <c r="L32" s="121"/>
    </row>
    <row r="33">
      <c r="A33" s="741" t="s">
        <v>495</v>
      </c>
      <c r="B33" s="121"/>
      <c r="C33" s="121"/>
      <c r="D33" s="96"/>
      <c r="E33" s="96"/>
      <c r="F33" s="96"/>
      <c r="G33" s="96"/>
      <c r="H33" s="96"/>
      <c r="I33" s="96"/>
      <c r="J33" s="96"/>
      <c r="K33" s="96"/>
      <c r="L33" s="96"/>
    </row>
    <row r="34">
      <c r="A34" s="742" t="s">
        <v>496</v>
      </c>
      <c r="B34" s="743">
        <f t="shared" ref="B34:B42" si="16">index($A$1:$AB$52,match($A34,$A$1:$A$52,0),match($A$3,$A$1:$AB$1,0))</f>
        <v>132931.1625</v>
      </c>
      <c r="C34" s="272">
        <f t="shared" ref="C34:C37" si="17">sum(D34:AB34)</f>
        <v>132931.1625</v>
      </c>
      <c r="D34" s="744">
        <v>21006.9757378959</v>
      </c>
      <c r="E34" s="744">
        <v>4662.14113852823</v>
      </c>
      <c r="F34" s="443">
        <v>104085.48</v>
      </c>
      <c r="G34" s="248">
        <v>3176.565652</v>
      </c>
      <c r="H34" s="248"/>
      <c r="I34" s="248"/>
      <c r="J34" s="248"/>
      <c r="K34" s="248"/>
      <c r="L34" s="248"/>
    </row>
    <row r="35">
      <c r="A35" s="742" t="s">
        <v>497</v>
      </c>
      <c r="B35" s="743">
        <f t="shared" si="16"/>
        <v>0</v>
      </c>
      <c r="C35" s="272">
        <f t="shared" si="17"/>
        <v>0</v>
      </c>
      <c r="D35" s="744">
        <v>0.0</v>
      </c>
      <c r="E35" s="744">
        <v>0.0</v>
      </c>
      <c r="F35" s="443">
        <v>0.0</v>
      </c>
      <c r="G35" s="443">
        <v>0.0</v>
      </c>
      <c r="H35" s="443"/>
      <c r="I35" s="443"/>
      <c r="J35" s="443"/>
      <c r="K35" s="443"/>
      <c r="L35" s="443"/>
    </row>
    <row r="36">
      <c r="A36" s="742" t="s">
        <v>498</v>
      </c>
      <c r="B36" s="743">
        <f t="shared" si="16"/>
        <v>5786.56294</v>
      </c>
      <c r="C36" s="272">
        <f t="shared" si="17"/>
        <v>5786.56294</v>
      </c>
      <c r="D36" s="744">
        <v>887.66010716441</v>
      </c>
      <c r="E36" s="744">
        <v>195.665951400246</v>
      </c>
      <c r="F36" s="443">
        <v>4604.66</v>
      </c>
      <c r="G36" s="248">
        <v>98.57688146</v>
      </c>
      <c r="H36" s="248"/>
      <c r="I36" s="248"/>
      <c r="J36" s="248"/>
      <c r="K36" s="248"/>
      <c r="L36" s="248"/>
    </row>
    <row r="37">
      <c r="A37" s="742" t="s">
        <v>499</v>
      </c>
      <c r="B37" s="743">
        <f t="shared" si="16"/>
        <v>35491.82552</v>
      </c>
      <c r="C37" s="272">
        <f t="shared" si="17"/>
        <v>35491.82552</v>
      </c>
      <c r="D37" s="744">
        <v>6572.36495428815</v>
      </c>
      <c r="E37" s="744">
        <v>1594.78080736701</v>
      </c>
      <c r="F37" s="443">
        <v>26329.83</v>
      </c>
      <c r="G37" s="248">
        <v>994.8497574</v>
      </c>
      <c r="H37" s="248"/>
      <c r="I37" s="248"/>
      <c r="J37" s="248"/>
      <c r="K37" s="248"/>
      <c r="L37" s="248"/>
    </row>
    <row r="38">
      <c r="A38" s="745" t="s">
        <v>500</v>
      </c>
      <c r="B38" s="746">
        <f t="shared" si="16"/>
        <v>1</v>
      </c>
      <c r="C38" s="747">
        <v>1.0</v>
      </c>
      <c r="D38" s="746">
        <f t="shared" ref="D38:G38" si="18">$C$38</f>
        <v>1</v>
      </c>
      <c r="E38" s="746">
        <f t="shared" si="18"/>
        <v>1</v>
      </c>
      <c r="F38" s="746">
        <f t="shared" si="18"/>
        <v>1</v>
      </c>
      <c r="G38" s="746">
        <f t="shared" si="18"/>
        <v>1</v>
      </c>
      <c r="H38" s="746"/>
      <c r="I38" s="746"/>
      <c r="J38" s="746"/>
      <c r="K38" s="746"/>
      <c r="L38" s="746"/>
    </row>
    <row r="39">
      <c r="A39" s="97" t="s">
        <v>501</v>
      </c>
      <c r="B39" s="743">
        <f t="shared" si="16"/>
        <v>3226.529593</v>
      </c>
      <c r="C39" s="272">
        <f t="shared" ref="C39:C41" si="20">sum(D39:AB39)</f>
        <v>3226.529593</v>
      </c>
      <c r="D39" s="272">
        <f t="shared" ref="D39:G39" si="19">D37/11</f>
        <v>597.4877231</v>
      </c>
      <c r="E39" s="272">
        <f t="shared" si="19"/>
        <v>144.9800734</v>
      </c>
      <c r="F39" s="272">
        <f t="shared" si="19"/>
        <v>2393.620909</v>
      </c>
      <c r="G39" s="272">
        <f t="shared" si="19"/>
        <v>90.44088704</v>
      </c>
      <c r="H39" s="272"/>
      <c r="I39" s="272"/>
      <c r="J39" s="272"/>
      <c r="K39" s="272"/>
      <c r="L39" s="272"/>
    </row>
    <row r="40">
      <c r="A40" s="299" t="s">
        <v>502</v>
      </c>
      <c r="B40" s="743">
        <f t="shared" si="16"/>
        <v>6453.059185</v>
      </c>
      <c r="C40" s="272">
        <f t="shared" si="20"/>
        <v>6453.059185</v>
      </c>
      <c r="D40" s="272">
        <f t="shared" ref="D40:G40" si="21">2*D39*D38</f>
        <v>1194.975446</v>
      </c>
      <c r="E40" s="272">
        <f t="shared" si="21"/>
        <v>289.9601468</v>
      </c>
      <c r="F40" s="272">
        <f t="shared" si="21"/>
        <v>4787.241818</v>
      </c>
      <c r="G40" s="272">
        <f t="shared" si="21"/>
        <v>180.8817741</v>
      </c>
      <c r="H40" s="272"/>
      <c r="I40" s="272"/>
      <c r="J40" s="272"/>
      <c r="K40" s="272"/>
      <c r="L40" s="272"/>
    </row>
    <row r="41">
      <c r="A41" s="96" t="s">
        <v>503</v>
      </c>
      <c r="B41" s="743">
        <f t="shared" si="16"/>
        <v>120691.5404</v>
      </c>
      <c r="C41" s="272">
        <f t="shared" si="20"/>
        <v>120691.5404</v>
      </c>
      <c r="D41" s="272">
        <f t="shared" ref="D41:G41" si="22">D34-sum(D35:D36,D40)</f>
        <v>18924.34018</v>
      </c>
      <c r="E41" s="272">
        <f t="shared" si="22"/>
        <v>4176.51504</v>
      </c>
      <c r="F41" s="272">
        <f t="shared" si="22"/>
        <v>94693.57818</v>
      </c>
      <c r="G41" s="272">
        <f t="shared" si="22"/>
        <v>2897.106996</v>
      </c>
      <c r="H41" s="272"/>
      <c r="I41" s="272"/>
      <c r="J41" s="272"/>
      <c r="K41" s="272"/>
      <c r="L41" s="272"/>
    </row>
    <row r="42">
      <c r="A42" s="417" t="s">
        <v>504</v>
      </c>
      <c r="B42" s="657">
        <f t="shared" si="16"/>
        <v>0.9079251103</v>
      </c>
      <c r="C42" s="152">
        <f t="shared" ref="C42:G42" si="23">C41/C34</f>
        <v>0.9079251103</v>
      </c>
      <c r="D42" s="152">
        <f t="shared" si="23"/>
        <v>0.9008598106</v>
      </c>
      <c r="E42" s="152">
        <f t="shared" si="23"/>
        <v>0.8958362512</v>
      </c>
      <c r="F42" s="152">
        <f t="shared" si="23"/>
        <v>0.909767416</v>
      </c>
      <c r="G42" s="152">
        <f t="shared" si="23"/>
        <v>0.912024908</v>
      </c>
      <c r="H42" s="152"/>
      <c r="I42" s="152"/>
      <c r="J42" s="152"/>
      <c r="K42" s="152"/>
      <c r="L42" s="152"/>
    </row>
    <row r="43">
      <c r="A43" s="417"/>
      <c r="B43" s="121"/>
      <c r="C43" s="121"/>
      <c r="D43" s="417"/>
      <c r="E43" s="417"/>
      <c r="F43" s="417"/>
      <c r="G43" s="417"/>
      <c r="H43" s="417"/>
      <c r="I43" s="417"/>
      <c r="J43" s="417"/>
      <c r="K43" s="417"/>
      <c r="L43" s="417"/>
    </row>
    <row r="44">
      <c r="A44" s="748" t="s">
        <v>505</v>
      </c>
      <c r="B44" s="743">
        <f t="shared" ref="B44:B46" si="24">index($A$1:$AB$52,match($A44,$A$1:$A$52,0),match($A$3,$A$1:$AB$1,0))</f>
        <v>336.3348261</v>
      </c>
      <c r="C44" s="653">
        <f>SUMPRODUCT(D44:AB44,D18:AB18)</f>
        <v>336.3348261</v>
      </c>
      <c r="D44" s="285">
        <v>562.661596724416</v>
      </c>
      <c r="E44" s="285">
        <v>152.088938545122</v>
      </c>
      <c r="F44" s="285">
        <v>302.180843878245</v>
      </c>
      <c r="G44" s="291">
        <v>297.0026288</v>
      </c>
      <c r="H44" s="291"/>
      <c r="I44" s="291"/>
      <c r="J44" s="291"/>
      <c r="K44" s="291"/>
      <c r="L44" s="291"/>
    </row>
    <row r="45">
      <c r="A45" s="121" t="s">
        <v>506</v>
      </c>
      <c r="B45" s="743">
        <f t="shared" si="24"/>
        <v>40161691.91</v>
      </c>
      <c r="C45" s="272">
        <f>sum(D45:AB45)</f>
        <v>40161691.91</v>
      </c>
      <c r="D45" s="272">
        <f t="shared" ref="D45:G45" si="25">((56/59)*(D34/D44))*100000</f>
        <v>3543661.864</v>
      </c>
      <c r="E45" s="272">
        <f t="shared" si="25"/>
        <v>2909536.457</v>
      </c>
      <c r="F45" s="272">
        <f t="shared" si="25"/>
        <v>32693335.78</v>
      </c>
      <c r="G45" s="272">
        <f t="shared" si="25"/>
        <v>1015157.804</v>
      </c>
      <c r="H45" s="272"/>
      <c r="I45" s="272"/>
      <c r="J45" s="272"/>
      <c r="K45" s="272"/>
      <c r="L45" s="272"/>
    </row>
    <row r="46">
      <c r="A46" s="97" t="s">
        <v>507</v>
      </c>
      <c r="B46" s="746">
        <f t="shared" si="24"/>
        <v>3.210202412</v>
      </c>
      <c r="C46" s="211">
        <f>SUMPRODUCT(D46:AB46,D18:AB18)</f>
        <v>3.210202412</v>
      </c>
      <c r="D46" s="98">
        <f t="shared" ref="D46:G46" si="26">(D41/D45)*1000</f>
        <v>5.340334634</v>
      </c>
      <c r="E46" s="98">
        <f t="shared" si="26"/>
        <v>1.435457195</v>
      </c>
      <c r="F46" s="98">
        <f t="shared" si="26"/>
        <v>2.896418365</v>
      </c>
      <c r="G46" s="98">
        <f t="shared" si="26"/>
        <v>2.853848914</v>
      </c>
      <c r="H46" s="98"/>
      <c r="I46" s="98"/>
      <c r="J46" s="98"/>
      <c r="K46" s="98"/>
      <c r="L46" s="98"/>
    </row>
    <row r="47">
      <c r="A47" s="97"/>
      <c r="B47" s="121"/>
      <c r="C47" s="342"/>
      <c r="D47" s="97"/>
      <c r="E47" s="97"/>
      <c r="F47" s="97"/>
      <c r="G47" s="97"/>
      <c r="H47" s="97"/>
      <c r="I47" s="97"/>
      <c r="J47" s="97"/>
      <c r="K47" s="97"/>
      <c r="L47" s="97"/>
    </row>
    <row r="48">
      <c r="A48" s="97" t="s">
        <v>508</v>
      </c>
      <c r="B48" s="121"/>
      <c r="C48" s="342"/>
      <c r="D48" s="97"/>
      <c r="E48" s="97"/>
      <c r="F48" s="97"/>
      <c r="G48" s="97"/>
      <c r="H48" s="97"/>
      <c r="I48" s="97"/>
      <c r="J48" s="97"/>
      <c r="K48" s="97"/>
      <c r="L48" s="97"/>
    </row>
    <row r="49">
      <c r="A49" s="442" t="s">
        <v>509</v>
      </c>
      <c r="B49" s="743">
        <f t="shared" ref="B49:B50" si="28">index($A$1:$AB$52,match($A49,$A$1:$A$52,0),match($A$3,$A$1:$AB$1,0))</f>
        <v>120691.5404</v>
      </c>
      <c r="C49" s="272">
        <f t="shared" ref="C49:C50" si="29">sum(D49:AB49)</f>
        <v>120691.5404</v>
      </c>
      <c r="D49" s="743">
        <f t="shared" ref="D49:G49" si="27">D41</f>
        <v>18924.34018</v>
      </c>
      <c r="E49" s="743">
        <f t="shared" si="27"/>
        <v>4176.51504</v>
      </c>
      <c r="F49" s="743">
        <f t="shared" si="27"/>
        <v>94693.57818</v>
      </c>
      <c r="G49" s="743">
        <f t="shared" si="27"/>
        <v>2897.106996</v>
      </c>
      <c r="H49" s="743"/>
      <c r="I49" s="743"/>
      <c r="J49" s="743"/>
      <c r="K49" s="743"/>
      <c r="L49" s="743"/>
    </row>
    <row r="50">
      <c r="A50" s="442" t="s">
        <v>510</v>
      </c>
      <c r="B50" s="743">
        <f t="shared" si="28"/>
        <v>197398.5618</v>
      </c>
      <c r="C50" s="272">
        <f t="shared" si="29"/>
        <v>197398.5618</v>
      </c>
      <c r="D50" s="443">
        <v>30574.53</v>
      </c>
      <c r="E50" s="443">
        <v>7679.41</v>
      </c>
      <c r="F50" s="443">
        <v>152240.31</v>
      </c>
      <c r="G50" s="443">
        <v>6904.311841</v>
      </c>
      <c r="H50" s="443"/>
      <c r="I50" s="443"/>
      <c r="J50" s="443"/>
      <c r="K50" s="443"/>
      <c r="L50" s="443"/>
    </row>
    <row r="51">
      <c r="A51" s="749"/>
      <c r="B51" s="587"/>
      <c r="C51" s="407"/>
      <c r="D51" s="750"/>
      <c r="E51" s="750"/>
      <c r="F51" s="750"/>
      <c r="G51" s="750"/>
      <c r="H51" s="750"/>
      <c r="I51" s="750"/>
      <c r="J51" s="750"/>
      <c r="K51" s="750"/>
      <c r="L51" s="750"/>
    </row>
    <row r="52">
      <c r="A52" s="179" t="s">
        <v>511</v>
      </c>
      <c r="B52" s="690">
        <f t="array" ref="B52">index(A52:AB52,,match($A$3,$A$1:$AB$1,0))</f>
        <v>1.672541191</v>
      </c>
      <c r="C52" s="314">
        <f>sumproduct(D52:AB52,D18:AB18)</f>
        <v>1.672541191</v>
      </c>
      <c r="D52" s="314">
        <f t="shared" ref="D52:G52" si="30">D50/D49</f>
        <v>1.61561934</v>
      </c>
      <c r="E52" s="314">
        <f t="shared" si="30"/>
        <v>1.838712402</v>
      </c>
      <c r="F52" s="314">
        <f t="shared" si="30"/>
        <v>1.607715253</v>
      </c>
      <c r="G52" s="314">
        <f t="shared" si="30"/>
        <v>2.383174612</v>
      </c>
      <c r="H52" s="314"/>
      <c r="I52" s="314"/>
      <c r="J52" s="314"/>
      <c r="K52" s="314"/>
      <c r="L52" s="314"/>
    </row>
    <row r="53">
      <c r="A53" s="138"/>
      <c r="B53" s="587"/>
      <c r="C53" s="407"/>
      <c r="D53" s="138"/>
      <c r="E53" s="138"/>
      <c r="F53" s="138"/>
      <c r="G53" s="138"/>
      <c r="H53" s="138"/>
      <c r="I53" s="138"/>
      <c r="J53" s="138"/>
      <c r="K53" s="138"/>
      <c r="L53" s="138"/>
    </row>
    <row r="54">
      <c r="A54" s="751" t="s">
        <v>512</v>
      </c>
      <c r="B54" s="587"/>
      <c r="C54" s="407"/>
      <c r="D54" s="752"/>
      <c r="E54" s="752"/>
      <c r="F54" s="752"/>
      <c r="G54" s="752"/>
      <c r="H54" s="752"/>
      <c r="I54" s="752"/>
      <c r="J54" s="752"/>
      <c r="K54" s="752"/>
      <c r="L54" s="752"/>
    </row>
    <row r="55">
      <c r="A55" s="176" t="s">
        <v>513</v>
      </c>
      <c r="B55" s="753">
        <f t="shared" ref="B55:B58" si="31">index(A55:AB55,,match($A$3,$A$1:$AB$1,0))</f>
        <v>0.2805922085</v>
      </c>
      <c r="C55" s="466">
        <f>sumproduct(D55:AB55,D18:AB18)</f>
        <v>0.2805922085</v>
      </c>
      <c r="D55" s="467">
        <v>0.403</v>
      </c>
      <c r="E55" s="467">
        <v>0.092</v>
      </c>
      <c r="F55" s="467">
        <v>0.271</v>
      </c>
      <c r="G55" s="693">
        <v>0.404576675</v>
      </c>
      <c r="H55" s="693"/>
      <c r="I55" s="693"/>
      <c r="J55" s="693"/>
      <c r="K55" s="693"/>
      <c r="L55" s="693"/>
    </row>
    <row r="56">
      <c r="A56" s="413" t="s">
        <v>514</v>
      </c>
      <c r="B56" s="753">
        <f t="shared" si="31"/>
        <v>0.3125651774</v>
      </c>
      <c r="C56" s="466">
        <f>sumproduct(D56:AB56,D18:AB18)</f>
        <v>0.3125651774</v>
      </c>
      <c r="D56" s="467">
        <v>0.443</v>
      </c>
      <c r="E56" s="467">
        <v>0.099</v>
      </c>
      <c r="F56" s="467">
        <v>0.307</v>
      </c>
      <c r="G56" s="693">
        <v>0.415704916</v>
      </c>
      <c r="H56" s="693"/>
      <c r="I56" s="693"/>
      <c r="J56" s="693"/>
      <c r="K56" s="693"/>
      <c r="L56" s="693"/>
    </row>
    <row r="57">
      <c r="A57" s="179" t="s">
        <v>515</v>
      </c>
      <c r="B57" s="753">
        <f t="shared" si="31"/>
        <v>0.2444185019</v>
      </c>
      <c r="C57" s="466">
        <f>sumproduct(D57:AB57,D18:AB18)</f>
        <v>0.2444185019</v>
      </c>
      <c r="D57" s="467">
        <v>0.386</v>
      </c>
      <c r="E57" s="467">
        <v>0.061</v>
      </c>
      <c r="F57" s="467">
        <v>0.226</v>
      </c>
      <c r="G57" s="467">
        <v>0.387410053</v>
      </c>
      <c r="H57" s="467"/>
      <c r="I57" s="467"/>
      <c r="J57" s="467"/>
      <c r="K57" s="467"/>
      <c r="L57" s="467"/>
    </row>
    <row r="58">
      <c r="A58" s="413" t="s">
        <v>516</v>
      </c>
      <c r="B58" s="753">
        <f t="shared" si="31"/>
        <v>0.2784918396</v>
      </c>
      <c r="C58" s="466">
        <f>sumproduct(D58:AB58,D18:AB18)</f>
        <v>0.2784918396</v>
      </c>
      <c r="D58" s="466">
        <f t="shared" ref="D58:G58" si="32">average(D56:D57)</f>
        <v>0.4145</v>
      </c>
      <c r="E58" s="466">
        <f t="shared" si="32"/>
        <v>0.08</v>
      </c>
      <c r="F58" s="466">
        <f t="shared" si="32"/>
        <v>0.2665</v>
      </c>
      <c r="G58" s="466">
        <f t="shared" si="32"/>
        <v>0.4015574845</v>
      </c>
      <c r="H58" s="466"/>
      <c r="I58" s="466"/>
      <c r="J58" s="466"/>
      <c r="K58" s="466"/>
      <c r="L58" s="466"/>
    </row>
    <row r="59">
      <c r="A59" s="538"/>
      <c r="B59" s="538"/>
    </row>
    <row r="60">
      <c r="A60" s="754" t="s">
        <v>517</v>
      </c>
      <c r="B60" s="65"/>
      <c r="C60" s="243"/>
      <c r="D60" s="243"/>
      <c r="E60" s="243"/>
      <c r="F60" s="243"/>
      <c r="G60" s="243"/>
      <c r="H60" s="243"/>
      <c r="I60" s="243"/>
      <c r="J60" s="243"/>
      <c r="K60" s="243"/>
      <c r="L60" s="243"/>
    </row>
    <row r="61">
      <c r="A61" s="96"/>
      <c r="B61" s="121"/>
      <c r="C61" s="121"/>
      <c r="D61" s="121"/>
      <c r="E61" s="121"/>
      <c r="F61" s="121"/>
      <c r="G61" s="121"/>
      <c r="H61" s="121"/>
      <c r="I61" s="121"/>
      <c r="J61" s="121"/>
      <c r="K61" s="121"/>
      <c r="L61" s="121"/>
    </row>
    <row r="62">
      <c r="A62" s="96" t="s">
        <v>518</v>
      </c>
      <c r="B62" s="755">
        <f t="shared" ref="B62:B70" si="34">index($A$1:$AB$94,match($A62,$A$1:$A$94,0),match($A$3,$A$1:$AB$1,0))</f>
        <v>3.210202412</v>
      </c>
      <c r="C62" s="755">
        <f>sumproduct(D62:AB62,D18:AB18)</f>
        <v>3.210202412</v>
      </c>
      <c r="D62" s="755">
        <f t="shared" ref="D62:G62" si="33">D46</f>
        <v>5.340334634</v>
      </c>
      <c r="E62" s="755">
        <f t="shared" si="33"/>
        <v>1.435457195</v>
      </c>
      <c r="F62" s="755">
        <f t="shared" si="33"/>
        <v>2.896418365</v>
      </c>
      <c r="G62" s="755">
        <f t="shared" si="33"/>
        <v>2.853848914</v>
      </c>
      <c r="H62" s="755"/>
      <c r="I62" s="755"/>
      <c r="J62" s="755"/>
      <c r="K62" s="755"/>
      <c r="L62" s="755"/>
    </row>
    <row r="63">
      <c r="A63" s="96" t="s">
        <v>519</v>
      </c>
      <c r="B63" s="657">
        <f t="shared" si="34"/>
        <v>0.5</v>
      </c>
      <c r="C63" s="177">
        <v>0.5</v>
      </c>
      <c r="D63" s="746">
        <f t="shared" ref="D63:G63" si="35">$C$63</f>
        <v>0.5</v>
      </c>
      <c r="E63" s="746">
        <f t="shared" si="35"/>
        <v>0.5</v>
      </c>
      <c r="F63" s="746">
        <f t="shared" si="35"/>
        <v>0.5</v>
      </c>
      <c r="G63" s="746">
        <f t="shared" si="35"/>
        <v>0.5</v>
      </c>
      <c r="H63" s="746"/>
      <c r="I63" s="746"/>
      <c r="J63" s="746"/>
      <c r="K63" s="746"/>
      <c r="L63" s="746"/>
    </row>
    <row r="64">
      <c r="A64" s="756" t="s">
        <v>520</v>
      </c>
      <c r="B64" s="755">
        <f t="shared" si="34"/>
        <v>4.815303619</v>
      </c>
      <c r="C64" s="757">
        <f>sumproduct(D64:AB64,D18:AB18)</f>
        <v>4.815303619</v>
      </c>
      <c r="D64" s="757">
        <f t="shared" ref="D64:G64" si="36">D62*(1+D63)</f>
        <v>8.01050195</v>
      </c>
      <c r="E64" s="757">
        <f t="shared" si="36"/>
        <v>2.153185792</v>
      </c>
      <c r="F64" s="757">
        <f t="shared" si="36"/>
        <v>4.344627548</v>
      </c>
      <c r="G64" s="757">
        <f t="shared" si="36"/>
        <v>4.280773371</v>
      </c>
      <c r="H64" s="757"/>
      <c r="I64" s="757"/>
      <c r="J64" s="757"/>
      <c r="K64" s="757"/>
      <c r="L64" s="757"/>
    </row>
    <row r="65">
      <c r="A65" s="299" t="s">
        <v>521</v>
      </c>
      <c r="B65" s="758">
        <f t="shared" si="34"/>
        <v>0.7</v>
      </c>
      <c r="C65" s="738">
        <v>0.7</v>
      </c>
      <c r="D65" s="758">
        <f t="shared" ref="D65:G65" si="37">$C$65</f>
        <v>0.7</v>
      </c>
      <c r="E65" s="758">
        <f t="shared" si="37"/>
        <v>0.7</v>
      </c>
      <c r="F65" s="758">
        <f t="shared" si="37"/>
        <v>0.7</v>
      </c>
      <c r="G65" s="758">
        <f t="shared" si="37"/>
        <v>0.7</v>
      </c>
      <c r="H65" s="758"/>
      <c r="I65" s="758"/>
      <c r="J65" s="758"/>
      <c r="K65" s="758"/>
      <c r="L65" s="758"/>
    </row>
    <row r="66">
      <c r="A66" s="97" t="s">
        <v>522</v>
      </c>
      <c r="B66" s="755">
        <f t="shared" si="34"/>
        <v>3.370712533</v>
      </c>
      <c r="C66" s="757">
        <f>C64*$C$65</f>
        <v>3.370712533</v>
      </c>
      <c r="D66" s="757">
        <f t="shared" ref="D66:G66" si="38">D64*D65</f>
        <v>5.607351365</v>
      </c>
      <c r="E66" s="757">
        <f t="shared" si="38"/>
        <v>1.507230054</v>
      </c>
      <c r="F66" s="757">
        <f t="shared" si="38"/>
        <v>3.041239283</v>
      </c>
      <c r="G66" s="757">
        <f t="shared" si="38"/>
        <v>2.996541359</v>
      </c>
      <c r="H66" s="757"/>
      <c r="I66" s="757"/>
      <c r="J66" s="757"/>
      <c r="K66" s="757"/>
      <c r="L66" s="757"/>
    </row>
    <row r="67">
      <c r="A67" s="96" t="s">
        <v>523</v>
      </c>
      <c r="B67" s="657">
        <f t="shared" si="34"/>
        <v>1</v>
      </c>
      <c r="C67" s="152">
        <v>1.0</v>
      </c>
      <c r="D67" s="657">
        <f t="shared" ref="D67:G67" si="39">$C$67</f>
        <v>1</v>
      </c>
      <c r="E67" s="657">
        <f t="shared" si="39"/>
        <v>1</v>
      </c>
      <c r="F67" s="657">
        <f t="shared" si="39"/>
        <v>1</v>
      </c>
      <c r="G67" s="657">
        <f t="shared" si="39"/>
        <v>1</v>
      </c>
      <c r="H67" s="657"/>
      <c r="I67" s="657"/>
      <c r="J67" s="657"/>
      <c r="K67" s="657"/>
      <c r="L67" s="657"/>
    </row>
    <row r="68">
      <c r="A68" s="96" t="s">
        <v>524</v>
      </c>
      <c r="B68" s="755">
        <f t="shared" si="34"/>
        <v>2.675317678</v>
      </c>
      <c r="C68" s="98">
        <f>C66*$C$27*$C$67</f>
        <v>2.675317678</v>
      </c>
      <c r="D68" s="98">
        <f t="shared" ref="D68:G68" si="40">D66*D27*D67</f>
        <v>4.450526732</v>
      </c>
      <c r="E68" s="98">
        <f t="shared" si="40"/>
        <v>1.196280955</v>
      </c>
      <c r="F68" s="98">
        <f t="shared" si="40"/>
        <v>2.413816408</v>
      </c>
      <c r="G68" s="98">
        <f t="shared" si="40"/>
        <v>2.378339889</v>
      </c>
      <c r="H68" s="98"/>
      <c r="I68" s="98"/>
      <c r="J68" s="98"/>
      <c r="K68" s="98"/>
      <c r="L68" s="98"/>
    </row>
    <row r="69">
      <c r="A69" s="759" t="s">
        <v>525</v>
      </c>
      <c r="B69" s="743">
        <f t="shared" si="34"/>
        <v>43.06745129</v>
      </c>
      <c r="C69" s="272">
        <f>sum(D69:AB69)</f>
        <v>43.06745129</v>
      </c>
      <c r="D69" s="272">
        <f t="shared" ref="D69:G69" si="41">D17*D68/1000</f>
        <v>14.86628334</v>
      </c>
      <c r="E69" s="272">
        <f t="shared" si="41"/>
        <v>2.524557288</v>
      </c>
      <c r="F69" s="272">
        <f t="shared" si="41"/>
        <v>24.05205329</v>
      </c>
      <c r="G69" s="272">
        <f t="shared" si="41"/>
        <v>1.624557376</v>
      </c>
      <c r="H69" s="272"/>
      <c r="I69" s="272"/>
      <c r="J69" s="272"/>
      <c r="K69" s="272"/>
      <c r="L69" s="272"/>
    </row>
    <row r="70">
      <c r="A70" s="154" t="s">
        <v>113</v>
      </c>
      <c r="B70" s="760">
        <f t="shared" si="34"/>
        <v>116.9</v>
      </c>
      <c r="C70" s="653">
        <f t="array" ref="C70">index('Moral weights and discount rate'!$A$1:$ZU$35,match($A70,'Moral weights and discount rate'!$A$1:$A$35,0),match($B$1,'Moral weights and discount rate'!$A$1:$ZU1,0))</f>
        <v>116.9</v>
      </c>
      <c r="D70" s="760">
        <f t="shared" ref="D70:G70" si="42">$C$70</f>
        <v>116.9</v>
      </c>
      <c r="E70" s="760">
        <f t="shared" si="42"/>
        <v>116.9</v>
      </c>
      <c r="F70" s="760">
        <f t="shared" si="42"/>
        <v>116.9</v>
      </c>
      <c r="G70" s="760">
        <f t="shared" si="42"/>
        <v>116.9</v>
      </c>
      <c r="H70" s="760"/>
      <c r="I70" s="760"/>
      <c r="J70" s="760"/>
      <c r="K70" s="760"/>
      <c r="L70" s="760"/>
    </row>
    <row r="71">
      <c r="A71" s="417"/>
      <c r="B71" s="121"/>
      <c r="C71" s="417"/>
      <c r="D71" s="417"/>
      <c r="E71" s="417"/>
      <c r="F71" s="417"/>
      <c r="G71" s="417"/>
      <c r="H71" s="417"/>
      <c r="I71" s="417"/>
      <c r="J71" s="417"/>
      <c r="K71" s="417"/>
      <c r="L71" s="417"/>
    </row>
    <row r="72">
      <c r="A72" s="761" t="s">
        <v>526</v>
      </c>
      <c r="B72" s="762">
        <f t="array" ref="B72">index($A$1:$AB$94,match($A72,$A$1:$A$94,0),match($A$3,$A$1:$AB$1,0))</f>
        <v>5034.585056</v>
      </c>
      <c r="C72" s="232">
        <f>sum(D72:AB72)</f>
        <v>5034.585056</v>
      </c>
      <c r="D72" s="232">
        <f t="shared" ref="D72:G72" si="43">D69*D70</f>
        <v>1737.868522</v>
      </c>
      <c r="E72" s="232">
        <f t="shared" si="43"/>
        <v>295.120747</v>
      </c>
      <c r="F72" s="232">
        <f t="shared" si="43"/>
        <v>2811.68503</v>
      </c>
      <c r="G72" s="232">
        <f t="shared" si="43"/>
        <v>189.9107572</v>
      </c>
      <c r="H72" s="232"/>
      <c r="I72" s="232"/>
      <c r="J72" s="232"/>
      <c r="K72" s="232"/>
      <c r="L72" s="232"/>
    </row>
    <row r="73">
      <c r="A73" s="299"/>
      <c r="B73" s="121"/>
      <c r="C73" s="678"/>
      <c r="D73" s="299"/>
      <c r="E73" s="299"/>
      <c r="F73" s="299"/>
      <c r="G73" s="299"/>
      <c r="H73" s="299"/>
      <c r="I73" s="299"/>
      <c r="J73" s="299"/>
      <c r="K73" s="299"/>
      <c r="L73" s="299"/>
    </row>
    <row r="74">
      <c r="A74" s="754" t="s">
        <v>527</v>
      </c>
      <c r="B74" s="243"/>
      <c r="C74" s="763"/>
      <c r="D74" s="269"/>
      <c r="E74" s="269"/>
      <c r="F74" s="269"/>
      <c r="G74" s="269"/>
      <c r="H74" s="269"/>
      <c r="I74" s="269"/>
      <c r="J74" s="269"/>
      <c r="K74" s="269"/>
      <c r="L74" s="269"/>
    </row>
    <row r="75">
      <c r="A75" s="342"/>
      <c r="B75" s="121"/>
      <c r="C75" s="299"/>
      <c r="D75" s="299"/>
      <c r="E75" s="299"/>
      <c r="F75" s="299"/>
      <c r="G75" s="299"/>
      <c r="H75" s="299"/>
      <c r="I75" s="299"/>
      <c r="J75" s="299"/>
      <c r="K75" s="299"/>
      <c r="L75" s="299"/>
    </row>
    <row r="76">
      <c r="A76" s="342" t="s">
        <v>528</v>
      </c>
      <c r="B76" s="657">
        <f t="shared" ref="B76:B84" si="45">index($A$1:$AB$94,match($A76,$A$1:$A$94,0),match($A$3,$A$1:$AB$1,0))</f>
        <v>0.6</v>
      </c>
      <c r="C76" s="155">
        <v>0.6</v>
      </c>
      <c r="D76" s="657">
        <f t="shared" ref="D76:G76" si="44">$C$76</f>
        <v>0.6</v>
      </c>
      <c r="E76" s="657">
        <f t="shared" si="44"/>
        <v>0.6</v>
      </c>
      <c r="F76" s="657">
        <f t="shared" si="44"/>
        <v>0.6</v>
      </c>
      <c r="G76" s="657">
        <f t="shared" si="44"/>
        <v>0.6</v>
      </c>
      <c r="H76" s="657"/>
      <c r="I76" s="657"/>
      <c r="J76" s="657"/>
      <c r="K76" s="657"/>
      <c r="L76" s="657"/>
    </row>
    <row r="77">
      <c r="A77" s="342" t="s">
        <v>529</v>
      </c>
      <c r="B77" s="657">
        <f t="shared" si="45"/>
        <v>0.26</v>
      </c>
      <c r="C77" s="155">
        <v>0.26</v>
      </c>
      <c r="D77" s="657">
        <f t="shared" ref="D77:G77" si="46">$C$77</f>
        <v>0.26</v>
      </c>
      <c r="E77" s="657">
        <f t="shared" si="46"/>
        <v>0.26</v>
      </c>
      <c r="F77" s="657">
        <f t="shared" si="46"/>
        <v>0.26</v>
      </c>
      <c r="G77" s="657">
        <f t="shared" si="46"/>
        <v>0.26</v>
      </c>
      <c r="H77" s="657"/>
      <c r="I77" s="657"/>
      <c r="J77" s="657"/>
      <c r="K77" s="657"/>
      <c r="L77" s="657"/>
    </row>
    <row r="78">
      <c r="A78" s="342" t="s">
        <v>530</v>
      </c>
      <c r="B78" s="657">
        <f t="shared" si="45"/>
        <v>0.4333333333</v>
      </c>
      <c r="C78" s="152">
        <f>C77/C76</f>
        <v>0.4333333333</v>
      </c>
      <c r="D78" s="657">
        <f t="shared" ref="D78:G78" si="47">$C$78</f>
        <v>0.4333333333</v>
      </c>
      <c r="E78" s="657">
        <f t="shared" si="47"/>
        <v>0.4333333333</v>
      </c>
      <c r="F78" s="657">
        <f t="shared" si="47"/>
        <v>0.4333333333</v>
      </c>
      <c r="G78" s="657">
        <f t="shared" si="47"/>
        <v>0.4333333333</v>
      </c>
      <c r="H78" s="657"/>
      <c r="I78" s="657"/>
      <c r="J78" s="657"/>
      <c r="K78" s="657"/>
      <c r="L78" s="657"/>
    </row>
    <row r="79">
      <c r="A79" s="342" t="s">
        <v>531</v>
      </c>
      <c r="B79" s="657">
        <f t="shared" si="45"/>
        <v>1.672541191</v>
      </c>
      <c r="C79" s="657">
        <f t="shared" ref="C79:G79" si="48">C52</f>
        <v>1.672541191</v>
      </c>
      <c r="D79" s="657">
        <f t="shared" si="48"/>
        <v>1.61561934</v>
      </c>
      <c r="E79" s="657">
        <f t="shared" si="48"/>
        <v>1.838712402</v>
      </c>
      <c r="F79" s="657">
        <f t="shared" si="48"/>
        <v>1.607715253</v>
      </c>
      <c r="G79" s="657">
        <f t="shared" si="48"/>
        <v>2.383174612</v>
      </c>
      <c r="H79" s="657"/>
      <c r="I79" s="657"/>
      <c r="J79" s="657"/>
      <c r="K79" s="657"/>
      <c r="L79" s="657"/>
    </row>
    <row r="80">
      <c r="A80" s="299" t="s">
        <v>532</v>
      </c>
      <c r="B80" s="755">
        <f t="shared" si="45"/>
        <v>0.7796799133</v>
      </c>
      <c r="C80" s="98">
        <f>C68*$C$78*(C79-1)</f>
        <v>0.7796799133</v>
      </c>
      <c r="D80" s="98">
        <f t="shared" ref="D80:G80" si="49">D68*D78*(D79-1)</f>
        <v>1.18725981</v>
      </c>
      <c r="E80" s="98">
        <f t="shared" si="49"/>
        <v>0.4347787916</v>
      </c>
      <c r="F80" s="98">
        <f t="shared" si="49"/>
        <v>0.6356623212</v>
      </c>
      <c r="G80" s="98">
        <f t="shared" si="49"/>
        <v>1.425519053</v>
      </c>
      <c r="H80" s="98"/>
      <c r="I80" s="98"/>
      <c r="J80" s="98"/>
      <c r="K80" s="98"/>
      <c r="L80" s="98"/>
    </row>
    <row r="81">
      <c r="A81" s="244" t="s">
        <v>533</v>
      </c>
      <c r="B81" s="755">
        <f t="shared" si="45"/>
        <v>12.55134183</v>
      </c>
      <c r="C81" s="98">
        <f t="shared" ref="C81:G81" si="50">C17*C80/1000</f>
        <v>12.55134183</v>
      </c>
      <c r="D81" s="98">
        <f t="shared" si="50"/>
        <v>3.965854333</v>
      </c>
      <c r="E81" s="98">
        <f t="shared" si="50"/>
        <v>0.9175302526</v>
      </c>
      <c r="F81" s="98">
        <f t="shared" si="50"/>
        <v>6.333946515</v>
      </c>
      <c r="G81" s="98">
        <f t="shared" si="50"/>
        <v>0.9737201575</v>
      </c>
      <c r="H81" s="98"/>
      <c r="I81" s="98"/>
      <c r="J81" s="98"/>
      <c r="K81" s="98"/>
      <c r="L81" s="98"/>
    </row>
    <row r="82">
      <c r="A82" s="179" t="s">
        <v>534</v>
      </c>
      <c r="B82" s="657">
        <f t="shared" si="45"/>
        <v>0.31</v>
      </c>
      <c r="C82" s="155">
        <v>0.31</v>
      </c>
      <c r="D82" s="657">
        <f t="shared" ref="D82:G82" si="51">$C$82</f>
        <v>0.31</v>
      </c>
      <c r="E82" s="657">
        <f t="shared" si="51"/>
        <v>0.31</v>
      </c>
      <c r="F82" s="657">
        <f t="shared" si="51"/>
        <v>0.31</v>
      </c>
      <c r="G82" s="657">
        <f t="shared" si="51"/>
        <v>0.31</v>
      </c>
      <c r="H82" s="657"/>
      <c r="I82" s="657"/>
      <c r="J82" s="657"/>
      <c r="K82" s="657"/>
      <c r="L82" s="657"/>
    </row>
    <row r="83">
      <c r="A83" s="759" t="s">
        <v>535</v>
      </c>
      <c r="B83" s="746">
        <f t="shared" si="45"/>
        <v>3.77922589</v>
      </c>
      <c r="C83" s="211">
        <f>sum(D83:AB83)</f>
        <v>3.77922589</v>
      </c>
      <c r="D83" s="211">
        <f t="shared" ref="D83:G83" si="52">D81*D82</f>
        <v>1.229414843</v>
      </c>
      <c r="E83" s="211">
        <f t="shared" si="52"/>
        <v>0.2844343783</v>
      </c>
      <c r="F83" s="211">
        <f t="shared" si="52"/>
        <v>1.96352342</v>
      </c>
      <c r="G83" s="211">
        <f t="shared" si="52"/>
        <v>0.3018532488</v>
      </c>
      <c r="H83" s="211"/>
      <c r="I83" s="211"/>
      <c r="J83" s="211"/>
      <c r="K83" s="211"/>
      <c r="L83" s="211"/>
    </row>
    <row r="84">
      <c r="A84" s="764" t="s">
        <v>114</v>
      </c>
      <c r="B84" s="760">
        <f t="shared" si="45"/>
        <v>83.1</v>
      </c>
      <c r="C84" s="760">
        <f t="array" ref="C84">index('Moral weights and discount rate'!$A$1:$ZU$35,match($A84,'Moral weights and discount rate'!$A$1:$A$35,0),match($B$1,'Moral weights and discount rate'!$A$1:$ZU1,0))</f>
        <v>83.1</v>
      </c>
      <c r="D84" s="760">
        <f t="shared" ref="D84:G84" si="53">$C$84</f>
        <v>83.1</v>
      </c>
      <c r="E84" s="760">
        <f t="shared" si="53"/>
        <v>83.1</v>
      </c>
      <c r="F84" s="760">
        <f t="shared" si="53"/>
        <v>83.1</v>
      </c>
      <c r="G84" s="760">
        <f t="shared" si="53"/>
        <v>83.1</v>
      </c>
      <c r="H84" s="760"/>
      <c r="I84" s="760"/>
      <c r="J84" s="760"/>
      <c r="K84" s="760"/>
      <c r="L84" s="760"/>
    </row>
    <row r="85">
      <c r="A85" s="765"/>
      <c r="B85" s="121"/>
      <c r="C85" s="410"/>
      <c r="D85" s="299"/>
      <c r="E85" s="299"/>
      <c r="F85" s="299"/>
      <c r="G85" s="299"/>
      <c r="H85" s="299"/>
      <c r="I85" s="299"/>
      <c r="J85" s="299"/>
      <c r="K85" s="299"/>
      <c r="L85" s="299"/>
    </row>
    <row r="86">
      <c r="A86" s="766" t="s">
        <v>536</v>
      </c>
      <c r="B86" s="762">
        <f t="array" ref="B86">index($A$1:$AB$94,match($A86,$A$1:$A$94,0),match($A$3,$A$1:$AB$1,0))</f>
        <v>314.0536715</v>
      </c>
      <c r="C86" s="232">
        <f>sum(D86:AB86)</f>
        <v>314.0536715</v>
      </c>
      <c r="D86" s="232">
        <f t="shared" ref="D86:G86" si="54">D83*D84</f>
        <v>102.1643735</v>
      </c>
      <c r="E86" s="232">
        <f t="shared" si="54"/>
        <v>23.63649684</v>
      </c>
      <c r="F86" s="232">
        <f t="shared" si="54"/>
        <v>163.1687962</v>
      </c>
      <c r="G86" s="232">
        <f t="shared" si="54"/>
        <v>25.08400498</v>
      </c>
      <c r="H86" s="232"/>
      <c r="I86" s="232"/>
      <c r="J86" s="232"/>
      <c r="K86" s="232"/>
      <c r="L86" s="232"/>
    </row>
    <row r="87">
      <c r="A87" s="767"/>
    </row>
    <row r="88">
      <c r="A88" s="768" t="s">
        <v>537</v>
      </c>
      <c r="B88" s="585"/>
      <c r="C88" s="586"/>
      <c r="D88" s="586"/>
      <c r="E88" s="586"/>
      <c r="F88" s="586"/>
      <c r="G88" s="586"/>
      <c r="H88" s="586"/>
      <c r="I88" s="586"/>
      <c r="J88" s="586"/>
      <c r="K88" s="586"/>
      <c r="L88" s="586"/>
    </row>
    <row r="89">
      <c r="A89" s="270" t="s">
        <v>538</v>
      </c>
      <c r="B89" s="769">
        <f t="array" ref="B89">index(A89:AB89,,match($A$3,$A$1:$AB$1,0))</f>
        <v>46.84667719</v>
      </c>
      <c r="C89" s="770">
        <f>sum(D89:G89)</f>
        <v>46.84667719</v>
      </c>
      <c r="D89" s="770">
        <f t="shared" ref="D89:G89" si="55">D83+D69</f>
        <v>16.09569818</v>
      </c>
      <c r="E89" s="770">
        <f t="shared" si="55"/>
        <v>2.808991667</v>
      </c>
      <c r="F89" s="770">
        <f t="shared" si="55"/>
        <v>26.01557671</v>
      </c>
      <c r="G89" s="770">
        <f t="shared" si="55"/>
        <v>1.926410625</v>
      </c>
    </row>
    <row r="90">
      <c r="A90" s="636"/>
      <c r="B90" s="587"/>
      <c r="C90" s="407"/>
      <c r="D90" s="407"/>
      <c r="E90" s="407"/>
      <c r="F90" s="407"/>
      <c r="G90" s="407"/>
      <c r="H90" s="407"/>
      <c r="I90" s="407"/>
      <c r="J90" s="407"/>
      <c r="K90" s="407"/>
      <c r="L90" s="407"/>
    </row>
    <row r="91">
      <c r="A91" s="241" t="s">
        <v>231</v>
      </c>
      <c r="B91" s="585"/>
      <c r="C91" s="771"/>
      <c r="D91" s="772"/>
      <c r="E91" s="586"/>
      <c r="F91" s="586"/>
      <c r="G91" s="586"/>
      <c r="H91" s="586"/>
      <c r="I91" s="586"/>
      <c r="J91" s="586"/>
      <c r="K91" s="586"/>
      <c r="L91" s="586"/>
    </row>
    <row r="92">
      <c r="A92" s="413"/>
      <c r="B92" s="587"/>
      <c r="C92" s="152"/>
      <c r="D92" s="152"/>
      <c r="E92" s="152"/>
      <c r="F92" s="152"/>
      <c r="G92" s="152"/>
      <c r="H92" s="152"/>
      <c r="I92" s="152"/>
      <c r="J92" s="152"/>
      <c r="K92" s="152"/>
      <c r="L92" s="152"/>
    </row>
    <row r="93">
      <c r="A93" s="413" t="s">
        <v>513</v>
      </c>
      <c r="B93" s="690">
        <f t="shared" ref="B93:B101" si="57">index(A93:AB93,,match($A$3,$A$1:$AB$1,0))</f>
        <v>0.2805922085</v>
      </c>
      <c r="C93" s="657">
        <f t="shared" ref="C93:G93" si="56">C55</f>
        <v>0.2805922085</v>
      </c>
      <c r="D93" s="657">
        <f t="shared" si="56"/>
        <v>0.403</v>
      </c>
      <c r="E93" s="657">
        <f t="shared" si="56"/>
        <v>0.092</v>
      </c>
      <c r="F93" s="657">
        <f t="shared" si="56"/>
        <v>0.271</v>
      </c>
      <c r="G93" s="657">
        <f t="shared" si="56"/>
        <v>0.404576675</v>
      </c>
      <c r="H93" s="657"/>
      <c r="I93" s="657"/>
      <c r="J93" s="657"/>
      <c r="K93" s="657"/>
      <c r="L93" s="657"/>
    </row>
    <row r="94">
      <c r="A94" s="773" t="s">
        <v>516</v>
      </c>
      <c r="B94" s="690">
        <f t="shared" si="57"/>
        <v>0.2784918396</v>
      </c>
      <c r="C94" s="657">
        <f t="shared" ref="C94:G94" si="58">C58</f>
        <v>0.2784918396</v>
      </c>
      <c r="D94" s="657">
        <f t="shared" si="58"/>
        <v>0.4145</v>
      </c>
      <c r="E94" s="657">
        <f t="shared" si="58"/>
        <v>0.08</v>
      </c>
      <c r="F94" s="657">
        <f t="shared" si="58"/>
        <v>0.2665</v>
      </c>
      <c r="G94" s="657">
        <f t="shared" si="58"/>
        <v>0.4015574845</v>
      </c>
      <c r="H94" s="657"/>
      <c r="I94" s="657"/>
      <c r="J94" s="657"/>
      <c r="K94" s="657"/>
      <c r="L94" s="657"/>
    </row>
    <row r="95">
      <c r="A95" s="287" t="s">
        <v>539</v>
      </c>
      <c r="B95" s="266">
        <f t="shared" si="57"/>
        <v>0.2344259289</v>
      </c>
      <c r="C95" s="152">
        <f t="shared" ref="C95:G95" si="59">C93*C67*(C23/C26)</f>
        <v>0.2344259289</v>
      </c>
      <c r="D95" s="152">
        <f t="shared" si="59"/>
        <v>0.336693773</v>
      </c>
      <c r="E95" s="152">
        <f t="shared" si="59"/>
        <v>0.07686309458</v>
      </c>
      <c r="F95" s="152">
        <f t="shared" si="59"/>
        <v>0.2264119416</v>
      </c>
      <c r="G95" s="152">
        <f t="shared" si="59"/>
        <v>0.3380110351</v>
      </c>
      <c r="H95" s="152"/>
      <c r="I95" s="152"/>
      <c r="J95" s="152"/>
      <c r="K95" s="152"/>
      <c r="L95" s="152"/>
    </row>
    <row r="96">
      <c r="A96" s="287" t="s">
        <v>540</v>
      </c>
      <c r="B96" s="266">
        <f t="shared" si="57"/>
        <v>0.02187884259</v>
      </c>
      <c r="C96" s="152">
        <f t="shared" ref="C96:G96" si="60">C94*((C23/C26)*C78*C82)*C65</f>
        <v>0.02187884259</v>
      </c>
      <c r="D96" s="152">
        <f t="shared" si="60"/>
        <v>0.03256389941</v>
      </c>
      <c r="E96" s="152">
        <f t="shared" si="60"/>
        <v>0.006284950429</v>
      </c>
      <c r="F96" s="152">
        <f t="shared" si="60"/>
        <v>0.02093674112</v>
      </c>
      <c r="G96" s="152">
        <f t="shared" si="60"/>
        <v>0.03154711106</v>
      </c>
      <c r="H96" s="152"/>
      <c r="I96" s="152"/>
      <c r="J96" s="152"/>
      <c r="K96" s="152"/>
      <c r="L96" s="152"/>
    </row>
    <row r="97">
      <c r="A97" s="287" t="s">
        <v>541</v>
      </c>
      <c r="B97" s="295">
        <f t="shared" si="57"/>
        <v>33239833.2</v>
      </c>
      <c r="C97" s="272">
        <f t="shared" ref="C97:C101" si="61">sum(D97:AB97)</f>
        <v>33239833.2</v>
      </c>
      <c r="D97" s="443">
        <v>2928244.0</v>
      </c>
      <c r="E97" s="443">
        <v>2393360.0</v>
      </c>
      <c r="F97" s="443">
        <v>2.7064181E7</v>
      </c>
      <c r="G97" s="443">
        <v>854048.2</v>
      </c>
      <c r="H97" s="443"/>
      <c r="I97" s="443"/>
      <c r="J97" s="443"/>
      <c r="K97" s="443"/>
      <c r="L97" s="443"/>
    </row>
    <row r="98">
      <c r="A98" s="287" t="s">
        <v>542</v>
      </c>
      <c r="B98" s="295">
        <f t="shared" si="57"/>
        <v>70593215</v>
      </c>
      <c r="C98" s="272">
        <f t="shared" si="61"/>
        <v>70593215</v>
      </c>
      <c r="D98" s="443">
        <v>5921249.0</v>
      </c>
      <c r="E98" s="443">
        <v>4678208.0</v>
      </c>
      <c r="F98" s="443">
        <v>5.8038499E7</v>
      </c>
      <c r="G98" s="443">
        <v>1955259.0</v>
      </c>
      <c r="H98" s="443"/>
      <c r="I98" s="443"/>
      <c r="J98" s="443"/>
      <c r="K98" s="443"/>
      <c r="L98" s="443"/>
    </row>
    <row r="99">
      <c r="A99" s="287" t="s">
        <v>543</v>
      </c>
      <c r="B99" s="295">
        <f t="shared" si="57"/>
        <v>33811.6248</v>
      </c>
      <c r="C99" s="272">
        <f t="shared" si="61"/>
        <v>33811.6248</v>
      </c>
      <c r="D99" s="272">
        <f t="shared" ref="D99:G99" si="62">(D98/D97)*D17</f>
        <v>6754.559849</v>
      </c>
      <c r="E99" s="272">
        <f t="shared" si="62"/>
        <v>4124.996081</v>
      </c>
      <c r="F99" s="272">
        <f t="shared" si="62"/>
        <v>21368.26226</v>
      </c>
      <c r="G99" s="272">
        <f t="shared" si="62"/>
        <v>1563.806617</v>
      </c>
      <c r="H99" s="272"/>
      <c r="I99" s="272"/>
      <c r="J99" s="272"/>
      <c r="K99" s="272"/>
      <c r="L99" s="272"/>
    </row>
    <row r="100">
      <c r="A100" s="270" t="s">
        <v>233</v>
      </c>
      <c r="B100" s="572">
        <f t="shared" si="57"/>
        <v>3773.805016</v>
      </c>
      <c r="C100" s="272">
        <f t="shared" si="61"/>
        <v>3773.805016</v>
      </c>
      <c r="D100" s="272">
        <f t="shared" ref="D100:G100" si="63">D95*D17</f>
        <v>1124.6725</v>
      </c>
      <c r="E100" s="272">
        <f t="shared" si="63"/>
        <v>162.2071176</v>
      </c>
      <c r="F100" s="272">
        <f t="shared" si="63"/>
        <v>2256.042369</v>
      </c>
      <c r="G100" s="272">
        <f t="shared" si="63"/>
        <v>230.8830301</v>
      </c>
      <c r="H100" s="272"/>
      <c r="I100" s="272"/>
      <c r="J100" s="272"/>
      <c r="K100" s="272"/>
      <c r="L100" s="272"/>
    </row>
    <row r="101">
      <c r="A101" s="270" t="s">
        <v>234</v>
      </c>
      <c r="B101" s="572">
        <f t="shared" si="57"/>
        <v>742.5955593</v>
      </c>
      <c r="C101" s="272">
        <f t="shared" si="61"/>
        <v>742.5955593</v>
      </c>
      <c r="D101" s="272">
        <f t="shared" ref="D101:G101" si="64">D96*D99</f>
        <v>219.9548075</v>
      </c>
      <c r="E101" s="272">
        <f t="shared" si="64"/>
        <v>25.92539589</v>
      </c>
      <c r="F101" s="272">
        <f t="shared" si="64"/>
        <v>447.381775</v>
      </c>
      <c r="G101" s="272">
        <f t="shared" si="64"/>
        <v>49.333581</v>
      </c>
      <c r="H101" s="272"/>
      <c r="I101" s="272"/>
      <c r="J101" s="272"/>
      <c r="K101" s="272"/>
      <c r="L101" s="272"/>
    </row>
    <row r="102">
      <c r="A102" s="270"/>
      <c r="B102" s="587"/>
      <c r="C102" s="275"/>
      <c r="D102" s="722"/>
      <c r="E102" s="722"/>
      <c r="F102" s="774"/>
      <c r="G102" s="774"/>
      <c r="H102" s="774"/>
      <c r="I102" s="774"/>
      <c r="J102" s="774"/>
      <c r="K102" s="774"/>
      <c r="L102" s="774"/>
    </row>
    <row r="103">
      <c r="A103" s="270" t="s">
        <v>544</v>
      </c>
      <c r="B103" s="579">
        <f t="shared" ref="B103:B119" si="66">index(A103:AB103,,match($A$3,$A$1:$AB$1,0))</f>
        <v>0.023</v>
      </c>
      <c r="C103" s="275">
        <v>0.023</v>
      </c>
      <c r="D103" s="775">
        <f t="shared" ref="D103:G103" si="65">$C$103</f>
        <v>0.023</v>
      </c>
      <c r="E103" s="775">
        <f t="shared" si="65"/>
        <v>0.023</v>
      </c>
      <c r="F103" s="774">
        <f t="shared" si="65"/>
        <v>0.023</v>
      </c>
      <c r="G103" s="774">
        <f t="shared" si="65"/>
        <v>0.023</v>
      </c>
      <c r="H103" s="774"/>
      <c r="I103" s="774"/>
      <c r="J103" s="774"/>
      <c r="K103" s="774"/>
      <c r="L103" s="774"/>
    </row>
    <row r="104">
      <c r="A104" s="154" t="s">
        <v>237</v>
      </c>
      <c r="B104" s="690">
        <f t="shared" si="66"/>
        <v>0.52</v>
      </c>
      <c r="C104" s="155">
        <v>0.52</v>
      </c>
      <c r="D104" s="735">
        <f t="shared" ref="D104:G104" si="67">$C$104</f>
        <v>0.52</v>
      </c>
      <c r="E104" s="735">
        <f t="shared" si="67"/>
        <v>0.52</v>
      </c>
      <c r="F104" s="657">
        <f t="shared" si="67"/>
        <v>0.52</v>
      </c>
      <c r="G104" s="657">
        <f t="shared" si="67"/>
        <v>0.52</v>
      </c>
      <c r="H104" s="657"/>
      <c r="I104" s="657"/>
      <c r="J104" s="657"/>
      <c r="K104" s="657"/>
      <c r="L104" s="657"/>
    </row>
    <row r="105">
      <c r="A105" s="154" t="s">
        <v>545</v>
      </c>
      <c r="B105" s="776">
        <f t="shared" si="66"/>
        <v>0.01182453322</v>
      </c>
      <c r="C105" s="279">
        <f>(ln(1+$C$103)-ln(1))*$C$104</f>
        <v>0.01182453322</v>
      </c>
      <c r="D105" s="777">
        <f t="shared" ref="D105:G105" si="68">$C$105</f>
        <v>0.01182453322</v>
      </c>
      <c r="E105" s="777">
        <f t="shared" si="68"/>
        <v>0.01182453322</v>
      </c>
      <c r="F105" s="778">
        <f t="shared" si="68"/>
        <v>0.01182453322</v>
      </c>
      <c r="G105" s="778">
        <f t="shared" si="68"/>
        <v>0.01182453322</v>
      </c>
      <c r="H105" s="778"/>
      <c r="I105" s="778"/>
      <c r="J105" s="778"/>
      <c r="K105" s="778"/>
      <c r="L105" s="778"/>
    </row>
    <row r="106">
      <c r="A106" s="244" t="s">
        <v>546</v>
      </c>
      <c r="B106" s="572">
        <f t="shared" si="66"/>
        <v>10</v>
      </c>
      <c r="C106" s="443">
        <v>10.0</v>
      </c>
      <c r="D106" s="725">
        <f t="shared" ref="D106:G106" si="69">$C$106</f>
        <v>10</v>
      </c>
      <c r="E106" s="725">
        <f t="shared" si="69"/>
        <v>10</v>
      </c>
      <c r="F106" s="743">
        <f t="shared" si="69"/>
        <v>10</v>
      </c>
      <c r="G106" s="743">
        <f t="shared" si="69"/>
        <v>10</v>
      </c>
      <c r="H106" s="743"/>
      <c r="I106" s="743"/>
      <c r="J106" s="743"/>
      <c r="K106" s="743"/>
      <c r="L106" s="743"/>
    </row>
    <row r="107">
      <c r="A107" s="287" t="s">
        <v>127</v>
      </c>
      <c r="B107" s="753">
        <f t="shared" si="66"/>
        <v>0.04</v>
      </c>
      <c r="C107" s="466">
        <f t="array" ref="C107">index('Moral weights and discount rate'!1:35,match("Overall discount rate",'Moral weights and discount rate'!A:A,0), match("Active",'Moral weights and discount rate'!1:1,0))</f>
        <v>0.04</v>
      </c>
      <c r="D107" s="779">
        <f t="shared" ref="D107:G107" si="70">$C$107</f>
        <v>0.04</v>
      </c>
      <c r="E107" s="779">
        <f t="shared" si="70"/>
        <v>0.04</v>
      </c>
      <c r="F107" s="780">
        <f t="shared" si="70"/>
        <v>0.04</v>
      </c>
      <c r="G107" s="780">
        <f t="shared" si="70"/>
        <v>0.04</v>
      </c>
      <c r="H107" s="780"/>
      <c r="I107" s="780"/>
      <c r="J107" s="780"/>
      <c r="K107" s="780"/>
      <c r="L107" s="780"/>
    </row>
    <row r="108">
      <c r="A108" s="287" t="s">
        <v>241</v>
      </c>
      <c r="B108" s="566">
        <f t="shared" si="66"/>
        <v>0.007988230959</v>
      </c>
      <c r="C108" s="781">
        <f>C105/(1+C107)^C106</f>
        <v>0.007988230959</v>
      </c>
      <c r="D108" s="782">
        <f t="shared" ref="D108:G108" si="71">$C$108</f>
        <v>0.007988230959</v>
      </c>
      <c r="E108" s="782">
        <f t="shared" si="71"/>
        <v>0.007988230959</v>
      </c>
      <c r="F108" s="783">
        <f t="shared" si="71"/>
        <v>0.007988230959</v>
      </c>
      <c r="G108" s="783">
        <f t="shared" si="71"/>
        <v>0.007988230959</v>
      </c>
      <c r="H108" s="783"/>
      <c r="I108" s="783"/>
      <c r="J108" s="783"/>
      <c r="K108" s="783"/>
      <c r="L108" s="783"/>
    </row>
    <row r="109">
      <c r="A109" s="417" t="s">
        <v>547</v>
      </c>
      <c r="B109" s="572">
        <f t="shared" si="66"/>
        <v>40</v>
      </c>
      <c r="C109" s="743">
        <f t="array" ref="C109">index('Deworm the World'!$A$1:$ZK$122,match("Duration of long-term benefits of deworming (in years)",'Deworm the World'!$A$1:$A$122,0),match($B$1,'Deworm the World'!$A$1:$ZK1,0))</f>
        <v>40</v>
      </c>
      <c r="D109" s="725">
        <f t="shared" ref="D109:G109" si="72">$C$109</f>
        <v>40</v>
      </c>
      <c r="E109" s="725">
        <f t="shared" si="72"/>
        <v>40</v>
      </c>
      <c r="F109" s="743">
        <f t="shared" si="72"/>
        <v>40</v>
      </c>
      <c r="G109" s="743">
        <f t="shared" si="72"/>
        <v>40</v>
      </c>
      <c r="H109" s="743"/>
      <c r="I109" s="743"/>
      <c r="J109" s="743"/>
      <c r="K109" s="743"/>
      <c r="L109" s="743"/>
    </row>
    <row r="110">
      <c r="A110" s="154" t="s">
        <v>548</v>
      </c>
      <c r="B110" s="575">
        <f t="shared" si="66"/>
        <v>0.1644336191</v>
      </c>
      <c r="C110" s="293">
        <f>pv(C107,C109,-C108,,1)</f>
        <v>0.1644336191</v>
      </c>
      <c r="D110" s="732">
        <f t="shared" ref="D110:G110" si="73">$C$110</f>
        <v>0.1644336191</v>
      </c>
      <c r="E110" s="732">
        <f t="shared" si="73"/>
        <v>0.1644336191</v>
      </c>
      <c r="F110" s="435">
        <f t="shared" si="73"/>
        <v>0.1644336191</v>
      </c>
      <c r="G110" s="435">
        <f t="shared" si="73"/>
        <v>0.1644336191</v>
      </c>
      <c r="H110" s="435"/>
      <c r="I110" s="435"/>
      <c r="J110" s="435"/>
      <c r="K110" s="435"/>
      <c r="L110" s="435"/>
    </row>
    <row r="111">
      <c r="A111" s="287" t="s">
        <v>244</v>
      </c>
      <c r="B111" s="572">
        <f t="shared" si="66"/>
        <v>2</v>
      </c>
      <c r="C111" s="743">
        <f t="array" ref="C111">index('Deworm the World'!$A$1:$ZK$122,match("Multiplier for resource sharing within households",'Deworm the World'!$A$1:$A$122,0),match($B$1,'Deworm the World'!$A$1:$ZK1,0))</f>
        <v>2</v>
      </c>
      <c r="D111" s="725">
        <f t="shared" ref="D111:G111" si="74">$C$111</f>
        <v>2</v>
      </c>
      <c r="E111" s="725">
        <f t="shared" si="74"/>
        <v>2</v>
      </c>
      <c r="F111" s="743">
        <f t="shared" si="74"/>
        <v>2</v>
      </c>
      <c r="G111" s="743">
        <f t="shared" si="74"/>
        <v>2</v>
      </c>
      <c r="H111" s="743"/>
      <c r="I111" s="743"/>
      <c r="J111" s="743"/>
      <c r="K111" s="743"/>
      <c r="L111" s="743"/>
    </row>
    <row r="112">
      <c r="A112" s="179" t="s">
        <v>549</v>
      </c>
      <c r="B112" s="575">
        <f t="shared" si="66"/>
        <v>0.3288672381</v>
      </c>
      <c r="C112" s="296">
        <f>C110*C111</f>
        <v>0.3288672381</v>
      </c>
      <c r="D112" s="732">
        <f t="shared" ref="D112:G112" si="75">$C$112</f>
        <v>0.3288672381</v>
      </c>
      <c r="E112" s="732">
        <f t="shared" si="75"/>
        <v>0.3288672381</v>
      </c>
      <c r="F112" s="435">
        <f t="shared" si="75"/>
        <v>0.3288672381</v>
      </c>
      <c r="G112" s="435">
        <f t="shared" si="75"/>
        <v>0.3288672381</v>
      </c>
      <c r="H112" s="435"/>
      <c r="I112" s="435"/>
      <c r="J112" s="435"/>
      <c r="K112" s="435"/>
      <c r="L112" s="435"/>
    </row>
    <row r="113">
      <c r="A113" s="244" t="s">
        <v>550</v>
      </c>
      <c r="B113" s="572">
        <f t="shared" si="66"/>
        <v>1241.080833</v>
      </c>
      <c r="C113" s="272">
        <f t="shared" ref="C113:C114" si="77">$C$112*C100</f>
        <v>1241.080833</v>
      </c>
      <c r="D113" s="272">
        <f t="shared" ref="D113:G113" si="76">D112*D100</f>
        <v>369.8679389</v>
      </c>
      <c r="E113" s="272">
        <f t="shared" si="76"/>
        <v>53.34460677</v>
      </c>
      <c r="F113" s="272">
        <f t="shared" si="76"/>
        <v>741.9384229</v>
      </c>
      <c r="G113" s="272">
        <f t="shared" si="76"/>
        <v>75.92986445</v>
      </c>
      <c r="H113" s="272"/>
      <c r="I113" s="272"/>
      <c r="J113" s="272"/>
      <c r="K113" s="272"/>
      <c r="L113" s="272"/>
    </row>
    <row r="114">
      <c r="A114" s="244" t="s">
        <v>551</v>
      </c>
      <c r="B114" s="572">
        <f t="shared" si="66"/>
        <v>244.2153507</v>
      </c>
      <c r="C114" s="272">
        <f t="shared" si="77"/>
        <v>244.2153507</v>
      </c>
      <c r="D114" s="272">
        <f t="shared" ref="D114:G114" si="78">D112*D101</f>
        <v>72.33593005</v>
      </c>
      <c r="E114" s="272">
        <f t="shared" si="78"/>
        <v>8.526013343</v>
      </c>
      <c r="F114" s="272">
        <f t="shared" si="78"/>
        <v>147.1292087</v>
      </c>
      <c r="G114" s="272">
        <f t="shared" si="78"/>
        <v>16.22419853</v>
      </c>
      <c r="H114" s="272"/>
      <c r="I114" s="272"/>
      <c r="J114" s="272"/>
      <c r="K114" s="272"/>
      <c r="L114" s="272"/>
    </row>
    <row r="115">
      <c r="A115" s="287" t="s">
        <v>121</v>
      </c>
      <c r="B115" s="575">
        <f t="shared" si="66"/>
        <v>1.442695041</v>
      </c>
      <c r="C115" s="435">
        <f t="array" ref="C115">index('Moral weights and discount rate'!$A$1:$ZW$35,match($A115,'Moral weights and discount rate'!$A$1:$A$35,0),match($B$1,'Moral weights and discount rate'!$A$1:$ZW1,0))</f>
        <v>1.442695041</v>
      </c>
      <c r="D115" s="732">
        <f t="shared" ref="D115:G115" si="79">$C$115</f>
        <v>1.442695041</v>
      </c>
      <c r="E115" s="732">
        <f t="shared" si="79"/>
        <v>1.442695041</v>
      </c>
      <c r="F115" s="732">
        <f t="shared" si="79"/>
        <v>1.442695041</v>
      </c>
      <c r="G115" s="732">
        <f t="shared" si="79"/>
        <v>1.442695041</v>
      </c>
      <c r="H115" s="722"/>
      <c r="I115" s="722"/>
      <c r="J115" s="722"/>
      <c r="K115" s="722"/>
      <c r="L115" s="722"/>
    </row>
    <row r="116">
      <c r="A116" s="287" t="s">
        <v>552</v>
      </c>
      <c r="B116" s="295">
        <f t="shared" si="66"/>
        <v>2142.829438</v>
      </c>
      <c r="C116" s="252">
        <f>sum(D116:G116)</f>
        <v>2142.829438</v>
      </c>
      <c r="D116" s="653">
        <f t="shared" ref="D116:G116" si="80">D115*sum(D113:D114)</f>
        <v>637.9653289</v>
      </c>
      <c r="E116" s="653">
        <f t="shared" si="80"/>
        <v>89.26043681</v>
      </c>
      <c r="F116" s="653">
        <f t="shared" si="80"/>
        <v>1282.653463</v>
      </c>
      <c r="G116" s="653">
        <f t="shared" si="80"/>
        <v>132.9502097</v>
      </c>
      <c r="H116" s="653"/>
      <c r="I116" s="653"/>
      <c r="J116" s="653"/>
      <c r="K116" s="653"/>
      <c r="L116" s="653"/>
    </row>
    <row r="117">
      <c r="A117" s="287" t="s">
        <v>553</v>
      </c>
      <c r="B117" s="196">
        <f t="shared" si="66"/>
        <v>0.1331109528</v>
      </c>
      <c r="C117" s="296">
        <f t="shared" ref="C117:G117" si="81">C116/C17</f>
        <v>0.1331109528</v>
      </c>
      <c r="D117" s="296">
        <f t="shared" si="81"/>
        <v>0.1909880019</v>
      </c>
      <c r="E117" s="296">
        <f t="shared" si="81"/>
        <v>0.04229674689</v>
      </c>
      <c r="F117" s="296">
        <f t="shared" si="81"/>
        <v>0.1287245599</v>
      </c>
      <c r="G117" s="296">
        <f t="shared" si="81"/>
        <v>0.194638116</v>
      </c>
      <c r="H117" s="296"/>
      <c r="I117" s="296"/>
      <c r="J117" s="296"/>
      <c r="K117" s="296"/>
      <c r="L117" s="296"/>
    </row>
    <row r="118">
      <c r="A118" s="287" t="s">
        <v>489</v>
      </c>
      <c r="B118" s="266">
        <f t="shared" si="66"/>
        <v>0.95</v>
      </c>
      <c r="C118" s="657">
        <f t="shared" ref="C118:G118" si="82">C24</f>
        <v>0.95</v>
      </c>
      <c r="D118" s="657">
        <f t="shared" si="82"/>
        <v>0.95</v>
      </c>
      <c r="E118" s="657">
        <f t="shared" si="82"/>
        <v>0.95</v>
      </c>
      <c r="F118" s="657">
        <f t="shared" si="82"/>
        <v>0.95</v>
      </c>
      <c r="G118" s="657">
        <f t="shared" si="82"/>
        <v>0.95</v>
      </c>
      <c r="H118" s="657"/>
      <c r="I118" s="657"/>
      <c r="J118" s="657"/>
      <c r="K118" s="657"/>
      <c r="L118" s="657"/>
    </row>
    <row r="119">
      <c r="A119" s="287" t="s">
        <v>490</v>
      </c>
      <c r="B119" s="266">
        <f t="shared" si="66"/>
        <v>1</v>
      </c>
      <c r="C119" s="657">
        <f t="shared" ref="C119:G119" si="83">C25</f>
        <v>1</v>
      </c>
      <c r="D119" s="657">
        <f t="shared" si="83"/>
        <v>1</v>
      </c>
      <c r="E119" s="657">
        <f t="shared" si="83"/>
        <v>1</v>
      </c>
      <c r="F119" s="657">
        <f t="shared" si="83"/>
        <v>1</v>
      </c>
      <c r="G119" s="657">
        <f t="shared" si="83"/>
        <v>1</v>
      </c>
      <c r="H119" s="657"/>
      <c r="I119" s="657"/>
      <c r="J119" s="657"/>
      <c r="K119" s="657"/>
      <c r="L119" s="657"/>
    </row>
    <row r="120">
      <c r="A120" s="287"/>
      <c r="B120" s="587"/>
      <c r="C120" s="296"/>
      <c r="D120" s="407"/>
      <c r="E120" s="407"/>
      <c r="F120" s="407"/>
      <c r="G120" s="407"/>
      <c r="H120" s="407"/>
      <c r="I120" s="407"/>
      <c r="J120" s="407"/>
      <c r="K120" s="407"/>
      <c r="L120" s="407"/>
    </row>
    <row r="121">
      <c r="A121" s="784" t="s">
        <v>554</v>
      </c>
      <c r="B121" s="295">
        <f t="array" ref="B121">index(A121:AB121,,match($A$3,$A$1:$AB$1,0))</f>
        <v>2035.687967</v>
      </c>
      <c r="C121" s="232">
        <f>sum(D121:AB121)</f>
        <v>2035.687967</v>
      </c>
      <c r="D121" s="232">
        <f t="shared" ref="D121:G121" si="84">D116*D118*D119</f>
        <v>606.0670624</v>
      </c>
      <c r="E121" s="232">
        <f t="shared" si="84"/>
        <v>84.79741497</v>
      </c>
      <c r="F121" s="232">
        <f t="shared" si="84"/>
        <v>1218.52079</v>
      </c>
      <c r="G121" s="232">
        <f t="shared" si="84"/>
        <v>126.3026992</v>
      </c>
      <c r="H121" s="232"/>
      <c r="I121" s="232"/>
      <c r="J121" s="232"/>
      <c r="K121" s="232"/>
      <c r="L121" s="232"/>
    </row>
    <row r="122">
      <c r="A122" s="287"/>
      <c r="B122" s="587"/>
      <c r="C122" s="407"/>
      <c r="D122" s="407"/>
      <c r="E122" s="407"/>
      <c r="F122" s="407"/>
      <c r="G122" s="407"/>
      <c r="H122" s="407"/>
      <c r="I122" s="407"/>
      <c r="J122" s="407"/>
      <c r="K122" s="407"/>
      <c r="L122" s="407"/>
    </row>
    <row r="123">
      <c r="A123" s="308" t="s">
        <v>249</v>
      </c>
      <c r="B123" s="308"/>
      <c r="C123" s="308"/>
      <c r="D123" s="308"/>
      <c r="E123" s="308"/>
      <c r="F123" s="308"/>
      <c r="G123" s="308"/>
      <c r="H123" s="308"/>
      <c r="I123" s="308"/>
      <c r="J123" s="308"/>
      <c r="K123" s="308"/>
      <c r="L123" s="308"/>
    </row>
    <row r="124">
      <c r="A124" s="118" t="s">
        <v>555</v>
      </c>
      <c r="B124" s="597">
        <f t="shared" ref="B124:B126" si="86">index(A124:AB124,,match($A$3,$A$1:$AB$1,0))</f>
        <v>2380.813268</v>
      </c>
      <c r="C124" s="599">
        <f t="shared" ref="C124:G124" si="85">C14/C89</f>
        <v>2380.813268</v>
      </c>
      <c r="D124" s="599">
        <f t="shared" si="85"/>
        <v>1205.32598</v>
      </c>
      <c r="E124" s="599">
        <f t="shared" si="85"/>
        <v>5853.773942</v>
      </c>
      <c r="F124" s="599">
        <f t="shared" si="85"/>
        <v>2736.453711</v>
      </c>
      <c r="G124" s="599">
        <f t="shared" si="85"/>
        <v>2335.433421</v>
      </c>
      <c r="H124" s="407"/>
      <c r="I124" s="407"/>
      <c r="J124" s="407"/>
      <c r="K124" s="407"/>
      <c r="L124" s="407"/>
    </row>
    <row r="125">
      <c r="A125" s="118" t="s">
        <v>251</v>
      </c>
      <c r="B125" s="572">
        <f t="shared" si="86"/>
        <v>7384.326694</v>
      </c>
      <c r="C125" s="573">
        <f t="shared" ref="C125:G125" si="87">sum(C72,C86,C121)</f>
        <v>7384.326694</v>
      </c>
      <c r="D125" s="573">
        <f t="shared" si="87"/>
        <v>2446.099958</v>
      </c>
      <c r="E125" s="573">
        <f t="shared" si="87"/>
        <v>403.5546588</v>
      </c>
      <c r="F125" s="573">
        <f t="shared" si="87"/>
        <v>4193.374616</v>
      </c>
      <c r="G125" s="573">
        <f t="shared" si="87"/>
        <v>341.2974614</v>
      </c>
      <c r="H125" s="407"/>
      <c r="I125" s="407"/>
      <c r="J125" s="407"/>
      <c r="K125" s="407"/>
      <c r="L125" s="407"/>
    </row>
    <row r="126">
      <c r="A126" s="118" t="s">
        <v>252</v>
      </c>
      <c r="B126" s="575">
        <f t="shared" si="86"/>
        <v>0.06620743704</v>
      </c>
      <c r="C126" s="583">
        <f t="shared" ref="C126:G126" si="88">C125/C14</f>
        <v>0.06620743704</v>
      </c>
      <c r="D126" s="583">
        <f t="shared" si="88"/>
        <v>0.1260839665</v>
      </c>
      <c r="E126" s="583">
        <f t="shared" si="88"/>
        <v>0.02454233995</v>
      </c>
      <c r="F126" s="583">
        <f t="shared" si="88"/>
        <v>0.05890363522</v>
      </c>
      <c r="G126" s="583">
        <f t="shared" si="88"/>
        <v>0.07586067492</v>
      </c>
      <c r="H126" s="583"/>
      <c r="I126" s="583"/>
      <c r="J126" s="583"/>
      <c r="K126" s="583"/>
      <c r="L126" s="583"/>
    </row>
    <row r="127">
      <c r="A127" s="304"/>
      <c r="B127" s="587"/>
      <c r="C127" s="407"/>
      <c r="D127" s="407"/>
      <c r="E127" s="407"/>
      <c r="F127" s="407"/>
      <c r="G127" s="407"/>
      <c r="H127" s="407"/>
      <c r="I127" s="407"/>
      <c r="J127" s="407"/>
      <c r="K127" s="407"/>
      <c r="L127" s="407"/>
    </row>
    <row r="128">
      <c r="A128" s="304" t="s">
        <v>253</v>
      </c>
      <c r="B128" s="769">
        <f t="array" ref="B128">index(A128:AB128,,match($A$3,$A$1:$AB$1,0))</f>
        <v>19.24723188</v>
      </c>
      <c r="C128" s="785">
        <f t="array" ref="C128">C126/index(GiveDirectly!$B:$B,match("Units of value generated per dollar spent",GiveDirectly!$A:$A,0))</f>
        <v>19.24723188</v>
      </c>
      <c r="D128" s="785">
        <f t="array" ref="D128">D126/index(GiveDirectly!$B:$B,match("Units of value generated per dollar spent",GiveDirectly!$A:$A,0))</f>
        <v>36.65399914</v>
      </c>
      <c r="E128" s="785">
        <f t="array" ref="E128">E126/index(GiveDirectly!$B:$B,match("Units of value generated per dollar spent",GiveDirectly!$A:$A,0))</f>
        <v>7.134728803</v>
      </c>
      <c r="F128" s="785">
        <f t="array" ref="F128">F126/index(GiveDirectly!$B:$B,match("Units of value generated per dollar spent",GiveDirectly!$A:$A,0))</f>
        <v>17.12393617</v>
      </c>
      <c r="G128" s="785">
        <f t="array" ref="G128">G126/index(GiveDirectly!$B:$B,match("Units of value generated per dollar spent",GiveDirectly!$A:$A,0))</f>
        <v>22.05353456</v>
      </c>
      <c r="H128" s="785"/>
      <c r="I128" s="785"/>
      <c r="J128" s="785"/>
      <c r="K128" s="785"/>
      <c r="L128" s="785"/>
    </row>
    <row r="129">
      <c r="A129" s="304"/>
      <c r="B129" s="587"/>
      <c r="C129" s="407"/>
      <c r="D129" s="407"/>
      <c r="E129" s="407"/>
      <c r="F129" s="407"/>
      <c r="G129" s="407"/>
      <c r="H129" s="407"/>
      <c r="I129" s="407"/>
      <c r="J129" s="407"/>
      <c r="K129" s="407"/>
      <c r="L129" s="407"/>
    </row>
    <row r="130">
      <c r="A130" s="308" t="s">
        <v>556</v>
      </c>
      <c r="B130" s="308"/>
      <c r="C130" s="308"/>
      <c r="D130" s="308"/>
      <c r="E130" s="308"/>
      <c r="F130" s="308"/>
      <c r="G130" s="308"/>
      <c r="H130" s="308"/>
      <c r="I130" s="308"/>
      <c r="J130" s="308"/>
      <c r="K130" s="308"/>
      <c r="L130" s="308"/>
    </row>
    <row r="131" outlineLevel="1">
      <c r="A131" s="310"/>
      <c r="D131" s="407"/>
      <c r="E131" s="407"/>
      <c r="F131" s="407"/>
      <c r="G131" s="407"/>
      <c r="H131" s="407"/>
      <c r="I131" s="407"/>
      <c r="J131" s="407"/>
      <c r="K131" s="407"/>
      <c r="L131" s="407"/>
    </row>
    <row r="132" outlineLevel="1">
      <c r="A132" s="312" t="s">
        <v>255</v>
      </c>
      <c r="B132" s="311"/>
      <c r="C132" s="314"/>
      <c r="D132" s="407"/>
      <c r="E132" s="407"/>
      <c r="F132" s="407"/>
      <c r="G132" s="407"/>
      <c r="H132" s="407"/>
      <c r="I132" s="407"/>
      <c r="J132" s="407"/>
      <c r="K132" s="407"/>
      <c r="L132" s="407"/>
    </row>
    <row r="133" outlineLevel="1">
      <c r="A133" s="138" t="s">
        <v>256</v>
      </c>
      <c r="B133" s="581">
        <f t="shared" ref="B133:B136" si="90">index(C133:AB133,,match($A$3,$C$1:$AB$1,0))</f>
        <v>0</v>
      </c>
      <c r="C133" s="316">
        <v>0.0</v>
      </c>
      <c r="D133" s="317">
        <f t="shared" ref="D133:G133" si="89">$C133</f>
        <v>0</v>
      </c>
      <c r="E133" s="317">
        <f t="shared" si="89"/>
        <v>0</v>
      </c>
      <c r="F133" s="317">
        <f t="shared" si="89"/>
        <v>0</v>
      </c>
      <c r="G133" s="317">
        <f t="shared" si="89"/>
        <v>0</v>
      </c>
      <c r="H133" s="317"/>
      <c r="I133" s="317"/>
      <c r="J133" s="317"/>
      <c r="K133" s="317"/>
      <c r="L133" s="317"/>
    </row>
    <row r="134" outlineLevel="1">
      <c r="A134" s="138" t="s">
        <v>257</v>
      </c>
      <c r="B134" s="581">
        <f t="shared" si="90"/>
        <v>0</v>
      </c>
      <c r="C134" s="316">
        <v>0.0</v>
      </c>
      <c r="D134" s="317">
        <f t="shared" ref="D134:G134" si="91">$C134</f>
        <v>0</v>
      </c>
      <c r="E134" s="317">
        <f t="shared" si="91"/>
        <v>0</v>
      </c>
      <c r="F134" s="317">
        <f t="shared" si="91"/>
        <v>0</v>
      </c>
      <c r="G134" s="317">
        <f t="shared" si="91"/>
        <v>0</v>
      </c>
      <c r="H134" s="317"/>
      <c r="I134" s="317"/>
      <c r="J134" s="317"/>
      <c r="K134" s="317"/>
      <c r="L134" s="317"/>
    </row>
    <row r="135" outlineLevel="1">
      <c r="A135" s="138" t="s">
        <v>258</v>
      </c>
      <c r="B135" s="581">
        <f t="shared" si="90"/>
        <v>0</v>
      </c>
      <c r="C135" s="316">
        <v>0.0</v>
      </c>
      <c r="D135" s="317">
        <f t="shared" ref="D135:G135" si="92">$C135</f>
        <v>0</v>
      </c>
      <c r="E135" s="317">
        <f t="shared" si="92"/>
        <v>0</v>
      </c>
      <c r="F135" s="317">
        <f t="shared" si="92"/>
        <v>0</v>
      </c>
      <c r="G135" s="317">
        <f t="shared" si="92"/>
        <v>0</v>
      </c>
      <c r="H135" s="317"/>
      <c r="I135" s="317"/>
      <c r="J135" s="317"/>
      <c r="K135" s="317"/>
      <c r="L135" s="317"/>
    </row>
    <row r="136" outlineLevel="1">
      <c r="A136" s="319" t="s">
        <v>259</v>
      </c>
      <c r="B136" s="582">
        <f t="shared" si="90"/>
        <v>0</v>
      </c>
      <c r="C136" s="321">
        <f t="shared" ref="C136:G136" si="93">SUM(C133:C135)</f>
        <v>0</v>
      </c>
      <c r="D136" s="321">
        <f t="shared" si="93"/>
        <v>0</v>
      </c>
      <c r="E136" s="321">
        <f t="shared" si="93"/>
        <v>0</v>
      </c>
      <c r="F136" s="321">
        <f t="shared" si="93"/>
        <v>0</v>
      </c>
      <c r="G136" s="321">
        <f t="shared" si="93"/>
        <v>0</v>
      </c>
      <c r="H136" s="153"/>
      <c r="I136" s="153"/>
      <c r="J136" s="153"/>
      <c r="K136" s="153"/>
      <c r="L136" s="153"/>
    </row>
    <row r="137" outlineLevel="1">
      <c r="A137" s="138"/>
      <c r="B137" s="311"/>
      <c r="C137" s="153"/>
      <c r="D137" s="311"/>
      <c r="E137" s="311"/>
      <c r="F137" s="311"/>
      <c r="G137" s="311"/>
      <c r="H137" s="311"/>
      <c r="I137" s="311"/>
      <c r="J137" s="311"/>
      <c r="K137" s="311"/>
      <c r="L137" s="311"/>
    </row>
    <row r="138" outlineLevel="1">
      <c r="A138" s="312" t="s">
        <v>260</v>
      </c>
      <c r="B138" s="581" t="str">
        <f t="shared" ref="B138:B141" si="94">index(C138:AB138,,match($A$3,$C$1:$AB$1,0))</f>
        <v/>
      </c>
      <c r="C138" s="153"/>
      <c r="D138" s="311"/>
      <c r="E138" s="311"/>
      <c r="F138" s="311"/>
      <c r="G138" s="311"/>
      <c r="H138" s="311"/>
      <c r="I138" s="311"/>
      <c r="J138" s="311"/>
      <c r="K138" s="311"/>
      <c r="L138" s="311"/>
    </row>
    <row r="139" outlineLevel="1">
      <c r="A139" s="138" t="s">
        <v>261</v>
      </c>
      <c r="B139" s="581">
        <f t="shared" si="94"/>
        <v>0</v>
      </c>
      <c r="C139" s="316">
        <v>0.0</v>
      </c>
      <c r="D139" s="317">
        <f t="shared" ref="D139:G139" si="95">$C139</f>
        <v>0</v>
      </c>
      <c r="E139" s="317">
        <f t="shared" si="95"/>
        <v>0</v>
      </c>
      <c r="F139" s="317">
        <f t="shared" si="95"/>
        <v>0</v>
      </c>
      <c r="G139" s="317">
        <f t="shared" si="95"/>
        <v>0</v>
      </c>
      <c r="H139" s="317"/>
      <c r="I139" s="317"/>
      <c r="J139" s="317"/>
      <c r="K139" s="317"/>
      <c r="L139" s="317"/>
    </row>
    <row r="140" outlineLevel="1">
      <c r="A140" s="138" t="s">
        <v>262</v>
      </c>
      <c r="B140" s="581">
        <f t="shared" si="94"/>
        <v>0.02</v>
      </c>
      <c r="C140" s="316">
        <v>0.02</v>
      </c>
      <c r="D140" s="317">
        <f t="shared" ref="D140:G140" si="96">$C140</f>
        <v>0.02</v>
      </c>
      <c r="E140" s="317">
        <f t="shared" si="96"/>
        <v>0.02</v>
      </c>
      <c r="F140" s="317">
        <f t="shared" si="96"/>
        <v>0.02</v>
      </c>
      <c r="G140" s="317">
        <f t="shared" si="96"/>
        <v>0.02</v>
      </c>
      <c r="H140" s="317"/>
      <c r="I140" s="317"/>
      <c r="J140" s="317"/>
      <c r="K140" s="317"/>
      <c r="L140" s="317"/>
    </row>
    <row r="141" outlineLevel="1">
      <c r="A141" s="319" t="s">
        <v>263</v>
      </c>
      <c r="B141" s="582">
        <f t="shared" si="94"/>
        <v>0.02</v>
      </c>
      <c r="C141" s="321">
        <f>SUM(C138:C140)</f>
        <v>0.02</v>
      </c>
      <c r="D141" s="321">
        <f t="shared" ref="D141:G141" si="97">sum(D138:D140)</f>
        <v>0.02</v>
      </c>
      <c r="E141" s="321">
        <f t="shared" si="97"/>
        <v>0.02</v>
      </c>
      <c r="F141" s="321">
        <f t="shared" si="97"/>
        <v>0.02</v>
      </c>
      <c r="G141" s="321">
        <f t="shared" si="97"/>
        <v>0.02</v>
      </c>
      <c r="H141" s="153"/>
      <c r="I141" s="153"/>
      <c r="J141" s="153"/>
      <c r="K141" s="153"/>
      <c r="L141" s="153"/>
    </row>
    <row r="142" outlineLevel="1">
      <c r="A142" s="138"/>
      <c r="B142" s="311"/>
      <c r="C142" s="153"/>
      <c r="D142" s="311"/>
      <c r="E142" s="311"/>
      <c r="F142" s="311"/>
      <c r="G142" s="311"/>
      <c r="H142" s="311"/>
      <c r="I142" s="311"/>
      <c r="J142" s="311"/>
      <c r="K142" s="311"/>
      <c r="L142" s="311"/>
    </row>
    <row r="143" outlineLevel="1">
      <c r="A143" s="312" t="s">
        <v>264</v>
      </c>
      <c r="B143" s="311"/>
      <c r="C143" s="153"/>
      <c r="D143" s="311"/>
      <c r="E143" s="311"/>
      <c r="F143" s="311"/>
      <c r="G143" s="311"/>
      <c r="H143" s="311"/>
      <c r="I143" s="311"/>
      <c r="J143" s="311"/>
      <c r="K143" s="311"/>
      <c r="L143" s="311"/>
    </row>
    <row r="144" outlineLevel="1">
      <c r="A144" s="138" t="s">
        <v>265</v>
      </c>
      <c r="B144" s="581">
        <f t="shared" ref="B144:B147" si="99">index(C144:AB144,,match($A$3,$C$1:$AB$1,0))</f>
        <v>0.02</v>
      </c>
      <c r="C144" s="318">
        <v>0.02</v>
      </c>
      <c r="D144" s="317">
        <f t="shared" ref="D144:G144" si="98">$C144</f>
        <v>0.02</v>
      </c>
      <c r="E144" s="317">
        <f t="shared" si="98"/>
        <v>0.02</v>
      </c>
      <c r="F144" s="317">
        <f t="shared" si="98"/>
        <v>0.02</v>
      </c>
      <c r="G144" s="317">
        <f t="shared" si="98"/>
        <v>0.02</v>
      </c>
      <c r="H144" s="317"/>
      <c r="I144" s="317"/>
      <c r="J144" s="317"/>
      <c r="K144" s="317"/>
      <c r="L144" s="317"/>
    </row>
    <row r="145" outlineLevel="1">
      <c r="A145" s="138" t="s">
        <v>266</v>
      </c>
      <c r="B145" s="581">
        <f t="shared" si="99"/>
        <v>0</v>
      </c>
      <c r="C145" s="316">
        <v>0.0</v>
      </c>
      <c r="D145" s="317">
        <f t="shared" ref="D145:G145" si="100">$C145</f>
        <v>0</v>
      </c>
      <c r="E145" s="317">
        <f t="shared" si="100"/>
        <v>0</v>
      </c>
      <c r="F145" s="317">
        <f t="shared" si="100"/>
        <v>0</v>
      </c>
      <c r="G145" s="317">
        <f t="shared" si="100"/>
        <v>0</v>
      </c>
      <c r="H145" s="317"/>
      <c r="I145" s="317"/>
      <c r="J145" s="317"/>
      <c r="K145" s="317"/>
      <c r="L145" s="317"/>
    </row>
    <row r="146" outlineLevel="1">
      <c r="A146" s="138" t="s">
        <v>267</v>
      </c>
      <c r="B146" s="581">
        <f t="shared" si="99"/>
        <v>0.05</v>
      </c>
      <c r="C146" s="316">
        <v>0.05</v>
      </c>
      <c r="D146" s="317">
        <f t="shared" ref="D146:G146" si="101">$C146</f>
        <v>0.05</v>
      </c>
      <c r="E146" s="317">
        <f t="shared" si="101"/>
        <v>0.05</v>
      </c>
      <c r="F146" s="317">
        <f t="shared" si="101"/>
        <v>0.05</v>
      </c>
      <c r="G146" s="317">
        <f t="shared" si="101"/>
        <v>0.05</v>
      </c>
      <c r="H146" s="317"/>
      <c r="I146" s="317"/>
      <c r="J146" s="317"/>
      <c r="K146" s="317"/>
      <c r="L146" s="317"/>
    </row>
    <row r="147" outlineLevel="1">
      <c r="A147" s="322" t="s">
        <v>268</v>
      </c>
      <c r="B147" s="582">
        <f t="shared" si="99"/>
        <v>0.07</v>
      </c>
      <c r="C147" s="321">
        <f>SUM(C144:C146)</f>
        <v>0.07</v>
      </c>
      <c r="D147" s="321">
        <f t="shared" ref="D147:G147" si="102">sum(D144:D146)</f>
        <v>0.07</v>
      </c>
      <c r="E147" s="321">
        <f t="shared" si="102"/>
        <v>0.07</v>
      </c>
      <c r="F147" s="321">
        <f t="shared" si="102"/>
        <v>0.07</v>
      </c>
      <c r="G147" s="321">
        <f t="shared" si="102"/>
        <v>0.07</v>
      </c>
      <c r="H147" s="153"/>
      <c r="I147" s="153"/>
      <c r="J147" s="153"/>
      <c r="K147" s="153"/>
      <c r="L147" s="153"/>
    </row>
    <row r="148" outlineLevel="1">
      <c r="A148" s="138"/>
      <c r="B148" s="311"/>
      <c r="C148" s="153"/>
      <c r="D148" s="311"/>
      <c r="E148" s="311"/>
      <c r="F148" s="311"/>
      <c r="G148" s="311"/>
      <c r="H148" s="311"/>
      <c r="I148" s="311"/>
      <c r="J148" s="311"/>
      <c r="K148" s="311"/>
      <c r="L148" s="311"/>
    </row>
    <row r="149" outlineLevel="1">
      <c r="A149" s="112" t="s">
        <v>269</v>
      </c>
      <c r="B149" s="581">
        <f t="array" ref="B149">index(C149:AB149,,match($A$3,$C$1:$AB$1,0))</f>
        <v>0.91</v>
      </c>
      <c r="C149" s="153">
        <f t="shared" ref="C149:G149" si="103">1-sum(C136,C141,C147)</f>
        <v>0.91</v>
      </c>
      <c r="D149" s="153">
        <f t="shared" si="103"/>
        <v>0.91</v>
      </c>
      <c r="E149" s="153">
        <f t="shared" si="103"/>
        <v>0.91</v>
      </c>
      <c r="F149" s="153">
        <f t="shared" si="103"/>
        <v>0.91</v>
      </c>
      <c r="G149" s="153">
        <f t="shared" si="103"/>
        <v>0.91</v>
      </c>
      <c r="H149" s="153"/>
      <c r="I149" s="153"/>
      <c r="J149" s="153"/>
      <c r="K149" s="153"/>
      <c r="L149" s="153"/>
    </row>
    <row r="150">
      <c r="A150" s="538"/>
      <c r="B150" s="786"/>
      <c r="C150" s="331"/>
      <c r="D150" s="331"/>
      <c r="E150" s="331"/>
      <c r="F150" s="331"/>
      <c r="G150" s="331"/>
      <c r="H150" s="331"/>
      <c r="I150" s="331"/>
      <c r="J150" s="331"/>
      <c r="K150" s="331"/>
      <c r="L150" s="331"/>
    </row>
    <row r="151">
      <c r="A151" s="768" t="s">
        <v>270</v>
      </c>
      <c r="B151" s="585"/>
      <c r="C151" s="586"/>
      <c r="D151" s="586"/>
      <c r="E151" s="586"/>
      <c r="F151" s="586"/>
      <c r="G151" s="586"/>
      <c r="H151" s="586"/>
      <c r="I151" s="586"/>
      <c r="J151" s="586"/>
      <c r="K151" s="586"/>
      <c r="L151" s="586"/>
    </row>
    <row r="152">
      <c r="A152" s="96" t="s">
        <v>557</v>
      </c>
      <c r="B152" s="713">
        <f t="shared" ref="B152:B153" si="105">index(C152:AB152,,match($A$3,$C$1:$AB$1,0))</f>
        <v>42.63047624</v>
      </c>
      <c r="C152" s="252">
        <f t="shared" ref="C152:G152" si="104">C89*C149</f>
        <v>42.63047624</v>
      </c>
      <c r="D152" s="252">
        <f t="shared" si="104"/>
        <v>14.64708534</v>
      </c>
      <c r="E152" s="252">
        <f t="shared" si="104"/>
        <v>2.556182417</v>
      </c>
      <c r="F152" s="252">
        <f t="shared" si="104"/>
        <v>23.67417481</v>
      </c>
      <c r="G152" s="252">
        <f t="shared" si="104"/>
        <v>1.753033669</v>
      </c>
      <c r="H152" s="252"/>
      <c r="I152" s="252"/>
      <c r="J152" s="252"/>
      <c r="K152" s="252"/>
      <c r="L152" s="252"/>
    </row>
    <row r="153">
      <c r="A153" s="154" t="s">
        <v>558</v>
      </c>
      <c r="B153" s="787">
        <f t="shared" si="105"/>
        <v>2616.278316</v>
      </c>
      <c r="C153" s="461">
        <f t="shared" ref="C153:G153" si="106">C14/C152</f>
        <v>2616.278316</v>
      </c>
      <c r="D153" s="461">
        <f t="shared" si="106"/>
        <v>1324.534044</v>
      </c>
      <c r="E153" s="461">
        <f t="shared" si="106"/>
        <v>6432.718617</v>
      </c>
      <c r="F153" s="461">
        <f t="shared" si="106"/>
        <v>3007.09199</v>
      </c>
      <c r="G153" s="461">
        <f t="shared" si="106"/>
        <v>2566.410353</v>
      </c>
      <c r="H153" s="461"/>
      <c r="I153" s="461"/>
      <c r="J153" s="461"/>
      <c r="K153" s="461"/>
      <c r="L153" s="461"/>
    </row>
    <row r="154">
      <c r="A154" s="96"/>
      <c r="B154" s="786"/>
      <c r="C154" s="417"/>
      <c r="D154" s="417"/>
      <c r="E154" s="417"/>
      <c r="F154" s="417"/>
      <c r="G154" s="417"/>
      <c r="H154" s="417"/>
      <c r="I154" s="417"/>
      <c r="J154" s="417"/>
      <c r="K154" s="417"/>
      <c r="L154" s="417"/>
    </row>
    <row r="155">
      <c r="A155" s="96" t="s">
        <v>281</v>
      </c>
      <c r="B155" s="713">
        <f t="shared" ref="B155:B157" si="108">index(C155:AB155,,match($A$3,$C$1:$AB$1,0))</f>
        <v>6719.737292</v>
      </c>
      <c r="C155" s="252">
        <f t="shared" ref="C155:G155" si="107">sum(C72,C86,C121)*C149</f>
        <v>6719.737292</v>
      </c>
      <c r="D155" s="252">
        <f t="shared" si="107"/>
        <v>2225.950962</v>
      </c>
      <c r="E155" s="252">
        <f t="shared" si="107"/>
        <v>367.2347395</v>
      </c>
      <c r="F155" s="252">
        <f t="shared" si="107"/>
        <v>3815.970901</v>
      </c>
      <c r="G155" s="252">
        <f t="shared" si="107"/>
        <v>310.5806899</v>
      </c>
      <c r="H155" s="252"/>
      <c r="I155" s="252"/>
      <c r="J155" s="252"/>
      <c r="K155" s="252"/>
      <c r="L155" s="252"/>
    </row>
    <row r="156">
      <c r="A156" s="96" t="s">
        <v>252</v>
      </c>
      <c r="B156" s="788">
        <f t="shared" si="108"/>
        <v>0.0602487677</v>
      </c>
      <c r="C156" s="329">
        <f t="shared" ref="C156:G156" si="109">C155/C14</f>
        <v>0.0602487677</v>
      </c>
      <c r="D156" s="329">
        <f t="shared" si="109"/>
        <v>0.1147364095</v>
      </c>
      <c r="E156" s="329">
        <f t="shared" si="109"/>
        <v>0.02233352936</v>
      </c>
      <c r="F156" s="329">
        <f t="shared" si="109"/>
        <v>0.05360230805</v>
      </c>
      <c r="G156" s="329">
        <f t="shared" si="109"/>
        <v>0.06903321418</v>
      </c>
      <c r="H156" s="329"/>
      <c r="I156" s="329"/>
      <c r="J156" s="329"/>
      <c r="K156" s="329"/>
      <c r="L156" s="329"/>
    </row>
    <row r="157">
      <c r="A157" s="154" t="s">
        <v>275</v>
      </c>
      <c r="B157" s="789">
        <f t="shared" si="108"/>
        <v>17.51498101</v>
      </c>
      <c r="C157" s="328">
        <f t="array" ref="C157">C156/index(GiveDirectly!$B:$B,match("Units of value generated per dollar spent",GiveDirectly!$A:$A,0))</f>
        <v>17.51498101</v>
      </c>
      <c r="D157" s="328">
        <f t="array" ref="D157">D156/index(GiveDirectly!$B:$B,match("Units of value generated per dollar spent",GiveDirectly!$A:$A,0))</f>
        <v>33.35513921</v>
      </c>
      <c r="E157" s="328">
        <f t="array" ref="E157">E156/index(GiveDirectly!$B:$B,match("Units of value generated per dollar spent",GiveDirectly!$A:$A,0))</f>
        <v>6.492603211</v>
      </c>
      <c r="F157" s="328">
        <f t="array" ref="F157">F156/index(GiveDirectly!$B:$B,match("Units of value generated per dollar spent",GiveDirectly!$A:$A,0))</f>
        <v>15.58278192</v>
      </c>
      <c r="G157" s="328">
        <f t="array" ref="G157">G156/index(GiveDirectly!$B:$B,match("Units of value generated per dollar spent",GiveDirectly!$A:$A,0))</f>
        <v>20.06871645</v>
      </c>
      <c r="H157" s="328"/>
      <c r="I157" s="328"/>
      <c r="J157" s="328"/>
      <c r="K157" s="328"/>
      <c r="L157" s="328"/>
    </row>
    <row r="158">
      <c r="A158" s="538"/>
      <c r="B158" s="786"/>
      <c r="C158" s="417"/>
      <c r="D158" s="417"/>
      <c r="E158" s="417"/>
      <c r="F158" s="417"/>
      <c r="G158" s="417"/>
      <c r="H158" s="417"/>
      <c r="I158" s="417"/>
      <c r="J158" s="417"/>
      <c r="K158" s="417"/>
      <c r="L158" s="417"/>
    </row>
    <row r="159">
      <c r="A159" s="308" t="s">
        <v>559</v>
      </c>
      <c r="B159" s="309"/>
      <c r="C159" s="308"/>
      <c r="D159" s="308"/>
      <c r="E159" s="308"/>
      <c r="F159" s="308"/>
      <c r="G159" s="308"/>
      <c r="H159" s="308"/>
      <c r="I159" s="308"/>
      <c r="J159" s="308"/>
      <c r="K159" s="308"/>
      <c r="L159" s="308"/>
    </row>
    <row r="160" outlineLevel="1">
      <c r="A160" s="310" t="s">
        <v>277</v>
      </c>
      <c r="B160" s="330"/>
      <c r="C160" s="331"/>
      <c r="D160" s="331"/>
      <c r="E160" s="331"/>
      <c r="F160" s="331"/>
      <c r="G160" s="331"/>
      <c r="H160" s="331"/>
      <c r="I160" s="331"/>
      <c r="J160" s="331"/>
      <c r="K160" s="331"/>
      <c r="L160" s="331"/>
    </row>
    <row r="161" outlineLevel="1">
      <c r="A161" s="118" t="str">
        <f>IFERROR(__xludf.DUMMYFUNCTION("filter(InclusionExclusion!C:C,InclusionExclusion!A:A=""SMC"",InclusionExclusion!D:D=""Included"")"),"Malaria child mortality")</f>
        <v>Malaria child mortality</v>
      </c>
      <c r="B161" s="330"/>
      <c r="C161" s="331"/>
      <c r="D161" s="331"/>
      <c r="E161" s="331"/>
      <c r="F161" s="331"/>
      <c r="G161" s="331"/>
      <c r="H161" s="331"/>
      <c r="I161" s="331"/>
      <c r="J161" s="331"/>
      <c r="K161" s="331"/>
      <c r="L161" s="331"/>
    </row>
    <row r="162" outlineLevel="1">
      <c r="A162" s="112" t="str">
        <f>IFERROR(__xludf.DUMMYFUNCTION("""COMPUTED_VALUE"""),"Developmental effects")</f>
        <v>Developmental effects</v>
      </c>
      <c r="B162" s="330"/>
      <c r="C162" s="331"/>
      <c r="D162" s="331"/>
      <c r="E162" s="331"/>
      <c r="F162" s="331"/>
      <c r="G162" s="331"/>
      <c r="H162" s="331"/>
      <c r="I162" s="331"/>
      <c r="J162" s="331"/>
      <c r="K162" s="331"/>
      <c r="L162" s="331"/>
    </row>
    <row r="163" outlineLevel="1">
      <c r="A163" s="333" t="str">
        <f>IFERROR(__xludf.DUMMYFUNCTION("""COMPUTED_VALUE"""),"Malaria adult mortality")</f>
        <v>Malaria adult mortality</v>
      </c>
      <c r="B163" s="330"/>
      <c r="C163" s="331"/>
      <c r="D163" s="331"/>
      <c r="E163" s="331"/>
      <c r="F163" s="331"/>
      <c r="G163" s="331"/>
      <c r="H163" s="331"/>
      <c r="I163" s="331"/>
      <c r="J163" s="331"/>
      <c r="K163" s="331"/>
      <c r="L163" s="331"/>
    </row>
    <row r="164" outlineLevel="1">
      <c r="A164" s="333"/>
      <c r="B164" s="330"/>
      <c r="C164" s="331"/>
      <c r="D164" s="331"/>
      <c r="E164" s="331"/>
      <c r="F164" s="331"/>
      <c r="G164" s="331"/>
      <c r="H164" s="331"/>
      <c r="I164" s="331"/>
      <c r="J164" s="331"/>
      <c r="K164" s="331"/>
      <c r="L164" s="331"/>
    </row>
    <row r="165" outlineLevel="1">
      <c r="A165" s="310" t="s">
        <v>278</v>
      </c>
      <c r="B165" s="330"/>
      <c r="C165" s="331"/>
      <c r="D165" s="331"/>
      <c r="E165" s="331"/>
      <c r="F165" s="331"/>
      <c r="G165" s="331"/>
      <c r="H165" s="331"/>
      <c r="I165" s="331"/>
      <c r="J165" s="331"/>
      <c r="K165" s="331"/>
      <c r="L165" s="331"/>
    </row>
    <row r="166" outlineLevel="1">
      <c r="A166" s="176" t="str">
        <f>IFERROR(__xludf.DUMMYFUNCTION("filter(InclusionExclusion!C:C,InclusionExclusion!A:A=""SMC"",InclusionExclusion!D:D=""Excluded"")"),"Malaria morbidity")</f>
        <v>Malaria morbidity</v>
      </c>
      <c r="B166" s="313">
        <f t="shared" ref="B166:B179" si="111">index(C166:AA166,,match($A$3,$C$1:$AA$1,0))</f>
        <v>0.09</v>
      </c>
      <c r="C166" s="314">
        <f t="array" ref="C166">iferror(if(isblank(A166),"",index(InclusionExclusion!$M:M,match(1,(InclusionExclusion!C:C=A166)*(InclusionExclusion!A:A="SMC"),0))),"Not specified")</f>
        <v>0.09</v>
      </c>
      <c r="D166" s="334">
        <f t="shared" ref="D166:G166" si="110">$C166</f>
        <v>0.09</v>
      </c>
      <c r="E166" s="334">
        <f t="shared" si="110"/>
        <v>0.09</v>
      </c>
      <c r="F166" s="334">
        <f t="shared" si="110"/>
        <v>0.09</v>
      </c>
      <c r="G166" s="334">
        <f t="shared" si="110"/>
        <v>0.09</v>
      </c>
      <c r="H166" s="334"/>
      <c r="I166" s="334"/>
      <c r="J166" s="334"/>
      <c r="K166" s="334"/>
      <c r="L166" s="334"/>
    </row>
    <row r="167" outlineLevel="1">
      <c r="A167" s="176" t="str">
        <f>IFERROR(__xludf.DUMMYFUNCTION("""COMPUTED_VALUE"""),"Short-term anemia effects")</f>
        <v>Short-term anemia effects</v>
      </c>
      <c r="B167" s="313">
        <f t="shared" si="111"/>
        <v>0.09</v>
      </c>
      <c r="C167" s="314">
        <f t="array" ref="C167">iferror(if(isblank(A167),"",index(InclusionExclusion!$M:M,match(1,(InclusionExclusion!C:C=A167)*(InclusionExclusion!A:A="SMC"),0))),"Not specified")</f>
        <v>0.09</v>
      </c>
      <c r="D167" s="334">
        <f t="shared" ref="D167:G167" si="112">$C167</f>
        <v>0.09</v>
      </c>
      <c r="E167" s="334">
        <f t="shared" si="112"/>
        <v>0.09</v>
      </c>
      <c r="F167" s="334">
        <f t="shared" si="112"/>
        <v>0.09</v>
      </c>
      <c r="G167" s="334">
        <f t="shared" si="112"/>
        <v>0.09</v>
      </c>
      <c r="H167" s="334"/>
      <c r="I167" s="334"/>
      <c r="J167" s="334"/>
      <c r="K167" s="334"/>
      <c r="L167" s="334"/>
    </row>
    <row r="168" outlineLevel="1">
      <c r="A168" s="176" t="str">
        <f>IFERROR(__xludf.DUMMYFUNCTION("""COMPUTED_VALUE"""),"Investment of income increases")</f>
        <v>Investment of income increases</v>
      </c>
      <c r="B168" s="313">
        <f t="shared" si="111"/>
        <v>0.05</v>
      </c>
      <c r="C168" s="314">
        <f t="array" ref="C168">iferror(if(isblank(A168),"",index(InclusionExclusion!$M:M,match(1,(InclusionExclusion!C:C=A168)*(InclusionExclusion!A:A="SMC"),0))),"Not specified")</f>
        <v>0.05</v>
      </c>
      <c r="D168" s="334">
        <f t="shared" ref="D168:G168" si="113">$C168</f>
        <v>0.05</v>
      </c>
      <c r="E168" s="334">
        <f t="shared" si="113"/>
        <v>0.05</v>
      </c>
      <c r="F168" s="334">
        <f t="shared" si="113"/>
        <v>0.05</v>
      </c>
      <c r="G168" s="334">
        <f t="shared" si="113"/>
        <v>0.05</v>
      </c>
      <c r="H168" s="334"/>
      <c r="I168" s="334"/>
      <c r="J168" s="334"/>
      <c r="K168" s="334"/>
      <c r="L168" s="334"/>
    </row>
    <row r="169" outlineLevel="1">
      <c r="A169" s="176" t="str">
        <f>IFERROR(__xludf.DUMMYFUNCTION("""COMPUTED_VALUE"""),"Rebound effects / decreased immunity development")</f>
        <v>Rebound effects / decreased immunity development</v>
      </c>
      <c r="B169" s="313">
        <f t="shared" si="111"/>
        <v>-0.04</v>
      </c>
      <c r="C169" s="314">
        <f t="array" ref="C169">iferror(if(isblank(A169),"",index(InclusionExclusion!$M:M,match(1,(InclusionExclusion!C:C=A169)*(InclusionExclusion!A:A="SMC"),0))),"Not specified")</f>
        <v>-0.04</v>
      </c>
      <c r="D169" s="334">
        <f t="shared" ref="D169:G169" si="114">$C169</f>
        <v>-0.04</v>
      </c>
      <c r="E169" s="334">
        <f t="shared" si="114"/>
        <v>-0.04</v>
      </c>
      <c r="F169" s="334">
        <f t="shared" si="114"/>
        <v>-0.04</v>
      </c>
      <c r="G169" s="334">
        <f t="shared" si="114"/>
        <v>-0.04</v>
      </c>
      <c r="H169" s="334"/>
      <c r="I169" s="334"/>
      <c r="J169" s="334"/>
      <c r="K169" s="334"/>
      <c r="L169" s="334"/>
    </row>
    <row r="170" outlineLevel="1">
      <c r="A170" s="176" t="str">
        <f>IFERROR(__xludf.DUMMYFUNCTION("""COMPUTED_VALUE"""),"Drug resistance")</f>
        <v>Drug resistance</v>
      </c>
      <c r="B170" s="313">
        <f t="shared" si="111"/>
        <v>-0.04</v>
      </c>
      <c r="C170" s="314">
        <f t="array" ref="C170">iferror(if(isblank(A170),"",index(InclusionExclusion!$M:M,match(1,(InclusionExclusion!C:C=A170)*(InclusionExclusion!A:A="SMC"),0))),"Not specified")</f>
        <v>-0.04</v>
      </c>
      <c r="D170" s="334">
        <f t="shared" ref="D170:G170" si="115">$C170</f>
        <v>-0.04</v>
      </c>
      <c r="E170" s="334">
        <f t="shared" si="115"/>
        <v>-0.04</v>
      </c>
      <c r="F170" s="334">
        <f t="shared" si="115"/>
        <v>-0.04</v>
      </c>
      <c r="G170" s="334">
        <f t="shared" si="115"/>
        <v>-0.04</v>
      </c>
      <c r="H170" s="334"/>
      <c r="I170" s="334"/>
      <c r="J170" s="334"/>
      <c r="K170" s="334"/>
      <c r="L170" s="334"/>
    </row>
    <row r="171" outlineLevel="1">
      <c r="A171" s="96" t="str">
        <f>IFERROR(__xludf.DUMMYFUNCTION("""COMPUTED_VALUE"""),"Effect on fertility")</f>
        <v>Effect on fertility</v>
      </c>
      <c r="B171" s="313" t="str">
        <f t="shared" si="111"/>
        <v>Not specified</v>
      </c>
      <c r="C171" s="314" t="str">
        <f t="array" ref="C171">iferror(if(isblank(A171),"",index(InclusionExclusion!$M:M,match(1,(InclusionExclusion!C:C=A171)*(InclusionExclusion!A:A="SMC"),0))),"Not specified")</f>
        <v>Not specified</v>
      </c>
      <c r="D171" s="334" t="str">
        <f t="shared" ref="D171:G171" si="116">$C171</f>
        <v>Not specified</v>
      </c>
      <c r="E171" s="334" t="str">
        <f t="shared" si="116"/>
        <v>Not specified</v>
      </c>
      <c r="F171" s="334" t="str">
        <f t="shared" si="116"/>
        <v>Not specified</v>
      </c>
      <c r="G171" s="334" t="str">
        <f t="shared" si="116"/>
        <v>Not specified</v>
      </c>
      <c r="H171" s="334"/>
      <c r="I171" s="334"/>
      <c r="J171" s="334"/>
      <c r="K171" s="334"/>
      <c r="L171" s="334"/>
    </row>
    <row r="172" outlineLevel="1">
      <c r="A172" s="176" t="str">
        <f>IFERROR(__xludf.DUMMYFUNCTION("""COMPUTED_VALUE"""),"Treatment costs averted from prevention")</f>
        <v>Treatment costs averted from prevention</v>
      </c>
      <c r="B172" s="313">
        <f t="shared" si="111"/>
        <v>0.06</v>
      </c>
      <c r="C172" s="314">
        <f t="array" ref="C172">iferror(if(isblank(A172),"",index(InclusionExclusion!$M:M,match(1,(InclusionExclusion!C:C=A172)*(InclusionExclusion!A:A="SMC"),0))),"Not specified")</f>
        <v>0.06</v>
      </c>
      <c r="D172" s="334">
        <f t="shared" ref="D172:G172" si="117">$C172</f>
        <v>0.06</v>
      </c>
      <c r="E172" s="334">
        <f t="shared" si="117"/>
        <v>0.06</v>
      </c>
      <c r="F172" s="334">
        <f t="shared" si="117"/>
        <v>0.06</v>
      </c>
      <c r="G172" s="334">
        <f t="shared" si="117"/>
        <v>0.06</v>
      </c>
      <c r="H172" s="334"/>
      <c r="I172" s="334"/>
      <c r="J172" s="334"/>
      <c r="K172" s="334"/>
      <c r="L172" s="334"/>
    </row>
    <row r="173" outlineLevel="1">
      <c r="A173" s="176" t="str">
        <f>IFERROR(__xludf.DUMMYFUNCTION("""COMPUTED_VALUE"""),"Subnational adjustments")</f>
        <v>Subnational adjustments</v>
      </c>
      <c r="B173" s="313">
        <f t="shared" si="111"/>
        <v>0.032</v>
      </c>
      <c r="C173" s="314">
        <f t="array" ref="C173">iferror(if(isblank(A173),"",index(InclusionExclusion!$M:M,match(1,(InclusionExclusion!C:C=A173)*(InclusionExclusion!A:A="SMC"),0))),"Not specified")</f>
        <v>0.032</v>
      </c>
      <c r="D173" s="334">
        <f t="shared" ref="D173:G173" si="118">$C173</f>
        <v>0.032</v>
      </c>
      <c r="E173" s="334">
        <f t="shared" si="118"/>
        <v>0.032</v>
      </c>
      <c r="F173" s="334">
        <f t="shared" si="118"/>
        <v>0.032</v>
      </c>
      <c r="G173" s="334">
        <f t="shared" si="118"/>
        <v>0.032</v>
      </c>
      <c r="H173" s="334"/>
      <c r="I173" s="334"/>
      <c r="J173" s="334"/>
      <c r="K173" s="334"/>
      <c r="L173" s="334"/>
    </row>
    <row r="174" outlineLevel="1">
      <c r="A174" s="176" t="str">
        <f>IFERROR(__xludf.DUMMYFUNCTION("""COMPUTED_VALUE"""),"Marginal funding goes to lower priority areas")</f>
        <v>Marginal funding goes to lower priority areas</v>
      </c>
      <c r="B174" s="313">
        <f t="shared" si="111"/>
        <v>-0.025</v>
      </c>
      <c r="C174" s="314">
        <f t="array" ref="C174">iferror(if(isblank(A174),"",index(InclusionExclusion!$M:M,match(1,(InclusionExclusion!C:C=A174)*(InclusionExclusion!A:A="SMC"),0))),"Not specified")</f>
        <v>-0.025</v>
      </c>
      <c r="D174" s="334">
        <f t="shared" ref="D174:G174" si="119">$C174</f>
        <v>-0.025</v>
      </c>
      <c r="E174" s="334">
        <f t="shared" si="119"/>
        <v>-0.025</v>
      </c>
      <c r="F174" s="334">
        <f t="shared" si="119"/>
        <v>-0.025</v>
      </c>
      <c r="G174" s="334">
        <f t="shared" si="119"/>
        <v>-0.025</v>
      </c>
      <c r="H174" s="334"/>
      <c r="I174" s="334"/>
      <c r="J174" s="334"/>
      <c r="K174" s="334"/>
      <c r="L174" s="334"/>
    </row>
    <row r="175" outlineLevel="1">
      <c r="A175" s="176" t="str">
        <f>IFERROR(__xludf.DUMMYFUNCTION("""COMPUTED_VALUE"""),"Counterfactual mortality rates")</f>
        <v>Counterfactual mortality rates</v>
      </c>
      <c r="B175" s="313">
        <f t="shared" si="111"/>
        <v>-0.016</v>
      </c>
      <c r="C175" s="314">
        <f t="array" ref="C175">iferror(if(isblank(A175),"",index(InclusionExclusion!$M:M,match(1,(InclusionExclusion!C:C=A175)*(InclusionExclusion!A:A="SMC"),0))),"Not specified")</f>
        <v>-0.016</v>
      </c>
      <c r="D175" s="334">
        <f t="shared" ref="D175:G175" si="120">$C175</f>
        <v>-0.016</v>
      </c>
      <c r="E175" s="334">
        <f t="shared" si="120"/>
        <v>-0.016</v>
      </c>
      <c r="F175" s="334">
        <f t="shared" si="120"/>
        <v>-0.016</v>
      </c>
      <c r="G175" s="334">
        <f t="shared" si="120"/>
        <v>-0.016</v>
      </c>
      <c r="H175" s="334"/>
      <c r="I175" s="334"/>
      <c r="J175" s="334"/>
      <c r="K175" s="334"/>
      <c r="L175" s="334"/>
    </row>
    <row r="176" outlineLevel="1">
      <c r="A176" s="96" t="str">
        <f>IFERROR(__xludf.DUMMYFUNCTION("""COMPUTED_VALUE"""),"Serious adverse events due to side effects of treatment")</f>
        <v>Serious adverse events due to side effects of treatment</v>
      </c>
      <c r="B176" s="313">
        <f t="shared" si="111"/>
        <v>-0.006</v>
      </c>
      <c r="C176" s="314">
        <f t="array" ref="C176">iferror(if(isblank(A176),"",index(InclusionExclusion!$M:M,match(1,(InclusionExclusion!C:C=A176)*(InclusionExclusion!A:A="SMC"),0))),"Not specified")</f>
        <v>-0.006</v>
      </c>
      <c r="D176" s="334">
        <f t="shared" ref="D176:G176" si="121">$C176</f>
        <v>-0.006</v>
      </c>
      <c r="E176" s="334">
        <f t="shared" si="121"/>
        <v>-0.006</v>
      </c>
      <c r="F176" s="334">
        <f t="shared" si="121"/>
        <v>-0.006</v>
      </c>
      <c r="G176" s="334">
        <f t="shared" si="121"/>
        <v>-0.006</v>
      </c>
      <c r="H176" s="334"/>
      <c r="I176" s="334"/>
      <c r="J176" s="334"/>
      <c r="K176" s="334"/>
      <c r="L176" s="334"/>
    </row>
    <row r="177" outlineLevel="1">
      <c r="A177" s="96" t="str">
        <f>IFERROR(__xludf.DUMMYFUNCTION("""COMPUTED_VALUE"""),"Failure to ingest first day of treatment of SMC")</f>
        <v>Failure to ingest first day of treatment of SMC</v>
      </c>
      <c r="B177" s="313">
        <f t="shared" si="111"/>
        <v>-0.035</v>
      </c>
      <c r="C177" s="314">
        <f t="array" ref="C177">iferror(if(isblank(A177),"",index(InclusionExclusion!$M:M,match(1,(InclusionExclusion!C:C=A177)*(InclusionExclusion!A:A="SMC"),0))),"Not specified")</f>
        <v>-0.035</v>
      </c>
      <c r="D177" s="334">
        <f t="shared" ref="D177:G177" si="122">$C177</f>
        <v>-0.035</v>
      </c>
      <c r="E177" s="334">
        <f t="shared" si="122"/>
        <v>-0.035</v>
      </c>
      <c r="F177" s="334">
        <f t="shared" si="122"/>
        <v>-0.035</v>
      </c>
      <c r="G177" s="334">
        <f t="shared" si="122"/>
        <v>-0.035</v>
      </c>
      <c r="H177" s="334"/>
      <c r="I177" s="334"/>
      <c r="J177" s="334"/>
      <c r="K177" s="334"/>
      <c r="L177" s="334"/>
    </row>
    <row r="178" outlineLevel="1">
      <c r="A178" s="96"/>
      <c r="B178" s="313" t="str">
        <f t="shared" si="111"/>
        <v/>
      </c>
      <c r="C178" s="314" t="str">
        <f t="array" ref="C178">iferror(if(isblank(A178),"",index(InclusionExclusion!$M:M,match(A178,InclusionExclusion!C:C,0))),"Not specified")</f>
        <v/>
      </c>
      <c r="D178" s="334" t="str">
        <f t="shared" ref="D178:G178" si="123">$C178</f>
        <v/>
      </c>
      <c r="E178" s="334" t="str">
        <f t="shared" si="123"/>
        <v/>
      </c>
      <c r="F178" s="334" t="str">
        <f t="shared" si="123"/>
        <v/>
      </c>
      <c r="G178" s="334" t="str">
        <f t="shared" si="123"/>
        <v/>
      </c>
      <c r="H178" s="334"/>
      <c r="I178" s="334"/>
      <c r="J178" s="334"/>
      <c r="K178" s="334"/>
      <c r="L178" s="334"/>
    </row>
    <row r="179" outlineLevel="1">
      <c r="A179" s="335" t="s">
        <v>279</v>
      </c>
      <c r="B179" s="315">
        <f t="shared" si="111"/>
        <v>1.16</v>
      </c>
      <c r="C179" s="153">
        <f t="shared" ref="C179:G179" si="124">1+sum(C163:C178)</f>
        <v>1.16</v>
      </c>
      <c r="D179" s="153">
        <f t="shared" si="124"/>
        <v>1.16</v>
      </c>
      <c r="E179" s="153">
        <f t="shared" si="124"/>
        <v>1.16</v>
      </c>
      <c r="F179" s="153">
        <f t="shared" si="124"/>
        <v>1.16</v>
      </c>
      <c r="G179" s="153">
        <f t="shared" si="124"/>
        <v>1.16</v>
      </c>
      <c r="H179" s="153"/>
      <c r="I179" s="153"/>
      <c r="J179" s="153"/>
      <c r="K179" s="153"/>
      <c r="L179" s="153"/>
    </row>
    <row r="180">
      <c r="A180" s="287"/>
      <c r="B180" s="587"/>
      <c r="C180" s="407"/>
      <c r="D180" s="407"/>
      <c r="E180" s="407"/>
      <c r="F180" s="407"/>
      <c r="G180" s="407"/>
      <c r="H180" s="407"/>
      <c r="I180" s="407"/>
      <c r="J180" s="407"/>
      <c r="K180" s="407"/>
      <c r="L180" s="407"/>
    </row>
    <row r="181">
      <c r="A181" s="768" t="s">
        <v>280</v>
      </c>
      <c r="B181" s="585"/>
      <c r="C181" s="586"/>
      <c r="D181" s="586"/>
      <c r="E181" s="586"/>
      <c r="F181" s="586"/>
      <c r="G181" s="586"/>
      <c r="H181" s="586"/>
      <c r="I181" s="586"/>
      <c r="J181" s="586"/>
      <c r="K181" s="586"/>
      <c r="L181" s="586"/>
    </row>
    <row r="182">
      <c r="A182" s="297"/>
      <c r="B182" s="587"/>
      <c r="C182" s="407"/>
      <c r="D182" s="407"/>
      <c r="E182" s="407"/>
      <c r="F182" s="407"/>
      <c r="G182" s="407"/>
      <c r="H182" s="407"/>
      <c r="I182" s="407"/>
      <c r="J182" s="407"/>
      <c r="K182" s="407"/>
      <c r="L182" s="407"/>
    </row>
    <row r="183">
      <c r="A183" s="540" t="s">
        <v>560</v>
      </c>
      <c r="B183" s="645">
        <f t="array" ref="B183">index(A183:AB183,,match($A$3,$A$1:$AB$1,0))</f>
        <v>7794.895259</v>
      </c>
      <c r="C183" s="272">
        <f t="shared" ref="C183:G183" si="125">C155*C179</f>
        <v>7794.895259</v>
      </c>
      <c r="D183" s="272">
        <f t="shared" si="125"/>
        <v>2582.103116</v>
      </c>
      <c r="E183" s="272">
        <f t="shared" si="125"/>
        <v>425.9922978</v>
      </c>
      <c r="F183" s="272">
        <f t="shared" si="125"/>
        <v>4426.526245</v>
      </c>
      <c r="G183" s="272">
        <f t="shared" si="125"/>
        <v>360.2736003</v>
      </c>
      <c r="H183" s="272"/>
      <c r="I183" s="272"/>
      <c r="J183" s="272"/>
      <c r="K183" s="272"/>
      <c r="L183" s="272"/>
    </row>
    <row r="184">
      <c r="A184" s="118" t="s">
        <v>447</v>
      </c>
      <c r="B184" s="292">
        <f t="array" ref="B184">index(C184:AA184,,match($A$3,$C$1:$AA$1,0))</f>
        <v>0.06988857054</v>
      </c>
      <c r="C184" s="293">
        <f t="shared" ref="C184:G184" si="126">C183/C14</f>
        <v>0.06988857054</v>
      </c>
      <c r="D184" s="420">
        <f t="shared" si="126"/>
        <v>0.133094235</v>
      </c>
      <c r="E184" s="293">
        <f t="shared" si="126"/>
        <v>0.02590689405</v>
      </c>
      <c r="F184" s="293">
        <f t="shared" si="126"/>
        <v>0.06217867734</v>
      </c>
      <c r="G184" s="293">
        <f t="shared" si="126"/>
        <v>0.08007852844</v>
      </c>
      <c r="H184" s="293"/>
      <c r="I184" s="293"/>
      <c r="J184" s="293"/>
      <c r="K184" s="293"/>
      <c r="L184" s="293"/>
    </row>
    <row r="185">
      <c r="A185" s="638"/>
      <c r="B185" s="790"/>
      <c r="C185" s="417"/>
      <c r="D185" s="417"/>
      <c r="E185" s="417"/>
      <c r="F185" s="417"/>
      <c r="G185" s="417"/>
      <c r="H185" s="417"/>
      <c r="I185" s="417"/>
      <c r="J185" s="417"/>
      <c r="K185" s="417"/>
      <c r="L185" s="417"/>
    </row>
    <row r="186">
      <c r="A186" s="638" t="s">
        <v>282</v>
      </c>
      <c r="B186" s="623">
        <f t="array" ref="B186">index(A186:AB186,,match($A$3,$A$1:$AB$1,0))</f>
        <v>20.31737798</v>
      </c>
      <c r="C186" s="328">
        <f t="array" ref="C186">C184/index(GiveDirectly!$B:$B,match("Units of value generated per dollar spent",GiveDirectly!$A:$A,0))</f>
        <v>20.31737798</v>
      </c>
      <c r="D186" s="328">
        <f t="array" ref="D186">D184/index(GiveDirectly!$B:$B,match("Units of value generated per dollar spent",GiveDirectly!$A:$A,0))</f>
        <v>38.69196149</v>
      </c>
      <c r="E186" s="328">
        <f t="array" ref="E186">E184/index(GiveDirectly!$B:$B,match("Units of value generated per dollar spent",GiveDirectly!$A:$A,0))</f>
        <v>7.531419725</v>
      </c>
      <c r="F186" s="328">
        <f t="array" ref="F186">F184/index(GiveDirectly!$B:$B,match("Units of value generated per dollar spent",GiveDirectly!$A:$A,0))</f>
        <v>18.07602702</v>
      </c>
      <c r="G186" s="328">
        <f t="array" ref="G186">G184/index(GiveDirectly!$B:$B,match("Units of value generated per dollar spent",GiveDirectly!$A:$A,0))</f>
        <v>23.27971108</v>
      </c>
      <c r="H186" s="328"/>
      <c r="I186" s="328"/>
      <c r="J186" s="328"/>
      <c r="K186" s="328"/>
      <c r="L186" s="328"/>
    </row>
    <row r="187">
      <c r="A187" s="287"/>
      <c r="B187" s="791"/>
      <c r="C187" s="452"/>
      <c r="D187" s="407"/>
      <c r="E187" s="407"/>
      <c r="F187" s="407"/>
      <c r="G187" s="407"/>
      <c r="H187" s="407"/>
      <c r="I187" s="407"/>
      <c r="J187" s="407"/>
      <c r="K187" s="407"/>
      <c r="L187" s="407"/>
    </row>
    <row r="188">
      <c r="A188" s="241" t="s">
        <v>371</v>
      </c>
      <c r="B188" s="792"/>
      <c r="C188" s="586"/>
      <c r="D188" s="586"/>
      <c r="E188" s="586"/>
      <c r="F188" s="586"/>
      <c r="G188" s="586"/>
      <c r="H188" s="586"/>
      <c r="I188" s="586"/>
      <c r="J188" s="586"/>
      <c r="K188" s="586"/>
      <c r="L188" s="586"/>
    </row>
    <row r="189" outlineLevel="1">
      <c r="A189" s="287"/>
      <c r="B189" s="791"/>
      <c r="C189" s="407"/>
      <c r="D189" s="407"/>
      <c r="E189" s="407"/>
      <c r="F189" s="407"/>
      <c r="G189" s="407"/>
      <c r="H189" s="407"/>
      <c r="I189" s="407"/>
      <c r="J189" s="407"/>
      <c r="K189" s="407"/>
      <c r="L189" s="407"/>
    </row>
    <row r="190" outlineLevel="1">
      <c r="A190" s="588" t="s">
        <v>372</v>
      </c>
      <c r="B190" s="791"/>
      <c r="C190" s="407"/>
      <c r="D190" s="407"/>
      <c r="E190" s="407"/>
      <c r="F190" s="407"/>
      <c r="G190" s="407"/>
      <c r="H190" s="407"/>
      <c r="I190" s="407"/>
      <c r="J190" s="407"/>
      <c r="K190" s="407"/>
      <c r="L190" s="407"/>
    </row>
    <row r="191" outlineLevel="1">
      <c r="A191" s="344" t="s">
        <v>451</v>
      </c>
      <c r="B191" s="793">
        <f t="shared" ref="B191:B193" si="128">index(A191:AB191,,match($A$3,$A$1:$AB$1,0))</f>
        <v>6.211924778</v>
      </c>
      <c r="C191" s="794">
        <f>sumproduct(D191:G191,D18:G18)</f>
        <v>6.211924778</v>
      </c>
      <c r="D191" s="632">
        <f t="shared" ref="D191:G191" si="127">D16*D8</f>
        <v>5.278531493</v>
      </c>
      <c r="E191" s="632">
        <f t="shared" si="127"/>
        <v>7.104274232</v>
      </c>
      <c r="F191" s="632">
        <f t="shared" si="127"/>
        <v>6.353336314</v>
      </c>
      <c r="G191" s="632">
        <f t="shared" si="127"/>
        <v>5.956638921</v>
      </c>
      <c r="H191" s="795"/>
      <c r="I191" s="795"/>
      <c r="J191" s="795"/>
      <c r="K191" s="795"/>
      <c r="L191" s="795"/>
    </row>
    <row r="192" outlineLevel="1">
      <c r="A192" s="344" t="s">
        <v>561</v>
      </c>
      <c r="B192" s="793">
        <f t="shared" si="128"/>
        <v>0.7164331248</v>
      </c>
      <c r="C192" s="794">
        <f>sumproduct(D192:G192,D18:G18)</f>
        <v>0.7164331248</v>
      </c>
      <c r="D192" s="632">
        <f t="shared" ref="D192:G192" si="129">D16*D9</f>
        <v>0.5294248801</v>
      </c>
      <c r="E192" s="632">
        <f t="shared" si="129"/>
        <v>0.6874640479</v>
      </c>
      <c r="F192" s="632">
        <f t="shared" si="129"/>
        <v>0.7911933148</v>
      </c>
      <c r="G192" s="632">
        <f t="shared" si="129"/>
        <v>0.6298690432</v>
      </c>
      <c r="H192" s="795"/>
      <c r="I192" s="795"/>
      <c r="J192" s="795"/>
      <c r="K192" s="795"/>
      <c r="L192" s="795"/>
    </row>
    <row r="193" outlineLevel="1">
      <c r="A193" s="591" t="s">
        <v>377</v>
      </c>
      <c r="B193" s="592">
        <f t="shared" si="128"/>
        <v>6.928357903</v>
      </c>
      <c r="C193" s="593">
        <f t="shared" ref="C193:G193" si="130">sum(C191:C192)</f>
        <v>6.928357903</v>
      </c>
      <c r="D193" s="593">
        <f t="shared" si="130"/>
        <v>5.807956373</v>
      </c>
      <c r="E193" s="593">
        <f t="shared" si="130"/>
        <v>7.791738279</v>
      </c>
      <c r="F193" s="593">
        <f t="shared" si="130"/>
        <v>7.144529628</v>
      </c>
      <c r="G193" s="593">
        <f t="shared" si="130"/>
        <v>6.586507965</v>
      </c>
      <c r="H193" s="407"/>
      <c r="I193" s="407"/>
      <c r="J193" s="407"/>
      <c r="K193" s="407"/>
      <c r="L193" s="407"/>
    </row>
    <row r="194" outlineLevel="1">
      <c r="A194" s="594" t="s">
        <v>378</v>
      </c>
      <c r="B194" s="796">
        <f t="shared" ref="B194:G194" si="131">B193-B16</f>
        <v>0</v>
      </c>
      <c r="C194" s="797">
        <f t="shared" si="131"/>
        <v>0</v>
      </c>
      <c r="D194" s="797">
        <f t="shared" si="131"/>
        <v>0</v>
      </c>
      <c r="E194" s="797">
        <f t="shared" si="131"/>
        <v>0</v>
      </c>
      <c r="F194" s="797">
        <f t="shared" si="131"/>
        <v>0</v>
      </c>
      <c r="G194" s="797">
        <f t="shared" si="131"/>
        <v>0.0000000002634603646</v>
      </c>
      <c r="H194" s="797"/>
      <c r="I194" s="797"/>
      <c r="J194" s="797"/>
      <c r="K194" s="797"/>
      <c r="L194" s="797"/>
    </row>
    <row r="195" outlineLevel="1">
      <c r="A195" s="287"/>
      <c r="B195" s="791"/>
      <c r="C195" s="407"/>
      <c r="D195" s="407"/>
      <c r="E195" s="407"/>
      <c r="F195" s="407"/>
      <c r="G195" s="407"/>
      <c r="H195" s="407"/>
      <c r="I195" s="407"/>
      <c r="J195" s="407"/>
      <c r="K195" s="407"/>
      <c r="L195" s="407"/>
    </row>
    <row r="196" outlineLevel="1">
      <c r="A196" s="277" t="s">
        <v>379</v>
      </c>
      <c r="B196" s="791"/>
      <c r="C196" s="407"/>
      <c r="D196" s="407"/>
      <c r="E196" s="407"/>
      <c r="F196" s="407"/>
      <c r="G196" s="407"/>
      <c r="H196" s="407"/>
      <c r="I196" s="407"/>
      <c r="J196" s="407"/>
      <c r="K196" s="407"/>
      <c r="L196" s="407"/>
    </row>
    <row r="197" outlineLevel="1">
      <c r="A197" s="270" t="s">
        <v>451</v>
      </c>
      <c r="B197" s="597">
        <f t="shared" ref="B197:B199" si="133">index(A197:AB197,,match($A$3,$A$1:$AB$1,0))</f>
        <v>100000</v>
      </c>
      <c r="C197" s="597">
        <f t="shared" ref="C197:G197" si="132">C13</f>
        <v>100000</v>
      </c>
      <c r="D197" s="597">
        <f t="shared" si="132"/>
        <v>17632.10278</v>
      </c>
      <c r="E197" s="597">
        <f t="shared" si="132"/>
        <v>14992.42064</v>
      </c>
      <c r="F197" s="597">
        <f t="shared" si="132"/>
        <v>63306.71343</v>
      </c>
      <c r="G197" s="597">
        <f t="shared" si="132"/>
        <v>4068.763148</v>
      </c>
      <c r="H197" s="587"/>
      <c r="I197" s="587"/>
      <c r="J197" s="587"/>
      <c r="K197" s="587"/>
      <c r="L197" s="587"/>
    </row>
    <row r="198" outlineLevel="1">
      <c r="A198" s="270" t="s">
        <v>561</v>
      </c>
      <c r="B198" s="597">
        <f t="shared" si="133"/>
        <v>11533.1906</v>
      </c>
      <c r="C198" s="599">
        <f>sum(D198:G198)</f>
        <v>11533.1906</v>
      </c>
      <c r="D198" s="599">
        <f t="shared" ref="D198:G198" si="134">D192/D191*D197</f>
        <v>1768.460397</v>
      </c>
      <c r="E198" s="599">
        <f t="shared" si="134"/>
        <v>1450.781578</v>
      </c>
      <c r="F198" s="599">
        <f t="shared" si="134"/>
        <v>7883.708019</v>
      </c>
      <c r="G198" s="599">
        <f t="shared" si="134"/>
        <v>430.240608</v>
      </c>
      <c r="H198" s="407"/>
      <c r="I198" s="407"/>
      <c r="J198" s="407"/>
      <c r="K198" s="407"/>
      <c r="L198" s="407"/>
    </row>
    <row r="199" outlineLevel="1">
      <c r="A199" s="602" t="s">
        <v>380</v>
      </c>
      <c r="B199" s="603">
        <f t="shared" si="133"/>
        <v>111533.1906</v>
      </c>
      <c r="C199" s="604">
        <f t="shared" ref="C199:G199" si="135">sum(C197:C198)</f>
        <v>111533.1906</v>
      </c>
      <c r="D199" s="604">
        <f t="shared" si="135"/>
        <v>19400.56318</v>
      </c>
      <c r="E199" s="604">
        <f t="shared" si="135"/>
        <v>16443.20222</v>
      </c>
      <c r="F199" s="604">
        <f t="shared" si="135"/>
        <v>71190.42145</v>
      </c>
      <c r="G199" s="604">
        <f t="shared" si="135"/>
        <v>4499.003756</v>
      </c>
      <c r="H199" s="599"/>
      <c r="I199" s="599"/>
      <c r="J199" s="599"/>
      <c r="K199" s="599"/>
      <c r="L199" s="599"/>
    </row>
    <row r="200" outlineLevel="1">
      <c r="A200" s="287"/>
      <c r="B200" s="791"/>
      <c r="C200" s="407"/>
      <c r="D200" s="452"/>
      <c r="E200" s="407"/>
      <c r="F200" s="407"/>
      <c r="G200" s="407"/>
      <c r="H200" s="407"/>
      <c r="I200" s="407"/>
      <c r="J200" s="407"/>
      <c r="K200" s="407"/>
      <c r="L200" s="407"/>
    </row>
    <row r="201" outlineLevel="1">
      <c r="A201" s="514" t="s">
        <v>384</v>
      </c>
      <c r="B201" s="798"/>
      <c r="C201" s="342"/>
      <c r="D201" s="452"/>
      <c r="E201" s="441"/>
      <c r="F201" s="441"/>
      <c r="G201" s="441"/>
      <c r="H201" s="441"/>
      <c r="I201" s="441"/>
      <c r="J201" s="441"/>
      <c r="K201" s="441"/>
      <c r="L201" s="441"/>
    </row>
    <row r="202" outlineLevel="1">
      <c r="A202" s="342" t="s">
        <v>561</v>
      </c>
      <c r="B202" s="799">
        <f t="shared" ref="B202:B203" si="136">index(C202:AB202,,match($A$3,$C$1:$AB$1,0))</f>
        <v>0.004962190749</v>
      </c>
      <c r="C202" s="800">
        <f>'Moral weights and discount rate'!$B$8/'Counterfactual non-philanthropi'!$D$33</f>
        <v>0.004962190749</v>
      </c>
      <c r="D202" s="800">
        <f>'Moral weights and discount rate'!$B$8/'Counterfactual non-philanthropi'!$D$33</f>
        <v>0.004962190749</v>
      </c>
      <c r="E202" s="800">
        <f>'Moral weights and discount rate'!$B$8/'Counterfactual non-philanthropi'!$D$33</f>
        <v>0.004962190749</v>
      </c>
      <c r="F202" s="800">
        <f>'Moral weights and discount rate'!$B$8/'Counterfactual non-philanthropi'!$D$33</f>
        <v>0.004962190749</v>
      </c>
      <c r="G202" s="800">
        <f>'Moral weights and discount rate'!$B$8/'Counterfactual non-philanthropi'!$D$33</f>
        <v>0.004962190749</v>
      </c>
      <c r="H202" s="800"/>
      <c r="I202" s="800"/>
      <c r="J202" s="800"/>
      <c r="K202" s="800"/>
      <c r="L202" s="800"/>
    </row>
    <row r="203" outlineLevel="1">
      <c r="A203" s="342" t="s">
        <v>562</v>
      </c>
      <c r="B203" s="799">
        <f t="shared" si="136"/>
        <v>0.02013223638</v>
      </c>
      <c r="C203" s="800">
        <f>'Moral weights and discount rate'!$B$8/'Counterfactual non-philanthropi'!$D$35</f>
        <v>0.02013223638</v>
      </c>
      <c r="D203" s="800">
        <f>'Moral weights and discount rate'!$B$8/'Counterfactual non-philanthropi'!$D$35</f>
        <v>0.02013223638</v>
      </c>
      <c r="E203" s="800">
        <f>'Moral weights and discount rate'!$B$8/'Counterfactual non-philanthropi'!$D$35</f>
        <v>0.02013223638</v>
      </c>
      <c r="F203" s="800">
        <f>'Moral weights and discount rate'!$B$8/'Counterfactual non-philanthropi'!$D$35</f>
        <v>0.02013223638</v>
      </c>
      <c r="G203" s="800">
        <f>'Moral weights and discount rate'!$B$8/'Counterfactual non-philanthropi'!$D$35</f>
        <v>0.02013223638</v>
      </c>
      <c r="H203" s="800"/>
      <c r="I203" s="800"/>
      <c r="J203" s="800"/>
      <c r="K203" s="800"/>
      <c r="L203" s="800"/>
    </row>
    <row r="204" outlineLevel="1">
      <c r="A204" s="342"/>
      <c r="B204" s="798"/>
      <c r="C204" s="417"/>
      <c r="D204" s="441"/>
      <c r="E204" s="441"/>
      <c r="F204" s="441"/>
      <c r="G204" s="441"/>
      <c r="H204" s="441"/>
      <c r="I204" s="441"/>
      <c r="J204" s="441"/>
      <c r="K204" s="441"/>
      <c r="L204" s="441"/>
    </row>
    <row r="205" outlineLevel="1">
      <c r="A205" s="341" t="s">
        <v>284</v>
      </c>
      <c r="B205" s="798"/>
      <c r="C205" s="441"/>
      <c r="D205" s="441"/>
      <c r="E205" s="441"/>
      <c r="F205" s="441"/>
      <c r="G205" s="441"/>
      <c r="H205" s="441"/>
      <c r="I205" s="441"/>
      <c r="J205" s="441"/>
      <c r="K205" s="441"/>
      <c r="L205" s="441"/>
    </row>
    <row r="206" outlineLevel="1">
      <c r="A206" s="342" t="s">
        <v>285</v>
      </c>
      <c r="B206" s="266">
        <f t="shared" ref="B206:B209" si="137">index(C206:AB206,,match($A$3,$C$1:$AB$1,0))</f>
        <v>0.03165335671</v>
      </c>
      <c r="C206" s="155">
        <f t="shared" ref="C206:C207" si="138">sumproduct(D206:G206,$D$7:$G$7)/sum($D$7:$G$7)</f>
        <v>0.03165335671</v>
      </c>
      <c r="D206" s="156">
        <v>0.0</v>
      </c>
      <c r="E206" s="156">
        <v>0.0</v>
      </c>
      <c r="F206" s="156">
        <v>0.05</v>
      </c>
      <c r="G206" s="156">
        <v>0.0</v>
      </c>
      <c r="H206" s="155"/>
      <c r="I206" s="155"/>
      <c r="J206" s="155"/>
      <c r="K206" s="155"/>
      <c r="L206" s="155"/>
    </row>
    <row r="207" outlineLevel="1">
      <c r="A207" s="343" t="s">
        <v>563</v>
      </c>
      <c r="B207" s="266">
        <f t="shared" si="137"/>
        <v>0.4383057693</v>
      </c>
      <c r="C207" s="155">
        <f t="shared" si="138"/>
        <v>0.4383057693</v>
      </c>
      <c r="D207" s="156">
        <v>0.6</v>
      </c>
      <c r="E207" s="156">
        <v>0.55</v>
      </c>
      <c r="F207" s="156">
        <v>0.35</v>
      </c>
      <c r="G207" s="156">
        <v>0.7</v>
      </c>
      <c r="H207" s="155"/>
      <c r="I207" s="155"/>
      <c r="J207" s="155"/>
      <c r="K207" s="155"/>
      <c r="L207" s="155"/>
    </row>
    <row r="208" outlineLevel="1">
      <c r="A208" s="342" t="s">
        <v>287</v>
      </c>
      <c r="B208" s="266">
        <f t="shared" si="137"/>
        <v>0</v>
      </c>
      <c r="C208" s="155">
        <v>0.0</v>
      </c>
      <c r="D208" s="155">
        <v>0.0</v>
      </c>
      <c r="E208" s="155">
        <v>0.0</v>
      </c>
      <c r="F208" s="155">
        <v>0.0</v>
      </c>
      <c r="G208" s="155">
        <v>0.0</v>
      </c>
      <c r="H208" s="155"/>
      <c r="I208" s="155"/>
      <c r="J208" s="155"/>
      <c r="K208" s="155"/>
      <c r="L208" s="155"/>
    </row>
    <row r="209" outlineLevel="1">
      <c r="A209" s="342" t="s">
        <v>288</v>
      </c>
      <c r="B209" s="266">
        <f t="shared" si="137"/>
        <v>0.530040874</v>
      </c>
      <c r="C209" s="155">
        <f>sumproduct(D209:G209,$D$7:$G$7)/sum($D$7:$G$7)</f>
        <v>0.530040874</v>
      </c>
      <c r="D209" s="155">
        <f t="shared" ref="D209:G209" si="139">1-sum(D206:D208)</f>
        <v>0.4</v>
      </c>
      <c r="E209" s="155">
        <f t="shared" si="139"/>
        <v>0.45</v>
      </c>
      <c r="F209" s="155">
        <f t="shared" si="139"/>
        <v>0.6</v>
      </c>
      <c r="G209" s="155">
        <f t="shared" si="139"/>
        <v>0.3</v>
      </c>
      <c r="H209" s="155"/>
      <c r="I209" s="155"/>
      <c r="J209" s="155"/>
      <c r="K209" s="155"/>
      <c r="L209" s="155"/>
    </row>
    <row r="210" outlineLevel="1">
      <c r="A210" s="342"/>
      <c r="B210" s="607"/>
      <c r="C210" s="441"/>
      <c r="D210" s="441"/>
      <c r="E210" s="441"/>
      <c r="F210" s="441"/>
      <c r="G210" s="441"/>
      <c r="H210" s="441"/>
      <c r="I210" s="441"/>
      <c r="J210" s="441"/>
      <c r="K210" s="441"/>
      <c r="L210" s="441"/>
    </row>
    <row r="211" outlineLevel="1">
      <c r="A211" s="523" t="s">
        <v>564</v>
      </c>
      <c r="B211" s="798"/>
      <c r="C211" s="441"/>
      <c r="D211" s="441"/>
      <c r="E211" s="441"/>
      <c r="F211" s="441"/>
      <c r="G211" s="441"/>
      <c r="H211" s="441"/>
      <c r="I211" s="441"/>
      <c r="J211" s="441"/>
      <c r="K211" s="441"/>
      <c r="L211" s="441"/>
    </row>
    <row r="212" outlineLevel="1">
      <c r="A212" s="343" t="s">
        <v>285</v>
      </c>
      <c r="B212" s="612">
        <f t="shared" ref="B212:B215" si="141">index(C212:AB212,,match($A$3,$C$1:$AB$1,0))</f>
        <v>100000</v>
      </c>
      <c r="C212" s="461">
        <f t="shared" ref="C212:C215" si="142">sum(D212:AB212)</f>
        <v>100000</v>
      </c>
      <c r="D212" s="612">
        <f t="shared" ref="D212:G212" si="140">D197</f>
        <v>17632.10278</v>
      </c>
      <c r="E212" s="612">
        <f t="shared" si="140"/>
        <v>14992.42064</v>
      </c>
      <c r="F212" s="612">
        <f t="shared" si="140"/>
        <v>63306.71343</v>
      </c>
      <c r="G212" s="612">
        <f t="shared" si="140"/>
        <v>4068.763148</v>
      </c>
      <c r="H212" s="612"/>
      <c r="I212" s="612"/>
      <c r="J212" s="612"/>
      <c r="K212" s="612"/>
      <c r="L212" s="612"/>
    </row>
    <row r="213" outlineLevel="1">
      <c r="A213" s="343" t="s">
        <v>565</v>
      </c>
      <c r="B213" s="612">
        <f t="shared" si="141"/>
        <v>100000</v>
      </c>
      <c r="C213" s="461">
        <f t="shared" si="142"/>
        <v>100000</v>
      </c>
      <c r="D213" s="612">
        <f t="shared" ref="D213:G213" si="143">D197</f>
        <v>17632.10278</v>
      </c>
      <c r="E213" s="612">
        <f t="shared" si="143"/>
        <v>14992.42064</v>
      </c>
      <c r="F213" s="612">
        <f t="shared" si="143"/>
        <v>63306.71343</v>
      </c>
      <c r="G213" s="612">
        <f t="shared" si="143"/>
        <v>4068.763148</v>
      </c>
      <c r="H213" s="612"/>
      <c r="I213" s="612"/>
      <c r="J213" s="612"/>
      <c r="K213" s="612"/>
      <c r="L213" s="612"/>
    </row>
    <row r="214" outlineLevel="1">
      <c r="A214" s="343" t="s">
        <v>287</v>
      </c>
      <c r="B214" s="612">
        <f t="shared" si="141"/>
        <v>0</v>
      </c>
      <c r="C214" s="461">
        <f t="shared" si="142"/>
        <v>0</v>
      </c>
      <c r="D214" s="460">
        <v>0.0</v>
      </c>
      <c r="E214" s="460">
        <v>0.0</v>
      </c>
      <c r="F214" s="460">
        <v>0.0</v>
      </c>
      <c r="G214" s="460">
        <v>0.0</v>
      </c>
      <c r="H214" s="460"/>
      <c r="I214" s="460"/>
      <c r="J214" s="460"/>
      <c r="K214" s="460"/>
      <c r="L214" s="460"/>
    </row>
    <row r="215" outlineLevel="1">
      <c r="A215" s="343" t="s">
        <v>288</v>
      </c>
      <c r="B215" s="612">
        <f t="shared" si="141"/>
        <v>-11533.1906</v>
      </c>
      <c r="C215" s="461">
        <f t="shared" si="142"/>
        <v>-11533.1906</v>
      </c>
      <c r="D215" s="612">
        <f t="shared" ref="D215:G215" si="144">-D198</f>
        <v>-1768.460397</v>
      </c>
      <c r="E215" s="612">
        <f t="shared" si="144"/>
        <v>-1450.781578</v>
      </c>
      <c r="F215" s="612">
        <f t="shared" si="144"/>
        <v>-7883.708019</v>
      </c>
      <c r="G215" s="612">
        <f t="shared" si="144"/>
        <v>-430.240608</v>
      </c>
      <c r="H215" s="612"/>
      <c r="I215" s="612"/>
      <c r="J215" s="612"/>
      <c r="K215" s="612"/>
      <c r="L215" s="612"/>
    </row>
    <row r="216" outlineLevel="1">
      <c r="A216" s="342"/>
      <c r="B216" s="618"/>
      <c r="C216" s="441"/>
      <c r="D216" s="441"/>
      <c r="E216" s="441"/>
      <c r="F216" s="441"/>
      <c r="G216" s="441"/>
      <c r="H216" s="441"/>
      <c r="I216" s="441"/>
      <c r="J216" s="441"/>
      <c r="K216" s="441"/>
      <c r="L216" s="441"/>
    </row>
    <row r="217" outlineLevel="1">
      <c r="A217" s="342"/>
      <c r="B217" s="618"/>
      <c r="C217" s="441"/>
      <c r="D217" s="441"/>
      <c r="E217" s="441"/>
      <c r="F217" s="441"/>
      <c r="G217" s="441"/>
      <c r="H217" s="441"/>
      <c r="I217" s="441"/>
      <c r="J217" s="441"/>
      <c r="K217" s="441"/>
      <c r="L217" s="441"/>
    </row>
    <row r="218" outlineLevel="1">
      <c r="A218" s="520" t="s">
        <v>566</v>
      </c>
      <c r="B218" s="798"/>
      <c r="C218" s="441"/>
      <c r="D218" s="441"/>
      <c r="E218" s="441"/>
      <c r="F218" s="441"/>
      <c r="G218" s="441"/>
      <c r="H218" s="441"/>
      <c r="I218" s="441"/>
      <c r="J218" s="441"/>
      <c r="K218" s="441"/>
      <c r="L218" s="441"/>
    </row>
    <row r="219" outlineLevel="1">
      <c r="A219" s="343" t="s">
        <v>285</v>
      </c>
      <c r="B219" s="295">
        <f t="shared" ref="B219:B222" si="146">index(C219:AB219,,match($A$3,$C$1:$AB$1,0))</f>
        <v>6997.286558</v>
      </c>
      <c r="C219" s="252">
        <f t="shared" ref="C219:C222" si="147">sum(D219:AB219)</f>
        <v>6997.286558</v>
      </c>
      <c r="D219" s="252">
        <f t="shared" ref="D219:G219" si="145">D212*D$184</f>
        <v>2346.731232</v>
      </c>
      <c r="E219" s="252">
        <f t="shared" si="145"/>
        <v>388.4070532</v>
      </c>
      <c r="F219" s="252">
        <f t="shared" si="145"/>
        <v>3936.327708</v>
      </c>
      <c r="G219" s="252">
        <f t="shared" si="145"/>
        <v>325.8205655</v>
      </c>
      <c r="H219" s="252"/>
      <c r="I219" s="252"/>
      <c r="J219" s="252"/>
      <c r="K219" s="252"/>
      <c r="L219" s="252"/>
    </row>
    <row r="220" outlineLevel="1">
      <c r="A220" s="343" t="s">
        <v>565</v>
      </c>
      <c r="B220" s="295">
        <f t="shared" si="146"/>
        <v>6997.286558</v>
      </c>
      <c r="C220" s="252">
        <f t="shared" si="147"/>
        <v>6997.286558</v>
      </c>
      <c r="D220" s="252">
        <f t="shared" ref="D220:G220" si="148">D213*D$184</f>
        <v>2346.731232</v>
      </c>
      <c r="E220" s="252">
        <f t="shared" si="148"/>
        <v>388.4070532</v>
      </c>
      <c r="F220" s="252">
        <f t="shared" si="148"/>
        <v>3936.327708</v>
      </c>
      <c r="G220" s="252">
        <f t="shared" si="148"/>
        <v>325.8205655</v>
      </c>
      <c r="H220" s="252"/>
      <c r="I220" s="252"/>
      <c r="J220" s="252"/>
      <c r="K220" s="252"/>
      <c r="L220" s="252"/>
    </row>
    <row r="221" outlineLevel="1">
      <c r="A221" s="343" t="s">
        <v>287</v>
      </c>
      <c r="B221" s="295">
        <f t="shared" si="146"/>
        <v>0</v>
      </c>
      <c r="C221" s="252">
        <f t="shared" si="147"/>
        <v>0</v>
      </c>
      <c r="D221" s="252">
        <f t="shared" ref="D221:G221" si="149">D214*D$184</f>
        <v>0</v>
      </c>
      <c r="E221" s="252">
        <f t="shared" si="149"/>
        <v>0</v>
      </c>
      <c r="F221" s="252">
        <f t="shared" si="149"/>
        <v>0</v>
      </c>
      <c r="G221" s="252">
        <f t="shared" si="149"/>
        <v>0</v>
      </c>
      <c r="H221" s="252"/>
      <c r="I221" s="252"/>
      <c r="J221" s="252"/>
      <c r="K221" s="252"/>
      <c r="L221" s="252"/>
    </row>
    <row r="222" outlineLevel="1">
      <c r="A222" s="343" t="s">
        <v>288</v>
      </c>
      <c r="B222" s="295">
        <f t="shared" si="146"/>
        <v>-797.6087004</v>
      </c>
      <c r="C222" s="252">
        <f t="shared" si="147"/>
        <v>-797.6087004</v>
      </c>
      <c r="D222" s="252">
        <f t="shared" ref="D222:G222" si="150">D215*D$184</f>
        <v>-235.3718838</v>
      </c>
      <c r="E222" s="252">
        <f t="shared" si="150"/>
        <v>-37.58524464</v>
      </c>
      <c r="F222" s="252">
        <f t="shared" si="150"/>
        <v>-490.1985372</v>
      </c>
      <c r="G222" s="252">
        <f t="shared" si="150"/>
        <v>-34.45303477</v>
      </c>
      <c r="H222" s="252"/>
      <c r="I222" s="252"/>
      <c r="J222" s="252"/>
      <c r="K222" s="252"/>
      <c r="L222" s="252"/>
    </row>
    <row r="223" outlineLevel="1">
      <c r="A223" s="342"/>
      <c r="B223" s="618"/>
      <c r="C223" s="441"/>
      <c r="D223" s="441"/>
      <c r="E223" s="441"/>
      <c r="F223" s="441"/>
      <c r="G223" s="441"/>
      <c r="H223" s="441"/>
      <c r="I223" s="441"/>
      <c r="J223" s="441"/>
      <c r="K223" s="441"/>
      <c r="L223" s="441"/>
    </row>
    <row r="224" outlineLevel="1">
      <c r="A224" s="520" t="s">
        <v>395</v>
      </c>
      <c r="B224" s="798"/>
      <c r="C224" s="441"/>
      <c r="D224" s="441"/>
      <c r="E224" s="441"/>
      <c r="F224" s="441"/>
      <c r="G224" s="441"/>
      <c r="H224" s="441"/>
      <c r="I224" s="441"/>
      <c r="J224" s="441"/>
      <c r="K224" s="441"/>
      <c r="L224" s="441"/>
    </row>
    <row r="225" outlineLevel="1">
      <c r="A225" s="343" t="s">
        <v>285</v>
      </c>
      <c r="B225" s="295">
        <f t="shared" ref="B225:B228" si="152">index(C225:AB225,,match($A$3,$C$1:$AB$1,0))</f>
        <v>-496.2190749</v>
      </c>
      <c r="C225" s="252">
        <f t="shared" ref="C225:C228" si="153">sum(D225:AB225)</f>
        <v>-496.2190749</v>
      </c>
      <c r="D225" s="252">
        <f>-D212*D$202</f>
        <v>-87.49385731</v>
      </c>
      <c r="E225" s="252">
        <f t="shared" ref="E225:G225" si="151">-E212*E202</f>
        <v>-74.39525101</v>
      </c>
      <c r="F225" s="252">
        <f t="shared" si="151"/>
        <v>-314.1399877</v>
      </c>
      <c r="G225" s="252">
        <f t="shared" si="151"/>
        <v>-20.18997885</v>
      </c>
      <c r="H225" s="252"/>
      <c r="I225" s="252"/>
      <c r="J225" s="252"/>
      <c r="K225" s="252"/>
      <c r="L225" s="252"/>
    </row>
    <row r="226" outlineLevel="1">
      <c r="A226" s="343" t="s">
        <v>565</v>
      </c>
      <c r="B226" s="295">
        <f t="shared" si="152"/>
        <v>-2013.223638</v>
      </c>
      <c r="C226" s="252">
        <f t="shared" si="153"/>
        <v>-2013.223638</v>
      </c>
      <c r="D226" s="252">
        <f t="shared" ref="D226:G226" si="154">-D213*D$203</f>
        <v>-354.9736611</v>
      </c>
      <c r="E226" s="252">
        <f t="shared" si="154"/>
        <v>-301.8309563</v>
      </c>
      <c r="F226" s="252">
        <f t="shared" si="154"/>
        <v>-1274.505719</v>
      </c>
      <c r="G226" s="252">
        <f t="shared" si="154"/>
        <v>-81.91330147</v>
      </c>
      <c r="H226" s="252"/>
      <c r="I226" s="252"/>
      <c r="J226" s="252"/>
      <c r="K226" s="252"/>
      <c r="L226" s="252"/>
    </row>
    <row r="227" outlineLevel="1">
      <c r="A227" s="343" t="s">
        <v>287</v>
      </c>
      <c r="B227" s="295">
        <f t="shared" si="152"/>
        <v>0</v>
      </c>
      <c r="C227" s="252">
        <f t="shared" si="153"/>
        <v>0</v>
      </c>
      <c r="D227" s="252">
        <f t="shared" ref="D227:G227" si="155">-D214*D$202</f>
        <v>0</v>
      </c>
      <c r="E227" s="252">
        <f t="shared" si="155"/>
        <v>0</v>
      </c>
      <c r="F227" s="252">
        <f t="shared" si="155"/>
        <v>0</v>
      </c>
      <c r="G227" s="252">
        <f t="shared" si="155"/>
        <v>0</v>
      </c>
      <c r="H227" s="252"/>
      <c r="I227" s="252"/>
      <c r="J227" s="252"/>
      <c r="K227" s="252"/>
      <c r="L227" s="252"/>
    </row>
    <row r="228" outlineLevel="1">
      <c r="A228" s="343" t="s">
        <v>288</v>
      </c>
      <c r="B228" s="295">
        <f t="shared" si="152"/>
        <v>57.22989171</v>
      </c>
      <c r="C228" s="252">
        <f t="shared" si="153"/>
        <v>57.22989171</v>
      </c>
      <c r="D228" s="252">
        <f t="shared" ref="D228:G228" si="156">-D215*D$202</f>
        <v>8.775437823</v>
      </c>
      <c r="E228" s="252">
        <f t="shared" si="156"/>
        <v>7.199054926</v>
      </c>
      <c r="F228" s="252">
        <f t="shared" si="156"/>
        <v>39.120463</v>
      </c>
      <c r="G228" s="252">
        <f t="shared" si="156"/>
        <v>2.134935965</v>
      </c>
      <c r="H228" s="252"/>
      <c r="I228" s="252"/>
      <c r="J228" s="252"/>
      <c r="K228" s="252"/>
      <c r="L228" s="252"/>
    </row>
    <row r="229" outlineLevel="1">
      <c r="A229" s="342"/>
      <c r="B229" s="618"/>
      <c r="C229" s="441"/>
      <c r="D229" s="441"/>
      <c r="E229" s="441"/>
      <c r="F229" s="441"/>
      <c r="G229" s="441"/>
      <c r="H229" s="441"/>
      <c r="I229" s="441"/>
      <c r="J229" s="441"/>
      <c r="K229" s="441"/>
      <c r="L229" s="441"/>
    </row>
    <row r="230" outlineLevel="1">
      <c r="A230" s="523" t="s">
        <v>396</v>
      </c>
      <c r="B230" s="798"/>
      <c r="C230" s="441"/>
      <c r="D230" s="441"/>
      <c r="E230" s="441"/>
      <c r="F230" s="441"/>
      <c r="G230" s="441"/>
      <c r="H230" s="441"/>
      <c r="I230" s="441"/>
      <c r="J230" s="441"/>
      <c r="K230" s="441"/>
      <c r="L230" s="441"/>
    </row>
    <row r="231" outlineLevel="1">
      <c r="A231" s="343" t="s">
        <v>285</v>
      </c>
      <c r="B231" s="295">
        <f t="shared" ref="B231:B234" si="158">index(C231:AB231,,match($A$3,$C$1:$AB$1,0))</f>
        <v>6501.067483</v>
      </c>
      <c r="C231" s="252">
        <f t="shared" ref="C231:C234" si="159">sum(D231:AB231)</f>
        <v>6501.067483</v>
      </c>
      <c r="D231" s="252">
        <f t="shared" ref="D231:G231" si="157">D219+D225</f>
        <v>2259.237375</v>
      </c>
      <c r="E231" s="252">
        <f t="shared" si="157"/>
        <v>314.0118022</v>
      </c>
      <c r="F231" s="252">
        <f t="shared" si="157"/>
        <v>3622.18772</v>
      </c>
      <c r="G231" s="252">
        <f t="shared" si="157"/>
        <v>305.6305866</v>
      </c>
      <c r="H231" s="252"/>
      <c r="I231" s="252"/>
      <c r="J231" s="252"/>
      <c r="K231" s="252"/>
      <c r="L231" s="252"/>
    </row>
    <row r="232" outlineLevel="1">
      <c r="A232" s="343" t="s">
        <v>565</v>
      </c>
      <c r="B232" s="295">
        <f t="shared" si="158"/>
        <v>4984.06292</v>
      </c>
      <c r="C232" s="252">
        <f t="shared" si="159"/>
        <v>4984.06292</v>
      </c>
      <c r="D232" s="252">
        <f t="shared" ref="D232:G232" si="160">D220+D226</f>
        <v>1991.757571</v>
      </c>
      <c r="E232" s="252">
        <f t="shared" si="160"/>
        <v>86.57609693</v>
      </c>
      <c r="F232" s="252">
        <f t="shared" si="160"/>
        <v>2661.821988</v>
      </c>
      <c r="G232" s="252">
        <f t="shared" si="160"/>
        <v>243.907264</v>
      </c>
      <c r="H232" s="252"/>
      <c r="I232" s="252"/>
      <c r="J232" s="252"/>
      <c r="K232" s="252"/>
      <c r="L232" s="252"/>
    </row>
    <row r="233" outlineLevel="1">
      <c r="A233" s="343" t="s">
        <v>287</v>
      </c>
      <c r="B233" s="295">
        <f t="shared" si="158"/>
        <v>0</v>
      </c>
      <c r="C233" s="252">
        <f t="shared" si="159"/>
        <v>0</v>
      </c>
      <c r="D233" s="252">
        <f t="shared" ref="D233:G233" si="161">D221+D227</f>
        <v>0</v>
      </c>
      <c r="E233" s="252">
        <f t="shared" si="161"/>
        <v>0</v>
      </c>
      <c r="F233" s="252">
        <f t="shared" si="161"/>
        <v>0</v>
      </c>
      <c r="G233" s="252">
        <f t="shared" si="161"/>
        <v>0</v>
      </c>
      <c r="H233" s="252"/>
      <c r="I233" s="252"/>
      <c r="J233" s="252"/>
      <c r="K233" s="252"/>
      <c r="L233" s="252"/>
    </row>
    <row r="234" outlineLevel="1">
      <c r="A234" s="343" t="s">
        <v>288</v>
      </c>
      <c r="B234" s="295">
        <f t="shared" si="158"/>
        <v>-740.3788086</v>
      </c>
      <c r="C234" s="252">
        <f t="shared" si="159"/>
        <v>-740.3788086</v>
      </c>
      <c r="D234" s="252">
        <f t="shared" ref="D234:G234" si="162">D222+D228</f>
        <v>-226.596446</v>
      </c>
      <c r="E234" s="252">
        <f t="shared" si="162"/>
        <v>-30.38618972</v>
      </c>
      <c r="F234" s="252">
        <f t="shared" si="162"/>
        <v>-451.0780742</v>
      </c>
      <c r="G234" s="252">
        <f t="shared" si="162"/>
        <v>-32.3180988</v>
      </c>
      <c r="H234" s="252"/>
      <c r="I234" s="252"/>
      <c r="J234" s="252"/>
      <c r="K234" s="252"/>
      <c r="L234" s="252"/>
    </row>
    <row r="235" outlineLevel="1">
      <c r="A235" s="342"/>
      <c r="B235" s="618"/>
      <c r="C235" s="441"/>
      <c r="D235" s="417"/>
      <c r="E235" s="417"/>
      <c r="F235" s="417"/>
      <c r="G235" s="417"/>
      <c r="H235" s="417"/>
      <c r="I235" s="417"/>
      <c r="J235" s="417"/>
      <c r="K235" s="417"/>
      <c r="L235" s="417"/>
    </row>
    <row r="236" outlineLevel="1">
      <c r="A236" s="523" t="s">
        <v>397</v>
      </c>
      <c r="B236" s="798"/>
      <c r="C236" s="441"/>
      <c r="D236" s="441"/>
      <c r="E236" s="441"/>
      <c r="F236" s="441"/>
      <c r="G236" s="441"/>
      <c r="H236" s="441"/>
      <c r="I236" s="441"/>
      <c r="J236" s="441"/>
      <c r="K236" s="441"/>
      <c r="L236" s="441"/>
    </row>
    <row r="237" outlineLevel="1">
      <c r="A237" s="343" t="s">
        <v>285</v>
      </c>
      <c r="B237" s="295">
        <f t="shared" ref="B237:B241" si="164">index(C237:AB237,,match($A$3,$C$1:$AB$1,0))</f>
        <v>496.2190749</v>
      </c>
      <c r="C237" s="252">
        <f t="shared" ref="C237:C240" si="165">sum(D237:AB237)</f>
        <v>496.2190749</v>
      </c>
      <c r="D237" s="252">
        <f t="shared" ref="D237:G237" si="163">(D$183*D$8)-D231</f>
        <v>87.49385731</v>
      </c>
      <c r="E237" s="252">
        <f t="shared" si="163"/>
        <v>74.39525101</v>
      </c>
      <c r="F237" s="252">
        <f t="shared" si="163"/>
        <v>314.1399877</v>
      </c>
      <c r="G237" s="252">
        <f t="shared" si="163"/>
        <v>20.18997885</v>
      </c>
      <c r="H237" s="252"/>
      <c r="I237" s="252"/>
      <c r="J237" s="252"/>
      <c r="K237" s="252"/>
      <c r="L237" s="252"/>
    </row>
    <row r="238" outlineLevel="1">
      <c r="A238" s="343" t="s">
        <v>565</v>
      </c>
      <c r="B238" s="295">
        <f t="shared" si="164"/>
        <v>2013.223638</v>
      </c>
      <c r="C238" s="252">
        <f t="shared" si="165"/>
        <v>2013.223638</v>
      </c>
      <c r="D238" s="252">
        <f t="shared" ref="D238:G238" si="166">(D$183*D$8)-D232</f>
        <v>354.9736611</v>
      </c>
      <c r="E238" s="252">
        <f t="shared" si="166"/>
        <v>301.8309563</v>
      </c>
      <c r="F238" s="252">
        <f t="shared" si="166"/>
        <v>1274.505719</v>
      </c>
      <c r="G238" s="252">
        <f t="shared" si="166"/>
        <v>81.91330147</v>
      </c>
      <c r="H238" s="252"/>
      <c r="I238" s="252"/>
      <c r="J238" s="252"/>
      <c r="K238" s="252"/>
      <c r="L238" s="252"/>
    </row>
    <row r="239" outlineLevel="1">
      <c r="A239" s="343" t="s">
        <v>287</v>
      </c>
      <c r="B239" s="295">
        <f t="shared" si="164"/>
        <v>6997.286558</v>
      </c>
      <c r="C239" s="252">
        <f t="shared" si="165"/>
        <v>6997.286558</v>
      </c>
      <c r="D239" s="252">
        <f t="shared" ref="D239:G239" si="167">(D$183*D$8)-D233</f>
        <v>2346.731232</v>
      </c>
      <c r="E239" s="252">
        <f t="shared" si="167"/>
        <v>388.4070532</v>
      </c>
      <c r="F239" s="252">
        <f t="shared" si="167"/>
        <v>3936.327708</v>
      </c>
      <c r="G239" s="252">
        <f t="shared" si="167"/>
        <v>325.8205655</v>
      </c>
      <c r="H239" s="252"/>
      <c r="I239" s="252"/>
      <c r="J239" s="252"/>
      <c r="K239" s="252"/>
      <c r="L239" s="252"/>
    </row>
    <row r="240" outlineLevel="1">
      <c r="A240" s="343" t="s">
        <v>288</v>
      </c>
      <c r="B240" s="644">
        <f t="shared" si="164"/>
        <v>7737.665367</v>
      </c>
      <c r="C240" s="801">
        <f t="shared" si="165"/>
        <v>7737.665367</v>
      </c>
      <c r="D240" s="252">
        <f t="shared" ref="D240:G240" si="168">(D$183*D$8)-D234</f>
        <v>2573.327678</v>
      </c>
      <c r="E240" s="252">
        <f t="shared" si="168"/>
        <v>418.7932429</v>
      </c>
      <c r="F240" s="252">
        <f t="shared" si="168"/>
        <v>4387.405782</v>
      </c>
      <c r="G240" s="252">
        <f t="shared" si="168"/>
        <v>358.1386643</v>
      </c>
      <c r="H240" s="252"/>
      <c r="I240" s="252"/>
      <c r="J240" s="252"/>
      <c r="K240" s="252"/>
      <c r="L240" s="252"/>
    </row>
    <row r="241" outlineLevel="1">
      <c r="A241" s="504" t="s">
        <v>72</v>
      </c>
      <c r="B241" s="295">
        <f t="shared" si="164"/>
        <v>4855.787634</v>
      </c>
      <c r="C241" s="252">
        <f>SUM(D241:G241)</f>
        <v>4855.787634</v>
      </c>
      <c r="D241" s="524">
        <f t="shared" ref="D241:G241" si="169">SUMPRODUCT(D237:D240,D206:D209)</f>
        <v>1242.315268</v>
      </c>
      <c r="E241" s="524">
        <f t="shared" si="169"/>
        <v>354.4639852</v>
      </c>
      <c r="F241" s="524">
        <f t="shared" si="169"/>
        <v>3094.22747</v>
      </c>
      <c r="G241" s="524">
        <f t="shared" si="169"/>
        <v>164.7809103</v>
      </c>
      <c r="H241" s="252"/>
      <c r="I241" s="252"/>
      <c r="J241" s="252"/>
      <c r="K241" s="252"/>
      <c r="L241" s="252"/>
    </row>
    <row r="242" outlineLevel="1">
      <c r="A242" s="342"/>
      <c r="B242" s="618"/>
      <c r="C242" s="299"/>
      <c r="D242" s="299"/>
      <c r="E242" s="299"/>
      <c r="F242" s="299"/>
      <c r="G242" s="299"/>
      <c r="H242" s="299"/>
      <c r="I242" s="299"/>
      <c r="J242" s="299"/>
      <c r="K242" s="299"/>
      <c r="L242" s="299"/>
    </row>
    <row r="243">
      <c r="A243" s="343"/>
      <c r="B243" s="266"/>
      <c r="C243" s="673"/>
      <c r="D243" s="673"/>
      <c r="E243" s="673"/>
      <c r="F243" s="673"/>
      <c r="G243" s="673"/>
      <c r="H243" s="673"/>
      <c r="I243" s="673"/>
      <c r="J243" s="673"/>
      <c r="K243" s="673"/>
      <c r="L243" s="673"/>
    </row>
    <row r="244">
      <c r="A244" s="768" t="s">
        <v>398</v>
      </c>
      <c r="B244" s="802"/>
      <c r="C244" s="768"/>
      <c r="D244" s="768"/>
      <c r="E244" s="768"/>
      <c r="F244" s="768"/>
      <c r="G244" s="768"/>
      <c r="H244" s="768"/>
      <c r="I244" s="768"/>
      <c r="J244" s="768"/>
      <c r="K244" s="768"/>
      <c r="L244" s="768"/>
    </row>
    <row r="245">
      <c r="A245" s="277"/>
      <c r="B245" s="803"/>
      <c r="C245" s="537"/>
      <c r="D245" s="537"/>
      <c r="E245" s="537"/>
      <c r="F245" s="537"/>
      <c r="G245" s="537"/>
      <c r="H245" s="537"/>
      <c r="I245" s="537"/>
      <c r="J245" s="537"/>
      <c r="K245" s="537"/>
      <c r="L245" s="537"/>
    </row>
    <row r="246">
      <c r="A246" s="270" t="s">
        <v>399</v>
      </c>
      <c r="B246" s="572">
        <f t="shared" ref="B246:B247" si="171">index(C246:AB246,,match($A$3,$C$1:$AB$1,0))</f>
        <v>4855.787634</v>
      </c>
      <c r="C246" s="573">
        <f>sum(D246:G246)</f>
        <v>4855.787634</v>
      </c>
      <c r="D246" s="573">
        <f t="shared" ref="D246:G246" si="170">D241</f>
        <v>1242.315268</v>
      </c>
      <c r="E246" s="573">
        <f t="shared" si="170"/>
        <v>354.4639852</v>
      </c>
      <c r="F246" s="573">
        <f t="shared" si="170"/>
        <v>3094.22747</v>
      </c>
      <c r="G246" s="573">
        <f t="shared" si="170"/>
        <v>164.7809103</v>
      </c>
      <c r="H246" s="573"/>
      <c r="I246" s="573"/>
      <c r="J246" s="573"/>
      <c r="K246" s="573"/>
      <c r="L246" s="573"/>
    </row>
    <row r="247">
      <c r="A247" s="118" t="s">
        <v>290</v>
      </c>
      <c r="B247" s="804">
        <f t="shared" si="171"/>
        <v>0.04855787634</v>
      </c>
      <c r="C247" s="805">
        <f t="shared" ref="C247:G247" si="172">C246/C197</f>
        <v>0.04855787634</v>
      </c>
      <c r="D247" s="805">
        <f t="shared" si="172"/>
        <v>0.07045757861</v>
      </c>
      <c r="E247" s="805">
        <f t="shared" si="172"/>
        <v>0.02364287887</v>
      </c>
      <c r="F247" s="805">
        <f t="shared" si="172"/>
        <v>0.04887676682</v>
      </c>
      <c r="G247" s="805">
        <f t="shared" si="172"/>
        <v>0.04049901759</v>
      </c>
      <c r="H247" s="805"/>
      <c r="I247" s="805"/>
      <c r="J247" s="805"/>
      <c r="K247" s="805"/>
      <c r="L247" s="805"/>
    </row>
    <row r="248">
      <c r="A248" s="287"/>
      <c r="B248" s="587"/>
      <c r="C248" s="407"/>
      <c r="D248" s="407"/>
      <c r="E248" s="407"/>
      <c r="F248" s="407"/>
      <c r="G248" s="407"/>
      <c r="H248" s="407"/>
      <c r="I248" s="407"/>
      <c r="J248" s="407"/>
      <c r="K248" s="407"/>
      <c r="L248" s="407"/>
    </row>
    <row r="249">
      <c r="A249" s="721" t="s">
        <v>291</v>
      </c>
      <c r="B249" s="680">
        <f t="shared" ref="B249:B250" si="173">index(C249:AB249,,match($A$3,$C$1:$AB$1,0))</f>
        <v>14.11631</v>
      </c>
      <c r="C249" s="307">
        <f t="array" ref="C249">C247/index(GiveDirectly!$B:$B,match("Units of value generated per dollar spent",GiveDirectly!$A:$A,0))</f>
        <v>14.11631</v>
      </c>
      <c r="D249" s="307">
        <f t="array" ref="D249">D247/index(GiveDirectly!$B:$B,match("Units of value generated per dollar spent",GiveDirectly!$A:$A,0))</f>
        <v>20.48279489</v>
      </c>
      <c r="E249" s="307">
        <f t="array" ref="E249">E247/index(GiveDirectly!$B:$B,match("Units of value generated per dollar spent",GiveDirectly!$A:$A,0))</f>
        <v>6.873245551</v>
      </c>
      <c r="F249" s="307">
        <f t="array" ref="F249">F247/index(GiveDirectly!$B:$B,match("Units of value generated per dollar spent",GiveDirectly!$A:$A,0))</f>
        <v>14.20901498</v>
      </c>
      <c r="G249" s="307">
        <f t="array" ref="G249">G247/index(GiveDirectly!$B:$B,match("Units of value generated per dollar spent",GiveDirectly!$A:$A,0))</f>
        <v>11.77351092</v>
      </c>
      <c r="H249" s="307"/>
      <c r="I249" s="307"/>
      <c r="J249" s="307"/>
      <c r="K249" s="307"/>
      <c r="L249" s="307"/>
    </row>
    <row r="250">
      <c r="A250" s="270" t="s">
        <v>400</v>
      </c>
      <c r="B250" s="682">
        <f t="shared" si="173"/>
        <v>-0.3052100513</v>
      </c>
      <c r="C250" s="406">
        <f t="shared" ref="C250:G250" si="174">(C249-C186)/C186</f>
        <v>-0.3052100513</v>
      </c>
      <c r="D250" s="406">
        <f t="shared" si="174"/>
        <v>-0.4706188545</v>
      </c>
      <c r="E250" s="406">
        <f t="shared" si="174"/>
        <v>-0.087390452</v>
      </c>
      <c r="F250" s="406">
        <f t="shared" si="174"/>
        <v>-0.2139304194</v>
      </c>
      <c r="G250" s="406">
        <f t="shared" si="174"/>
        <v>-0.4942587185</v>
      </c>
      <c r="H250" s="406"/>
      <c r="I250" s="406"/>
      <c r="J250" s="406"/>
      <c r="K250" s="406"/>
      <c r="L250" s="406"/>
    </row>
    <row r="252">
      <c r="A252" s="336" t="s">
        <v>154</v>
      </c>
      <c r="B252" s="337"/>
      <c r="C252" s="338"/>
      <c r="D252" s="338"/>
      <c r="E252" s="338"/>
      <c r="F252" s="338"/>
      <c r="G252" s="338"/>
      <c r="H252" s="338"/>
      <c r="I252" s="338"/>
      <c r="J252" s="338"/>
      <c r="K252" s="338"/>
      <c r="L252" s="338"/>
    </row>
    <row r="253">
      <c r="A253" s="350" t="s">
        <v>293</v>
      </c>
      <c r="B253" s="806">
        <f t="shared" ref="B253:B256" si="176">index(C253:AB253,,match($A$3,$C$1:$AB$1,0))</f>
        <v>42.63047624</v>
      </c>
      <c r="C253" s="323">
        <f t="shared" ref="C253:G253" si="175">C152</f>
        <v>42.63047624</v>
      </c>
      <c r="D253" s="323">
        <f t="shared" si="175"/>
        <v>14.64708534</v>
      </c>
      <c r="E253" s="323">
        <f t="shared" si="175"/>
        <v>2.556182417</v>
      </c>
      <c r="F253" s="323">
        <f t="shared" si="175"/>
        <v>23.67417481</v>
      </c>
      <c r="G253" s="323">
        <f t="shared" si="175"/>
        <v>1.753033669</v>
      </c>
    </row>
    <row r="254">
      <c r="A254" s="350" t="s">
        <v>294</v>
      </c>
      <c r="B254" s="682">
        <f t="shared" si="176"/>
        <v>-0.089</v>
      </c>
      <c r="C254" s="153">
        <f>sumif(InclusionExclusion!$N$51:$N$64,"Yes", InclusionExclusion!$M$51:$M$64)</f>
        <v>-0.089</v>
      </c>
      <c r="D254" s="153">
        <f>sumif(InclusionExclusion!$N$51:$N$64,"Yes", InclusionExclusion!$M$51:$M$64)</f>
        <v>-0.089</v>
      </c>
      <c r="E254" s="153">
        <f>sumif(InclusionExclusion!$N$51:$N$64,"Yes", InclusionExclusion!$M$51:$M$64)</f>
        <v>-0.089</v>
      </c>
      <c r="F254" s="153">
        <f>sumif(InclusionExclusion!$N$51:$N$64,"Yes", InclusionExclusion!$M$51:$M$64)</f>
        <v>-0.089</v>
      </c>
      <c r="G254" s="153">
        <f>sumif(InclusionExclusion!$N$51:$N$64,"Yes", InclusionExclusion!$M$51:$M$64)</f>
        <v>-0.089</v>
      </c>
    </row>
    <row r="255">
      <c r="A255" s="350" t="s">
        <v>295</v>
      </c>
      <c r="B255" s="682">
        <f t="shared" si="176"/>
        <v>-0.3052100513</v>
      </c>
      <c r="C255" s="629">
        <f t="shared" ref="C255:G255" si="177">if(C250&lt;0,C250,0)</f>
        <v>-0.3052100513</v>
      </c>
      <c r="D255" s="629">
        <f t="shared" si="177"/>
        <v>-0.4706188545</v>
      </c>
      <c r="E255" s="629">
        <f t="shared" si="177"/>
        <v>-0.087390452</v>
      </c>
      <c r="F255" s="629">
        <f t="shared" si="177"/>
        <v>-0.2139304194</v>
      </c>
      <c r="G255" s="629">
        <f t="shared" si="177"/>
        <v>-0.4942587185</v>
      </c>
    </row>
    <row r="256">
      <c r="A256" s="350" t="s">
        <v>296</v>
      </c>
      <c r="B256" s="807">
        <f t="shared" si="176"/>
        <v>4133.443807</v>
      </c>
      <c r="C256" s="808">
        <f t="shared" ref="C256:G256" si="178">C14/(C253*(1+C254)*(1+C255))</f>
        <v>4133.443807</v>
      </c>
      <c r="D256" s="808">
        <f t="shared" si="178"/>
        <v>2746.478976</v>
      </c>
      <c r="E256" s="808">
        <f t="shared" si="178"/>
        <v>7737.330882</v>
      </c>
      <c r="F256" s="808">
        <f t="shared" si="178"/>
        <v>4199.207609</v>
      </c>
      <c r="G256" s="808">
        <f t="shared" si="178"/>
        <v>5570.30938</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1.14"/>
    <col customWidth="1" min="2" max="12" width="17.29"/>
  </cols>
  <sheetData>
    <row r="1">
      <c r="A1" s="809" t="s">
        <v>567</v>
      </c>
      <c r="B1" s="625" t="s">
        <v>87</v>
      </c>
      <c r="C1" s="625" t="s">
        <v>72</v>
      </c>
      <c r="D1" s="424" t="s">
        <v>74</v>
      </c>
      <c r="E1" s="424" t="s">
        <v>68</v>
      </c>
      <c r="F1" s="627" t="s">
        <v>568</v>
      </c>
      <c r="G1" s="627" t="s">
        <v>156</v>
      </c>
      <c r="H1" s="627" t="s">
        <v>157</v>
      </c>
      <c r="I1" s="627" t="s">
        <v>73</v>
      </c>
      <c r="J1" s="627" t="s">
        <v>569</v>
      </c>
      <c r="K1" s="627" t="s">
        <v>432</v>
      </c>
      <c r="L1" s="627" t="s">
        <v>75</v>
      </c>
    </row>
    <row r="2">
      <c r="A2" s="534" t="s">
        <v>159</v>
      </c>
      <c r="B2" s="407"/>
      <c r="C2" s="407"/>
      <c r="D2" s="407"/>
      <c r="E2" s="407"/>
      <c r="F2" s="407"/>
      <c r="G2" s="407"/>
      <c r="H2" s="407"/>
      <c r="I2" s="407"/>
      <c r="J2" s="407"/>
      <c r="K2" s="407"/>
      <c r="L2" s="407"/>
    </row>
    <row r="3">
      <c r="A3" s="810" t="str">
        <f>Results!C14</f>
        <v>Overall</v>
      </c>
      <c r="B3" s="407"/>
      <c r="C3" s="407"/>
      <c r="D3" s="407"/>
      <c r="E3" s="407"/>
      <c r="F3" s="407"/>
      <c r="G3" s="407"/>
      <c r="H3" s="407"/>
      <c r="I3" s="407"/>
      <c r="J3" s="407"/>
      <c r="K3" s="407"/>
      <c r="L3" s="407"/>
    </row>
    <row r="4">
      <c r="A4" s="534"/>
      <c r="B4" s="407"/>
      <c r="C4" s="407"/>
      <c r="D4" s="407"/>
      <c r="E4" s="407"/>
      <c r="F4" s="407"/>
      <c r="G4" s="407"/>
      <c r="H4" s="407"/>
      <c r="I4" s="407"/>
      <c r="J4" s="407"/>
      <c r="K4" s="407"/>
      <c r="L4" s="407"/>
    </row>
    <row r="5">
      <c r="A5" s="145" t="s">
        <v>160</v>
      </c>
      <c r="B5" s="585"/>
      <c r="C5" s="586"/>
      <c r="D5" s="586"/>
      <c r="E5" s="586"/>
      <c r="F5" s="586"/>
      <c r="G5" s="586"/>
      <c r="H5" s="586"/>
      <c r="I5" s="586"/>
      <c r="J5" s="586"/>
      <c r="K5" s="586"/>
      <c r="L5" s="586"/>
    </row>
    <row r="6">
      <c r="A6" s="534"/>
      <c r="B6" s="587"/>
      <c r="C6" s="407"/>
      <c r="D6" s="402"/>
      <c r="E6" s="811"/>
      <c r="F6" s="402"/>
      <c r="G6" s="402"/>
      <c r="H6" s="402"/>
      <c r="I6" s="407"/>
      <c r="J6" s="402"/>
      <c r="K6" s="402"/>
      <c r="L6" s="402"/>
    </row>
    <row r="7">
      <c r="A7" s="96" t="s">
        <v>161</v>
      </c>
      <c r="B7" s="266">
        <f t="shared" ref="B7:B12" si="1">index(A7:L7,,match($A$3,$A$1:$L$1,0))</f>
        <v>1</v>
      </c>
      <c r="C7" s="152">
        <f>sum(D7:L7)</f>
        <v>1</v>
      </c>
      <c r="D7" s="155">
        <v>0.04179581784542576</v>
      </c>
      <c r="E7" s="155">
        <v>0.18243794153275117</v>
      </c>
      <c r="F7" s="155">
        <v>0.07473087002206621</v>
      </c>
      <c r="G7" s="155">
        <v>0.015106446953398316</v>
      </c>
      <c r="H7" s="155">
        <v>0.02562078739056444</v>
      </c>
      <c r="I7" s="155">
        <v>0.17087353880803482</v>
      </c>
      <c r="J7" s="155">
        <v>0.04193626962132087</v>
      </c>
      <c r="K7" s="155">
        <v>0.029841516993322426</v>
      </c>
      <c r="L7" s="155">
        <v>0.41765681083311595</v>
      </c>
    </row>
    <row r="8">
      <c r="A8" s="154" t="s">
        <v>570</v>
      </c>
      <c r="B8" s="266">
        <f t="shared" si="1"/>
        <v>0.4010751798</v>
      </c>
      <c r="C8" s="152">
        <f t="shared" ref="C8:C12" si="2">sumproduct(D8:L8,$D$17:$L$17)/$C$17</f>
        <v>0.4010751798</v>
      </c>
      <c r="D8" s="155">
        <v>0.5124843141871807</v>
      </c>
      <c r="E8" s="155">
        <v>0.4096277524733585</v>
      </c>
      <c r="F8" s="155">
        <v>0.4096277524733585</v>
      </c>
      <c r="G8" s="155">
        <v>0.4096277524733585</v>
      </c>
      <c r="H8" s="155">
        <v>0.4629153297425878</v>
      </c>
      <c r="I8" s="155">
        <v>0.4096277524733585</v>
      </c>
      <c r="J8" s="155">
        <v>0.45833746973431766</v>
      </c>
      <c r="K8" s="155">
        <v>0.18255495837072935</v>
      </c>
      <c r="L8" s="155">
        <v>0.4096277524733585</v>
      </c>
    </row>
    <row r="9">
      <c r="A9" s="96" t="s">
        <v>571</v>
      </c>
      <c r="B9" s="266">
        <f t="shared" si="1"/>
        <v>0.05888610882</v>
      </c>
      <c r="C9" s="152">
        <f t="shared" si="2"/>
        <v>0.05888610882</v>
      </c>
      <c r="D9" s="155">
        <v>0.04269494500305214</v>
      </c>
      <c r="E9" s="155">
        <v>0.058936380540394774</v>
      </c>
      <c r="F9" s="155">
        <v>0.058936380540394774</v>
      </c>
      <c r="G9" s="155">
        <v>0.058936380540394774</v>
      </c>
      <c r="H9" s="155">
        <v>0.04384137689928316</v>
      </c>
      <c r="I9" s="155">
        <v>0.058936380540394774</v>
      </c>
      <c r="J9" s="155">
        <v>0.0779790287319955</v>
      </c>
      <c r="K9" s="155">
        <v>0.06072485429203122</v>
      </c>
      <c r="L9" s="155">
        <v>0.058936380540394774</v>
      </c>
    </row>
    <row r="10">
      <c r="A10" s="96" t="s">
        <v>572</v>
      </c>
      <c r="B10" s="266">
        <f t="shared" si="1"/>
        <v>0.2162490495</v>
      </c>
      <c r="C10" s="152">
        <f t="shared" si="2"/>
        <v>0.2162490495</v>
      </c>
      <c r="D10" s="155">
        <v>0.010731626598900146</v>
      </c>
      <c r="E10" s="155">
        <v>0.20841394732853347</v>
      </c>
      <c r="F10" s="155">
        <v>0.20841394732853347</v>
      </c>
      <c r="G10" s="155">
        <v>0.20841394732853347</v>
      </c>
      <c r="H10" s="155">
        <v>0.19324329335812893</v>
      </c>
      <c r="I10" s="155">
        <v>0.20841394732853347</v>
      </c>
      <c r="J10" s="155">
        <v>0.16368350153368685</v>
      </c>
      <c r="K10" s="155">
        <v>0.4567201873372394</v>
      </c>
      <c r="L10" s="155">
        <v>0.20841394732853347</v>
      </c>
    </row>
    <row r="11">
      <c r="A11" s="96" t="s">
        <v>573</v>
      </c>
      <c r="B11" s="266">
        <f t="shared" si="1"/>
        <v>0.0237896619</v>
      </c>
      <c r="C11" s="152">
        <f t="shared" si="2"/>
        <v>0.0237896619</v>
      </c>
      <c r="D11" s="155">
        <v>0.13408911421086697</v>
      </c>
      <c r="E11" s="155">
        <v>0.023021919657713184</v>
      </c>
      <c r="F11" s="155">
        <v>0.023021919657713184</v>
      </c>
      <c r="G11" s="155">
        <v>0.023021919657713184</v>
      </c>
      <c r="H11" s="155">
        <v>0.0</v>
      </c>
      <c r="I11" s="155">
        <v>0.023021919657713184</v>
      </c>
      <c r="J11" s="155">
        <v>0.0</v>
      </c>
      <c r="K11" s="155">
        <v>0.0</v>
      </c>
      <c r="L11" s="155">
        <v>0.023021919657713184</v>
      </c>
    </row>
    <row r="12">
      <c r="A12" s="96" t="s">
        <v>574</v>
      </c>
      <c r="B12" s="266">
        <f t="shared" si="1"/>
        <v>0.3</v>
      </c>
      <c r="C12" s="152">
        <f t="shared" si="2"/>
        <v>0.3</v>
      </c>
      <c r="D12" s="155">
        <v>0.30000000000000004</v>
      </c>
      <c r="E12" s="155">
        <v>0.30000000000000004</v>
      </c>
      <c r="F12" s="155">
        <v>0.30000000000000004</v>
      </c>
      <c r="G12" s="155">
        <v>0.30000000000000004</v>
      </c>
      <c r="H12" s="155">
        <v>0.30000000000000004</v>
      </c>
      <c r="I12" s="155">
        <v>0.30000000000000004</v>
      </c>
      <c r="J12" s="155">
        <v>0.3</v>
      </c>
      <c r="K12" s="155">
        <v>0.30000000000000004</v>
      </c>
      <c r="L12" s="155">
        <v>0.30000000000000004</v>
      </c>
    </row>
    <row r="13">
      <c r="A13" s="534"/>
      <c r="B13" s="587"/>
      <c r="C13" s="407"/>
      <c r="D13" s="407"/>
      <c r="E13" s="407"/>
      <c r="F13" s="407"/>
      <c r="G13" s="407"/>
      <c r="H13" s="407"/>
      <c r="I13" s="407"/>
      <c r="J13" s="407"/>
      <c r="K13" s="407"/>
      <c r="L13" s="407"/>
    </row>
    <row r="14">
      <c r="A14" s="638" t="s">
        <v>575</v>
      </c>
      <c r="B14" s="587"/>
      <c r="C14" s="407"/>
      <c r="D14" s="407"/>
      <c r="E14" s="407"/>
      <c r="F14" s="407"/>
      <c r="G14" s="407"/>
      <c r="H14" s="407"/>
      <c r="I14" s="407"/>
      <c r="J14" s="407"/>
      <c r="K14" s="407"/>
      <c r="L14" s="407"/>
    </row>
    <row r="15">
      <c r="A15" s="638"/>
      <c r="B15" s="587"/>
      <c r="C15" s="407"/>
      <c r="D15" s="407"/>
      <c r="E15" s="407"/>
      <c r="F15" s="407"/>
      <c r="G15" s="407"/>
      <c r="H15" s="407"/>
      <c r="I15" s="407"/>
      <c r="J15" s="407"/>
      <c r="K15" s="407"/>
      <c r="L15" s="407"/>
    </row>
    <row r="16">
      <c r="A16" s="154" t="s">
        <v>576</v>
      </c>
      <c r="B16" s="812">
        <f t="shared" ref="B16:B22" si="4">index(A16:L16,,match($A$3,$A$1:$L$1,0))</f>
        <v>100000</v>
      </c>
      <c r="C16" s="813">
        <v>100000.0</v>
      </c>
      <c r="D16" s="599">
        <f t="shared" ref="D16:L16" si="3">if(D7&lt;&gt;0,$C$16*D7,0.01)</f>
        <v>4179.581785</v>
      </c>
      <c r="E16" s="599">
        <f t="shared" si="3"/>
        <v>18243.79415</v>
      </c>
      <c r="F16" s="599">
        <f t="shared" si="3"/>
        <v>7473.087002</v>
      </c>
      <c r="G16" s="599">
        <f t="shared" si="3"/>
        <v>1510.644695</v>
      </c>
      <c r="H16" s="599">
        <f t="shared" si="3"/>
        <v>2562.078739</v>
      </c>
      <c r="I16" s="599">
        <f t="shared" si="3"/>
        <v>17087.35388</v>
      </c>
      <c r="J16" s="599">
        <f t="shared" si="3"/>
        <v>4193.626962</v>
      </c>
      <c r="K16" s="599">
        <f t="shared" si="3"/>
        <v>2984.151699</v>
      </c>
      <c r="L16" s="599">
        <f t="shared" si="3"/>
        <v>41765.68108</v>
      </c>
    </row>
    <row r="17">
      <c r="A17" s="488" t="s">
        <v>577</v>
      </c>
      <c r="B17" s="597">
        <f t="shared" si="4"/>
        <v>249329.8141</v>
      </c>
      <c r="C17" s="599">
        <f>SUM(D17:L17)</f>
        <v>249329.8141</v>
      </c>
      <c r="D17" s="461">
        <f t="shared" ref="D17:L17" si="5">D16/D8</f>
        <v>8155.531143</v>
      </c>
      <c r="E17" s="461">
        <f t="shared" si="5"/>
        <v>44537.49543</v>
      </c>
      <c r="F17" s="461">
        <f t="shared" si="5"/>
        <v>18243.60522</v>
      </c>
      <c r="G17" s="461">
        <f t="shared" si="5"/>
        <v>3687.84753</v>
      </c>
      <c r="H17" s="461">
        <f t="shared" si="5"/>
        <v>5534.659525</v>
      </c>
      <c r="I17" s="461">
        <f t="shared" si="5"/>
        <v>41714.3462</v>
      </c>
      <c r="J17" s="461">
        <f t="shared" si="5"/>
        <v>9149.648979</v>
      </c>
      <c r="K17" s="461">
        <f t="shared" si="5"/>
        <v>16346.59352</v>
      </c>
      <c r="L17" s="461">
        <f t="shared" si="5"/>
        <v>101960.0865</v>
      </c>
    </row>
    <row r="18">
      <c r="A18" s="794" t="s">
        <v>578</v>
      </c>
      <c r="B18" s="793">
        <f t="shared" si="4"/>
        <v>1.092451061</v>
      </c>
      <c r="C18" s="794">
        <f>IFERROR(__xludf.DUMMYFUNCTION("average.weighted(D18:L18,D21:L21)"),1.0924510605541875)</f>
        <v>1.092451061</v>
      </c>
      <c r="D18" s="814">
        <v>1.4210930471837173</v>
      </c>
      <c r="E18" s="814">
        <v>1.1006290244837003</v>
      </c>
      <c r="F18" s="814">
        <v>1.1006290244837003</v>
      </c>
      <c r="G18" s="814">
        <v>1.320754829</v>
      </c>
      <c r="H18" s="814">
        <v>1.3839321158437576</v>
      </c>
      <c r="I18" s="814">
        <v>1.1006290244837003</v>
      </c>
      <c r="J18" s="814">
        <v>0.7780744449</v>
      </c>
      <c r="K18" s="814">
        <v>0.9991541387970136</v>
      </c>
      <c r="L18" s="814">
        <v>1.1006290244837003</v>
      </c>
    </row>
    <row r="19">
      <c r="A19" s="540" t="s">
        <v>579</v>
      </c>
      <c r="B19" s="815">
        <f t="shared" si="4"/>
        <v>2</v>
      </c>
      <c r="C19" s="816">
        <v>2.0</v>
      </c>
      <c r="D19" s="722">
        <f t="shared" ref="D19:L19" si="6">$C$19</f>
        <v>2</v>
      </c>
      <c r="E19" s="722">
        <f t="shared" si="6"/>
        <v>2</v>
      </c>
      <c r="F19" s="722">
        <f t="shared" si="6"/>
        <v>2</v>
      </c>
      <c r="G19" s="722">
        <f t="shared" si="6"/>
        <v>2</v>
      </c>
      <c r="H19" s="722">
        <f t="shared" si="6"/>
        <v>2</v>
      </c>
      <c r="I19" s="722">
        <f t="shared" si="6"/>
        <v>2</v>
      </c>
      <c r="J19" s="722">
        <f t="shared" si="6"/>
        <v>2</v>
      </c>
      <c r="K19" s="722">
        <f t="shared" si="6"/>
        <v>2</v>
      </c>
      <c r="L19" s="722">
        <f t="shared" si="6"/>
        <v>2</v>
      </c>
    </row>
    <row r="20">
      <c r="A20" s="540" t="s">
        <v>580</v>
      </c>
      <c r="B20" s="793">
        <f t="shared" si="4"/>
        <v>2.184902121</v>
      </c>
      <c r="C20" s="794">
        <f t="shared" ref="C20:L20" si="7">C18*C19</f>
        <v>2.184902121</v>
      </c>
      <c r="D20" s="817">
        <f t="shared" si="7"/>
        <v>2.842186094</v>
      </c>
      <c r="E20" s="817">
        <f t="shared" si="7"/>
        <v>2.201258049</v>
      </c>
      <c r="F20" s="817">
        <f t="shared" si="7"/>
        <v>2.201258049</v>
      </c>
      <c r="G20" s="817">
        <f t="shared" si="7"/>
        <v>2.641509658</v>
      </c>
      <c r="H20" s="817">
        <f t="shared" si="7"/>
        <v>2.767864232</v>
      </c>
      <c r="I20" s="817">
        <f t="shared" si="7"/>
        <v>2.201258049</v>
      </c>
      <c r="J20" s="817">
        <f t="shared" si="7"/>
        <v>1.55614889</v>
      </c>
      <c r="K20" s="817">
        <f t="shared" si="7"/>
        <v>1.998308278</v>
      </c>
      <c r="L20" s="817">
        <f t="shared" si="7"/>
        <v>2.201258049</v>
      </c>
    </row>
    <row r="21">
      <c r="A21" s="540" t="s">
        <v>581</v>
      </c>
      <c r="B21" s="572">
        <f t="shared" si="4"/>
        <v>114114.8666</v>
      </c>
      <c r="C21" s="573">
        <f t="shared" ref="C21:C22" si="9">sum(D21:L21)</f>
        <v>114114.8666</v>
      </c>
      <c r="D21" s="573">
        <f t="shared" ref="D21:L21" si="8">D17/D20</f>
        <v>2869.457126</v>
      </c>
      <c r="E21" s="573">
        <f t="shared" si="8"/>
        <v>20232.7462</v>
      </c>
      <c r="F21" s="573">
        <f t="shared" si="8"/>
        <v>8287.808522</v>
      </c>
      <c r="G21" s="573">
        <f t="shared" si="8"/>
        <v>1396.11359</v>
      </c>
      <c r="H21" s="573">
        <f t="shared" si="8"/>
        <v>1999.613804</v>
      </c>
      <c r="I21" s="573">
        <f t="shared" si="8"/>
        <v>18950.22995</v>
      </c>
      <c r="J21" s="573">
        <f t="shared" si="8"/>
        <v>5879.674522</v>
      </c>
      <c r="K21" s="573">
        <f t="shared" si="8"/>
        <v>8180.216087</v>
      </c>
      <c r="L21" s="573">
        <f t="shared" si="8"/>
        <v>46319.00679</v>
      </c>
    </row>
    <row r="22">
      <c r="A22" s="540" t="s">
        <v>582</v>
      </c>
      <c r="B22" s="690">
        <f t="shared" si="4"/>
        <v>1</v>
      </c>
      <c r="C22" s="406">
        <f t="shared" si="9"/>
        <v>1</v>
      </c>
      <c r="D22" s="818">
        <f t="shared" ref="D22:L22" si="10">D21/$C$21</f>
        <v>0.02514534006</v>
      </c>
      <c r="E22" s="818">
        <f t="shared" si="10"/>
        <v>0.1773015805</v>
      </c>
      <c r="F22" s="818">
        <f t="shared" si="10"/>
        <v>0.07262689577</v>
      </c>
      <c r="G22" s="818">
        <f t="shared" si="10"/>
        <v>0.01223428315</v>
      </c>
      <c r="H22" s="818">
        <f t="shared" si="10"/>
        <v>0.01752281595</v>
      </c>
      <c r="I22" s="818">
        <f t="shared" si="10"/>
        <v>0.1660627621</v>
      </c>
      <c r="J22" s="818">
        <f t="shared" si="10"/>
        <v>0.05152417645</v>
      </c>
      <c r="K22" s="818">
        <f t="shared" si="10"/>
        <v>0.07168405249</v>
      </c>
      <c r="L22" s="818">
        <f t="shared" si="10"/>
        <v>0.4058980935</v>
      </c>
    </row>
    <row r="23">
      <c r="A23" s="656"/>
      <c r="B23" s="587"/>
      <c r="C23" s="407"/>
      <c r="D23" s="407"/>
      <c r="E23" s="407"/>
      <c r="F23" s="407"/>
      <c r="G23" s="407"/>
      <c r="H23" s="407"/>
      <c r="I23" s="407"/>
      <c r="J23" s="407"/>
      <c r="K23" s="407"/>
      <c r="L23" s="407"/>
    </row>
    <row r="24">
      <c r="A24" s="241" t="s">
        <v>583</v>
      </c>
      <c r="B24" s="585"/>
      <c r="C24" s="586"/>
      <c r="D24" s="586"/>
      <c r="E24" s="586"/>
      <c r="F24" s="586"/>
      <c r="G24" s="586"/>
      <c r="H24" s="586"/>
      <c r="I24" s="586"/>
      <c r="J24" s="586"/>
      <c r="K24" s="586"/>
      <c r="L24" s="586"/>
    </row>
    <row r="25">
      <c r="A25" s="819"/>
      <c r="B25" s="575"/>
      <c r="C25" s="583"/>
      <c r="D25" s="583"/>
      <c r="E25" s="583"/>
      <c r="F25" s="583"/>
      <c r="G25" s="583"/>
      <c r="H25" s="583"/>
      <c r="I25" s="583"/>
      <c r="J25" s="583"/>
      <c r="K25" s="583"/>
      <c r="L25" s="583"/>
    </row>
    <row r="26">
      <c r="A26" s="819" t="s">
        <v>584</v>
      </c>
      <c r="B26" s="575">
        <f t="shared" ref="B26:B29" si="12">index(A26:L26,,match($A$3,$A$1:$L$1,0))</f>
        <v>0.76</v>
      </c>
      <c r="C26" s="820">
        <v>0.76</v>
      </c>
      <c r="D26" s="732">
        <f t="shared" ref="D26:L26" si="11">$C$26</f>
        <v>0.76</v>
      </c>
      <c r="E26" s="732">
        <f t="shared" si="11"/>
        <v>0.76</v>
      </c>
      <c r="F26" s="732">
        <f t="shared" si="11"/>
        <v>0.76</v>
      </c>
      <c r="G26" s="732">
        <f t="shared" si="11"/>
        <v>0.76</v>
      </c>
      <c r="H26" s="732">
        <f t="shared" si="11"/>
        <v>0.76</v>
      </c>
      <c r="I26" s="732">
        <f t="shared" si="11"/>
        <v>0.76</v>
      </c>
      <c r="J26" s="732">
        <f t="shared" si="11"/>
        <v>0.76</v>
      </c>
      <c r="K26" s="732">
        <f t="shared" si="11"/>
        <v>0.76</v>
      </c>
      <c r="L26" s="732">
        <f t="shared" si="11"/>
        <v>0.76</v>
      </c>
    </row>
    <row r="27">
      <c r="A27" s="540" t="s">
        <v>585</v>
      </c>
      <c r="B27" s="690">
        <f t="shared" si="12"/>
        <v>0.24</v>
      </c>
      <c r="C27" s="406">
        <f>1-C26</f>
        <v>0.24</v>
      </c>
      <c r="D27" s="735">
        <f t="shared" ref="D27:L27" si="13">$C$27</f>
        <v>0.24</v>
      </c>
      <c r="E27" s="735">
        <f t="shared" si="13"/>
        <v>0.24</v>
      </c>
      <c r="F27" s="735">
        <f t="shared" si="13"/>
        <v>0.24</v>
      </c>
      <c r="G27" s="735">
        <f t="shared" si="13"/>
        <v>0.24</v>
      </c>
      <c r="H27" s="735">
        <f t="shared" si="13"/>
        <v>0.24</v>
      </c>
      <c r="I27" s="735">
        <f t="shared" si="13"/>
        <v>0.24</v>
      </c>
      <c r="J27" s="735">
        <f t="shared" si="13"/>
        <v>0.24</v>
      </c>
      <c r="K27" s="735">
        <f t="shared" si="13"/>
        <v>0.24</v>
      </c>
      <c r="L27" s="735">
        <f t="shared" si="13"/>
        <v>0.24</v>
      </c>
    </row>
    <row r="28">
      <c r="A28" s="540" t="s">
        <v>586</v>
      </c>
      <c r="B28" s="821">
        <f t="shared" si="12"/>
        <v>0.873</v>
      </c>
      <c r="C28" s="391">
        <v>0.873</v>
      </c>
      <c r="D28" s="735">
        <f t="shared" ref="D28:L28" si="14">$C$28</f>
        <v>0.873</v>
      </c>
      <c r="E28" s="735">
        <f t="shared" si="14"/>
        <v>0.873</v>
      </c>
      <c r="F28" s="735">
        <f t="shared" si="14"/>
        <v>0.873</v>
      </c>
      <c r="G28" s="735">
        <f t="shared" si="14"/>
        <v>0.873</v>
      </c>
      <c r="H28" s="735">
        <f t="shared" si="14"/>
        <v>0.873</v>
      </c>
      <c r="I28" s="735">
        <f t="shared" si="14"/>
        <v>0.873</v>
      </c>
      <c r="J28" s="735">
        <f t="shared" si="14"/>
        <v>0.873</v>
      </c>
      <c r="K28" s="735">
        <f t="shared" si="14"/>
        <v>0.873</v>
      </c>
      <c r="L28" s="735">
        <f t="shared" si="14"/>
        <v>0.873</v>
      </c>
    </row>
    <row r="29">
      <c r="A29" s="540" t="s">
        <v>587</v>
      </c>
      <c r="B29" s="690">
        <f t="shared" si="12"/>
        <v>0.2749140893</v>
      </c>
      <c r="C29" s="406">
        <f t="shared" ref="C29:L29" si="15">C27/C28</f>
        <v>0.2749140893</v>
      </c>
      <c r="D29" s="406">
        <f t="shared" si="15"/>
        <v>0.2749140893</v>
      </c>
      <c r="E29" s="406">
        <f t="shared" si="15"/>
        <v>0.2749140893</v>
      </c>
      <c r="F29" s="406">
        <f t="shared" si="15"/>
        <v>0.2749140893</v>
      </c>
      <c r="G29" s="406">
        <f t="shared" si="15"/>
        <v>0.2749140893</v>
      </c>
      <c r="H29" s="406">
        <f t="shared" si="15"/>
        <v>0.2749140893</v>
      </c>
      <c r="I29" s="406">
        <f t="shared" si="15"/>
        <v>0.2749140893</v>
      </c>
      <c r="J29" s="406">
        <f t="shared" si="15"/>
        <v>0.2749140893</v>
      </c>
      <c r="K29" s="406">
        <f t="shared" si="15"/>
        <v>0.2749140893</v>
      </c>
      <c r="L29" s="406">
        <f t="shared" si="15"/>
        <v>0.2749140893</v>
      </c>
    </row>
    <row r="30">
      <c r="A30" s="407"/>
      <c r="B30" s="587"/>
      <c r="C30" s="587"/>
      <c r="D30" s="407"/>
      <c r="E30" s="407"/>
      <c r="F30" s="407"/>
      <c r="G30" s="407"/>
      <c r="H30" s="407"/>
      <c r="I30" s="407"/>
      <c r="J30" s="407"/>
      <c r="K30" s="407"/>
      <c r="L30" s="407"/>
    </row>
    <row r="31">
      <c r="A31" s="637" t="s">
        <v>588</v>
      </c>
      <c r="B31" s="585"/>
      <c r="C31" s="586"/>
      <c r="D31" s="586"/>
      <c r="E31" s="586"/>
      <c r="F31" s="586"/>
      <c r="G31" s="586"/>
      <c r="H31" s="586"/>
      <c r="I31" s="586"/>
      <c r="J31" s="586"/>
      <c r="K31" s="586"/>
      <c r="L31" s="586"/>
    </row>
    <row r="32">
      <c r="A32" s="638"/>
      <c r="B32" s="587"/>
      <c r="C32" s="407"/>
      <c r="D32" s="407"/>
      <c r="E32" s="407"/>
      <c r="F32" s="407"/>
      <c r="G32" s="407"/>
      <c r="H32" s="407"/>
      <c r="I32" s="407"/>
      <c r="J32" s="407"/>
      <c r="K32" s="407"/>
      <c r="L32" s="407"/>
    </row>
    <row r="33">
      <c r="A33" s="402" t="s">
        <v>589</v>
      </c>
      <c r="B33" s="822">
        <f t="shared" ref="B33:B42" si="16">index(A33:L33,,match($A$3,$A$1:$L$1,0))</f>
        <v>12.36667373</v>
      </c>
      <c r="C33" s="823">
        <f>sumproduct($D$22:$L$22,D33:L33)</f>
        <v>12.36667373</v>
      </c>
      <c r="D33" s="820">
        <v>17.27006772280076</v>
      </c>
      <c r="E33" s="820">
        <v>8.91977655683583</v>
      </c>
      <c r="F33" s="820">
        <v>9.96412025864942</v>
      </c>
      <c r="G33" s="820">
        <v>12.812499572569697</v>
      </c>
      <c r="H33" s="820">
        <v>13.730950730888809</v>
      </c>
      <c r="I33" s="820">
        <v>4.623869542407623</v>
      </c>
      <c r="J33" s="820">
        <v>19.03375415365172</v>
      </c>
      <c r="K33" s="820">
        <v>18.068294979528748</v>
      </c>
      <c r="L33" s="820">
        <v>15.240628533416348</v>
      </c>
    </row>
    <row r="34">
      <c r="A34" s="540" t="s">
        <v>590</v>
      </c>
      <c r="B34" s="572">
        <f t="shared" si="16"/>
        <v>1411.221323</v>
      </c>
      <c r="C34" s="573">
        <f t="shared" ref="C34:C35" si="18">sum(D34:L34)</f>
        <v>1411.221323</v>
      </c>
      <c r="D34" s="573">
        <f t="shared" ref="D34:L34" si="17">(D33/1000)*D21</f>
        <v>49.5557189</v>
      </c>
      <c r="E34" s="573">
        <f t="shared" si="17"/>
        <v>180.4715752</v>
      </c>
      <c r="F34" s="573">
        <f t="shared" si="17"/>
        <v>82.58072079</v>
      </c>
      <c r="G34" s="573">
        <f t="shared" si="17"/>
        <v>17.88770477</v>
      </c>
      <c r="H34" s="573">
        <f t="shared" si="17"/>
        <v>27.45659862</v>
      </c>
      <c r="I34" s="573">
        <f t="shared" si="17"/>
        <v>87.62339108</v>
      </c>
      <c r="J34" s="573">
        <f t="shared" si="17"/>
        <v>111.9122793</v>
      </c>
      <c r="K34" s="573">
        <f t="shared" si="17"/>
        <v>147.8025573</v>
      </c>
      <c r="L34" s="573">
        <f t="shared" si="17"/>
        <v>705.9307765</v>
      </c>
    </row>
    <row r="35">
      <c r="A35" s="540" t="s">
        <v>591</v>
      </c>
      <c r="B35" s="572">
        <f t="shared" si="16"/>
        <v>387.9646248</v>
      </c>
      <c r="C35" s="573">
        <f t="shared" si="18"/>
        <v>387.9646248</v>
      </c>
      <c r="D35" s="573">
        <f t="shared" ref="D35:L35" si="19">D34*D29</f>
        <v>13.62356533</v>
      </c>
      <c r="E35" s="573">
        <f t="shared" si="19"/>
        <v>49.61417876</v>
      </c>
      <c r="F35" s="573">
        <f t="shared" si="19"/>
        <v>22.70260365</v>
      </c>
      <c r="G35" s="573">
        <f t="shared" si="19"/>
        <v>4.917582067</v>
      </c>
      <c r="H35" s="573">
        <f t="shared" si="19"/>
        <v>7.548205807</v>
      </c>
      <c r="I35" s="573">
        <f t="shared" si="19"/>
        <v>24.08890476</v>
      </c>
      <c r="J35" s="573">
        <f t="shared" si="19"/>
        <v>30.76626236</v>
      </c>
      <c r="K35" s="573">
        <f t="shared" si="19"/>
        <v>40.63300543</v>
      </c>
      <c r="L35" s="573">
        <f t="shared" si="19"/>
        <v>194.0703166</v>
      </c>
    </row>
    <row r="36">
      <c r="A36" s="402" t="s">
        <v>592</v>
      </c>
      <c r="B36" s="824">
        <f t="shared" si="16"/>
        <v>0.85</v>
      </c>
      <c r="C36" s="825">
        <v>0.85</v>
      </c>
      <c r="D36" s="735">
        <f t="shared" ref="D36:L36" si="20">$C$36</f>
        <v>0.85</v>
      </c>
      <c r="E36" s="735">
        <f t="shared" si="20"/>
        <v>0.85</v>
      </c>
      <c r="F36" s="735">
        <f t="shared" si="20"/>
        <v>0.85</v>
      </c>
      <c r="G36" s="735">
        <f t="shared" si="20"/>
        <v>0.85</v>
      </c>
      <c r="H36" s="735">
        <f t="shared" si="20"/>
        <v>0.85</v>
      </c>
      <c r="I36" s="735">
        <f t="shared" si="20"/>
        <v>0.85</v>
      </c>
      <c r="J36" s="735">
        <f t="shared" si="20"/>
        <v>0.85</v>
      </c>
      <c r="K36" s="735">
        <f t="shared" si="20"/>
        <v>0.85</v>
      </c>
      <c r="L36" s="735">
        <f t="shared" si="20"/>
        <v>0.85</v>
      </c>
    </row>
    <row r="37">
      <c r="A37" s="402" t="s">
        <v>593</v>
      </c>
      <c r="B37" s="824">
        <f t="shared" si="16"/>
        <v>0.4325432612</v>
      </c>
      <c r="C37" s="826">
        <f t="shared" ref="C37:C39" si="21">sumproduct($D$22:$L$22,D37:L37)</f>
        <v>0.4325432612</v>
      </c>
      <c r="D37" s="111">
        <v>0.28730473313274074</v>
      </c>
      <c r="E37" s="111">
        <v>0.426743062498222</v>
      </c>
      <c r="F37" s="111">
        <v>0.39917332844005304</v>
      </c>
      <c r="G37" s="111">
        <v>0.29487782203406965</v>
      </c>
      <c r="H37" s="111">
        <v>0.2738403467282604</v>
      </c>
      <c r="I37" s="111">
        <v>0.6298133332787821</v>
      </c>
      <c r="J37" s="111">
        <v>0.3032949592072778</v>
      </c>
      <c r="K37" s="111">
        <v>0.5305164198615657</v>
      </c>
      <c r="L37" s="111">
        <v>0.3794418966318384</v>
      </c>
    </row>
    <row r="38">
      <c r="A38" s="540" t="s">
        <v>594</v>
      </c>
      <c r="B38" s="824">
        <f t="shared" si="16"/>
        <v>0.04151569054</v>
      </c>
      <c r="C38" s="826">
        <f t="shared" si="21"/>
        <v>0.04151569054</v>
      </c>
      <c r="D38" s="827">
        <v>0.0</v>
      </c>
      <c r="E38" s="827">
        <v>0.0</v>
      </c>
      <c r="F38" s="827">
        <v>0.0</v>
      </c>
      <c r="G38" s="827">
        <v>0.0</v>
      </c>
      <c r="H38" s="827">
        <v>0.0</v>
      </c>
      <c r="I38" s="827">
        <v>0.25</v>
      </c>
      <c r="J38" s="827">
        <v>0.0</v>
      </c>
      <c r="K38" s="827">
        <v>0.0</v>
      </c>
      <c r="L38" s="827">
        <v>0.0</v>
      </c>
    </row>
    <row r="39">
      <c r="A39" s="540" t="s">
        <v>595</v>
      </c>
      <c r="B39" s="824">
        <f t="shared" si="16"/>
        <v>0.4063961258</v>
      </c>
      <c r="C39" s="826">
        <f t="shared" si="21"/>
        <v>0.4063961258</v>
      </c>
      <c r="D39" s="111">
        <f t="shared" ref="D39:L39" si="22">D37*(1-D38)</f>
        <v>0.2873047331</v>
      </c>
      <c r="E39" s="111">
        <f t="shared" si="22"/>
        <v>0.4267430625</v>
      </c>
      <c r="F39" s="111">
        <f t="shared" si="22"/>
        <v>0.3991733284</v>
      </c>
      <c r="G39" s="111">
        <f t="shared" si="22"/>
        <v>0.294877822</v>
      </c>
      <c r="H39" s="111">
        <f t="shared" si="22"/>
        <v>0.2738403467</v>
      </c>
      <c r="I39" s="111">
        <f t="shared" si="22"/>
        <v>0.47236</v>
      </c>
      <c r="J39" s="111">
        <f t="shared" si="22"/>
        <v>0.3032949592</v>
      </c>
      <c r="K39" s="111">
        <f t="shared" si="22"/>
        <v>0.5305164199</v>
      </c>
      <c r="L39" s="111">
        <f t="shared" si="22"/>
        <v>0.3794418966</v>
      </c>
    </row>
    <row r="40">
      <c r="A40" s="540" t="s">
        <v>596</v>
      </c>
      <c r="B40" s="572">
        <f t="shared" si="16"/>
        <v>130.5351438</v>
      </c>
      <c r="C40" s="573">
        <f>sum(D40:L40)</f>
        <v>130.5351438</v>
      </c>
      <c r="D40" s="785">
        <f t="shared" ref="D40:H40" si="23">D35*D36*D37</f>
        <v>3.326997582</v>
      </c>
      <c r="E40" s="785">
        <f t="shared" si="23"/>
        <v>17.9966306</v>
      </c>
      <c r="F40" s="785">
        <f t="shared" si="23"/>
        <v>7.702932785</v>
      </c>
      <c r="G40" s="785">
        <f t="shared" si="23"/>
        <v>1.232573006</v>
      </c>
      <c r="H40" s="785">
        <f t="shared" si="23"/>
        <v>1.756952801</v>
      </c>
      <c r="I40" s="785">
        <f>I35*I36*I39</f>
        <v>9.671839795</v>
      </c>
      <c r="J40" s="785">
        <f t="shared" ref="J40:L40" si="24">J35*J36*J37</f>
        <v>7.931564445</v>
      </c>
      <c r="K40" s="785">
        <f t="shared" si="24"/>
        <v>18.32300508</v>
      </c>
      <c r="L40" s="785">
        <f t="shared" si="24"/>
        <v>62.59264765</v>
      </c>
    </row>
    <row r="41">
      <c r="A41" s="540" t="s">
        <v>115</v>
      </c>
      <c r="B41" s="572">
        <f t="shared" si="16"/>
        <v>118.4</v>
      </c>
      <c r="C41" s="573">
        <f t="array" ref="C41">index('Moral weights and discount rate'!$A$1:$V$35, match($A41, 'Moral weights and discount rate'!$A$1:$A$35,0), match($B$1, 'Moral weights and discount rate'!$A$1:$X$1,0))</f>
        <v>118.4</v>
      </c>
      <c r="D41" s="725">
        <f t="shared" ref="D41:L41" si="25">$C$41</f>
        <v>118.4</v>
      </c>
      <c r="E41" s="725">
        <f t="shared" si="25"/>
        <v>118.4</v>
      </c>
      <c r="F41" s="725">
        <f t="shared" si="25"/>
        <v>118.4</v>
      </c>
      <c r="G41" s="725">
        <f t="shared" si="25"/>
        <v>118.4</v>
      </c>
      <c r="H41" s="725">
        <f t="shared" si="25"/>
        <v>118.4</v>
      </c>
      <c r="I41" s="725">
        <f t="shared" si="25"/>
        <v>118.4</v>
      </c>
      <c r="J41" s="725">
        <f t="shared" si="25"/>
        <v>118.4</v>
      </c>
      <c r="K41" s="725">
        <f t="shared" si="25"/>
        <v>118.4</v>
      </c>
      <c r="L41" s="725">
        <f t="shared" si="25"/>
        <v>118.4</v>
      </c>
    </row>
    <row r="42">
      <c r="A42" s="540" t="s">
        <v>597</v>
      </c>
      <c r="B42" s="572">
        <f t="shared" si="16"/>
        <v>15455.36102</v>
      </c>
      <c r="C42" s="573">
        <f>sum(D42:L42)</f>
        <v>15455.36102</v>
      </c>
      <c r="D42" s="573">
        <f t="shared" ref="D42:L42" si="26">D40*D41</f>
        <v>393.9165137</v>
      </c>
      <c r="E42" s="573">
        <f t="shared" si="26"/>
        <v>2130.801063</v>
      </c>
      <c r="F42" s="573">
        <f t="shared" si="26"/>
        <v>912.0272418</v>
      </c>
      <c r="G42" s="573">
        <f t="shared" si="26"/>
        <v>145.9366439</v>
      </c>
      <c r="H42" s="573">
        <f t="shared" si="26"/>
        <v>208.0232116</v>
      </c>
      <c r="I42" s="573">
        <f t="shared" si="26"/>
        <v>1145.145832</v>
      </c>
      <c r="J42" s="573">
        <f t="shared" si="26"/>
        <v>939.0972303</v>
      </c>
      <c r="K42" s="573">
        <f t="shared" si="26"/>
        <v>2169.443802</v>
      </c>
      <c r="L42" s="573">
        <f t="shared" si="26"/>
        <v>7410.969482</v>
      </c>
    </row>
    <row r="43">
      <c r="A43" s="407"/>
      <c r="B43" s="587"/>
      <c r="C43" s="407"/>
      <c r="D43" s="407"/>
      <c r="E43" s="407"/>
      <c r="F43" s="407"/>
      <c r="G43" s="407"/>
      <c r="H43" s="407"/>
      <c r="I43" s="407"/>
      <c r="J43" s="407"/>
      <c r="K43" s="407"/>
      <c r="L43" s="407"/>
    </row>
    <row r="44">
      <c r="A44" s="241" t="s">
        <v>598</v>
      </c>
      <c r="B44" s="585"/>
      <c r="C44" s="586"/>
      <c r="D44" s="586"/>
      <c r="E44" s="586"/>
      <c r="F44" s="586"/>
      <c r="G44" s="586"/>
      <c r="H44" s="586"/>
      <c r="I44" s="586"/>
      <c r="J44" s="586"/>
      <c r="K44" s="586"/>
      <c r="L44" s="586"/>
    </row>
    <row r="45">
      <c r="A45" s="96" t="s">
        <v>599</v>
      </c>
      <c r="B45" s="266">
        <f t="shared" ref="B45:B46" si="28">index(A45:L45,,match($A$3,$A$1:$L$1,0))</f>
        <v>0.4651162791</v>
      </c>
      <c r="C45" s="155">
        <v>0.465116279069767</v>
      </c>
      <c r="D45" s="657">
        <f t="shared" ref="D45:L45" si="27">$C$45</f>
        <v>0.4651162791</v>
      </c>
      <c r="E45" s="657">
        <f t="shared" si="27"/>
        <v>0.4651162791</v>
      </c>
      <c r="F45" s="657">
        <f t="shared" si="27"/>
        <v>0.4651162791</v>
      </c>
      <c r="G45" s="657">
        <f t="shared" si="27"/>
        <v>0.4651162791</v>
      </c>
      <c r="H45" s="657">
        <f t="shared" si="27"/>
        <v>0.4651162791</v>
      </c>
      <c r="I45" s="657">
        <f t="shared" si="27"/>
        <v>0.4651162791</v>
      </c>
      <c r="J45" s="657">
        <f t="shared" si="27"/>
        <v>0.4651162791</v>
      </c>
      <c r="K45" s="657">
        <f t="shared" si="27"/>
        <v>0.4651162791</v>
      </c>
      <c r="L45" s="657">
        <f t="shared" si="27"/>
        <v>0.4651162791</v>
      </c>
    </row>
    <row r="46">
      <c r="A46" s="96" t="s">
        <v>600</v>
      </c>
      <c r="B46" s="196">
        <f t="shared" si="28"/>
        <v>0.06191207109</v>
      </c>
      <c r="C46" s="293">
        <f t="array" ref="C46">C45*index('Malaria Consortium'!$1:$261,match("Units of value per treatment-year (before internal and external validity adjustments)",'Malaria Consortium'!$A:$A,0),match("Overall",'Malaria Consortium'!$1:$1,0))</f>
        <v>0.06191207109</v>
      </c>
      <c r="D46" s="293">
        <f t="array" ref="D46">D45*index('Malaria Consortium'!$1:$261,match("Units of value per treatment-year (before internal and external validity adjustments)",'Malaria Consortium'!$A:$A,0),match("Overall",'Malaria Consortium'!$1:$1,0))</f>
        <v>0.06191207109</v>
      </c>
      <c r="E46" s="293">
        <f t="array" ref="E46">E45*index('Malaria Consortium'!$1:$261,match("Units of value per treatment-year (before internal and external validity adjustments)",'Malaria Consortium'!$A:$A,0),match("Overall",'Malaria Consortium'!$1:$1,0))</f>
        <v>0.06191207109</v>
      </c>
      <c r="F46" s="293">
        <f t="array" ref="F46">F45*index('Malaria Consortium'!$1:$261,match("Units of value per treatment-year (before internal and external validity adjustments)",'Malaria Consortium'!$A:$A,0),match("Overall",'Malaria Consortium'!$1:$1,0))</f>
        <v>0.06191207109</v>
      </c>
      <c r="G46" s="293">
        <f t="array" ref="G46">G45*index('Malaria Consortium'!$1:$261,match("Units of value per treatment-year (before internal and external validity adjustments)",'Malaria Consortium'!$A:$A,0),match("Overall",'Malaria Consortium'!$1:$1,0))</f>
        <v>0.06191207109</v>
      </c>
      <c r="H46" s="293">
        <f t="array" ref="H46">H45*index('Malaria Consortium'!$1:$261,match("Units of value per treatment-year (before internal and external validity adjustments)",'Malaria Consortium'!$A:$A,0),match("Overall",'Malaria Consortium'!$1:$1,0))</f>
        <v>0.06191207109</v>
      </c>
      <c r="I46" s="293">
        <f t="array" ref="I46">I45*index('Malaria Consortium'!$1:$261,match("Units of value per treatment-year (before internal and external validity adjustments)",'Malaria Consortium'!$A:$A,0),match("Overall",'Malaria Consortium'!$1:$1,0))</f>
        <v>0.06191207109</v>
      </c>
      <c r="J46" s="293">
        <f t="array" ref="J46">J45*index('Malaria Consortium'!$1:$261,match("Units of value per treatment-year (before internal and external validity adjustments)",'Malaria Consortium'!$A:$A,0),match("Overall",'Malaria Consortium'!$1:$1,0))</f>
        <v>0.06191207109</v>
      </c>
      <c r="K46" s="293">
        <f t="array" ref="K46">K45*index('Malaria Consortium'!$1:$261,match("Units of value per treatment-year (before internal and external validity adjustments)",'Malaria Consortium'!$A:$A,0),match("Overall",'Malaria Consortium'!$1:$1,0))</f>
        <v>0.06191207109</v>
      </c>
      <c r="L46" s="293">
        <f t="array" ref="L46">L45*index('Malaria Consortium'!$1:$261,match("Units of value per treatment-year (before internal and external validity adjustments)",'Malaria Consortium'!$A:$A,0),match("Overall",'Malaria Consortium'!$1:$1,0))</f>
        <v>0.06191207109</v>
      </c>
    </row>
    <row r="47">
      <c r="B47" s="611"/>
    </row>
    <row r="48">
      <c r="A48" s="417" t="s">
        <v>601</v>
      </c>
      <c r="B48" s="295">
        <f t="array" ref="B48">index(A48:L48,,match($A$3,$A$1:$L$1,0))</f>
        <v>2440.54064</v>
      </c>
      <c r="C48" s="272">
        <f>sum(D48:L48)</f>
        <v>2440.54064</v>
      </c>
      <c r="D48" s="272">
        <f t="shared" ref="D48:L48" si="29">D46*D21*D36*D39</f>
        <v>43.384718</v>
      </c>
      <c r="E48" s="272">
        <f t="shared" si="29"/>
        <v>454.3761856</v>
      </c>
      <c r="F48" s="272">
        <f t="shared" si="29"/>
        <v>174.0986815</v>
      </c>
      <c r="G48" s="272">
        <f t="shared" si="29"/>
        <v>21.66492165</v>
      </c>
      <c r="H48" s="272">
        <f t="shared" si="29"/>
        <v>28.81627368</v>
      </c>
      <c r="I48" s="272">
        <f t="shared" si="29"/>
        <v>471.0661049</v>
      </c>
      <c r="J48" s="272">
        <f t="shared" si="29"/>
        <v>93.84534519</v>
      </c>
      <c r="K48" s="272">
        <f t="shared" si="29"/>
        <v>228.3798925</v>
      </c>
      <c r="L48" s="272">
        <f t="shared" si="29"/>
        <v>924.9085174</v>
      </c>
    </row>
    <row r="49">
      <c r="A49" s="154"/>
      <c r="B49" s="690"/>
      <c r="C49" s="406"/>
      <c r="D49" s="583"/>
      <c r="E49" s="406"/>
      <c r="F49" s="406"/>
      <c r="G49" s="406"/>
      <c r="H49" s="406"/>
      <c r="I49" s="406"/>
      <c r="J49" s="406"/>
      <c r="K49" s="406"/>
      <c r="L49" s="406"/>
    </row>
    <row r="50">
      <c r="A50" s="241" t="s">
        <v>249</v>
      </c>
      <c r="B50" s="585"/>
      <c r="C50" s="586"/>
      <c r="D50" s="586"/>
      <c r="E50" s="586"/>
      <c r="F50" s="586"/>
      <c r="G50" s="586"/>
      <c r="H50" s="586"/>
      <c r="I50" s="586"/>
      <c r="J50" s="586"/>
      <c r="K50" s="586"/>
      <c r="L50" s="586"/>
    </row>
    <row r="51">
      <c r="A51" s="118" t="s">
        <v>555</v>
      </c>
      <c r="B51" s="812">
        <f t="shared" ref="B51:B53" si="31">index(A51:L51,,match($A$3,$A$1:$L$1,0))</f>
        <v>1910.058908</v>
      </c>
      <c r="C51" s="599">
        <f t="shared" ref="C51:L51" si="30">C17/C40</f>
        <v>1910.058908</v>
      </c>
      <c r="D51" s="599">
        <f t="shared" si="30"/>
        <v>2451.318626</v>
      </c>
      <c r="E51" s="599">
        <f t="shared" si="30"/>
        <v>2474.768551</v>
      </c>
      <c r="F51" s="599">
        <f t="shared" si="30"/>
        <v>2368.397301</v>
      </c>
      <c r="G51" s="599">
        <f t="shared" si="30"/>
        <v>2991.991153</v>
      </c>
      <c r="H51" s="599">
        <f t="shared" si="30"/>
        <v>3150.14696</v>
      </c>
      <c r="I51" s="599">
        <f t="shared" si="30"/>
        <v>4312.969103</v>
      </c>
      <c r="J51" s="599">
        <f t="shared" si="30"/>
        <v>1153.57431</v>
      </c>
      <c r="K51" s="599">
        <f t="shared" si="30"/>
        <v>892.1349661</v>
      </c>
      <c r="L51" s="599">
        <f t="shared" si="30"/>
        <v>1628.946695</v>
      </c>
    </row>
    <row r="52">
      <c r="A52" s="118" t="s">
        <v>251</v>
      </c>
      <c r="B52" s="490">
        <f t="shared" si="31"/>
        <v>17895.90166</v>
      </c>
      <c r="C52" s="573">
        <f t="shared" ref="C52:L52" si="32">sum(C42,C48)</f>
        <v>17895.90166</v>
      </c>
      <c r="D52" s="573">
        <f t="shared" si="32"/>
        <v>437.3012317</v>
      </c>
      <c r="E52" s="573">
        <f t="shared" si="32"/>
        <v>2585.177249</v>
      </c>
      <c r="F52" s="573">
        <f t="shared" si="32"/>
        <v>1086.125923</v>
      </c>
      <c r="G52" s="573">
        <f t="shared" si="32"/>
        <v>167.6015656</v>
      </c>
      <c r="H52" s="573">
        <f t="shared" si="32"/>
        <v>236.8394853</v>
      </c>
      <c r="I52" s="573">
        <f t="shared" si="32"/>
        <v>1616.211937</v>
      </c>
      <c r="J52" s="573">
        <f t="shared" si="32"/>
        <v>1032.942576</v>
      </c>
      <c r="K52" s="573">
        <f t="shared" si="32"/>
        <v>2397.823694</v>
      </c>
      <c r="L52" s="573">
        <f t="shared" si="32"/>
        <v>8335.877999</v>
      </c>
    </row>
    <row r="53">
      <c r="A53" s="118" t="s">
        <v>252</v>
      </c>
      <c r="B53" s="487">
        <f t="shared" si="31"/>
        <v>0.07177601976</v>
      </c>
      <c r="C53" s="583">
        <f t="shared" ref="C53:L53" si="33">C52/C17</f>
        <v>0.07177601976</v>
      </c>
      <c r="D53" s="583">
        <f t="shared" si="33"/>
        <v>0.05362020254</v>
      </c>
      <c r="E53" s="583">
        <f t="shared" si="33"/>
        <v>0.05804496242</v>
      </c>
      <c r="F53" s="583">
        <f t="shared" si="33"/>
        <v>0.05953461009</v>
      </c>
      <c r="G53" s="583">
        <f t="shared" si="33"/>
        <v>0.04544698885</v>
      </c>
      <c r="H53" s="583">
        <f t="shared" si="33"/>
        <v>0.04279206051</v>
      </c>
      <c r="I53" s="583">
        <f t="shared" si="33"/>
        <v>0.03874475052</v>
      </c>
      <c r="J53" s="583">
        <f t="shared" si="33"/>
        <v>0.1128942299</v>
      </c>
      <c r="K53" s="583">
        <f t="shared" si="33"/>
        <v>0.1466864452</v>
      </c>
      <c r="L53" s="583">
        <f t="shared" si="33"/>
        <v>0.08175628605</v>
      </c>
    </row>
    <row r="54">
      <c r="A54" s="304"/>
      <c r="B54" s="690"/>
      <c r="C54" s="406"/>
      <c r="D54" s="583"/>
      <c r="E54" s="406"/>
      <c r="F54" s="406"/>
      <c r="G54" s="406"/>
      <c r="H54" s="406"/>
      <c r="I54" s="406"/>
      <c r="J54" s="406"/>
      <c r="K54" s="406"/>
      <c r="L54" s="406"/>
    </row>
    <row r="55">
      <c r="A55" s="304" t="s">
        <v>253</v>
      </c>
      <c r="B55" s="828">
        <f t="array" ref="B55">index(A55:L55,,match($A$3,$A$1:$L$1,0))</f>
        <v>20.86608027</v>
      </c>
      <c r="C55" s="785">
        <f t="array" ref="C55">C53/index(GiveDirectly!$B:$B,match("Units of value generated per dollar spent",GiveDirectly!$A:$A,0))</f>
        <v>20.86608027</v>
      </c>
      <c r="D55" s="785">
        <f t="array" ref="D55">D53/index(GiveDirectly!$B:$B,match("Units of value generated per dollar spent",GiveDirectly!$A:$A,0))</f>
        <v>15.58798404</v>
      </c>
      <c r="E55" s="785">
        <f t="array" ref="E55">E53/index(GiveDirectly!$B:$B,match("Units of value generated per dollar spent",GiveDirectly!$A:$A,0))</f>
        <v>16.87431052</v>
      </c>
      <c r="F55" s="785">
        <f t="array" ref="F55">F53/index(GiveDirectly!$B:$B,match("Units of value generated per dollar spent",GiveDirectly!$A:$A,0))</f>
        <v>17.30736752</v>
      </c>
      <c r="G55" s="785">
        <f t="array" ref="G55">G53/index(GiveDirectly!$B:$B,match("Units of value generated per dollar spent",GiveDirectly!$A:$A,0))</f>
        <v>13.21194071</v>
      </c>
      <c r="H55" s="785">
        <f t="array" ref="H55">H53/index(GiveDirectly!$B:$B,match("Units of value generated per dollar spent",GiveDirectly!$A:$A,0))</f>
        <v>12.44012377</v>
      </c>
      <c r="I55" s="785">
        <f t="array" ref="I55">I53/index(GiveDirectly!$B:$B,match("Units of value generated per dollar spent",GiveDirectly!$A:$A,0))</f>
        <v>11.26352614</v>
      </c>
      <c r="J55" s="785">
        <f t="array" ref="J55">J53/index(GiveDirectly!$B:$B,match("Units of value generated per dollar spent",GiveDirectly!$A:$A,0))</f>
        <v>32.81959729</v>
      </c>
      <c r="K55" s="785">
        <f t="array" ref="K55">K53/index(GiveDirectly!$B:$B,match("Units of value generated per dollar spent",GiveDirectly!$A:$A,0))</f>
        <v>42.64336684</v>
      </c>
      <c r="L55" s="785">
        <f t="array" ref="L55">L53/index(GiveDirectly!$B:$B,match("Units of value generated per dollar spent",GiveDirectly!$A:$A,0))</f>
        <v>23.76745372</v>
      </c>
    </row>
    <row r="56">
      <c r="A56" s="154"/>
      <c r="B56" s="690"/>
      <c r="C56" s="406"/>
      <c r="D56" s="583"/>
      <c r="E56" s="406"/>
      <c r="F56" s="406"/>
      <c r="G56" s="406"/>
      <c r="H56" s="406"/>
      <c r="I56" s="406"/>
      <c r="J56" s="406"/>
      <c r="K56" s="406"/>
      <c r="L56" s="406"/>
    </row>
    <row r="57">
      <c r="A57" s="308" t="s">
        <v>602</v>
      </c>
      <c r="B57" s="308"/>
      <c r="C57" s="308"/>
      <c r="D57" s="308"/>
      <c r="E57" s="308"/>
      <c r="F57" s="308"/>
      <c r="G57" s="308"/>
      <c r="H57" s="308"/>
      <c r="I57" s="308"/>
      <c r="J57" s="308"/>
      <c r="K57" s="308"/>
      <c r="L57" s="308"/>
    </row>
    <row r="58" outlineLevel="1">
      <c r="A58" s="310"/>
      <c r="D58" s="407"/>
      <c r="E58" s="407"/>
      <c r="F58" s="407"/>
      <c r="G58" s="407"/>
      <c r="H58" s="407"/>
      <c r="I58" s="407"/>
      <c r="J58" s="407"/>
      <c r="K58" s="407"/>
      <c r="L58" s="407"/>
    </row>
    <row r="59" outlineLevel="1">
      <c r="A59" s="312" t="s">
        <v>255</v>
      </c>
      <c r="B59" s="311"/>
      <c r="C59" s="314"/>
      <c r="D59" s="407"/>
      <c r="E59" s="407"/>
      <c r="F59" s="407"/>
      <c r="G59" s="407"/>
      <c r="H59" s="407"/>
      <c r="I59" s="407"/>
      <c r="J59" s="407"/>
      <c r="K59" s="407"/>
      <c r="L59" s="407"/>
    </row>
    <row r="60" outlineLevel="1">
      <c r="A60" s="138" t="s">
        <v>256</v>
      </c>
      <c r="B60" s="581">
        <f t="shared" ref="B60:B63" si="35">index(C60:Z60,,match($A$3,$C$1:$Z$1,0))</f>
        <v>0.05</v>
      </c>
      <c r="C60" s="155">
        <v>0.05</v>
      </c>
      <c r="D60" s="317">
        <f t="shared" ref="D60:K60" si="34">$C60</f>
        <v>0.05</v>
      </c>
      <c r="E60" s="317">
        <f t="shared" si="34"/>
        <v>0.05</v>
      </c>
      <c r="F60" s="317">
        <f t="shared" si="34"/>
        <v>0.05</v>
      </c>
      <c r="G60" s="317">
        <f t="shared" si="34"/>
        <v>0.05</v>
      </c>
      <c r="H60" s="317">
        <f t="shared" si="34"/>
        <v>0.05</v>
      </c>
      <c r="I60" s="317">
        <f t="shared" si="34"/>
        <v>0.05</v>
      </c>
      <c r="J60" s="317">
        <f t="shared" si="34"/>
        <v>0.05</v>
      </c>
      <c r="K60" s="317">
        <f t="shared" si="34"/>
        <v>0.05</v>
      </c>
      <c r="L60" s="829">
        <v>0.05</v>
      </c>
    </row>
    <row r="61" outlineLevel="1">
      <c r="A61" s="138" t="s">
        <v>257</v>
      </c>
      <c r="B61" s="581">
        <f t="shared" si="35"/>
        <v>0</v>
      </c>
      <c r="C61" s="155">
        <v>0.0</v>
      </c>
      <c r="D61" s="317">
        <f t="shared" ref="D61:L61" si="36">$C61</f>
        <v>0</v>
      </c>
      <c r="E61" s="317">
        <f t="shared" si="36"/>
        <v>0</v>
      </c>
      <c r="F61" s="317">
        <f t="shared" si="36"/>
        <v>0</v>
      </c>
      <c r="G61" s="317">
        <f t="shared" si="36"/>
        <v>0</v>
      </c>
      <c r="H61" s="317">
        <f t="shared" si="36"/>
        <v>0</v>
      </c>
      <c r="I61" s="317">
        <f t="shared" si="36"/>
        <v>0</v>
      </c>
      <c r="J61" s="317">
        <f t="shared" si="36"/>
        <v>0</v>
      </c>
      <c r="K61" s="317">
        <f t="shared" si="36"/>
        <v>0</v>
      </c>
      <c r="L61" s="317">
        <f t="shared" si="36"/>
        <v>0</v>
      </c>
    </row>
    <row r="62" outlineLevel="1">
      <c r="A62" s="138" t="s">
        <v>258</v>
      </c>
      <c r="B62" s="581">
        <f t="shared" si="35"/>
        <v>0</v>
      </c>
      <c r="C62" s="499">
        <v>0.0</v>
      </c>
      <c r="D62" s="317">
        <f t="shared" ref="D62:L62" si="37">$C62</f>
        <v>0</v>
      </c>
      <c r="E62" s="317">
        <f t="shared" si="37"/>
        <v>0</v>
      </c>
      <c r="F62" s="317">
        <f t="shared" si="37"/>
        <v>0</v>
      </c>
      <c r="G62" s="317">
        <f t="shared" si="37"/>
        <v>0</v>
      </c>
      <c r="H62" s="317">
        <f t="shared" si="37"/>
        <v>0</v>
      </c>
      <c r="I62" s="317">
        <f t="shared" si="37"/>
        <v>0</v>
      </c>
      <c r="J62" s="317">
        <f t="shared" si="37"/>
        <v>0</v>
      </c>
      <c r="K62" s="317">
        <f t="shared" si="37"/>
        <v>0</v>
      </c>
      <c r="L62" s="317">
        <f t="shared" si="37"/>
        <v>0</v>
      </c>
    </row>
    <row r="63" outlineLevel="1">
      <c r="A63" s="319" t="s">
        <v>259</v>
      </c>
      <c r="B63" s="582">
        <f t="shared" si="35"/>
        <v>0.05</v>
      </c>
      <c r="C63" s="321">
        <f t="shared" ref="C63:L63" si="38">SUM(C60:C62)</f>
        <v>0.05</v>
      </c>
      <c r="D63" s="321">
        <f t="shared" si="38"/>
        <v>0.05</v>
      </c>
      <c r="E63" s="321">
        <f t="shared" si="38"/>
        <v>0.05</v>
      </c>
      <c r="F63" s="321">
        <f t="shared" si="38"/>
        <v>0.05</v>
      </c>
      <c r="G63" s="321">
        <f t="shared" si="38"/>
        <v>0.05</v>
      </c>
      <c r="H63" s="321">
        <f t="shared" si="38"/>
        <v>0.05</v>
      </c>
      <c r="I63" s="321">
        <f t="shared" si="38"/>
        <v>0.05</v>
      </c>
      <c r="J63" s="321">
        <f t="shared" si="38"/>
        <v>0.05</v>
      </c>
      <c r="K63" s="321">
        <f t="shared" si="38"/>
        <v>0.05</v>
      </c>
      <c r="L63" s="321">
        <f t="shared" si="38"/>
        <v>0.05</v>
      </c>
    </row>
    <row r="64" outlineLevel="1">
      <c r="A64" s="138"/>
      <c r="B64" s="311"/>
      <c r="C64" s="299"/>
      <c r="D64" s="311"/>
      <c r="E64" s="311"/>
      <c r="F64" s="311"/>
      <c r="G64" s="311"/>
      <c r="H64" s="311"/>
      <c r="I64" s="311"/>
      <c r="J64" s="311"/>
      <c r="K64" s="311"/>
      <c r="L64" s="311"/>
    </row>
    <row r="65" outlineLevel="1">
      <c r="A65" s="312" t="s">
        <v>260</v>
      </c>
      <c r="B65" s="581" t="str">
        <f t="shared" ref="B65:B68" si="39">index(C65:Z65,,match($A$3,$C$1:$Z$1,0))</f>
        <v/>
      </c>
      <c r="C65" s="299"/>
      <c r="D65" s="311"/>
      <c r="E65" s="311"/>
      <c r="F65" s="311"/>
      <c r="G65" s="311"/>
      <c r="H65" s="311"/>
      <c r="I65" s="311"/>
      <c r="J65" s="311"/>
      <c r="K65" s="311"/>
      <c r="L65" s="311"/>
    </row>
    <row r="66" outlineLevel="1">
      <c r="A66" s="138" t="s">
        <v>261</v>
      </c>
      <c r="B66" s="581">
        <f t="shared" si="39"/>
        <v>0.08</v>
      </c>
      <c r="C66" s="155">
        <v>0.08</v>
      </c>
      <c r="D66" s="317">
        <f t="shared" ref="D66:L66" si="40">$C66</f>
        <v>0.08</v>
      </c>
      <c r="E66" s="317">
        <f t="shared" si="40"/>
        <v>0.08</v>
      </c>
      <c r="F66" s="317">
        <f t="shared" si="40"/>
        <v>0.08</v>
      </c>
      <c r="G66" s="317">
        <f t="shared" si="40"/>
        <v>0.08</v>
      </c>
      <c r="H66" s="317">
        <f t="shared" si="40"/>
        <v>0.08</v>
      </c>
      <c r="I66" s="317">
        <f t="shared" si="40"/>
        <v>0.08</v>
      </c>
      <c r="J66" s="317">
        <f t="shared" si="40"/>
        <v>0.08</v>
      </c>
      <c r="K66" s="317">
        <f t="shared" si="40"/>
        <v>0.08</v>
      </c>
      <c r="L66" s="317">
        <f t="shared" si="40"/>
        <v>0.08</v>
      </c>
    </row>
    <row r="67" outlineLevel="1">
      <c r="A67" s="138" t="s">
        <v>262</v>
      </c>
      <c r="B67" s="581">
        <f t="shared" si="39"/>
        <v>0.03</v>
      </c>
      <c r="C67" s="499">
        <v>0.03</v>
      </c>
      <c r="D67" s="317">
        <f t="shared" ref="D67:L67" si="41">$C67</f>
        <v>0.03</v>
      </c>
      <c r="E67" s="317">
        <f t="shared" si="41"/>
        <v>0.03</v>
      </c>
      <c r="F67" s="317">
        <f t="shared" si="41"/>
        <v>0.03</v>
      </c>
      <c r="G67" s="317">
        <f t="shared" si="41"/>
        <v>0.03</v>
      </c>
      <c r="H67" s="317">
        <f t="shared" si="41"/>
        <v>0.03</v>
      </c>
      <c r="I67" s="317">
        <f t="shared" si="41"/>
        <v>0.03</v>
      </c>
      <c r="J67" s="317">
        <f t="shared" si="41"/>
        <v>0.03</v>
      </c>
      <c r="K67" s="317">
        <f t="shared" si="41"/>
        <v>0.03</v>
      </c>
      <c r="L67" s="317">
        <f t="shared" si="41"/>
        <v>0.03</v>
      </c>
    </row>
    <row r="68" outlineLevel="1">
      <c r="A68" s="319" t="s">
        <v>263</v>
      </c>
      <c r="B68" s="582">
        <f t="shared" si="39"/>
        <v>0.11</v>
      </c>
      <c r="C68" s="321">
        <f t="shared" ref="C68:L68" si="42">sum(C65:C67)</f>
        <v>0.11</v>
      </c>
      <c r="D68" s="321">
        <f t="shared" si="42"/>
        <v>0.11</v>
      </c>
      <c r="E68" s="321">
        <f t="shared" si="42"/>
        <v>0.11</v>
      </c>
      <c r="F68" s="321">
        <f t="shared" si="42"/>
        <v>0.11</v>
      </c>
      <c r="G68" s="321">
        <f t="shared" si="42"/>
        <v>0.11</v>
      </c>
      <c r="H68" s="321">
        <f t="shared" si="42"/>
        <v>0.11</v>
      </c>
      <c r="I68" s="321">
        <f t="shared" si="42"/>
        <v>0.11</v>
      </c>
      <c r="J68" s="321">
        <f t="shared" si="42"/>
        <v>0.11</v>
      </c>
      <c r="K68" s="321">
        <f t="shared" si="42"/>
        <v>0.11</v>
      </c>
      <c r="L68" s="321">
        <f t="shared" si="42"/>
        <v>0.11</v>
      </c>
    </row>
    <row r="69" outlineLevel="1">
      <c r="A69" s="138"/>
      <c r="B69" s="311"/>
      <c r="C69" s="299"/>
      <c r="D69" s="311"/>
      <c r="E69" s="311"/>
      <c r="F69" s="311"/>
      <c r="G69" s="311"/>
      <c r="H69" s="311"/>
      <c r="I69" s="311"/>
      <c r="J69" s="311"/>
      <c r="K69" s="311"/>
      <c r="L69" s="311"/>
    </row>
    <row r="70" outlineLevel="1">
      <c r="A70" s="312" t="s">
        <v>264</v>
      </c>
      <c r="B70" s="311"/>
      <c r="C70" s="299"/>
      <c r="D70" s="311"/>
      <c r="E70" s="311"/>
      <c r="F70" s="311"/>
      <c r="G70" s="311"/>
      <c r="H70" s="311"/>
      <c r="I70" s="311"/>
      <c r="J70" s="311"/>
      <c r="K70" s="311"/>
      <c r="L70" s="311"/>
    </row>
    <row r="71" outlineLevel="1">
      <c r="A71" s="138" t="s">
        <v>265</v>
      </c>
      <c r="B71" s="581">
        <f t="shared" ref="B71:B74" si="44">index(C71:Z71,,match($A$3,$C$1:$Z$1,0))</f>
        <v>0.05</v>
      </c>
      <c r="C71" s="156">
        <v>0.05</v>
      </c>
      <c r="D71" s="317">
        <f t="shared" ref="D71:L71" si="43">$C71</f>
        <v>0.05</v>
      </c>
      <c r="E71" s="317">
        <f t="shared" si="43"/>
        <v>0.05</v>
      </c>
      <c r="F71" s="317">
        <f t="shared" si="43"/>
        <v>0.05</v>
      </c>
      <c r="G71" s="317">
        <f t="shared" si="43"/>
        <v>0.05</v>
      </c>
      <c r="H71" s="317">
        <f t="shared" si="43"/>
        <v>0.05</v>
      </c>
      <c r="I71" s="317">
        <f t="shared" si="43"/>
        <v>0.05</v>
      </c>
      <c r="J71" s="317">
        <f t="shared" si="43"/>
        <v>0.05</v>
      </c>
      <c r="K71" s="317">
        <f t="shared" si="43"/>
        <v>0.05</v>
      </c>
      <c r="L71" s="317">
        <f t="shared" si="43"/>
        <v>0.05</v>
      </c>
    </row>
    <row r="72" outlineLevel="1">
      <c r="A72" s="138" t="s">
        <v>266</v>
      </c>
      <c r="B72" s="581">
        <f t="shared" si="44"/>
        <v>0</v>
      </c>
      <c r="C72" s="155">
        <v>0.0</v>
      </c>
      <c r="D72" s="317">
        <f t="shared" ref="D72:L72" si="45">$C72</f>
        <v>0</v>
      </c>
      <c r="E72" s="317">
        <f t="shared" si="45"/>
        <v>0</v>
      </c>
      <c r="F72" s="317">
        <f t="shared" si="45"/>
        <v>0</v>
      </c>
      <c r="G72" s="317">
        <f t="shared" si="45"/>
        <v>0</v>
      </c>
      <c r="H72" s="317">
        <f t="shared" si="45"/>
        <v>0</v>
      </c>
      <c r="I72" s="317">
        <f t="shared" si="45"/>
        <v>0</v>
      </c>
      <c r="J72" s="317">
        <f t="shared" si="45"/>
        <v>0</v>
      </c>
      <c r="K72" s="317">
        <f t="shared" si="45"/>
        <v>0</v>
      </c>
      <c r="L72" s="317">
        <f t="shared" si="45"/>
        <v>0</v>
      </c>
    </row>
    <row r="73" outlineLevel="1">
      <c r="A73" s="138" t="s">
        <v>267</v>
      </c>
      <c r="B73" s="581">
        <f t="shared" si="44"/>
        <v>0.05</v>
      </c>
      <c r="C73" s="499">
        <v>0.05</v>
      </c>
      <c r="D73" s="317">
        <f t="shared" ref="D73:L73" si="46">$C73</f>
        <v>0.05</v>
      </c>
      <c r="E73" s="317">
        <f t="shared" si="46"/>
        <v>0.05</v>
      </c>
      <c r="F73" s="317">
        <f t="shared" si="46"/>
        <v>0.05</v>
      </c>
      <c r="G73" s="317">
        <f t="shared" si="46"/>
        <v>0.05</v>
      </c>
      <c r="H73" s="317">
        <f t="shared" si="46"/>
        <v>0.05</v>
      </c>
      <c r="I73" s="317">
        <f t="shared" si="46"/>
        <v>0.05</v>
      </c>
      <c r="J73" s="317">
        <f t="shared" si="46"/>
        <v>0.05</v>
      </c>
      <c r="K73" s="317">
        <f t="shared" si="46"/>
        <v>0.05</v>
      </c>
      <c r="L73" s="317">
        <f t="shared" si="46"/>
        <v>0.05</v>
      </c>
    </row>
    <row r="74" outlineLevel="1">
      <c r="A74" s="322" t="s">
        <v>268</v>
      </c>
      <c r="B74" s="582">
        <f t="shared" si="44"/>
        <v>0.1</v>
      </c>
      <c r="C74" s="321">
        <f t="shared" ref="C74:L74" si="47">sum(C71:C73)</f>
        <v>0.1</v>
      </c>
      <c r="D74" s="321">
        <f t="shared" si="47"/>
        <v>0.1</v>
      </c>
      <c r="E74" s="321">
        <f t="shared" si="47"/>
        <v>0.1</v>
      </c>
      <c r="F74" s="321">
        <f t="shared" si="47"/>
        <v>0.1</v>
      </c>
      <c r="G74" s="321">
        <f t="shared" si="47"/>
        <v>0.1</v>
      </c>
      <c r="H74" s="321">
        <f t="shared" si="47"/>
        <v>0.1</v>
      </c>
      <c r="I74" s="321">
        <f t="shared" si="47"/>
        <v>0.1</v>
      </c>
      <c r="J74" s="321">
        <f t="shared" si="47"/>
        <v>0.1</v>
      </c>
      <c r="K74" s="321">
        <f t="shared" si="47"/>
        <v>0.1</v>
      </c>
      <c r="L74" s="321">
        <f t="shared" si="47"/>
        <v>0.1</v>
      </c>
    </row>
    <row r="75" outlineLevel="1">
      <c r="A75" s="138"/>
      <c r="B75" s="311"/>
      <c r="C75" s="299"/>
      <c r="D75" s="311"/>
      <c r="E75" s="311"/>
      <c r="F75" s="311"/>
      <c r="G75" s="311"/>
      <c r="H75" s="311"/>
      <c r="I75" s="311"/>
      <c r="J75" s="311"/>
      <c r="K75" s="311"/>
      <c r="L75" s="311"/>
    </row>
    <row r="76">
      <c r="A76" s="112" t="s">
        <v>269</v>
      </c>
      <c r="B76" s="581">
        <f t="array" ref="B76">index(C76:Z76,,match($A$3,$C$1:$Z$1,0))</f>
        <v>0.74</v>
      </c>
      <c r="C76" s="153">
        <f t="shared" ref="C76:L76" si="48">1-sum(C63,C68,C74)</f>
        <v>0.74</v>
      </c>
      <c r="D76" s="153">
        <f t="shared" si="48"/>
        <v>0.74</v>
      </c>
      <c r="E76" s="153">
        <f t="shared" si="48"/>
        <v>0.74</v>
      </c>
      <c r="F76" s="153">
        <f t="shared" si="48"/>
        <v>0.74</v>
      </c>
      <c r="G76" s="153">
        <f t="shared" si="48"/>
        <v>0.74</v>
      </c>
      <c r="H76" s="153">
        <f t="shared" si="48"/>
        <v>0.74</v>
      </c>
      <c r="I76" s="153">
        <f t="shared" si="48"/>
        <v>0.74</v>
      </c>
      <c r="J76" s="153">
        <f t="shared" si="48"/>
        <v>0.74</v>
      </c>
      <c r="K76" s="153">
        <f t="shared" si="48"/>
        <v>0.74</v>
      </c>
      <c r="L76" s="153">
        <f t="shared" si="48"/>
        <v>0.74</v>
      </c>
    </row>
    <row r="77">
      <c r="A77" s="538"/>
      <c r="B77" s="786"/>
      <c r="C77" s="331"/>
      <c r="D77" s="331"/>
      <c r="E77" s="331"/>
      <c r="F77" s="331"/>
      <c r="G77" s="331"/>
      <c r="H77" s="331"/>
      <c r="I77" s="331"/>
      <c r="J77" s="331"/>
      <c r="K77" s="331"/>
      <c r="L77" s="331"/>
    </row>
    <row r="78">
      <c r="A78" s="241" t="s">
        <v>270</v>
      </c>
      <c r="B78" s="585"/>
      <c r="C78" s="586"/>
      <c r="D78" s="586"/>
      <c r="E78" s="586"/>
      <c r="F78" s="586"/>
      <c r="G78" s="586"/>
      <c r="H78" s="586"/>
      <c r="I78" s="586"/>
      <c r="J78" s="586"/>
      <c r="K78" s="586"/>
      <c r="L78" s="586"/>
    </row>
    <row r="79">
      <c r="A79" s="154" t="s">
        <v>603</v>
      </c>
      <c r="B79" s="713">
        <f t="shared" ref="B79:B80" si="50">index(C79:Z79,,match($A$3,$C$1:$Z$1,0))</f>
        <v>96.59600638</v>
      </c>
      <c r="C79" s="573">
        <f>sum(D79:L79)</f>
        <v>96.59600638</v>
      </c>
      <c r="D79" s="573">
        <f t="shared" ref="D79:L79" si="49">D40*D76</f>
        <v>2.461978211</v>
      </c>
      <c r="E79" s="573">
        <f t="shared" si="49"/>
        <v>13.31750664</v>
      </c>
      <c r="F79" s="573">
        <f t="shared" si="49"/>
        <v>5.700170261</v>
      </c>
      <c r="G79" s="573">
        <f t="shared" si="49"/>
        <v>0.9121040246</v>
      </c>
      <c r="H79" s="573">
        <f t="shared" si="49"/>
        <v>1.300145073</v>
      </c>
      <c r="I79" s="573">
        <f t="shared" si="49"/>
        <v>7.157161448</v>
      </c>
      <c r="J79" s="573">
        <f t="shared" si="49"/>
        <v>5.86935769</v>
      </c>
      <c r="K79" s="573">
        <f t="shared" si="49"/>
        <v>13.55902376</v>
      </c>
      <c r="L79" s="573">
        <f t="shared" si="49"/>
        <v>46.31855926</v>
      </c>
    </row>
    <row r="80">
      <c r="A80" s="154" t="s">
        <v>558</v>
      </c>
      <c r="B80" s="787">
        <f t="shared" si="50"/>
        <v>2581.160686</v>
      </c>
      <c r="C80" s="599">
        <f t="shared" ref="C80:L80" si="51">C17/C79</f>
        <v>2581.160686</v>
      </c>
      <c r="D80" s="599">
        <f t="shared" si="51"/>
        <v>3312.592738</v>
      </c>
      <c r="E80" s="599">
        <f t="shared" si="51"/>
        <v>3344.281825</v>
      </c>
      <c r="F80" s="599">
        <f t="shared" si="51"/>
        <v>3200.536893</v>
      </c>
      <c r="G80" s="599">
        <f t="shared" si="51"/>
        <v>4043.231288</v>
      </c>
      <c r="H80" s="599">
        <f t="shared" si="51"/>
        <v>4256.955351</v>
      </c>
      <c r="I80" s="599">
        <f t="shared" si="51"/>
        <v>5828.336625</v>
      </c>
      <c r="J80" s="599">
        <f t="shared" si="51"/>
        <v>1558.884202</v>
      </c>
      <c r="K80" s="599">
        <f t="shared" si="51"/>
        <v>1205.587792</v>
      </c>
      <c r="L80" s="599">
        <f t="shared" si="51"/>
        <v>2201.279318</v>
      </c>
    </row>
    <row r="81">
      <c r="A81" s="154"/>
      <c r="B81" s="690"/>
      <c r="C81" s="794"/>
      <c r="D81" s="583"/>
      <c r="E81" s="406"/>
      <c r="F81" s="406"/>
      <c r="G81" s="406"/>
      <c r="H81" s="406"/>
      <c r="I81" s="406"/>
      <c r="J81" s="406"/>
      <c r="K81" s="406"/>
      <c r="L81" s="406"/>
    </row>
    <row r="82">
      <c r="A82" s="96" t="s">
        <v>281</v>
      </c>
      <c r="B82" s="713">
        <f t="shared" ref="B82:B84" si="53">index(C82:Z82,,match($A$3,$C$1:$Z$1,0))</f>
        <v>13242.96723</v>
      </c>
      <c r="C82" s="573">
        <f>sum(D82:L82)</f>
        <v>13242.96723</v>
      </c>
      <c r="D82" s="573">
        <f t="shared" ref="D82:L82" si="52">sum(D42,D48)*D76</f>
        <v>323.6029115</v>
      </c>
      <c r="E82" s="573">
        <f t="shared" si="52"/>
        <v>1913.031164</v>
      </c>
      <c r="F82" s="573">
        <f t="shared" si="52"/>
        <v>803.7331832</v>
      </c>
      <c r="G82" s="573">
        <f t="shared" si="52"/>
        <v>124.0251585</v>
      </c>
      <c r="H82" s="573">
        <f t="shared" si="52"/>
        <v>175.2612191</v>
      </c>
      <c r="I82" s="573">
        <f t="shared" si="52"/>
        <v>1195.996833</v>
      </c>
      <c r="J82" s="573">
        <f t="shared" si="52"/>
        <v>764.3775059</v>
      </c>
      <c r="K82" s="573">
        <f t="shared" si="52"/>
        <v>1774.389534</v>
      </c>
      <c r="L82" s="573">
        <f t="shared" si="52"/>
        <v>6168.54972</v>
      </c>
    </row>
    <row r="83">
      <c r="A83" s="96" t="s">
        <v>252</v>
      </c>
      <c r="B83" s="788">
        <f t="shared" si="53"/>
        <v>0.05311425462</v>
      </c>
      <c r="C83" s="453">
        <f t="shared" ref="C83:L83" si="54">C82/C17</f>
        <v>0.05311425462</v>
      </c>
      <c r="D83" s="453">
        <f t="shared" si="54"/>
        <v>0.03967894988</v>
      </c>
      <c r="E83" s="453">
        <f t="shared" si="54"/>
        <v>0.04295327219</v>
      </c>
      <c r="F83" s="453">
        <f t="shared" si="54"/>
        <v>0.04405561147</v>
      </c>
      <c r="G83" s="453">
        <f t="shared" si="54"/>
        <v>0.03363077175</v>
      </c>
      <c r="H83" s="453">
        <f t="shared" si="54"/>
        <v>0.03166612478</v>
      </c>
      <c r="I83" s="453">
        <f t="shared" si="54"/>
        <v>0.02867111538</v>
      </c>
      <c r="J83" s="453">
        <f t="shared" si="54"/>
        <v>0.08354173014</v>
      </c>
      <c r="K83" s="453">
        <f t="shared" si="54"/>
        <v>0.1085479695</v>
      </c>
      <c r="L83" s="453">
        <f t="shared" si="54"/>
        <v>0.06049965168</v>
      </c>
    </row>
    <row r="84">
      <c r="A84" s="326" t="s">
        <v>275</v>
      </c>
      <c r="B84" s="716">
        <f t="shared" si="53"/>
        <v>15.4408994</v>
      </c>
      <c r="C84" s="584">
        <f t="array" ref="C84">C83/index(GiveDirectly!$B:$B,match("Units of value generated per dollar spent",GiveDirectly!$A:$A,0))</f>
        <v>15.4408994</v>
      </c>
      <c r="D84" s="584">
        <f t="array" ref="D84">D83/index(GiveDirectly!$B:$B,match("Units of value generated per dollar spent",GiveDirectly!$A:$A,0))</f>
        <v>11.53510819</v>
      </c>
      <c r="E84" s="584">
        <f t="array" ref="E84">E83/index(GiveDirectly!$B:$B,match("Units of value generated per dollar spent",GiveDirectly!$A:$A,0))</f>
        <v>12.48698979</v>
      </c>
      <c r="F84" s="584">
        <f t="array" ref="F84">F83/index(GiveDirectly!$B:$B,match("Units of value generated per dollar spent",GiveDirectly!$A:$A,0))</f>
        <v>12.80745197</v>
      </c>
      <c r="G84" s="584">
        <f t="array" ref="G84">G83/index(GiveDirectly!$B:$B,match("Units of value generated per dollar spent",GiveDirectly!$A:$A,0))</f>
        <v>9.776836125</v>
      </c>
      <c r="H84" s="584">
        <f t="array" ref="H84">H83/index(GiveDirectly!$B:$B,match("Units of value generated per dollar spent",GiveDirectly!$A:$A,0))</f>
        <v>9.205691592</v>
      </c>
      <c r="I84" s="584">
        <f t="array" ref="I84">I83/index(GiveDirectly!$B:$B,match("Units of value generated per dollar spent",GiveDirectly!$A:$A,0))</f>
        <v>8.335009341</v>
      </c>
      <c r="J84" s="584">
        <f t="array" ref="J84">J83/index(GiveDirectly!$B:$B,match("Units of value generated per dollar spent",GiveDirectly!$A:$A,0))</f>
        <v>24.286502</v>
      </c>
      <c r="K84" s="584">
        <f t="array" ref="K84">K83/index(GiveDirectly!$B:$B,match("Units of value generated per dollar spent",GiveDirectly!$A:$A,0))</f>
        <v>31.55609146</v>
      </c>
      <c r="L84" s="584">
        <f t="array" ref="L84">L83/index(GiveDirectly!$B:$B,match("Units of value generated per dollar spent",GiveDirectly!$A:$A,0))</f>
        <v>17.58791575</v>
      </c>
    </row>
    <row r="85">
      <c r="A85" s="154"/>
      <c r="B85" s="690"/>
      <c r="C85" s="406"/>
      <c r="D85" s="583"/>
      <c r="E85" s="406"/>
      <c r="F85" s="406"/>
      <c r="G85" s="406"/>
      <c r="H85" s="406"/>
      <c r="I85" s="406"/>
      <c r="J85" s="406"/>
      <c r="K85" s="406"/>
      <c r="L85" s="406"/>
    </row>
    <row r="86">
      <c r="A86" s="308" t="s">
        <v>604</v>
      </c>
      <c r="B86" s="309"/>
      <c r="C86" s="308"/>
      <c r="D86" s="308"/>
      <c r="E86" s="308"/>
      <c r="F86" s="308"/>
      <c r="G86" s="308"/>
      <c r="H86" s="308"/>
      <c r="I86" s="308"/>
      <c r="J86" s="308"/>
      <c r="K86" s="308"/>
      <c r="L86" s="308"/>
    </row>
    <row r="87" outlineLevel="1">
      <c r="A87" s="310" t="s">
        <v>277</v>
      </c>
      <c r="B87" s="330"/>
      <c r="C87" s="331"/>
      <c r="D87" s="331"/>
      <c r="E87" s="331"/>
      <c r="F87" s="331"/>
      <c r="G87" s="331"/>
      <c r="H87" s="331"/>
      <c r="I87" s="331"/>
      <c r="J87" s="331"/>
      <c r="K87" s="331"/>
      <c r="L87" s="331"/>
    </row>
    <row r="88" outlineLevel="1">
      <c r="A88" s="118" t="str">
        <f>IFERROR(__xludf.DUMMYFUNCTION("filter(InclusionExclusion!C:C,InclusionExclusion!A:A=""HKI"",InclusionExclusion!D:D=""Included"")"),"Mortality effects")</f>
        <v>Mortality effects</v>
      </c>
      <c r="B88" s="330"/>
      <c r="C88" s="331"/>
      <c r="D88" s="331"/>
      <c r="E88" s="331"/>
      <c r="F88" s="331"/>
      <c r="G88" s="331"/>
      <c r="H88" s="331"/>
      <c r="I88" s="331"/>
      <c r="J88" s="331"/>
      <c r="K88" s="331"/>
      <c r="L88" s="331"/>
    </row>
    <row r="89" outlineLevel="1">
      <c r="A89" s="112" t="str">
        <f>IFERROR(__xludf.DUMMYFUNCTION("""COMPUTED_VALUE"""),"Development effects")</f>
        <v>Development effects</v>
      </c>
      <c r="B89" s="330"/>
      <c r="C89" s="331"/>
      <c r="D89" s="331"/>
      <c r="E89" s="331"/>
      <c r="F89" s="331"/>
      <c r="G89" s="331"/>
      <c r="H89" s="331"/>
      <c r="I89" s="331"/>
      <c r="J89" s="331"/>
      <c r="K89" s="331"/>
      <c r="L89" s="331"/>
    </row>
    <row r="90" outlineLevel="1">
      <c r="A90" s="310"/>
      <c r="B90" s="330"/>
      <c r="C90" s="331"/>
      <c r="D90" s="331"/>
      <c r="E90" s="331"/>
      <c r="F90" s="331"/>
      <c r="G90" s="331"/>
      <c r="H90" s="331"/>
      <c r="I90" s="331"/>
      <c r="J90" s="331"/>
      <c r="K90" s="331"/>
      <c r="L90" s="331"/>
    </row>
    <row r="91" outlineLevel="1">
      <c r="A91" s="310" t="s">
        <v>278</v>
      </c>
      <c r="B91" s="330"/>
      <c r="C91" s="331"/>
      <c r="D91" s="331"/>
      <c r="E91" s="331"/>
      <c r="F91" s="331"/>
      <c r="G91" s="331"/>
      <c r="H91" s="331"/>
      <c r="I91" s="331"/>
      <c r="J91" s="331"/>
      <c r="K91" s="331"/>
      <c r="L91" s="331"/>
    </row>
    <row r="92" outlineLevel="1">
      <c r="A92" s="118" t="str">
        <f>IFERROR(__xludf.DUMMYFUNCTION("filter(InclusionExclusion!C:C,InclusionExclusion!A:A=""HKI"",InclusionExclusion!D:D=""Excluded"")"),"Short-term consequences of reduced infectious disease morbidity")</f>
        <v>Short-term consequences of reduced infectious disease morbidity</v>
      </c>
      <c r="B92" s="313">
        <f t="shared" ref="B92:B101" si="56">index(C92:Y92,,match($A$3,$C$1:$Y$1,0))</f>
        <v>0.06</v>
      </c>
      <c r="C92" s="314">
        <f t="array" ref="C92">iferror(if(isblank(A92),"",index(InclusionExclusion!$M:M,match(1,(InclusionExclusion!C:C=A92)*(InclusionExclusion!A:A="HKI"),0))),"Not specified")</f>
        <v>0.06</v>
      </c>
      <c r="D92" s="334">
        <f t="shared" ref="D92:L92" si="55">$C92</f>
        <v>0.06</v>
      </c>
      <c r="E92" s="334">
        <f t="shared" si="55"/>
        <v>0.06</v>
      </c>
      <c r="F92" s="334">
        <f t="shared" si="55"/>
        <v>0.06</v>
      </c>
      <c r="G92" s="334">
        <f t="shared" si="55"/>
        <v>0.06</v>
      </c>
      <c r="H92" s="334">
        <f t="shared" si="55"/>
        <v>0.06</v>
      </c>
      <c r="I92" s="334">
        <f t="shared" si="55"/>
        <v>0.06</v>
      </c>
      <c r="J92" s="334">
        <f t="shared" si="55"/>
        <v>0.06</v>
      </c>
      <c r="K92" s="334">
        <f t="shared" si="55"/>
        <v>0.06</v>
      </c>
      <c r="L92" s="334">
        <f t="shared" si="55"/>
        <v>0.06</v>
      </c>
    </row>
    <row r="93" outlineLevel="1">
      <c r="A93" s="176" t="str">
        <f>IFERROR(__xludf.DUMMYFUNCTION("""COMPUTED_VALUE"""),"Short-term anemia effects")</f>
        <v>Short-term anemia effects</v>
      </c>
      <c r="B93" s="313">
        <f t="shared" si="56"/>
        <v>0.09</v>
      </c>
      <c r="C93" s="314">
        <f t="array" ref="C93">iferror(if(isblank(A93),"",index(InclusionExclusion!$M:M,match(1,(InclusionExclusion!C:C=A93)*(InclusionExclusion!A:A="HKI"),0))),"Not specified")</f>
        <v>0.09</v>
      </c>
      <c r="D93" s="334">
        <f t="shared" ref="D93:L93" si="57">$C93</f>
        <v>0.09</v>
      </c>
      <c r="E93" s="334">
        <f t="shared" si="57"/>
        <v>0.09</v>
      </c>
      <c r="F93" s="334">
        <f t="shared" si="57"/>
        <v>0.09</v>
      </c>
      <c r="G93" s="334">
        <f t="shared" si="57"/>
        <v>0.09</v>
      </c>
      <c r="H93" s="334">
        <f t="shared" si="57"/>
        <v>0.09</v>
      </c>
      <c r="I93" s="334">
        <f t="shared" si="57"/>
        <v>0.09</v>
      </c>
      <c r="J93" s="334">
        <f t="shared" si="57"/>
        <v>0.09</v>
      </c>
      <c r="K93" s="334">
        <f t="shared" si="57"/>
        <v>0.09</v>
      </c>
      <c r="L93" s="334">
        <f t="shared" si="57"/>
        <v>0.09</v>
      </c>
    </row>
    <row r="94" outlineLevel="1">
      <c r="A94" s="176" t="str">
        <f>IFERROR(__xludf.DUMMYFUNCTION("""COMPUTED_VALUE"""),"Investment of income increases")</f>
        <v>Investment of income increases</v>
      </c>
      <c r="B94" s="313">
        <f t="shared" si="56"/>
        <v>0.03</v>
      </c>
      <c r="C94" s="314">
        <f t="array" ref="C94">iferror(if(isblank(A94),"",index(InclusionExclusion!$M:M,match(1,(InclusionExclusion!C:C=A94)*(InclusionExclusion!A:A="HKI"),0))),"Not specified")</f>
        <v>0.03</v>
      </c>
      <c r="D94" s="334">
        <f t="shared" ref="D94:L94" si="58">$C94</f>
        <v>0.03</v>
      </c>
      <c r="E94" s="334">
        <f t="shared" si="58"/>
        <v>0.03</v>
      </c>
      <c r="F94" s="334">
        <f t="shared" si="58"/>
        <v>0.03</v>
      </c>
      <c r="G94" s="334">
        <f t="shared" si="58"/>
        <v>0.03</v>
      </c>
      <c r="H94" s="334">
        <f t="shared" si="58"/>
        <v>0.03</v>
      </c>
      <c r="I94" s="334">
        <f t="shared" si="58"/>
        <v>0.03</v>
      </c>
      <c r="J94" s="334">
        <f t="shared" si="58"/>
        <v>0.03</v>
      </c>
      <c r="K94" s="334">
        <f t="shared" si="58"/>
        <v>0.03</v>
      </c>
      <c r="L94" s="334">
        <f t="shared" si="58"/>
        <v>0.03</v>
      </c>
    </row>
    <row r="95" outlineLevel="1">
      <c r="A95" s="176" t="str">
        <f>IFERROR(__xludf.DUMMYFUNCTION("""COMPUTED_VALUE"""),"Vision benefits")</f>
        <v>Vision benefits</v>
      </c>
      <c r="B95" s="313">
        <f t="shared" si="56"/>
        <v>0.09</v>
      </c>
      <c r="C95" s="314">
        <f t="array" ref="C95">iferror(if(isblank(A95),"",index(InclusionExclusion!$M:M,match(1,(InclusionExclusion!C:C=A95)*(InclusionExclusion!A:A="HKI"),0))),"Not specified")</f>
        <v>0.09</v>
      </c>
      <c r="D95" s="334">
        <f t="shared" ref="D95:L95" si="59">$C95</f>
        <v>0.09</v>
      </c>
      <c r="E95" s="334">
        <f t="shared" si="59"/>
        <v>0.09</v>
      </c>
      <c r="F95" s="334">
        <f t="shared" si="59"/>
        <v>0.09</v>
      </c>
      <c r="G95" s="334">
        <f t="shared" si="59"/>
        <v>0.09</v>
      </c>
      <c r="H95" s="334">
        <f t="shared" si="59"/>
        <v>0.09</v>
      </c>
      <c r="I95" s="334">
        <f t="shared" si="59"/>
        <v>0.09</v>
      </c>
      <c r="J95" s="334">
        <f t="shared" si="59"/>
        <v>0.09</v>
      </c>
      <c r="K95" s="334">
        <f t="shared" si="59"/>
        <v>0.09</v>
      </c>
      <c r="L95" s="334">
        <f t="shared" si="59"/>
        <v>0.09</v>
      </c>
    </row>
    <row r="96" outlineLevel="1">
      <c r="A96" s="176" t="str">
        <f>IFERROR(__xludf.DUMMYFUNCTION("""COMPUTED_VALUE"""),"Benefits from other programs supported by our funding (e.g. deworming, immunizations)")</f>
        <v>Benefits from other programs supported by our funding (e.g. deworming, immunizations)</v>
      </c>
      <c r="B96" s="313">
        <f t="shared" si="56"/>
        <v>0.18</v>
      </c>
      <c r="C96" s="314">
        <f t="array" ref="C96">iferror(if(isblank(A96),"",index(InclusionExclusion!$M:M,match(1,(InclusionExclusion!C:C=A96)*(InclusionExclusion!A:A="HKI"),0))),"Not specified")</f>
        <v>0.18</v>
      </c>
      <c r="D96" s="334">
        <f t="shared" ref="D96:L96" si="60">$C96</f>
        <v>0.18</v>
      </c>
      <c r="E96" s="334">
        <f t="shared" si="60"/>
        <v>0.18</v>
      </c>
      <c r="F96" s="334">
        <f t="shared" si="60"/>
        <v>0.18</v>
      </c>
      <c r="G96" s="334">
        <f t="shared" si="60"/>
        <v>0.18</v>
      </c>
      <c r="H96" s="334">
        <f t="shared" si="60"/>
        <v>0.18</v>
      </c>
      <c r="I96" s="334">
        <f t="shared" si="60"/>
        <v>0.18</v>
      </c>
      <c r="J96" s="334">
        <f t="shared" si="60"/>
        <v>0.18</v>
      </c>
      <c r="K96" s="334">
        <f t="shared" si="60"/>
        <v>0.18</v>
      </c>
      <c r="L96" s="334">
        <f t="shared" si="60"/>
        <v>0.18</v>
      </c>
    </row>
    <row r="97" outlineLevel="1">
      <c r="A97" s="96" t="str">
        <f>IFERROR(__xludf.DUMMYFUNCTION("""COMPUTED_VALUE"""),"Interaction between VAS and vaccines")</f>
        <v>Interaction between VAS and vaccines</v>
      </c>
      <c r="B97" s="313">
        <f t="shared" si="56"/>
        <v>0.015</v>
      </c>
      <c r="C97" s="314">
        <f t="array" ref="C97">iferror(if(isblank(A97),"",index(InclusionExclusion!$M:M,match(1,(InclusionExclusion!C:C=A97)*(InclusionExclusion!A:A="HKI"),0))),"Not specified")</f>
        <v>0.015</v>
      </c>
      <c r="D97" s="334">
        <f t="shared" ref="D97:L97" si="61">$C97</f>
        <v>0.015</v>
      </c>
      <c r="E97" s="334">
        <f t="shared" si="61"/>
        <v>0.015</v>
      </c>
      <c r="F97" s="334">
        <f t="shared" si="61"/>
        <v>0.015</v>
      </c>
      <c r="G97" s="334">
        <f t="shared" si="61"/>
        <v>0.015</v>
      </c>
      <c r="H97" s="334">
        <f t="shared" si="61"/>
        <v>0.015</v>
      </c>
      <c r="I97" s="334">
        <f t="shared" si="61"/>
        <v>0.015</v>
      </c>
      <c r="J97" s="334">
        <f t="shared" si="61"/>
        <v>0.015</v>
      </c>
      <c r="K97" s="334">
        <f t="shared" si="61"/>
        <v>0.015</v>
      </c>
      <c r="L97" s="334">
        <f t="shared" si="61"/>
        <v>0.015</v>
      </c>
    </row>
    <row r="98" outlineLevel="1">
      <c r="A98" s="176" t="str">
        <f>IFERROR(__xludf.DUMMYFUNCTION("""COMPUTED_VALUE"""),"Effect on fertility")</f>
        <v>Effect on fertility</v>
      </c>
      <c r="B98" s="313" t="str">
        <f t="shared" si="56"/>
        <v>Not specified</v>
      </c>
      <c r="C98" s="314" t="str">
        <f t="array" ref="C98">iferror(if(isblank(A98),"",index(InclusionExclusion!$M:M,match(1,(InclusionExclusion!C:C=A98)*(InclusionExclusion!A:A="HKI"),0))),"Not specified")</f>
        <v>Not specified</v>
      </c>
      <c r="D98" s="334" t="str">
        <f t="shared" ref="D98:L98" si="62">$C98</f>
        <v>Not specified</v>
      </c>
      <c r="E98" s="334" t="str">
        <f t="shared" si="62"/>
        <v>Not specified</v>
      </c>
      <c r="F98" s="334" t="str">
        <f t="shared" si="62"/>
        <v>Not specified</v>
      </c>
      <c r="G98" s="334" t="str">
        <f t="shared" si="62"/>
        <v>Not specified</v>
      </c>
      <c r="H98" s="334" t="str">
        <f t="shared" si="62"/>
        <v>Not specified</v>
      </c>
      <c r="I98" s="334" t="str">
        <f t="shared" si="62"/>
        <v>Not specified</v>
      </c>
      <c r="J98" s="334" t="str">
        <f t="shared" si="62"/>
        <v>Not specified</v>
      </c>
      <c r="K98" s="334" t="str">
        <f t="shared" si="62"/>
        <v>Not specified</v>
      </c>
      <c r="L98" s="334" t="str">
        <f t="shared" si="62"/>
        <v>Not specified</v>
      </c>
    </row>
    <row r="99" outlineLevel="1">
      <c r="A99" s="176" t="str">
        <f>IFERROR(__xludf.DUMMYFUNCTION("""COMPUTED_VALUE"""),"Treatment costs averted from prevention")</f>
        <v>Treatment costs averted from prevention</v>
      </c>
      <c r="B99" s="313">
        <f t="shared" si="56"/>
        <v>0.06</v>
      </c>
      <c r="C99" s="314">
        <f t="array" ref="C99">iferror(if(isblank(A99),"",index(InclusionExclusion!$M:M,match(1,(InclusionExclusion!C:C=A99)*(InclusionExclusion!A:A="HKI"),0))),"Not specified")</f>
        <v>0.06</v>
      </c>
      <c r="D99" s="334">
        <f t="shared" ref="D99:L99" si="63">$C99</f>
        <v>0.06</v>
      </c>
      <c r="E99" s="334">
        <f t="shared" si="63"/>
        <v>0.06</v>
      </c>
      <c r="F99" s="334">
        <f t="shared" si="63"/>
        <v>0.06</v>
      </c>
      <c r="G99" s="334">
        <f t="shared" si="63"/>
        <v>0.06</v>
      </c>
      <c r="H99" s="334">
        <f t="shared" si="63"/>
        <v>0.06</v>
      </c>
      <c r="I99" s="334">
        <f t="shared" si="63"/>
        <v>0.06</v>
      </c>
      <c r="J99" s="334">
        <f t="shared" si="63"/>
        <v>0.06</v>
      </c>
      <c r="K99" s="334">
        <f t="shared" si="63"/>
        <v>0.06</v>
      </c>
      <c r="L99" s="334">
        <f t="shared" si="63"/>
        <v>0.06</v>
      </c>
    </row>
    <row r="100" outlineLevel="1">
      <c r="A100" s="176" t="str">
        <f>IFERROR(__xludf.DUMMYFUNCTION("""COMPUTED_VALUE"""),"Marginal funding goes to lower priority areas")</f>
        <v>Marginal funding goes to lower priority areas</v>
      </c>
      <c r="B100" s="313">
        <f t="shared" si="56"/>
        <v>0</v>
      </c>
      <c r="C100" s="314">
        <f t="array" ref="C100">iferror(if(isblank(A100),"",index(InclusionExclusion!$M:M,match(1,(InclusionExclusion!C:C=A100)*(InclusionExclusion!A:A="HKI"),0))),"Not specified")</f>
        <v>0</v>
      </c>
      <c r="D100" s="334">
        <f t="shared" ref="D100:L100" si="64">$C100</f>
        <v>0</v>
      </c>
      <c r="E100" s="334">
        <f t="shared" si="64"/>
        <v>0</v>
      </c>
      <c r="F100" s="334">
        <f t="shared" si="64"/>
        <v>0</v>
      </c>
      <c r="G100" s="334">
        <f t="shared" si="64"/>
        <v>0</v>
      </c>
      <c r="H100" s="334">
        <f t="shared" si="64"/>
        <v>0</v>
      </c>
      <c r="I100" s="334">
        <f t="shared" si="64"/>
        <v>0</v>
      </c>
      <c r="J100" s="334">
        <f t="shared" si="64"/>
        <v>0</v>
      </c>
      <c r="K100" s="334">
        <f t="shared" si="64"/>
        <v>0</v>
      </c>
      <c r="L100" s="334">
        <f t="shared" si="64"/>
        <v>0</v>
      </c>
    </row>
    <row r="101">
      <c r="A101" s="335" t="s">
        <v>279</v>
      </c>
      <c r="B101" s="315">
        <f t="shared" si="56"/>
        <v>1.525</v>
      </c>
      <c r="C101" s="153">
        <f t="shared" ref="C101:L101" si="65">1+sum(C91:C100)</f>
        <v>1.525</v>
      </c>
      <c r="D101" s="153">
        <f t="shared" si="65"/>
        <v>1.525</v>
      </c>
      <c r="E101" s="153">
        <f t="shared" si="65"/>
        <v>1.525</v>
      </c>
      <c r="F101" s="153">
        <f t="shared" si="65"/>
        <v>1.525</v>
      </c>
      <c r="G101" s="153">
        <f t="shared" si="65"/>
        <v>1.525</v>
      </c>
      <c r="H101" s="153">
        <f t="shared" si="65"/>
        <v>1.525</v>
      </c>
      <c r="I101" s="153">
        <f t="shared" si="65"/>
        <v>1.525</v>
      </c>
      <c r="J101" s="153">
        <f t="shared" si="65"/>
        <v>1.525</v>
      </c>
      <c r="K101" s="153">
        <f t="shared" si="65"/>
        <v>1.525</v>
      </c>
      <c r="L101" s="153">
        <f t="shared" si="65"/>
        <v>1.525</v>
      </c>
    </row>
    <row r="102">
      <c r="A102" s="154"/>
      <c r="B102" s="690"/>
      <c r="C102" s="406"/>
      <c r="D102" s="583"/>
      <c r="E102" s="406"/>
      <c r="F102" s="406"/>
      <c r="G102" s="406"/>
      <c r="H102" s="406"/>
      <c r="I102" s="406"/>
      <c r="J102" s="406"/>
      <c r="K102" s="406"/>
      <c r="L102" s="406"/>
    </row>
    <row r="103">
      <c r="A103" s="308" t="s">
        <v>280</v>
      </c>
      <c r="B103" s="585"/>
      <c r="C103" s="586"/>
      <c r="D103" s="586"/>
      <c r="E103" s="586"/>
      <c r="F103" s="586"/>
      <c r="G103" s="586"/>
      <c r="H103" s="586"/>
      <c r="I103" s="586"/>
      <c r="J103" s="586"/>
      <c r="K103" s="586"/>
      <c r="L103" s="586"/>
    </row>
    <row r="104">
      <c r="A104" s="638"/>
      <c r="B104" s="587"/>
      <c r="C104" s="407"/>
      <c r="D104" s="407"/>
      <c r="E104" s="407"/>
      <c r="F104" s="407"/>
      <c r="G104" s="407"/>
      <c r="H104" s="407"/>
      <c r="I104" s="407"/>
      <c r="J104" s="407"/>
      <c r="K104" s="407"/>
      <c r="L104" s="407"/>
    </row>
    <row r="105">
      <c r="A105" s="154" t="s">
        <v>605</v>
      </c>
      <c r="B105" s="490">
        <f t="shared" ref="B105:B106" si="67">index(A105:L105,,match($A$3,$A$1:$L$1,0))</f>
        <v>20195.52502</v>
      </c>
      <c r="C105" s="830">
        <f>sum(D105:L105)</f>
        <v>20195.52502</v>
      </c>
      <c r="D105" s="573">
        <f t="shared" ref="D105:L105" si="66">D82*D101</f>
        <v>493.49444</v>
      </c>
      <c r="E105" s="573">
        <f t="shared" si="66"/>
        <v>2917.372525</v>
      </c>
      <c r="F105" s="573">
        <f t="shared" si="66"/>
        <v>1225.693104</v>
      </c>
      <c r="G105" s="573">
        <f t="shared" si="66"/>
        <v>189.1383668</v>
      </c>
      <c r="H105" s="573">
        <f t="shared" si="66"/>
        <v>267.2733592</v>
      </c>
      <c r="I105" s="573">
        <f t="shared" si="66"/>
        <v>1823.895171</v>
      </c>
      <c r="J105" s="573">
        <f t="shared" si="66"/>
        <v>1165.675696</v>
      </c>
      <c r="K105" s="573">
        <f t="shared" si="66"/>
        <v>2705.944039</v>
      </c>
      <c r="L105" s="573">
        <f t="shared" si="66"/>
        <v>9407.038322</v>
      </c>
    </row>
    <row r="106">
      <c r="A106" s="118" t="s">
        <v>447</v>
      </c>
      <c r="B106" s="487">
        <f t="shared" si="67"/>
        <v>0.0809992383</v>
      </c>
      <c r="C106" s="819">
        <f t="shared" ref="C106:L106" si="68">C105/C17</f>
        <v>0.0809992383</v>
      </c>
      <c r="D106" s="819">
        <f t="shared" si="68"/>
        <v>0.06051039857</v>
      </c>
      <c r="E106" s="819">
        <f t="shared" si="68"/>
        <v>0.0655037401</v>
      </c>
      <c r="F106" s="819">
        <f t="shared" si="68"/>
        <v>0.06718480749</v>
      </c>
      <c r="G106" s="819">
        <f t="shared" si="68"/>
        <v>0.05128692691</v>
      </c>
      <c r="H106" s="819">
        <f t="shared" si="68"/>
        <v>0.04829084029</v>
      </c>
      <c r="I106" s="819">
        <f t="shared" si="68"/>
        <v>0.04372345096</v>
      </c>
      <c r="J106" s="819">
        <f t="shared" si="68"/>
        <v>0.1274011385</v>
      </c>
      <c r="K106" s="819">
        <f t="shared" si="68"/>
        <v>0.1655356534</v>
      </c>
      <c r="L106" s="819">
        <f t="shared" si="68"/>
        <v>0.09226196881</v>
      </c>
    </row>
    <row r="107">
      <c r="A107" s="326"/>
      <c r="B107" s="831"/>
      <c r="C107" s="832"/>
      <c r="D107" s="659"/>
      <c r="E107" s="659"/>
      <c r="F107" s="659"/>
      <c r="G107" s="659"/>
      <c r="H107" s="659"/>
      <c r="I107" s="659"/>
      <c r="J107" s="659"/>
      <c r="K107" s="659"/>
      <c r="L107" s="659"/>
    </row>
    <row r="108">
      <c r="A108" s="304" t="s">
        <v>282</v>
      </c>
      <c r="B108" s="306">
        <f t="array" ref="B108">index(C108:AA108,,match($A$3,$C$1:$AA$1,0))</f>
        <v>23.54737159</v>
      </c>
      <c r="C108" s="307">
        <f t="array" ref="C108">C106/index(GiveDirectly!$B:$B,match("Units of value generated per dollar spent",GiveDirectly!$A:$A,0))</f>
        <v>23.54737159</v>
      </c>
      <c r="D108" s="307">
        <f t="array" ref="D108">D106/index(GiveDirectly!$B:$B,match("Units of value generated per dollar spent",GiveDirectly!$A:$A,0))</f>
        <v>17.59103999</v>
      </c>
      <c r="E108" s="307">
        <f t="array" ref="E108">E106/index(GiveDirectly!$B:$B,match("Units of value generated per dollar spent",GiveDirectly!$A:$A,0))</f>
        <v>19.04265942</v>
      </c>
      <c r="F108" s="307">
        <f t="array" ref="F108">F106/index(GiveDirectly!$B:$B,match("Units of value generated per dollar spent",GiveDirectly!$A:$A,0))</f>
        <v>19.53136425</v>
      </c>
      <c r="G108" s="307">
        <f t="array" ref="G108">G106/index(GiveDirectly!$B:$B,match("Units of value generated per dollar spent",GiveDirectly!$A:$A,0))</f>
        <v>14.90967509</v>
      </c>
      <c r="H108" s="307">
        <f t="array" ref="H108">H106/index(GiveDirectly!$B:$B,match("Units of value generated per dollar spent",GiveDirectly!$A:$A,0))</f>
        <v>14.03867968</v>
      </c>
      <c r="I108" s="307">
        <f t="array" ref="I108">I106/index(GiveDirectly!$B:$B,match("Units of value generated per dollar spent",GiveDirectly!$A:$A,0))</f>
        <v>12.71088924</v>
      </c>
      <c r="J108" s="307">
        <f t="array" ref="J108">J106/index(GiveDirectly!$B:$B,match("Units of value generated per dollar spent",GiveDirectly!$A:$A,0))</f>
        <v>37.03691555</v>
      </c>
      <c r="K108" s="307">
        <f t="array" ref="K108">K106/index(GiveDirectly!$B:$B,match("Units of value generated per dollar spent",GiveDirectly!$A:$A,0))</f>
        <v>48.12303947</v>
      </c>
      <c r="L108" s="307">
        <f t="array" ref="L108">L106/index(GiveDirectly!$B:$B,match("Units of value generated per dollar spent",GiveDirectly!$A:$A,0))</f>
        <v>26.82157152</v>
      </c>
    </row>
    <row r="109">
      <c r="A109" s="10"/>
      <c r="B109" s="690"/>
      <c r="C109" s="406"/>
      <c r="D109" s="406"/>
      <c r="E109" s="406"/>
      <c r="F109" s="406"/>
      <c r="G109" s="406"/>
      <c r="H109" s="406"/>
      <c r="I109" s="406"/>
      <c r="J109" s="406"/>
      <c r="K109" s="406"/>
      <c r="L109" s="406"/>
    </row>
    <row r="110">
      <c r="A110" s="241" t="s">
        <v>371</v>
      </c>
      <c r="B110" s="585"/>
      <c r="C110" s="586"/>
      <c r="D110" s="586"/>
      <c r="E110" s="586"/>
      <c r="F110" s="586"/>
      <c r="G110" s="586"/>
      <c r="H110" s="586"/>
      <c r="I110" s="586"/>
      <c r="J110" s="586"/>
      <c r="K110" s="586"/>
      <c r="L110" s="586"/>
    </row>
    <row r="111" outlineLevel="1">
      <c r="A111" s="407"/>
      <c r="B111" s="587"/>
      <c r="C111" s="407"/>
      <c r="E111" s="407"/>
      <c r="F111" s="407"/>
      <c r="G111" s="407"/>
      <c r="I111" s="407"/>
      <c r="J111" s="407"/>
      <c r="K111" s="407"/>
      <c r="L111" s="407"/>
    </row>
    <row r="112" outlineLevel="1">
      <c r="A112" s="588" t="s">
        <v>372</v>
      </c>
      <c r="B112" s="833"/>
      <c r="C112" s="833"/>
      <c r="D112" s="834"/>
      <c r="E112" s="605"/>
      <c r="F112" s="605"/>
      <c r="G112" s="605"/>
      <c r="I112" s="605"/>
      <c r="K112" s="605"/>
      <c r="L112" s="605"/>
    </row>
    <row r="113" outlineLevel="1">
      <c r="A113" s="835" t="s">
        <v>29</v>
      </c>
      <c r="B113" s="836">
        <f t="shared" ref="B113:B118" si="70">index(A113:L113,,match($A$3,$A$1:$L$1,0))</f>
        <v>0.4381550055</v>
      </c>
      <c r="C113" s="837">
        <f t="shared" ref="C113:L113" si="69">C8*C18</f>
        <v>0.4381550055</v>
      </c>
      <c r="D113" s="837">
        <f t="shared" si="69"/>
        <v>0.7282878957</v>
      </c>
      <c r="E113" s="837">
        <f t="shared" si="69"/>
        <v>0.4508481936</v>
      </c>
      <c r="F113" s="837">
        <f t="shared" si="69"/>
        <v>0.4508481936</v>
      </c>
      <c r="G113" s="837">
        <f t="shared" si="69"/>
        <v>0.5410178322</v>
      </c>
      <c r="H113" s="837">
        <f t="shared" si="69"/>
        <v>0.6406433917</v>
      </c>
      <c r="I113" s="837">
        <f t="shared" si="69"/>
        <v>0.4508481936</v>
      </c>
      <c r="J113" s="837">
        <f t="shared" si="69"/>
        <v>0.3566206723</v>
      </c>
      <c r="K113" s="837">
        <f t="shared" si="69"/>
        <v>0.1824005422</v>
      </c>
      <c r="L113" s="837">
        <f t="shared" si="69"/>
        <v>0.4508481936</v>
      </c>
    </row>
    <row r="114" outlineLevel="1">
      <c r="A114" s="838" t="s">
        <v>606</v>
      </c>
      <c r="B114" s="839">
        <f t="shared" si="70"/>
        <v>0.06433019203</v>
      </c>
      <c r="C114" s="840">
        <f t="shared" ref="C114:L114" si="71">C9*C$18</f>
        <v>0.06433019203</v>
      </c>
      <c r="D114" s="840">
        <f t="shared" si="71"/>
        <v>0.06067348949</v>
      </c>
      <c r="E114" s="840">
        <f t="shared" si="71"/>
        <v>0.06486709102</v>
      </c>
      <c r="F114" s="840">
        <f t="shared" si="71"/>
        <v>0.06486709102</v>
      </c>
      <c r="G114" s="840">
        <f t="shared" si="71"/>
        <v>0.0778405092</v>
      </c>
      <c r="H114" s="840">
        <f t="shared" si="71"/>
        <v>0.06067348949</v>
      </c>
      <c r="I114" s="840">
        <f t="shared" si="71"/>
        <v>0.06486709102</v>
      </c>
      <c r="J114" s="840">
        <f t="shared" si="71"/>
        <v>0.06067348949</v>
      </c>
      <c r="K114" s="840">
        <f t="shared" si="71"/>
        <v>0.06067348949</v>
      </c>
      <c r="L114" s="840">
        <f t="shared" si="71"/>
        <v>0.06486709102</v>
      </c>
    </row>
    <row r="115" outlineLevel="1">
      <c r="A115" s="835" t="s">
        <v>373</v>
      </c>
      <c r="B115" s="836">
        <f t="shared" si="70"/>
        <v>0.2362415035</v>
      </c>
      <c r="C115" s="837">
        <f t="shared" ref="C115:L115" si="72">C10*C18</f>
        <v>0.2362415035</v>
      </c>
      <c r="D115" s="837">
        <f t="shared" si="72"/>
        <v>0.01525063994</v>
      </c>
      <c r="E115" s="837">
        <f t="shared" si="72"/>
        <v>0.2293864395</v>
      </c>
      <c r="F115" s="837">
        <f t="shared" si="72"/>
        <v>0.2293864395</v>
      </c>
      <c r="G115" s="837">
        <f t="shared" si="72"/>
        <v>0.2752637274</v>
      </c>
      <c r="H115" s="837">
        <f t="shared" si="72"/>
        <v>0.2674355998</v>
      </c>
      <c r="I115" s="837">
        <f t="shared" si="72"/>
        <v>0.2293864395</v>
      </c>
      <c r="J115" s="837">
        <f t="shared" si="72"/>
        <v>0.1273579496</v>
      </c>
      <c r="K115" s="837">
        <f t="shared" si="72"/>
        <v>0.4563338655</v>
      </c>
      <c r="L115" s="837">
        <f t="shared" si="72"/>
        <v>0.2293864395</v>
      </c>
    </row>
    <row r="116" outlineLevel="1">
      <c r="A116" s="838" t="s">
        <v>607</v>
      </c>
      <c r="B116" s="839">
        <f t="shared" si="70"/>
        <v>0.02598904137</v>
      </c>
      <c r="C116" s="840">
        <f t="shared" ref="C116:L116" si="73">C11*C$18</f>
        <v>0.02598904137</v>
      </c>
      <c r="D116" s="840">
        <f t="shared" si="73"/>
        <v>0.1905531079</v>
      </c>
      <c r="E116" s="840">
        <f t="shared" si="73"/>
        <v>0.02533859297</v>
      </c>
      <c r="F116" s="840">
        <f t="shared" si="73"/>
        <v>0.02533859297</v>
      </c>
      <c r="G116" s="840">
        <f t="shared" si="73"/>
        <v>0.03040631156</v>
      </c>
      <c r="H116" s="840">
        <f t="shared" si="73"/>
        <v>0</v>
      </c>
      <c r="I116" s="840">
        <f t="shared" si="73"/>
        <v>0.02533859297</v>
      </c>
      <c r="J116" s="840">
        <f t="shared" si="73"/>
        <v>0</v>
      </c>
      <c r="K116" s="840">
        <f t="shared" si="73"/>
        <v>0</v>
      </c>
      <c r="L116" s="840">
        <f t="shared" si="73"/>
        <v>0.02533859297</v>
      </c>
    </row>
    <row r="117" outlineLevel="1">
      <c r="A117" s="841" t="s">
        <v>608</v>
      </c>
      <c r="B117" s="842">
        <f t="shared" si="70"/>
        <v>0.3277353182</v>
      </c>
      <c r="C117" s="843">
        <f t="shared" ref="C117:L117" si="74">C12*C$18</f>
        <v>0.3277353182</v>
      </c>
      <c r="D117" s="843">
        <f t="shared" si="74"/>
        <v>0.4263279142</v>
      </c>
      <c r="E117" s="843">
        <f t="shared" si="74"/>
        <v>0.3301887073</v>
      </c>
      <c r="F117" s="843">
        <f t="shared" si="74"/>
        <v>0.3301887073</v>
      </c>
      <c r="G117" s="843">
        <f t="shared" si="74"/>
        <v>0.3962264487</v>
      </c>
      <c r="H117" s="843">
        <f t="shared" si="74"/>
        <v>0.4151796348</v>
      </c>
      <c r="I117" s="843">
        <f t="shared" si="74"/>
        <v>0.3301887073</v>
      </c>
      <c r="J117" s="843">
        <f t="shared" si="74"/>
        <v>0.2334223335</v>
      </c>
      <c r="K117" s="843">
        <f t="shared" si="74"/>
        <v>0.2997462416</v>
      </c>
      <c r="L117" s="843">
        <f t="shared" si="74"/>
        <v>0.3301887073</v>
      </c>
    </row>
    <row r="118" outlineLevel="1">
      <c r="A118" s="844" t="s">
        <v>377</v>
      </c>
      <c r="B118" s="845">
        <f t="shared" si="70"/>
        <v>1.092451061</v>
      </c>
      <c r="C118" s="846">
        <f t="shared" ref="C118:L118" si="75">sum(C113:C117)</f>
        <v>1.092451061</v>
      </c>
      <c r="D118" s="846">
        <f t="shared" si="75"/>
        <v>1.421093047</v>
      </c>
      <c r="E118" s="846">
        <f t="shared" si="75"/>
        <v>1.100629024</v>
      </c>
      <c r="F118" s="846">
        <f t="shared" si="75"/>
        <v>1.100629024</v>
      </c>
      <c r="G118" s="846">
        <f t="shared" si="75"/>
        <v>1.320754829</v>
      </c>
      <c r="H118" s="846">
        <f t="shared" si="75"/>
        <v>1.383932116</v>
      </c>
      <c r="I118" s="846">
        <f t="shared" si="75"/>
        <v>1.100629024</v>
      </c>
      <c r="J118" s="846">
        <f t="shared" si="75"/>
        <v>0.7780744449</v>
      </c>
      <c r="K118" s="846">
        <f t="shared" si="75"/>
        <v>0.9991541388</v>
      </c>
      <c r="L118" s="846">
        <f t="shared" si="75"/>
        <v>1.100629024</v>
      </c>
    </row>
    <row r="119" outlineLevel="1">
      <c r="A119" s="594" t="s">
        <v>378</v>
      </c>
      <c r="B119" s="847"/>
      <c r="C119" s="797">
        <f t="shared" ref="C119:L119" si="76">C118-C18</f>
        <v>0</v>
      </c>
      <c r="D119" s="797">
        <f t="shared" si="76"/>
        <v>0</v>
      </c>
      <c r="E119" s="797">
        <f t="shared" si="76"/>
        <v>0</v>
      </c>
      <c r="F119" s="797">
        <f t="shared" si="76"/>
        <v>0</v>
      </c>
      <c r="G119" s="797">
        <f t="shared" si="76"/>
        <v>0</v>
      </c>
      <c r="H119" s="797">
        <f t="shared" si="76"/>
        <v>0</v>
      </c>
      <c r="I119" s="797">
        <f t="shared" si="76"/>
        <v>0</v>
      </c>
      <c r="J119" s="797">
        <f t="shared" si="76"/>
        <v>0</v>
      </c>
      <c r="K119" s="797">
        <f t="shared" si="76"/>
        <v>0</v>
      </c>
      <c r="L119" s="797">
        <f t="shared" si="76"/>
        <v>0</v>
      </c>
    </row>
    <row r="120" outlineLevel="1">
      <c r="A120" s="344"/>
      <c r="B120" s="848"/>
      <c r="C120" s="848"/>
      <c r="D120" s="605"/>
      <c r="E120" s="605"/>
      <c r="F120" s="605"/>
      <c r="G120" s="605"/>
      <c r="H120" s="605"/>
      <c r="I120" s="605"/>
      <c r="J120" s="605"/>
      <c r="K120" s="605"/>
      <c r="L120" s="605"/>
    </row>
    <row r="121" outlineLevel="1">
      <c r="A121" s="588" t="s">
        <v>379</v>
      </c>
      <c r="B121" s="848"/>
      <c r="C121" s="848"/>
      <c r="D121" s="605"/>
      <c r="E121" s="605"/>
      <c r="F121" s="605"/>
      <c r="G121" s="605"/>
      <c r="H121" s="605"/>
      <c r="I121" s="605"/>
      <c r="J121" s="605"/>
      <c r="K121" s="605"/>
      <c r="L121" s="605"/>
    </row>
    <row r="122" outlineLevel="1">
      <c r="A122" s="344" t="s">
        <v>29</v>
      </c>
      <c r="B122" s="787">
        <f t="shared" ref="B122:B127" si="78">index(A122:L122,,match($A$3,$A$1:$L$1,0))</f>
        <v>100000</v>
      </c>
      <c r="C122" s="787">
        <f>C$16</f>
        <v>100000</v>
      </c>
      <c r="D122" s="849">
        <f t="shared" ref="D122:L122" si="77">D8*D17</f>
        <v>4179.581785</v>
      </c>
      <c r="E122" s="849">
        <f t="shared" si="77"/>
        <v>18243.79415</v>
      </c>
      <c r="F122" s="849">
        <f t="shared" si="77"/>
        <v>7473.087002</v>
      </c>
      <c r="G122" s="849">
        <f t="shared" si="77"/>
        <v>1510.644695</v>
      </c>
      <c r="H122" s="849">
        <f t="shared" si="77"/>
        <v>2562.078739</v>
      </c>
      <c r="I122" s="849">
        <f t="shared" si="77"/>
        <v>17087.35388</v>
      </c>
      <c r="J122" s="849">
        <f t="shared" si="77"/>
        <v>4193.626962</v>
      </c>
      <c r="K122" s="849">
        <f t="shared" si="77"/>
        <v>2984.151699</v>
      </c>
      <c r="L122" s="849">
        <f t="shared" si="77"/>
        <v>41765.68108</v>
      </c>
    </row>
    <row r="123" outlineLevel="1">
      <c r="A123" s="838" t="s">
        <v>606</v>
      </c>
      <c r="B123" s="612">
        <f t="shared" si="78"/>
        <v>14682.06256</v>
      </c>
      <c r="C123" s="461">
        <f t="shared" ref="C123:C126" si="80">sum(D123:L123)</f>
        <v>14682.06256</v>
      </c>
      <c r="D123" s="461">
        <f t="shared" ref="D123:L123" si="79">D9*D$17</f>
        <v>348.1999536</v>
      </c>
      <c r="E123" s="461">
        <f t="shared" si="79"/>
        <v>2624.878779</v>
      </c>
      <c r="F123" s="461">
        <f t="shared" si="79"/>
        <v>1075.21206</v>
      </c>
      <c r="G123" s="461">
        <f t="shared" si="79"/>
        <v>217.3483854</v>
      </c>
      <c r="H123" s="461">
        <f t="shared" si="79"/>
        <v>242.6470942</v>
      </c>
      <c r="I123" s="461">
        <f t="shared" si="79"/>
        <v>2458.492582</v>
      </c>
      <c r="J123" s="461">
        <f t="shared" si="79"/>
        <v>713.4807406</v>
      </c>
      <c r="K123" s="461">
        <f t="shared" si="79"/>
        <v>992.6445096</v>
      </c>
      <c r="L123" s="461">
        <f t="shared" si="79"/>
        <v>6009.158459</v>
      </c>
    </row>
    <row r="124" outlineLevel="1">
      <c r="A124" s="342" t="s">
        <v>373</v>
      </c>
      <c r="B124" s="612">
        <f t="shared" si="78"/>
        <v>53917.3353</v>
      </c>
      <c r="C124" s="461">
        <f t="shared" si="80"/>
        <v>53917.3353</v>
      </c>
      <c r="D124" s="461">
        <f t="shared" ref="D124:L124" si="81">D10*D$17</f>
        <v>87.52211494</v>
      </c>
      <c r="E124" s="461">
        <f t="shared" si="81"/>
        <v>9282.235226</v>
      </c>
      <c r="F124" s="461">
        <f t="shared" si="81"/>
        <v>3802.221777</v>
      </c>
      <c r="G124" s="461">
        <f t="shared" si="81"/>
        <v>768.598861</v>
      </c>
      <c r="H124" s="461">
        <f t="shared" si="81"/>
        <v>1069.535834</v>
      </c>
      <c r="I124" s="461">
        <f t="shared" si="81"/>
        <v>8693.851552</v>
      </c>
      <c r="J124" s="461">
        <f t="shared" si="81"/>
        <v>1497.646583</v>
      </c>
      <c r="K124" s="461">
        <f t="shared" si="81"/>
        <v>7465.819254</v>
      </c>
      <c r="L124" s="461">
        <f t="shared" si="81"/>
        <v>21249.9041</v>
      </c>
    </row>
    <row r="125" outlineLevel="1">
      <c r="A125" s="838" t="s">
        <v>607</v>
      </c>
      <c r="B125" s="612">
        <f t="shared" si="78"/>
        <v>5931.471979</v>
      </c>
      <c r="C125" s="461">
        <f t="shared" si="80"/>
        <v>5931.471979</v>
      </c>
      <c r="D125" s="461">
        <f t="shared" ref="D125:L125" si="82">D11*D$17</f>
        <v>1093.567947</v>
      </c>
      <c r="E125" s="461">
        <f t="shared" si="82"/>
        <v>1025.338642</v>
      </c>
      <c r="F125" s="461">
        <f t="shared" si="82"/>
        <v>420.0028136</v>
      </c>
      <c r="G125" s="461">
        <f t="shared" si="82"/>
        <v>84.90132955</v>
      </c>
      <c r="H125" s="461">
        <f t="shared" si="82"/>
        <v>0</v>
      </c>
      <c r="I125" s="461">
        <f t="shared" si="82"/>
        <v>960.3443268</v>
      </c>
      <c r="J125" s="461">
        <f t="shared" si="82"/>
        <v>0</v>
      </c>
      <c r="K125" s="461">
        <f t="shared" si="82"/>
        <v>0</v>
      </c>
      <c r="L125" s="461">
        <f t="shared" si="82"/>
        <v>2347.31692</v>
      </c>
    </row>
    <row r="126" outlineLevel="1">
      <c r="A126" s="841" t="s">
        <v>608</v>
      </c>
      <c r="B126" s="850">
        <f t="shared" si="78"/>
        <v>74798.94422</v>
      </c>
      <c r="C126" s="851">
        <f t="shared" si="80"/>
        <v>74798.94422</v>
      </c>
      <c r="D126" s="851">
        <f t="shared" ref="D126:L126" si="83">D12*D$17</f>
        <v>2446.659343</v>
      </c>
      <c r="E126" s="851">
        <f t="shared" si="83"/>
        <v>13361.24863</v>
      </c>
      <c r="F126" s="851">
        <f t="shared" si="83"/>
        <v>5473.081565</v>
      </c>
      <c r="G126" s="851">
        <f t="shared" si="83"/>
        <v>1106.354259</v>
      </c>
      <c r="H126" s="851">
        <f t="shared" si="83"/>
        <v>1660.397858</v>
      </c>
      <c r="I126" s="851">
        <f t="shared" si="83"/>
        <v>12514.30386</v>
      </c>
      <c r="J126" s="851">
        <f t="shared" si="83"/>
        <v>2744.894694</v>
      </c>
      <c r="K126" s="851">
        <f t="shared" si="83"/>
        <v>4903.978056</v>
      </c>
      <c r="L126" s="851">
        <f t="shared" si="83"/>
        <v>30588.02596</v>
      </c>
    </row>
    <row r="127" outlineLevel="1">
      <c r="A127" s="344" t="s">
        <v>380</v>
      </c>
      <c r="B127" s="787">
        <f t="shared" si="78"/>
        <v>249329.8141</v>
      </c>
      <c r="C127" s="849">
        <f t="shared" ref="C127:L127" si="84">sum(C122:C126)</f>
        <v>249329.8141</v>
      </c>
      <c r="D127" s="849">
        <f t="shared" si="84"/>
        <v>8155.531143</v>
      </c>
      <c r="E127" s="849">
        <f t="shared" si="84"/>
        <v>44537.49543</v>
      </c>
      <c r="F127" s="849">
        <f t="shared" si="84"/>
        <v>18243.60522</v>
      </c>
      <c r="G127" s="849">
        <f t="shared" si="84"/>
        <v>3687.84753</v>
      </c>
      <c r="H127" s="849">
        <f t="shared" si="84"/>
        <v>5534.659525</v>
      </c>
      <c r="I127" s="849">
        <f t="shared" si="84"/>
        <v>41714.3462</v>
      </c>
      <c r="J127" s="849">
        <f t="shared" si="84"/>
        <v>9149.648979</v>
      </c>
      <c r="K127" s="849">
        <f t="shared" si="84"/>
        <v>16346.59352</v>
      </c>
      <c r="L127" s="849">
        <f t="shared" si="84"/>
        <v>101960.0865</v>
      </c>
    </row>
    <row r="128" outlineLevel="1">
      <c r="A128" s="344"/>
      <c r="B128" s="848"/>
      <c r="C128" s="848"/>
      <c r="D128" s="605"/>
      <c r="E128" s="605"/>
      <c r="F128" s="605"/>
      <c r="G128" s="605"/>
      <c r="H128" s="605"/>
      <c r="I128" s="605"/>
      <c r="J128" s="605"/>
      <c r="K128" s="605"/>
      <c r="L128" s="605"/>
    </row>
    <row r="129" outlineLevel="1">
      <c r="A129" s="510" t="s">
        <v>381</v>
      </c>
      <c r="B129" s="441"/>
      <c r="C129" s="441"/>
      <c r="D129" s="441"/>
      <c r="E129" s="441"/>
      <c r="F129" s="441"/>
      <c r="G129" s="441"/>
      <c r="H129" s="441"/>
      <c r="I129" s="441"/>
      <c r="J129" s="441"/>
      <c r="K129" s="441"/>
      <c r="L129" s="441"/>
    </row>
    <row r="130" outlineLevel="1">
      <c r="A130" s="287" t="s">
        <v>382</v>
      </c>
      <c r="B130" s="612">
        <f t="shared" ref="B130:B131" si="86">index(A130:L130,,match($A$3,$A$1:$L$1,0))</f>
        <v>159848.8073</v>
      </c>
      <c r="C130" s="302">
        <f t="shared" ref="C130:C131" si="87">sum(D130:L130)</f>
        <v>159848.8073</v>
      </c>
      <c r="D130" s="302">
        <f t="shared" ref="D130:L130" si="85">sum(D122,D124:D125)</f>
        <v>5360.671846</v>
      </c>
      <c r="E130" s="302">
        <f t="shared" si="85"/>
        <v>28551.36802</v>
      </c>
      <c r="F130" s="302">
        <f t="shared" si="85"/>
        <v>11695.31159</v>
      </c>
      <c r="G130" s="302">
        <f t="shared" si="85"/>
        <v>2364.144886</v>
      </c>
      <c r="H130" s="302">
        <f t="shared" si="85"/>
        <v>3631.614573</v>
      </c>
      <c r="I130" s="302">
        <f t="shared" si="85"/>
        <v>26741.54976</v>
      </c>
      <c r="J130" s="302">
        <f t="shared" si="85"/>
        <v>5691.273545</v>
      </c>
      <c r="K130" s="302">
        <f t="shared" si="85"/>
        <v>10449.97095</v>
      </c>
      <c r="L130" s="302">
        <f t="shared" si="85"/>
        <v>65362.90211</v>
      </c>
    </row>
    <row r="131" outlineLevel="1">
      <c r="A131" s="287" t="s">
        <v>383</v>
      </c>
      <c r="B131" s="612">
        <f t="shared" si="86"/>
        <v>89481.00678</v>
      </c>
      <c r="C131" s="302">
        <f t="shared" si="87"/>
        <v>89481.00678</v>
      </c>
      <c r="D131" s="302">
        <f t="shared" ref="D131:L131" si="88">sum(D123,D126)</f>
        <v>2794.859296</v>
      </c>
      <c r="E131" s="302">
        <f t="shared" si="88"/>
        <v>15986.12741</v>
      </c>
      <c r="F131" s="302">
        <f t="shared" si="88"/>
        <v>6548.293625</v>
      </c>
      <c r="G131" s="302">
        <f t="shared" si="88"/>
        <v>1323.702645</v>
      </c>
      <c r="H131" s="302">
        <f t="shared" si="88"/>
        <v>1903.044952</v>
      </c>
      <c r="I131" s="302">
        <f t="shared" si="88"/>
        <v>14972.79644</v>
      </c>
      <c r="J131" s="302">
        <f t="shared" si="88"/>
        <v>3458.375434</v>
      </c>
      <c r="K131" s="302">
        <f t="shared" si="88"/>
        <v>5896.622565</v>
      </c>
      <c r="L131" s="302">
        <f t="shared" si="88"/>
        <v>36597.18442</v>
      </c>
    </row>
    <row r="132" outlineLevel="1">
      <c r="A132" s="344"/>
      <c r="B132" s="848"/>
      <c r="C132" s="848"/>
      <c r="D132" s="605"/>
      <c r="E132" s="605"/>
      <c r="F132" s="605"/>
      <c r="G132" s="605"/>
      <c r="H132" s="605"/>
      <c r="I132" s="605"/>
      <c r="J132" s="605"/>
      <c r="K132" s="605"/>
      <c r="L132" s="605"/>
    </row>
    <row r="133" outlineLevel="1">
      <c r="A133" s="514" t="s">
        <v>384</v>
      </c>
      <c r="B133" s="798"/>
      <c r="C133" s="342"/>
      <c r="D133" s="452"/>
      <c r="E133" s="441"/>
      <c r="F133" s="441"/>
      <c r="G133" s="441"/>
      <c r="H133" s="667"/>
      <c r="I133" s="667"/>
      <c r="J133" s="667"/>
      <c r="K133" s="667"/>
      <c r="L133" s="667"/>
    </row>
    <row r="134" outlineLevel="1">
      <c r="A134" s="342" t="s">
        <v>606</v>
      </c>
      <c r="B134" s="799">
        <f t="shared" ref="B134:B137" si="89">index(C134:W134,,match($A$3,$C$1:$W$1,0))</f>
        <v>0.005843394921</v>
      </c>
      <c r="C134" s="470">
        <f>'Moral weights and discount rate'!$B$8/'Counterfactual non-philanthropi'!$D$36</f>
        <v>0.005843394921</v>
      </c>
      <c r="D134" s="470">
        <f>'Moral weights and discount rate'!$B$8/'Counterfactual non-philanthropi'!$D$36</f>
        <v>0.005843394921</v>
      </c>
      <c r="E134" s="470">
        <f>'Moral weights and discount rate'!$B$8/'Counterfactual non-philanthropi'!$D$36</f>
        <v>0.005843394921</v>
      </c>
      <c r="F134" s="470">
        <f>'Moral weights and discount rate'!$B$8/'Counterfactual non-philanthropi'!$D$36</f>
        <v>0.005843394921</v>
      </c>
      <c r="G134" s="470">
        <f>'Moral weights and discount rate'!$B$8/'Counterfactual non-philanthropi'!$D$36</f>
        <v>0.005843394921</v>
      </c>
      <c r="H134" s="470">
        <f>'Moral weights and discount rate'!$B$8/'Counterfactual non-philanthropi'!$D$36</f>
        <v>0.005843394921</v>
      </c>
      <c r="I134" s="470">
        <f>'Moral weights and discount rate'!$B$8/'Counterfactual non-philanthropi'!$D$36</f>
        <v>0.005843394921</v>
      </c>
      <c r="J134" s="470">
        <f>'Moral weights and discount rate'!$B$8/'Counterfactual non-philanthropi'!$D$36</f>
        <v>0.005843394921</v>
      </c>
      <c r="K134" s="470">
        <f>'Moral weights and discount rate'!$B$8/'Counterfactual non-philanthropi'!$D$36</f>
        <v>0.005843394921</v>
      </c>
      <c r="L134" s="470">
        <f>'Moral weights and discount rate'!$B$8/'Counterfactual non-philanthropi'!$D$36</f>
        <v>0.005843394921</v>
      </c>
    </row>
    <row r="135" outlineLevel="1">
      <c r="A135" s="342" t="s">
        <v>609</v>
      </c>
      <c r="B135" s="799">
        <f t="shared" si="89"/>
        <v>0.005843394921</v>
      </c>
      <c r="C135" s="470">
        <f>'Moral weights and discount rate'!$B$8/'Counterfactual non-philanthropi'!$D$36</f>
        <v>0.005843394921</v>
      </c>
      <c r="D135" s="470">
        <f>'Moral weights and discount rate'!$B$8/'Counterfactual non-philanthropi'!$D$36</f>
        <v>0.005843394921</v>
      </c>
      <c r="E135" s="470">
        <f>'Moral weights and discount rate'!$B$8/'Counterfactual non-philanthropi'!$D$36</f>
        <v>0.005843394921</v>
      </c>
      <c r="F135" s="470">
        <f>'Moral weights and discount rate'!$B$8/'Counterfactual non-philanthropi'!$D$36</f>
        <v>0.005843394921</v>
      </c>
      <c r="G135" s="470">
        <f>'Moral weights and discount rate'!$B$8/'Counterfactual non-philanthropi'!$D$36</f>
        <v>0.005843394921</v>
      </c>
      <c r="H135" s="470">
        <f>'Moral weights and discount rate'!$B$8/'Counterfactual non-philanthropi'!$D$36</f>
        <v>0.005843394921</v>
      </c>
      <c r="I135" s="470">
        <f>'Moral weights and discount rate'!$B$8/'Counterfactual non-philanthropi'!$D$36</f>
        <v>0.005843394921</v>
      </c>
      <c r="J135" s="470">
        <f>'Moral weights and discount rate'!$B$8/'Counterfactual non-philanthropi'!$D$36</f>
        <v>0.005843394921</v>
      </c>
      <c r="K135" s="470">
        <f>'Moral weights and discount rate'!$B$8/'Counterfactual non-philanthropi'!$D$36</f>
        <v>0.005843394921</v>
      </c>
      <c r="L135" s="470">
        <f>'Moral weights and discount rate'!$B$8/'Counterfactual non-philanthropi'!$D$36</f>
        <v>0.005843394921</v>
      </c>
    </row>
    <row r="136" outlineLevel="1">
      <c r="A136" s="342" t="s">
        <v>607</v>
      </c>
      <c r="B136" s="799">
        <f t="shared" si="89"/>
        <v>0.004962190749</v>
      </c>
      <c r="C136" s="470">
        <f>'Moral weights and discount rate'!$B$8/'Counterfactual non-philanthropi'!$D$33</f>
        <v>0.004962190749</v>
      </c>
      <c r="D136" s="470">
        <f>'Moral weights and discount rate'!$B$8/'Counterfactual non-philanthropi'!$D$33</f>
        <v>0.004962190749</v>
      </c>
      <c r="E136" s="470">
        <f>'Moral weights and discount rate'!$B$8/'Counterfactual non-philanthropi'!$D$33</f>
        <v>0.004962190749</v>
      </c>
      <c r="F136" s="470">
        <f>'Moral weights and discount rate'!$B$8/'Counterfactual non-philanthropi'!$D$33</f>
        <v>0.004962190749</v>
      </c>
      <c r="G136" s="470">
        <f>'Moral weights and discount rate'!$B$8/'Counterfactual non-philanthropi'!$D$33</f>
        <v>0.004962190749</v>
      </c>
      <c r="H136" s="470">
        <f>'Moral weights and discount rate'!$B$8/'Counterfactual non-philanthropi'!$D$33</f>
        <v>0.004962190749</v>
      </c>
      <c r="I136" s="470">
        <f>'Moral weights and discount rate'!$B$8/'Counterfactual non-philanthropi'!$D$33</f>
        <v>0.004962190749</v>
      </c>
      <c r="J136" s="470">
        <f>'Moral weights and discount rate'!$B$8/'Counterfactual non-philanthropi'!$D$33</f>
        <v>0.004962190749</v>
      </c>
      <c r="K136" s="470">
        <f>'Moral weights and discount rate'!$B$8/'Counterfactual non-philanthropi'!$D$33</f>
        <v>0.004962190749</v>
      </c>
      <c r="L136" s="470">
        <f>'Moral weights and discount rate'!$B$8/'Counterfactual non-philanthropi'!$D$33</f>
        <v>0.004962190749</v>
      </c>
    </row>
    <row r="137" outlineLevel="1">
      <c r="A137" s="342" t="s">
        <v>608</v>
      </c>
      <c r="B137" s="799">
        <f t="shared" si="89"/>
        <v>0.004962190749</v>
      </c>
      <c r="C137" s="470">
        <f>'Moral weights and discount rate'!$B$8/'Counterfactual non-philanthropi'!$D$33</f>
        <v>0.004962190749</v>
      </c>
      <c r="D137" s="470">
        <f>'Moral weights and discount rate'!$B$8/'Counterfactual non-philanthropi'!$D$33</f>
        <v>0.004962190749</v>
      </c>
      <c r="E137" s="470">
        <f>'Moral weights and discount rate'!$B$8/'Counterfactual non-philanthropi'!$D$33</f>
        <v>0.004962190749</v>
      </c>
      <c r="F137" s="470">
        <f>'Moral weights and discount rate'!$B$8/'Counterfactual non-philanthropi'!$D$33</f>
        <v>0.004962190749</v>
      </c>
      <c r="G137" s="470">
        <f>'Moral weights and discount rate'!$B$8/'Counterfactual non-philanthropi'!$D$33</f>
        <v>0.004962190749</v>
      </c>
      <c r="H137" s="470">
        <f>'Moral weights and discount rate'!$B$8/'Counterfactual non-philanthropi'!$D$33</f>
        <v>0.004962190749</v>
      </c>
      <c r="I137" s="470">
        <f>'Moral weights and discount rate'!$B$8/'Counterfactual non-philanthropi'!$D$33</f>
        <v>0.004962190749</v>
      </c>
      <c r="J137" s="470">
        <f>'Moral weights and discount rate'!$B$8/'Counterfactual non-philanthropi'!$D$33</f>
        <v>0.004962190749</v>
      </c>
      <c r="K137" s="470">
        <f>'Moral weights and discount rate'!$B$8/'Counterfactual non-philanthropi'!$D$33</f>
        <v>0.004962190749</v>
      </c>
      <c r="L137" s="470">
        <f>'Moral weights and discount rate'!$B$8/'Counterfactual non-philanthropi'!$D$33</f>
        <v>0.004962190749</v>
      </c>
    </row>
    <row r="138" outlineLevel="1">
      <c r="A138" s="344"/>
      <c r="B138" s="848"/>
      <c r="C138" s="848"/>
      <c r="D138" s="605"/>
      <c r="E138" s="605"/>
      <c r="F138" s="605"/>
      <c r="G138" s="605"/>
      <c r="H138" s="605"/>
      <c r="I138" s="605"/>
      <c r="J138" s="605"/>
      <c r="K138" s="605"/>
      <c r="L138" s="605"/>
    </row>
    <row r="139" outlineLevel="1">
      <c r="A139" s="341" t="s">
        <v>610</v>
      </c>
      <c r="B139" s="441"/>
      <c r="C139" s="441"/>
      <c r="D139" s="441"/>
      <c r="E139" s="441"/>
      <c r="F139" s="441"/>
      <c r="G139" s="441"/>
      <c r="H139" s="441"/>
      <c r="I139" s="441"/>
      <c r="J139" s="441"/>
      <c r="K139" s="441"/>
      <c r="L139" s="441"/>
    </row>
    <row r="140" outlineLevel="1">
      <c r="A140" s="342" t="s">
        <v>611</v>
      </c>
      <c r="B140" s="266">
        <f t="shared" ref="B140:B143" si="90">index(A140:L140,,match($A$3,$A$1:$L$1,0))</f>
        <v>0.1417656811</v>
      </c>
      <c r="C140" s="177">
        <f t="shared" ref="C140:C143" si="91">sumproduct(D140:L140,$D$7:$L$7)</f>
        <v>0.1417656811</v>
      </c>
      <c r="D140" s="155">
        <v>0.1</v>
      </c>
      <c r="E140" s="155">
        <v>0.1</v>
      </c>
      <c r="F140" s="155">
        <v>0.1</v>
      </c>
      <c r="G140" s="155">
        <v>0.1</v>
      </c>
      <c r="H140" s="155">
        <v>0.1</v>
      </c>
      <c r="I140" s="155">
        <v>0.1</v>
      </c>
      <c r="J140" s="155">
        <v>0.1</v>
      </c>
      <c r="K140" s="155">
        <v>0.1</v>
      </c>
      <c r="L140" s="156">
        <v>0.2</v>
      </c>
    </row>
    <row r="141" outlineLevel="1">
      <c r="A141" s="342" t="s">
        <v>612</v>
      </c>
      <c r="B141" s="266">
        <f t="shared" si="90"/>
        <v>0.2691516514</v>
      </c>
      <c r="C141" s="177">
        <f t="shared" si="91"/>
        <v>0.2691516514</v>
      </c>
      <c r="D141" s="155">
        <v>0.2</v>
      </c>
      <c r="E141" s="155">
        <v>0.4</v>
      </c>
      <c r="F141" s="155">
        <v>0.2</v>
      </c>
      <c r="G141" s="155">
        <v>0.1</v>
      </c>
      <c r="H141" s="155">
        <v>0.2</v>
      </c>
      <c r="I141" s="155">
        <v>0.4</v>
      </c>
      <c r="J141" s="155">
        <v>0.2</v>
      </c>
      <c r="K141" s="155">
        <v>0.2</v>
      </c>
      <c r="L141" s="156">
        <v>0.2</v>
      </c>
    </row>
    <row r="142" outlineLevel="1">
      <c r="A142" s="852" t="s">
        <v>613</v>
      </c>
      <c r="B142" s="266">
        <f t="shared" si="90"/>
        <v>0.5890826675</v>
      </c>
      <c r="C142" s="177">
        <f t="shared" si="91"/>
        <v>0.5890826675</v>
      </c>
      <c r="D142" s="155">
        <f t="shared" ref="D142:L142" si="92">1-sum(D140:D141)</f>
        <v>0.7</v>
      </c>
      <c r="E142" s="155">
        <f t="shared" si="92"/>
        <v>0.5</v>
      </c>
      <c r="F142" s="155">
        <f t="shared" si="92"/>
        <v>0.7</v>
      </c>
      <c r="G142" s="155">
        <f t="shared" si="92"/>
        <v>0.8</v>
      </c>
      <c r="H142" s="155">
        <f t="shared" si="92"/>
        <v>0.7</v>
      </c>
      <c r="I142" s="155">
        <f t="shared" si="92"/>
        <v>0.5</v>
      </c>
      <c r="J142" s="155">
        <f t="shared" si="92"/>
        <v>0.7</v>
      </c>
      <c r="K142" s="155">
        <f t="shared" si="92"/>
        <v>0.7</v>
      </c>
      <c r="L142" s="155">
        <f t="shared" si="92"/>
        <v>0.6</v>
      </c>
    </row>
    <row r="143" outlineLevel="1">
      <c r="A143" s="342" t="s">
        <v>288</v>
      </c>
      <c r="B143" s="266">
        <f t="shared" si="90"/>
        <v>0</v>
      </c>
      <c r="C143" s="177">
        <f t="shared" si="91"/>
        <v>0</v>
      </c>
      <c r="D143" s="155">
        <v>0.0</v>
      </c>
      <c r="E143" s="155">
        <v>0.0</v>
      </c>
      <c r="F143" s="155">
        <v>0.0</v>
      </c>
      <c r="G143" s="155">
        <v>0.0</v>
      </c>
      <c r="H143" s="155">
        <v>0.0</v>
      </c>
      <c r="I143" s="155">
        <v>0.0</v>
      </c>
      <c r="J143" s="155">
        <v>0.0</v>
      </c>
      <c r="K143" s="155">
        <v>0.0</v>
      </c>
      <c r="L143" s="155">
        <v>0.0</v>
      </c>
    </row>
    <row r="144" outlineLevel="1">
      <c r="A144" s="342"/>
      <c r="B144" s="441"/>
      <c r="C144" s="853"/>
      <c r="D144" s="441"/>
      <c r="E144" s="441"/>
      <c r="F144" s="441"/>
      <c r="G144" s="441"/>
      <c r="H144" s="441"/>
      <c r="I144" s="441"/>
      <c r="J144" s="441"/>
      <c r="K144" s="441"/>
      <c r="L144" s="441"/>
    </row>
    <row r="145" outlineLevel="1">
      <c r="A145" s="341" t="s">
        <v>389</v>
      </c>
      <c r="B145" s="441"/>
      <c r="C145" s="853"/>
      <c r="D145" s="441"/>
      <c r="E145" s="441"/>
      <c r="F145" s="441"/>
      <c r="G145" s="441"/>
      <c r="H145" s="441"/>
      <c r="I145" s="441"/>
      <c r="J145" s="441"/>
      <c r="K145" s="441"/>
      <c r="L145" s="441"/>
    </row>
    <row r="146" outlineLevel="1">
      <c r="A146" s="342" t="s">
        <v>611</v>
      </c>
      <c r="B146" s="266">
        <f t="shared" ref="B146:B149" si="93">index(A146:L146,,match($A$3,$A$1:$L$1,0))</f>
        <v>1</v>
      </c>
      <c r="C146" s="155">
        <v>1.0</v>
      </c>
      <c r="D146" s="155">
        <v>1.0</v>
      </c>
      <c r="E146" s="155">
        <v>1.0</v>
      </c>
      <c r="F146" s="155">
        <v>1.0</v>
      </c>
      <c r="G146" s="155">
        <v>1.0</v>
      </c>
      <c r="H146" s="155">
        <v>1.0</v>
      </c>
      <c r="I146" s="155">
        <v>1.0</v>
      </c>
      <c r="J146" s="155">
        <v>1.0</v>
      </c>
      <c r="K146" s="155">
        <v>1.0</v>
      </c>
      <c r="L146" s="155">
        <v>1.0</v>
      </c>
    </row>
    <row r="147" outlineLevel="1">
      <c r="A147" s="342" t="s">
        <v>612</v>
      </c>
      <c r="B147" s="266">
        <f t="shared" si="93"/>
        <v>1</v>
      </c>
      <c r="C147" s="155">
        <v>1.0</v>
      </c>
      <c r="D147" s="155">
        <v>1.0</v>
      </c>
      <c r="E147" s="155">
        <v>1.0</v>
      </c>
      <c r="F147" s="155">
        <v>1.0</v>
      </c>
      <c r="G147" s="155">
        <v>1.0</v>
      </c>
      <c r="H147" s="155">
        <v>1.0</v>
      </c>
      <c r="I147" s="155">
        <v>1.0</v>
      </c>
      <c r="J147" s="155">
        <v>1.0</v>
      </c>
      <c r="K147" s="155">
        <v>1.0</v>
      </c>
      <c r="L147" s="155">
        <v>1.0</v>
      </c>
    </row>
    <row r="148" outlineLevel="1">
      <c r="A148" s="852" t="s">
        <v>613</v>
      </c>
      <c r="B148" s="266">
        <f t="shared" si="93"/>
        <v>0.3744088448</v>
      </c>
      <c r="C148" s="177">
        <f t="shared" ref="C148:L148" si="94">sum(C124:C125)/C130</f>
        <v>0.3744088448</v>
      </c>
      <c r="D148" s="177">
        <f t="shared" si="94"/>
        <v>0.2203250069</v>
      </c>
      <c r="E148" s="177">
        <f t="shared" si="94"/>
        <v>0.3610185635</v>
      </c>
      <c r="F148" s="177">
        <f t="shared" si="94"/>
        <v>0.3610185635</v>
      </c>
      <c r="G148" s="177">
        <f t="shared" si="94"/>
        <v>0.3610185635</v>
      </c>
      <c r="H148" s="177">
        <f t="shared" si="94"/>
        <v>0.2945069783</v>
      </c>
      <c r="I148" s="177">
        <f t="shared" si="94"/>
        <v>0.3610185635</v>
      </c>
      <c r="J148" s="177">
        <f t="shared" si="94"/>
        <v>0.2631478826</v>
      </c>
      <c r="K148" s="177">
        <f t="shared" si="94"/>
        <v>0.7144344503</v>
      </c>
      <c r="L148" s="177">
        <f t="shared" si="94"/>
        <v>0.3610185635</v>
      </c>
    </row>
    <row r="149" outlineLevel="1">
      <c r="A149" s="342" t="s">
        <v>288</v>
      </c>
      <c r="B149" s="266">
        <f t="shared" si="93"/>
        <v>0</v>
      </c>
      <c r="C149" s="155">
        <v>0.0</v>
      </c>
      <c r="D149" s="155">
        <v>0.0</v>
      </c>
      <c r="E149" s="155">
        <v>0.0</v>
      </c>
      <c r="F149" s="155">
        <v>0.0</v>
      </c>
      <c r="G149" s="155">
        <v>0.0</v>
      </c>
      <c r="H149" s="155">
        <v>0.0</v>
      </c>
      <c r="I149" s="155">
        <v>0.0</v>
      </c>
      <c r="J149" s="155">
        <v>0.0</v>
      </c>
      <c r="K149" s="155">
        <v>0.0</v>
      </c>
      <c r="L149" s="155">
        <v>0.0</v>
      </c>
    </row>
    <row r="150" outlineLevel="1">
      <c r="A150" s="342"/>
      <c r="B150" s="441"/>
      <c r="C150" s="853"/>
      <c r="D150" s="441"/>
      <c r="E150" s="441"/>
      <c r="F150" s="441"/>
      <c r="G150" s="441"/>
      <c r="H150" s="441"/>
      <c r="I150" s="441"/>
      <c r="J150" s="441"/>
      <c r="K150" s="441"/>
      <c r="L150" s="441"/>
    </row>
    <row r="151" outlineLevel="1">
      <c r="A151" s="341" t="s">
        <v>614</v>
      </c>
      <c r="B151" s="441"/>
      <c r="C151" s="853"/>
      <c r="D151" s="441"/>
      <c r="E151" s="441"/>
      <c r="F151" s="441"/>
      <c r="G151" s="441"/>
      <c r="H151" s="441"/>
      <c r="I151" s="441"/>
      <c r="J151" s="441"/>
      <c r="K151" s="441"/>
      <c r="L151" s="441"/>
    </row>
    <row r="152" outlineLevel="1">
      <c r="A152" s="342" t="s">
        <v>611</v>
      </c>
      <c r="B152" s="441"/>
      <c r="C152" s="853"/>
      <c r="D152" s="441"/>
      <c r="E152" s="441"/>
      <c r="F152" s="441"/>
      <c r="G152" s="441"/>
      <c r="H152" s="441"/>
      <c r="I152" s="441"/>
      <c r="J152" s="441"/>
      <c r="K152" s="441"/>
      <c r="L152" s="441"/>
    </row>
    <row r="153" outlineLevel="1">
      <c r="A153" s="342" t="s">
        <v>615</v>
      </c>
      <c r="B153" s="612">
        <f t="shared" ref="B153:B156" si="95">index(A153:L153,,match($A$3,$A$1:$L$1,0))</f>
        <v>0</v>
      </c>
      <c r="C153" s="302">
        <f t="shared" ref="C153:C156" si="96">sum(D153:L153)</f>
        <v>0</v>
      </c>
      <c r="D153" s="460">
        <v>0.0</v>
      </c>
      <c r="E153" s="460">
        <v>0.0</v>
      </c>
      <c r="F153" s="460">
        <v>0.0</v>
      </c>
      <c r="G153" s="460">
        <v>0.0</v>
      </c>
      <c r="H153" s="460">
        <v>0.0</v>
      </c>
      <c r="I153" s="460">
        <v>0.0</v>
      </c>
      <c r="J153" s="460">
        <v>0.0</v>
      </c>
      <c r="K153" s="460">
        <v>0.0</v>
      </c>
      <c r="L153" s="460">
        <v>0.0</v>
      </c>
    </row>
    <row r="154" outlineLevel="1">
      <c r="A154" s="342" t="s">
        <v>616</v>
      </c>
      <c r="B154" s="612">
        <f t="shared" si="95"/>
        <v>0</v>
      </c>
      <c r="C154" s="302">
        <f t="shared" si="96"/>
        <v>0</v>
      </c>
      <c r="D154" s="460">
        <v>0.0</v>
      </c>
      <c r="E154" s="460">
        <v>0.0</v>
      </c>
      <c r="F154" s="460">
        <v>0.0</v>
      </c>
      <c r="G154" s="460">
        <v>0.0</v>
      </c>
      <c r="H154" s="460">
        <v>0.0</v>
      </c>
      <c r="I154" s="460">
        <v>0.0</v>
      </c>
      <c r="J154" s="460">
        <v>0.0</v>
      </c>
      <c r="K154" s="460">
        <v>0.0</v>
      </c>
      <c r="L154" s="460">
        <v>0.0</v>
      </c>
    </row>
    <row r="155" outlineLevel="1">
      <c r="A155" s="342" t="s">
        <v>391</v>
      </c>
      <c r="B155" s="612">
        <f t="shared" si="95"/>
        <v>100000</v>
      </c>
      <c r="C155" s="302">
        <f t="shared" si="96"/>
        <v>100000</v>
      </c>
      <c r="D155" s="302">
        <f t="shared" ref="D155:L155" si="97">D122</f>
        <v>4179.581785</v>
      </c>
      <c r="E155" s="302">
        <f t="shared" si="97"/>
        <v>18243.79415</v>
      </c>
      <c r="F155" s="302">
        <f t="shared" si="97"/>
        <v>7473.087002</v>
      </c>
      <c r="G155" s="302">
        <f t="shared" si="97"/>
        <v>1510.644695</v>
      </c>
      <c r="H155" s="302">
        <f t="shared" si="97"/>
        <v>2562.078739</v>
      </c>
      <c r="I155" s="302">
        <f t="shared" si="97"/>
        <v>17087.35388</v>
      </c>
      <c r="J155" s="302">
        <f t="shared" si="97"/>
        <v>4193.626962</v>
      </c>
      <c r="K155" s="302">
        <f t="shared" si="97"/>
        <v>2984.151699</v>
      </c>
      <c r="L155" s="302">
        <f t="shared" si="97"/>
        <v>41765.68108</v>
      </c>
    </row>
    <row r="156" outlineLevel="1">
      <c r="A156" s="342" t="s">
        <v>392</v>
      </c>
      <c r="B156" s="612">
        <f t="shared" si="95"/>
        <v>0</v>
      </c>
      <c r="C156" s="302">
        <f t="shared" si="96"/>
        <v>0</v>
      </c>
      <c r="D156" s="460">
        <v>0.0</v>
      </c>
      <c r="E156" s="460">
        <v>0.0</v>
      </c>
      <c r="F156" s="460">
        <v>0.0</v>
      </c>
      <c r="G156" s="460">
        <v>0.0</v>
      </c>
      <c r="H156" s="460">
        <v>0.0</v>
      </c>
      <c r="I156" s="460">
        <v>0.0</v>
      </c>
      <c r="J156" s="460">
        <v>0.0</v>
      </c>
      <c r="K156" s="460">
        <v>0.0</v>
      </c>
      <c r="L156" s="460">
        <v>0.0</v>
      </c>
    </row>
    <row r="157" outlineLevel="1">
      <c r="A157" s="342"/>
      <c r="B157" s="441"/>
      <c r="C157" s="853"/>
      <c r="D157" s="441"/>
      <c r="E157" s="441"/>
      <c r="F157" s="441"/>
      <c r="G157" s="441"/>
      <c r="H157" s="441"/>
      <c r="I157" s="441"/>
      <c r="J157" s="441"/>
      <c r="K157" s="441"/>
      <c r="L157" s="441"/>
    </row>
    <row r="158" outlineLevel="1">
      <c r="A158" s="342" t="s">
        <v>612</v>
      </c>
      <c r="B158" s="441"/>
      <c r="C158" s="853"/>
      <c r="D158" s="441"/>
      <c r="E158" s="441"/>
      <c r="F158" s="441"/>
      <c r="G158" s="441"/>
      <c r="H158" s="441"/>
      <c r="I158" s="441"/>
      <c r="J158" s="441"/>
      <c r="K158" s="441"/>
      <c r="L158" s="441"/>
    </row>
    <row r="159" outlineLevel="1">
      <c r="A159" s="342" t="s">
        <v>615</v>
      </c>
      <c r="B159" s="612">
        <f t="shared" ref="B159:B162" si="98">index(A159:L159,,match($A$3,$A$1:$L$1,0))</f>
        <v>0</v>
      </c>
      <c r="C159" s="302">
        <f t="shared" ref="C159:C162" si="99">sum(D159:L159)</f>
        <v>0</v>
      </c>
      <c r="D159" s="460">
        <v>0.0</v>
      </c>
      <c r="E159" s="460">
        <v>0.0</v>
      </c>
      <c r="F159" s="460">
        <v>0.0</v>
      </c>
      <c r="G159" s="460">
        <v>0.0</v>
      </c>
      <c r="H159" s="460">
        <v>0.0</v>
      </c>
      <c r="I159" s="460">
        <v>0.0</v>
      </c>
      <c r="J159" s="460">
        <v>0.0</v>
      </c>
      <c r="K159" s="460">
        <v>0.0</v>
      </c>
      <c r="L159" s="460">
        <v>0.0</v>
      </c>
    </row>
    <row r="160" outlineLevel="1">
      <c r="A160" s="342" t="s">
        <v>616</v>
      </c>
      <c r="B160" s="612">
        <f t="shared" si="98"/>
        <v>100000</v>
      </c>
      <c r="C160" s="302">
        <f t="shared" si="99"/>
        <v>100000</v>
      </c>
      <c r="D160" s="302">
        <f t="shared" ref="D160:L160" si="100">D122</f>
        <v>4179.581785</v>
      </c>
      <c r="E160" s="302">
        <f t="shared" si="100"/>
        <v>18243.79415</v>
      </c>
      <c r="F160" s="302">
        <f t="shared" si="100"/>
        <v>7473.087002</v>
      </c>
      <c r="G160" s="302">
        <f t="shared" si="100"/>
        <v>1510.644695</v>
      </c>
      <c r="H160" s="302">
        <f t="shared" si="100"/>
        <v>2562.078739</v>
      </c>
      <c r="I160" s="302">
        <f t="shared" si="100"/>
        <v>17087.35388</v>
      </c>
      <c r="J160" s="302">
        <f t="shared" si="100"/>
        <v>4193.626962</v>
      </c>
      <c r="K160" s="302">
        <f t="shared" si="100"/>
        <v>2984.151699</v>
      </c>
      <c r="L160" s="302">
        <f t="shared" si="100"/>
        <v>41765.68108</v>
      </c>
    </row>
    <row r="161" outlineLevel="1">
      <c r="A161" s="342" t="s">
        <v>391</v>
      </c>
      <c r="B161" s="612">
        <f t="shared" si="98"/>
        <v>0</v>
      </c>
      <c r="C161" s="302">
        <f t="shared" si="99"/>
        <v>0</v>
      </c>
      <c r="D161" s="460">
        <v>0.0</v>
      </c>
      <c r="E161" s="460">
        <v>0.0</v>
      </c>
      <c r="F161" s="460">
        <v>0.0</v>
      </c>
      <c r="G161" s="460">
        <v>0.0</v>
      </c>
      <c r="H161" s="460">
        <v>0.0</v>
      </c>
      <c r="I161" s="460">
        <v>0.0</v>
      </c>
      <c r="J161" s="460">
        <v>0.0</v>
      </c>
      <c r="K161" s="460">
        <v>0.0</v>
      </c>
      <c r="L161" s="460">
        <v>0.0</v>
      </c>
    </row>
    <row r="162" outlineLevel="1">
      <c r="A162" s="342" t="s">
        <v>392</v>
      </c>
      <c r="B162" s="612">
        <f t="shared" si="98"/>
        <v>0</v>
      </c>
      <c r="C162" s="302">
        <f t="shared" si="99"/>
        <v>0</v>
      </c>
      <c r="D162" s="460">
        <v>0.0</v>
      </c>
      <c r="E162" s="460">
        <v>0.0</v>
      </c>
      <c r="F162" s="460">
        <v>0.0</v>
      </c>
      <c r="G162" s="460">
        <v>0.0</v>
      </c>
      <c r="H162" s="460">
        <v>0.0</v>
      </c>
      <c r="I162" s="460">
        <v>0.0</v>
      </c>
      <c r="J162" s="460">
        <v>0.0</v>
      </c>
      <c r="K162" s="460">
        <v>0.0</v>
      </c>
      <c r="L162" s="460">
        <v>0.0</v>
      </c>
    </row>
    <row r="163" outlineLevel="1">
      <c r="A163" s="342"/>
      <c r="B163" s="441"/>
      <c r="C163" s="853"/>
      <c r="D163" s="441"/>
      <c r="E163" s="441"/>
      <c r="F163" s="441"/>
      <c r="G163" s="441"/>
      <c r="H163" s="441"/>
      <c r="I163" s="441"/>
      <c r="J163" s="441"/>
      <c r="K163" s="441"/>
      <c r="L163" s="441"/>
    </row>
    <row r="164" outlineLevel="1">
      <c r="A164" s="852" t="s">
        <v>613</v>
      </c>
      <c r="B164" s="441"/>
      <c r="C164" s="853"/>
      <c r="D164" s="441"/>
      <c r="E164" s="441"/>
      <c r="F164" s="441"/>
      <c r="G164" s="441"/>
      <c r="H164" s="441"/>
      <c r="I164" s="441"/>
      <c r="J164" s="441"/>
      <c r="K164" s="441"/>
      <c r="L164" s="441"/>
    </row>
    <row r="165" outlineLevel="1">
      <c r="A165" s="342" t="s">
        <v>615</v>
      </c>
      <c r="B165" s="612">
        <f t="shared" ref="B165:B168" si="102">index(A165:L165,,match($A$3,$A$1:$L$1,0))</f>
        <v>-9165.706267</v>
      </c>
      <c r="C165" s="461">
        <f t="shared" ref="C165:C168" si="103">sum(D165:L165)</f>
        <v>-9165.706267</v>
      </c>
      <c r="D165" s="461">
        <f t="shared" ref="D165:L165" si="101">-D123*(1-D148)</f>
        <v>-271.4827964</v>
      </c>
      <c r="E165" s="461">
        <f t="shared" si="101"/>
        <v>-1677.248813</v>
      </c>
      <c r="F165" s="461">
        <f t="shared" si="101"/>
        <v>-687.0405464</v>
      </c>
      <c r="G165" s="461">
        <f t="shared" si="101"/>
        <v>-138.8815835</v>
      </c>
      <c r="H165" s="461">
        <f t="shared" si="101"/>
        <v>-171.1858317</v>
      </c>
      <c r="I165" s="461">
        <f t="shared" si="101"/>
        <v>-1570.931122</v>
      </c>
      <c r="J165" s="461">
        <f t="shared" si="101"/>
        <v>-525.7297945</v>
      </c>
      <c r="K165" s="461">
        <f t="shared" si="101"/>
        <v>-283.465075</v>
      </c>
      <c r="L165" s="461">
        <f t="shared" si="101"/>
        <v>-3839.740705</v>
      </c>
    </row>
    <row r="166" outlineLevel="1">
      <c r="A166" s="342" t="s">
        <v>616</v>
      </c>
      <c r="B166" s="612">
        <f t="shared" si="102"/>
        <v>0</v>
      </c>
      <c r="C166" s="302">
        <f t="shared" si="103"/>
        <v>0</v>
      </c>
      <c r="D166" s="460">
        <v>0.0</v>
      </c>
      <c r="E166" s="460">
        <v>0.0</v>
      </c>
      <c r="F166" s="460">
        <v>0.0</v>
      </c>
      <c r="G166" s="460">
        <v>0.0</v>
      </c>
      <c r="H166" s="460">
        <v>0.0</v>
      </c>
      <c r="I166" s="460">
        <v>0.0</v>
      </c>
      <c r="J166" s="460">
        <v>0.0</v>
      </c>
      <c r="K166" s="460">
        <v>0.0</v>
      </c>
      <c r="L166" s="460">
        <v>0.0</v>
      </c>
    </row>
    <row r="167" outlineLevel="1">
      <c r="A167" s="342" t="s">
        <v>391</v>
      </c>
      <c r="B167" s="612">
        <f t="shared" si="102"/>
        <v>0</v>
      </c>
      <c r="C167" s="302">
        <f t="shared" si="103"/>
        <v>0</v>
      </c>
      <c r="D167" s="460">
        <v>0.0</v>
      </c>
      <c r="E167" s="460">
        <v>0.0</v>
      </c>
      <c r="F167" s="460">
        <v>0.0</v>
      </c>
      <c r="G167" s="460">
        <v>0.0</v>
      </c>
      <c r="H167" s="460">
        <v>0.0</v>
      </c>
      <c r="I167" s="460">
        <v>0.0</v>
      </c>
      <c r="J167" s="460">
        <v>0.0</v>
      </c>
      <c r="K167" s="460">
        <v>0.0</v>
      </c>
      <c r="L167" s="460">
        <v>0.0</v>
      </c>
    </row>
    <row r="168" outlineLevel="1">
      <c r="A168" s="342" t="s">
        <v>392</v>
      </c>
      <c r="B168" s="612">
        <f t="shared" si="102"/>
        <v>-46785.30269</v>
      </c>
      <c r="C168" s="461">
        <f t="shared" si="103"/>
        <v>-46785.30269</v>
      </c>
      <c r="D168" s="461">
        <f t="shared" ref="D168:L168" si="104">-D126*(1-D148)</f>
        <v>-1907.599106</v>
      </c>
      <c r="E168" s="461">
        <f t="shared" si="104"/>
        <v>-8537.589843</v>
      </c>
      <c r="F168" s="461">
        <f t="shared" si="104"/>
        <v>-3497.197521</v>
      </c>
      <c r="G168" s="461">
        <f t="shared" si="104"/>
        <v>-706.9398338</v>
      </c>
      <c r="H168" s="461">
        <f t="shared" si="104"/>
        <v>-1171.399102</v>
      </c>
      <c r="I168" s="461">
        <f t="shared" si="104"/>
        <v>-7996.407858</v>
      </c>
      <c r="J168" s="461">
        <f t="shared" si="104"/>
        <v>-2022.581467</v>
      </c>
      <c r="K168" s="461">
        <f t="shared" si="104"/>
        <v>-1400.407189</v>
      </c>
      <c r="L168" s="461">
        <f t="shared" si="104"/>
        <v>-19545.18077</v>
      </c>
    </row>
    <row r="169" outlineLevel="1">
      <c r="A169" s="342"/>
      <c r="B169" s="441"/>
      <c r="C169" s="853"/>
      <c r="D169" s="441"/>
      <c r="E169" s="441"/>
      <c r="F169" s="441"/>
      <c r="G169" s="441"/>
      <c r="H169" s="441"/>
      <c r="I169" s="441"/>
      <c r="J169" s="441"/>
      <c r="K169" s="441"/>
      <c r="L169" s="441"/>
    </row>
    <row r="170" outlineLevel="1">
      <c r="A170" s="342" t="s">
        <v>288</v>
      </c>
      <c r="B170" s="441"/>
      <c r="C170" s="853"/>
      <c r="D170" s="441"/>
      <c r="E170" s="459"/>
      <c r="F170" s="441"/>
      <c r="G170" s="441"/>
      <c r="H170" s="441"/>
      <c r="I170" s="441"/>
      <c r="J170" s="441"/>
      <c r="K170" s="441"/>
      <c r="L170" s="441"/>
    </row>
    <row r="171" outlineLevel="1">
      <c r="A171" s="342" t="s">
        <v>615</v>
      </c>
      <c r="B171" s="612">
        <f t="shared" ref="B171:B174" si="106">index(A171:L171,,match($A$3,$A$1:$L$1,0))</f>
        <v>-14682.06256</v>
      </c>
      <c r="C171" s="302">
        <f t="shared" ref="C171:C174" si="107">SUM(D171:L171)</f>
        <v>-14682.06256</v>
      </c>
      <c r="D171" s="461">
        <f t="shared" ref="D171:L171" si="105">-D123</f>
        <v>-348.1999536</v>
      </c>
      <c r="E171" s="461">
        <f t="shared" si="105"/>
        <v>-2624.878779</v>
      </c>
      <c r="F171" s="461">
        <f t="shared" si="105"/>
        <v>-1075.21206</v>
      </c>
      <c r="G171" s="461">
        <f t="shared" si="105"/>
        <v>-217.3483854</v>
      </c>
      <c r="H171" s="461">
        <f t="shared" si="105"/>
        <v>-242.6470942</v>
      </c>
      <c r="I171" s="461">
        <f t="shared" si="105"/>
        <v>-2458.492582</v>
      </c>
      <c r="J171" s="461">
        <f t="shared" si="105"/>
        <v>-713.4807406</v>
      </c>
      <c r="K171" s="461">
        <f t="shared" si="105"/>
        <v>-992.6445096</v>
      </c>
      <c r="L171" s="461">
        <f t="shared" si="105"/>
        <v>-6009.158459</v>
      </c>
    </row>
    <row r="172" outlineLevel="1">
      <c r="A172" s="342" t="s">
        <v>616</v>
      </c>
      <c r="B172" s="612">
        <f t="shared" si="106"/>
        <v>-53917.3353</v>
      </c>
      <c r="C172" s="302">
        <f t="shared" si="107"/>
        <v>-53917.3353</v>
      </c>
      <c r="D172" s="461">
        <f t="shared" ref="D172:L172" si="108">-D124</f>
        <v>-87.52211494</v>
      </c>
      <c r="E172" s="461">
        <f t="shared" si="108"/>
        <v>-9282.235226</v>
      </c>
      <c r="F172" s="461">
        <f t="shared" si="108"/>
        <v>-3802.221777</v>
      </c>
      <c r="G172" s="461">
        <f t="shared" si="108"/>
        <v>-768.598861</v>
      </c>
      <c r="H172" s="461">
        <f t="shared" si="108"/>
        <v>-1069.535834</v>
      </c>
      <c r="I172" s="461">
        <f t="shared" si="108"/>
        <v>-8693.851552</v>
      </c>
      <c r="J172" s="461">
        <f t="shared" si="108"/>
        <v>-1497.646583</v>
      </c>
      <c r="K172" s="461">
        <f t="shared" si="108"/>
        <v>-7465.819254</v>
      </c>
      <c r="L172" s="461">
        <f t="shared" si="108"/>
        <v>-21249.9041</v>
      </c>
    </row>
    <row r="173" outlineLevel="1">
      <c r="A173" s="342" t="s">
        <v>391</v>
      </c>
      <c r="B173" s="612">
        <f t="shared" si="106"/>
        <v>-5931.471979</v>
      </c>
      <c r="C173" s="302">
        <f t="shared" si="107"/>
        <v>-5931.471979</v>
      </c>
      <c r="D173" s="461">
        <f t="shared" ref="D173:L173" si="109">-D125</f>
        <v>-1093.567947</v>
      </c>
      <c r="E173" s="461">
        <f t="shared" si="109"/>
        <v>-1025.338642</v>
      </c>
      <c r="F173" s="461">
        <f t="shared" si="109"/>
        <v>-420.0028136</v>
      </c>
      <c r="G173" s="461">
        <f t="shared" si="109"/>
        <v>-84.90132955</v>
      </c>
      <c r="H173" s="461">
        <f t="shared" si="109"/>
        <v>0</v>
      </c>
      <c r="I173" s="461">
        <f t="shared" si="109"/>
        <v>-960.3443268</v>
      </c>
      <c r="J173" s="461">
        <f t="shared" si="109"/>
        <v>0</v>
      </c>
      <c r="K173" s="461">
        <f t="shared" si="109"/>
        <v>0</v>
      </c>
      <c r="L173" s="461">
        <f t="shared" si="109"/>
        <v>-2347.31692</v>
      </c>
    </row>
    <row r="174" outlineLevel="1">
      <c r="A174" s="342" t="s">
        <v>392</v>
      </c>
      <c r="B174" s="612">
        <f t="shared" si="106"/>
        <v>-74798.94422</v>
      </c>
      <c r="C174" s="302">
        <f t="shared" si="107"/>
        <v>-74798.94422</v>
      </c>
      <c r="D174" s="461">
        <f t="shared" ref="D174:L174" si="110">-D126</f>
        <v>-2446.659343</v>
      </c>
      <c r="E174" s="461">
        <f t="shared" si="110"/>
        <v>-13361.24863</v>
      </c>
      <c r="F174" s="461">
        <f t="shared" si="110"/>
        <v>-5473.081565</v>
      </c>
      <c r="G174" s="461">
        <f t="shared" si="110"/>
        <v>-1106.354259</v>
      </c>
      <c r="H174" s="461">
        <f t="shared" si="110"/>
        <v>-1660.397858</v>
      </c>
      <c r="I174" s="461">
        <f t="shared" si="110"/>
        <v>-12514.30386</v>
      </c>
      <c r="J174" s="461">
        <f t="shared" si="110"/>
        <v>-2744.894694</v>
      </c>
      <c r="K174" s="461">
        <f t="shared" si="110"/>
        <v>-4903.978056</v>
      </c>
      <c r="L174" s="461">
        <f t="shared" si="110"/>
        <v>-30588.02596</v>
      </c>
    </row>
    <row r="175" outlineLevel="1">
      <c r="A175" s="342"/>
      <c r="B175" s="459"/>
      <c r="C175" s="459"/>
      <c r="D175" s="459"/>
      <c r="E175" s="459"/>
      <c r="F175" s="459"/>
      <c r="G175" s="459"/>
      <c r="H175" s="459"/>
      <c r="I175" s="459"/>
      <c r="J175" s="459"/>
      <c r="K175" s="459"/>
      <c r="L175" s="459"/>
    </row>
    <row r="176" outlineLevel="1">
      <c r="A176" s="616" t="s">
        <v>617</v>
      </c>
      <c r="B176" s="459"/>
      <c r="C176" s="459"/>
      <c r="D176" s="459"/>
      <c r="E176" s="459"/>
      <c r="F176" s="459"/>
      <c r="G176" s="459"/>
      <c r="H176" s="459"/>
      <c r="I176" s="459"/>
      <c r="J176" s="459"/>
      <c r="K176" s="459"/>
      <c r="L176" s="459"/>
    </row>
    <row r="177" outlineLevel="1">
      <c r="A177" s="342" t="s">
        <v>285</v>
      </c>
      <c r="B177" s="459"/>
      <c r="C177" s="459"/>
      <c r="D177" s="459"/>
      <c r="E177" s="459"/>
      <c r="F177" s="459"/>
      <c r="G177" s="459"/>
      <c r="H177" s="459"/>
      <c r="I177" s="459"/>
      <c r="J177" s="459"/>
      <c r="K177" s="459"/>
      <c r="L177" s="459"/>
    </row>
    <row r="178" outlineLevel="1">
      <c r="A178" s="342" t="s">
        <v>615</v>
      </c>
      <c r="B178" s="295">
        <f t="shared" ref="B178:B181" si="112">index(A178:L178,,match($A$3,$A$1:$L$1,0))</f>
        <v>0</v>
      </c>
      <c r="C178" s="252">
        <f t="shared" ref="C178:C181" si="113">SUM(D178:L178)</f>
        <v>0</v>
      </c>
      <c r="D178" s="252">
        <f t="shared" ref="D178:L178" si="111">D153*D$106</f>
        <v>0</v>
      </c>
      <c r="E178" s="252">
        <f t="shared" si="111"/>
        <v>0</v>
      </c>
      <c r="F178" s="252">
        <f t="shared" si="111"/>
        <v>0</v>
      </c>
      <c r="G178" s="252">
        <f t="shared" si="111"/>
        <v>0</v>
      </c>
      <c r="H178" s="252">
        <f t="shared" si="111"/>
        <v>0</v>
      </c>
      <c r="I178" s="252">
        <f t="shared" si="111"/>
        <v>0</v>
      </c>
      <c r="J178" s="252">
        <f t="shared" si="111"/>
        <v>0</v>
      </c>
      <c r="K178" s="252">
        <f t="shared" si="111"/>
        <v>0</v>
      </c>
      <c r="L178" s="252">
        <f t="shared" si="111"/>
        <v>0</v>
      </c>
    </row>
    <row r="179" outlineLevel="1">
      <c r="A179" s="342" t="s">
        <v>616</v>
      </c>
      <c r="B179" s="295">
        <f t="shared" si="112"/>
        <v>0</v>
      </c>
      <c r="C179" s="252">
        <f t="shared" si="113"/>
        <v>0</v>
      </c>
      <c r="D179" s="252">
        <f t="shared" ref="D179:L179" si="114">D154*D$106</f>
        <v>0</v>
      </c>
      <c r="E179" s="252">
        <f t="shared" si="114"/>
        <v>0</v>
      </c>
      <c r="F179" s="252">
        <f t="shared" si="114"/>
        <v>0</v>
      </c>
      <c r="G179" s="252">
        <f t="shared" si="114"/>
        <v>0</v>
      </c>
      <c r="H179" s="252">
        <f t="shared" si="114"/>
        <v>0</v>
      </c>
      <c r="I179" s="252">
        <f t="shared" si="114"/>
        <v>0</v>
      </c>
      <c r="J179" s="252">
        <f t="shared" si="114"/>
        <v>0</v>
      </c>
      <c r="K179" s="252">
        <f t="shared" si="114"/>
        <v>0</v>
      </c>
      <c r="L179" s="252">
        <f t="shared" si="114"/>
        <v>0</v>
      </c>
    </row>
    <row r="180" outlineLevel="1">
      <c r="A180" s="342" t="s">
        <v>391</v>
      </c>
      <c r="B180" s="295">
        <f t="shared" si="112"/>
        <v>7779.982477</v>
      </c>
      <c r="C180" s="252">
        <f t="shared" si="113"/>
        <v>7779.982477</v>
      </c>
      <c r="D180" s="252">
        <f t="shared" ref="D180:L180" si="115">D155*D$106</f>
        <v>252.9081596</v>
      </c>
      <c r="E180" s="252">
        <f t="shared" si="115"/>
        <v>1195.036751</v>
      </c>
      <c r="F180" s="252">
        <f t="shared" si="115"/>
        <v>502.0779116</v>
      </c>
      <c r="G180" s="252">
        <f t="shared" si="115"/>
        <v>77.47632408</v>
      </c>
      <c r="H180" s="252">
        <f t="shared" si="115"/>
        <v>123.7249352</v>
      </c>
      <c r="I180" s="252">
        <f t="shared" si="115"/>
        <v>747.1180794</v>
      </c>
      <c r="J180" s="252">
        <f t="shared" si="115"/>
        <v>534.2728493</v>
      </c>
      <c r="K180" s="252">
        <f t="shared" si="115"/>
        <v>493.9835014</v>
      </c>
      <c r="L180" s="252">
        <f t="shared" si="115"/>
        <v>3853.383965</v>
      </c>
    </row>
    <row r="181" outlineLevel="1">
      <c r="A181" s="342" t="s">
        <v>392</v>
      </c>
      <c r="B181" s="295">
        <f t="shared" si="112"/>
        <v>0</v>
      </c>
      <c r="C181" s="252">
        <f t="shared" si="113"/>
        <v>0</v>
      </c>
      <c r="D181" s="252">
        <f t="shared" ref="D181:L181" si="116">D156*D$106</f>
        <v>0</v>
      </c>
      <c r="E181" s="252">
        <f t="shared" si="116"/>
        <v>0</v>
      </c>
      <c r="F181" s="252">
        <f t="shared" si="116"/>
        <v>0</v>
      </c>
      <c r="G181" s="252">
        <f t="shared" si="116"/>
        <v>0</v>
      </c>
      <c r="H181" s="252">
        <f t="shared" si="116"/>
        <v>0</v>
      </c>
      <c r="I181" s="252">
        <f t="shared" si="116"/>
        <v>0</v>
      </c>
      <c r="J181" s="252">
        <f t="shared" si="116"/>
        <v>0</v>
      </c>
      <c r="K181" s="252">
        <f t="shared" si="116"/>
        <v>0</v>
      </c>
      <c r="L181" s="252">
        <f t="shared" si="116"/>
        <v>0</v>
      </c>
    </row>
    <row r="182" outlineLevel="1">
      <c r="A182" s="342"/>
      <c r="B182" s="459"/>
      <c r="C182" s="459"/>
      <c r="D182" s="459"/>
      <c r="E182" s="459"/>
      <c r="F182" s="459"/>
      <c r="G182" s="459"/>
      <c r="H182" s="459"/>
      <c r="I182" s="459"/>
      <c r="J182" s="459"/>
      <c r="K182" s="459"/>
      <c r="L182" s="459"/>
    </row>
    <row r="183" outlineLevel="1">
      <c r="A183" s="342" t="s">
        <v>612</v>
      </c>
      <c r="B183" s="459"/>
      <c r="C183" s="459"/>
      <c r="D183" s="459"/>
      <c r="E183" s="459"/>
      <c r="F183" s="459"/>
      <c r="G183" s="459"/>
      <c r="H183" s="459"/>
      <c r="I183" s="459"/>
      <c r="J183" s="459"/>
      <c r="K183" s="459"/>
      <c r="L183" s="459"/>
    </row>
    <row r="184" outlineLevel="1">
      <c r="A184" s="342" t="s">
        <v>615</v>
      </c>
      <c r="B184" s="295">
        <f t="shared" ref="B184:B187" si="118">index(A184:L184,,match($A$3,$A$1:$L$1,0))</f>
        <v>0</v>
      </c>
      <c r="C184" s="252">
        <f t="shared" ref="C184:C187" si="119">SUM(D184:L184)</f>
        <v>0</v>
      </c>
      <c r="D184" s="252">
        <f t="shared" ref="D184:L184" si="117">D159*D$106</f>
        <v>0</v>
      </c>
      <c r="E184" s="252">
        <f t="shared" si="117"/>
        <v>0</v>
      </c>
      <c r="F184" s="252">
        <f t="shared" si="117"/>
        <v>0</v>
      </c>
      <c r="G184" s="252">
        <f t="shared" si="117"/>
        <v>0</v>
      </c>
      <c r="H184" s="252">
        <f t="shared" si="117"/>
        <v>0</v>
      </c>
      <c r="I184" s="252">
        <f t="shared" si="117"/>
        <v>0</v>
      </c>
      <c r="J184" s="252">
        <f t="shared" si="117"/>
        <v>0</v>
      </c>
      <c r="K184" s="252">
        <f t="shared" si="117"/>
        <v>0</v>
      </c>
      <c r="L184" s="252">
        <f t="shared" si="117"/>
        <v>0</v>
      </c>
    </row>
    <row r="185" outlineLevel="1">
      <c r="A185" s="342" t="s">
        <v>616</v>
      </c>
      <c r="B185" s="295">
        <f t="shared" si="118"/>
        <v>7779.982477</v>
      </c>
      <c r="C185" s="252">
        <f t="shared" si="119"/>
        <v>7779.982477</v>
      </c>
      <c r="D185" s="252">
        <f t="shared" ref="D185:L185" si="120">D160*D$106</f>
        <v>252.9081596</v>
      </c>
      <c r="E185" s="252">
        <f t="shared" si="120"/>
        <v>1195.036751</v>
      </c>
      <c r="F185" s="252">
        <f t="shared" si="120"/>
        <v>502.0779116</v>
      </c>
      <c r="G185" s="252">
        <f t="shared" si="120"/>
        <v>77.47632408</v>
      </c>
      <c r="H185" s="252">
        <f t="shared" si="120"/>
        <v>123.7249352</v>
      </c>
      <c r="I185" s="252">
        <f t="shared" si="120"/>
        <v>747.1180794</v>
      </c>
      <c r="J185" s="252">
        <f t="shared" si="120"/>
        <v>534.2728493</v>
      </c>
      <c r="K185" s="252">
        <f t="shared" si="120"/>
        <v>493.9835014</v>
      </c>
      <c r="L185" s="252">
        <f t="shared" si="120"/>
        <v>3853.383965</v>
      </c>
    </row>
    <row r="186" outlineLevel="1">
      <c r="A186" s="342" t="s">
        <v>391</v>
      </c>
      <c r="B186" s="295">
        <f t="shared" si="118"/>
        <v>0</v>
      </c>
      <c r="C186" s="252">
        <f t="shared" si="119"/>
        <v>0</v>
      </c>
      <c r="D186" s="252">
        <f t="shared" ref="D186:L186" si="121">D161*D$106</f>
        <v>0</v>
      </c>
      <c r="E186" s="252">
        <f t="shared" si="121"/>
        <v>0</v>
      </c>
      <c r="F186" s="252">
        <f t="shared" si="121"/>
        <v>0</v>
      </c>
      <c r="G186" s="252">
        <f t="shared" si="121"/>
        <v>0</v>
      </c>
      <c r="H186" s="252">
        <f t="shared" si="121"/>
        <v>0</v>
      </c>
      <c r="I186" s="252">
        <f t="shared" si="121"/>
        <v>0</v>
      </c>
      <c r="J186" s="252">
        <f t="shared" si="121"/>
        <v>0</v>
      </c>
      <c r="K186" s="252">
        <f t="shared" si="121"/>
        <v>0</v>
      </c>
      <c r="L186" s="252">
        <f t="shared" si="121"/>
        <v>0</v>
      </c>
    </row>
    <row r="187" outlineLevel="1">
      <c r="A187" s="342" t="s">
        <v>392</v>
      </c>
      <c r="B187" s="295">
        <f t="shared" si="118"/>
        <v>0</v>
      </c>
      <c r="C187" s="252">
        <f t="shared" si="119"/>
        <v>0</v>
      </c>
      <c r="D187" s="252">
        <f t="shared" ref="D187:L187" si="122">D162*D$106</f>
        <v>0</v>
      </c>
      <c r="E187" s="252">
        <f t="shared" si="122"/>
        <v>0</v>
      </c>
      <c r="F187" s="252">
        <f t="shared" si="122"/>
        <v>0</v>
      </c>
      <c r="G187" s="252">
        <f t="shared" si="122"/>
        <v>0</v>
      </c>
      <c r="H187" s="252">
        <f t="shared" si="122"/>
        <v>0</v>
      </c>
      <c r="I187" s="252">
        <f t="shared" si="122"/>
        <v>0</v>
      </c>
      <c r="J187" s="252">
        <f t="shared" si="122"/>
        <v>0</v>
      </c>
      <c r="K187" s="252">
        <f t="shared" si="122"/>
        <v>0</v>
      </c>
      <c r="L187" s="252">
        <f t="shared" si="122"/>
        <v>0</v>
      </c>
    </row>
    <row r="188" outlineLevel="1">
      <c r="A188" s="342"/>
      <c r="B188" s="459"/>
      <c r="C188" s="459"/>
      <c r="D188" s="459"/>
      <c r="E188" s="459"/>
      <c r="F188" s="459"/>
      <c r="G188" s="459"/>
      <c r="H188" s="459"/>
      <c r="I188" s="459"/>
      <c r="J188" s="459"/>
      <c r="K188" s="459"/>
      <c r="L188" s="459"/>
    </row>
    <row r="189" outlineLevel="1">
      <c r="A189" s="852" t="s">
        <v>613</v>
      </c>
      <c r="B189" s="459"/>
      <c r="C189" s="459"/>
      <c r="D189" s="459"/>
      <c r="E189" s="459"/>
      <c r="F189" s="459"/>
      <c r="G189" s="459"/>
      <c r="H189" s="459"/>
      <c r="I189" s="459"/>
      <c r="J189" s="459"/>
      <c r="K189" s="459"/>
      <c r="L189" s="459"/>
    </row>
    <row r="190" outlineLevel="1">
      <c r="A190" s="342" t="s">
        <v>615</v>
      </c>
      <c r="B190" s="295">
        <f t="shared" ref="B190:B193" si="124">index(A190:L190,,match($A$3,$A$1:$L$1,0))</f>
        <v>-724.6925244</v>
      </c>
      <c r="C190" s="252">
        <f t="shared" ref="C190:C193" si="125">SUM(D190:L190)</f>
        <v>-724.6925244</v>
      </c>
      <c r="D190" s="252">
        <f t="shared" ref="D190:L190" si="123">D165*D$106</f>
        <v>-16.42753222</v>
      </c>
      <c r="E190" s="252">
        <f t="shared" si="123"/>
        <v>-109.8660703</v>
      </c>
      <c r="F190" s="252">
        <f t="shared" si="123"/>
        <v>-46.15868685</v>
      </c>
      <c r="G190" s="252">
        <f t="shared" si="123"/>
        <v>-7.122809625</v>
      </c>
      <c r="H190" s="252">
        <f t="shared" si="123"/>
        <v>-8.26670766</v>
      </c>
      <c r="I190" s="252">
        <f t="shared" si="123"/>
        <v>-68.68652986</v>
      </c>
      <c r="J190" s="252">
        <f t="shared" si="123"/>
        <v>-66.97857434</v>
      </c>
      <c r="K190" s="252">
        <f t="shared" si="123"/>
        <v>-46.92357641</v>
      </c>
      <c r="L190" s="252">
        <f t="shared" si="123"/>
        <v>-354.2620371</v>
      </c>
    </row>
    <row r="191" outlineLevel="1">
      <c r="A191" s="342" t="s">
        <v>616</v>
      </c>
      <c r="B191" s="295">
        <f t="shared" si="124"/>
        <v>0</v>
      </c>
      <c r="C191" s="252">
        <f t="shared" si="125"/>
        <v>0</v>
      </c>
      <c r="D191" s="252">
        <f t="shared" ref="D191:L191" si="126">D166*D$106</f>
        <v>0</v>
      </c>
      <c r="E191" s="252">
        <f t="shared" si="126"/>
        <v>0</v>
      </c>
      <c r="F191" s="252">
        <f t="shared" si="126"/>
        <v>0</v>
      </c>
      <c r="G191" s="252">
        <f t="shared" si="126"/>
        <v>0</v>
      </c>
      <c r="H191" s="252">
        <f t="shared" si="126"/>
        <v>0</v>
      </c>
      <c r="I191" s="252">
        <f t="shared" si="126"/>
        <v>0</v>
      </c>
      <c r="J191" s="252">
        <f t="shared" si="126"/>
        <v>0</v>
      </c>
      <c r="K191" s="252">
        <f t="shared" si="126"/>
        <v>0</v>
      </c>
      <c r="L191" s="252">
        <f t="shared" si="126"/>
        <v>0</v>
      </c>
    </row>
    <row r="192" outlineLevel="1">
      <c r="A192" s="342" t="s">
        <v>391</v>
      </c>
      <c r="B192" s="295">
        <f t="shared" si="124"/>
        <v>0</v>
      </c>
      <c r="C192" s="252">
        <f t="shared" si="125"/>
        <v>0</v>
      </c>
      <c r="D192" s="252">
        <f t="shared" ref="D192:L192" si="127">D167*D$106</f>
        <v>0</v>
      </c>
      <c r="E192" s="252">
        <f t="shared" si="127"/>
        <v>0</v>
      </c>
      <c r="F192" s="252">
        <f t="shared" si="127"/>
        <v>0</v>
      </c>
      <c r="G192" s="252">
        <f t="shared" si="127"/>
        <v>0</v>
      </c>
      <c r="H192" s="252">
        <f t="shared" si="127"/>
        <v>0</v>
      </c>
      <c r="I192" s="252">
        <f t="shared" si="127"/>
        <v>0</v>
      </c>
      <c r="J192" s="252">
        <f t="shared" si="127"/>
        <v>0</v>
      </c>
      <c r="K192" s="252">
        <f t="shared" si="127"/>
        <v>0</v>
      </c>
      <c r="L192" s="252">
        <f t="shared" si="127"/>
        <v>0</v>
      </c>
    </row>
    <row r="193" outlineLevel="1">
      <c r="A193" s="342" t="s">
        <v>392</v>
      </c>
      <c r="B193" s="295">
        <f t="shared" si="124"/>
        <v>-3644.860715</v>
      </c>
      <c r="C193" s="252">
        <f t="shared" si="125"/>
        <v>-3644.860715</v>
      </c>
      <c r="D193" s="252">
        <f t="shared" ref="D193:L193" si="128">D168*D$106</f>
        <v>-115.4295822</v>
      </c>
      <c r="E193" s="252">
        <f t="shared" si="128"/>
        <v>-559.2440661</v>
      </c>
      <c r="F193" s="252">
        <f t="shared" si="128"/>
        <v>-234.9585422</v>
      </c>
      <c r="G193" s="252">
        <f t="shared" si="128"/>
        <v>-36.25677159</v>
      </c>
      <c r="H193" s="252">
        <f t="shared" si="128"/>
        <v>-56.56784694</v>
      </c>
      <c r="I193" s="252">
        <f t="shared" si="128"/>
        <v>-349.6305468</v>
      </c>
      <c r="J193" s="252">
        <f t="shared" si="128"/>
        <v>-257.6791815</v>
      </c>
      <c r="K193" s="252">
        <f t="shared" si="128"/>
        <v>-231.8173191</v>
      </c>
      <c r="L193" s="252">
        <f t="shared" si="128"/>
        <v>-1803.276858</v>
      </c>
    </row>
    <row r="194" outlineLevel="1">
      <c r="A194" s="342"/>
      <c r="B194" s="459"/>
      <c r="C194" s="459"/>
      <c r="D194" s="459"/>
      <c r="E194" s="459"/>
      <c r="F194" s="459"/>
      <c r="G194" s="459"/>
      <c r="H194" s="459"/>
      <c r="I194" s="459"/>
      <c r="J194" s="459"/>
      <c r="K194" s="459"/>
      <c r="L194" s="459"/>
    </row>
    <row r="195" outlineLevel="1">
      <c r="A195" s="342" t="s">
        <v>288</v>
      </c>
      <c r="B195" s="459"/>
      <c r="C195" s="459"/>
      <c r="D195" s="459"/>
      <c r="E195" s="459"/>
      <c r="F195" s="459"/>
      <c r="G195" s="459"/>
      <c r="H195" s="459"/>
      <c r="I195" s="459"/>
      <c r="J195" s="459"/>
      <c r="K195" s="459"/>
      <c r="L195" s="459"/>
    </row>
    <row r="196" outlineLevel="1">
      <c r="A196" s="342" t="s">
        <v>615</v>
      </c>
      <c r="B196" s="295">
        <f t="shared" ref="B196:B199" si="130">index(A196:L196,,match($A$3,$A$1:$L$1,0))</f>
        <v>-1205.23866</v>
      </c>
      <c r="C196" s="252">
        <f t="shared" ref="C196:C199" si="131">SUM(D196:L196)</f>
        <v>-1205.23866</v>
      </c>
      <c r="D196" s="252">
        <f t="shared" ref="D196:L196" si="129">D171*D$106</f>
        <v>-21.06971797</v>
      </c>
      <c r="E196" s="252">
        <f t="shared" si="129"/>
        <v>-171.9393773</v>
      </c>
      <c r="F196" s="252">
        <f t="shared" si="129"/>
        <v>-72.23791523</v>
      </c>
      <c r="G196" s="252">
        <f t="shared" si="129"/>
        <v>-11.14713076</v>
      </c>
      <c r="H196" s="252">
        <f t="shared" si="129"/>
        <v>-11.71763208</v>
      </c>
      <c r="I196" s="252">
        <f t="shared" si="129"/>
        <v>-107.4937798</v>
      </c>
      <c r="J196" s="252">
        <f t="shared" si="129"/>
        <v>-90.89825863</v>
      </c>
      <c r="K196" s="252">
        <f t="shared" si="129"/>
        <v>-164.3180575</v>
      </c>
      <c r="L196" s="252">
        <f t="shared" si="129"/>
        <v>-554.4167903</v>
      </c>
    </row>
    <row r="197" outlineLevel="1">
      <c r="A197" s="342" t="s">
        <v>616</v>
      </c>
      <c r="B197" s="295">
        <f t="shared" si="130"/>
        <v>-4727.180847</v>
      </c>
      <c r="C197" s="252">
        <f t="shared" si="131"/>
        <v>-4727.180847</v>
      </c>
      <c r="D197" s="252">
        <f t="shared" ref="D197:L197" si="132">D172*D$106</f>
        <v>-5.295998059</v>
      </c>
      <c r="E197" s="252">
        <f t="shared" si="132"/>
        <v>-608.0211238</v>
      </c>
      <c r="F197" s="252">
        <f t="shared" si="132"/>
        <v>-255.4515381</v>
      </c>
      <c r="G197" s="252">
        <f t="shared" si="132"/>
        <v>-39.41907361</v>
      </c>
      <c r="H197" s="252">
        <f t="shared" si="132"/>
        <v>-51.64878416</v>
      </c>
      <c r="I197" s="252">
        <f t="shared" si="132"/>
        <v>-380.125192</v>
      </c>
      <c r="J197" s="252">
        <f t="shared" si="132"/>
        <v>-190.8018797</v>
      </c>
      <c r="K197" s="252">
        <f t="shared" si="132"/>
        <v>-1235.859269</v>
      </c>
      <c r="L197" s="252">
        <f t="shared" si="132"/>
        <v>-1960.557989</v>
      </c>
    </row>
    <row r="198" outlineLevel="1">
      <c r="A198" s="342" t="s">
        <v>391</v>
      </c>
      <c r="B198" s="295">
        <f t="shared" si="130"/>
        <v>-424.4655332</v>
      </c>
      <c r="C198" s="252">
        <f t="shared" si="131"/>
        <v>-424.4655332</v>
      </c>
      <c r="D198" s="252">
        <f t="shared" ref="D198:L198" si="133">D173*D$106</f>
        <v>-66.17223233</v>
      </c>
      <c r="E198" s="252">
        <f t="shared" si="133"/>
        <v>-67.16351588</v>
      </c>
      <c r="F198" s="252">
        <f t="shared" si="133"/>
        <v>-28.21780818</v>
      </c>
      <c r="G198" s="252">
        <f t="shared" si="133"/>
        <v>-4.354328284</v>
      </c>
      <c r="H198" s="252">
        <f t="shared" si="133"/>
        <v>0</v>
      </c>
      <c r="I198" s="252">
        <f t="shared" si="133"/>
        <v>-41.98956808</v>
      </c>
      <c r="J198" s="252">
        <f t="shared" si="133"/>
        <v>0</v>
      </c>
      <c r="K198" s="252">
        <f t="shared" si="133"/>
        <v>0</v>
      </c>
      <c r="L198" s="252">
        <f t="shared" si="133"/>
        <v>-216.5680805</v>
      </c>
    </row>
    <row r="199" outlineLevel="1">
      <c r="A199" s="342" t="s">
        <v>392</v>
      </c>
      <c r="B199" s="295">
        <f t="shared" si="130"/>
        <v>-6058.657507</v>
      </c>
      <c r="C199" s="252">
        <f t="shared" si="131"/>
        <v>-6058.657507</v>
      </c>
      <c r="D199" s="252">
        <f t="shared" ref="D199:L199" si="134">D174*D$106</f>
        <v>-148.048332</v>
      </c>
      <c r="E199" s="252">
        <f t="shared" si="134"/>
        <v>-875.2117575</v>
      </c>
      <c r="F199" s="252">
        <f t="shared" si="134"/>
        <v>-367.7079313</v>
      </c>
      <c r="G199" s="252">
        <f t="shared" si="134"/>
        <v>-56.74151003</v>
      </c>
      <c r="H199" s="252">
        <f t="shared" si="134"/>
        <v>-80.18200776</v>
      </c>
      <c r="I199" s="252">
        <f t="shared" si="134"/>
        <v>-547.1685512</v>
      </c>
      <c r="J199" s="252">
        <f t="shared" si="134"/>
        <v>-349.7027089</v>
      </c>
      <c r="K199" s="252">
        <f t="shared" si="134"/>
        <v>-811.7832118</v>
      </c>
      <c r="L199" s="252">
        <f t="shared" si="134"/>
        <v>-2822.111497</v>
      </c>
    </row>
    <row r="200" outlineLevel="1">
      <c r="A200" s="342"/>
      <c r="B200" s="299"/>
      <c r="C200" s="299"/>
      <c r="D200" s="299"/>
      <c r="E200" s="299"/>
      <c r="F200" s="299"/>
      <c r="G200" s="299"/>
      <c r="H200" s="299"/>
      <c r="I200" s="299"/>
      <c r="J200" s="299"/>
      <c r="K200" s="299"/>
      <c r="L200" s="299"/>
    </row>
    <row r="201" outlineLevel="1">
      <c r="A201" s="854" t="s">
        <v>618</v>
      </c>
      <c r="B201" s="459"/>
      <c r="C201" s="459"/>
      <c r="D201" s="459"/>
      <c r="E201" s="459"/>
      <c r="F201" s="459"/>
      <c r="G201" s="459"/>
      <c r="H201" s="459"/>
      <c r="I201" s="459"/>
      <c r="J201" s="459"/>
      <c r="K201" s="459"/>
      <c r="L201" s="459"/>
    </row>
    <row r="202" outlineLevel="1">
      <c r="A202" s="342" t="s">
        <v>285</v>
      </c>
      <c r="B202" s="459"/>
      <c r="C202" s="459"/>
      <c r="D202" s="459"/>
      <c r="E202" s="459"/>
      <c r="F202" s="459"/>
      <c r="G202" s="459"/>
      <c r="H202" s="459"/>
      <c r="I202" s="459"/>
      <c r="J202" s="459"/>
      <c r="K202" s="459"/>
      <c r="L202" s="459"/>
    </row>
    <row r="203" outlineLevel="1">
      <c r="A203" s="342" t="s">
        <v>615</v>
      </c>
      <c r="B203" s="295">
        <f t="shared" ref="B203:B206" si="136">index(A203:L203,,match($A$3,$A$1:$L$1,0))</f>
        <v>0</v>
      </c>
      <c r="C203" s="252">
        <f t="shared" ref="C203:C206" si="137">SUM(D203:L203)</f>
        <v>0</v>
      </c>
      <c r="D203" s="252">
        <f t="shared" ref="D203:L203" si="135">-D153*D134</f>
        <v>0</v>
      </c>
      <c r="E203" s="252">
        <f t="shared" si="135"/>
        <v>0</v>
      </c>
      <c r="F203" s="252">
        <f t="shared" si="135"/>
        <v>0</v>
      </c>
      <c r="G203" s="252">
        <f t="shared" si="135"/>
        <v>0</v>
      </c>
      <c r="H203" s="252">
        <f t="shared" si="135"/>
        <v>0</v>
      </c>
      <c r="I203" s="252">
        <f t="shared" si="135"/>
        <v>0</v>
      </c>
      <c r="J203" s="252">
        <f t="shared" si="135"/>
        <v>0</v>
      </c>
      <c r="K203" s="252">
        <f t="shared" si="135"/>
        <v>0</v>
      </c>
      <c r="L203" s="252">
        <f t="shared" si="135"/>
        <v>0</v>
      </c>
    </row>
    <row r="204" outlineLevel="1">
      <c r="A204" s="342" t="s">
        <v>616</v>
      </c>
      <c r="B204" s="295">
        <f t="shared" si="136"/>
        <v>0</v>
      </c>
      <c r="C204" s="252">
        <f t="shared" si="137"/>
        <v>0</v>
      </c>
      <c r="D204" s="252">
        <f t="shared" ref="D204:L204" si="138">-D154*D135</f>
        <v>0</v>
      </c>
      <c r="E204" s="252">
        <f t="shared" si="138"/>
        <v>0</v>
      </c>
      <c r="F204" s="252">
        <f t="shared" si="138"/>
        <v>0</v>
      </c>
      <c r="G204" s="252">
        <f t="shared" si="138"/>
        <v>0</v>
      </c>
      <c r="H204" s="252">
        <f t="shared" si="138"/>
        <v>0</v>
      </c>
      <c r="I204" s="252">
        <f t="shared" si="138"/>
        <v>0</v>
      </c>
      <c r="J204" s="252">
        <f t="shared" si="138"/>
        <v>0</v>
      </c>
      <c r="K204" s="252">
        <f t="shared" si="138"/>
        <v>0</v>
      </c>
      <c r="L204" s="252">
        <f t="shared" si="138"/>
        <v>0</v>
      </c>
    </row>
    <row r="205" outlineLevel="1">
      <c r="A205" s="342" t="s">
        <v>391</v>
      </c>
      <c r="B205" s="295">
        <f t="shared" si="136"/>
        <v>-496.2190749</v>
      </c>
      <c r="C205" s="252">
        <f t="shared" si="137"/>
        <v>-496.2190749</v>
      </c>
      <c r="D205" s="252">
        <f t="shared" ref="D205:L205" si="139">-D155*D136</f>
        <v>-20.73988207</v>
      </c>
      <c r="E205" s="252">
        <f t="shared" si="139"/>
        <v>-90.52918657</v>
      </c>
      <c r="F205" s="252">
        <f t="shared" si="139"/>
        <v>-37.08288319</v>
      </c>
      <c r="G205" s="252">
        <f t="shared" si="139"/>
        <v>-7.496107132</v>
      </c>
      <c r="H205" s="252">
        <f t="shared" si="139"/>
        <v>-12.71352342</v>
      </c>
      <c r="I205" s="252">
        <f t="shared" si="139"/>
        <v>-84.79070935</v>
      </c>
      <c r="J205" s="252">
        <f t="shared" si="139"/>
        <v>-20.80957692</v>
      </c>
      <c r="K205" s="252">
        <f t="shared" si="139"/>
        <v>-14.80792996</v>
      </c>
      <c r="L205" s="252">
        <f t="shared" si="139"/>
        <v>-207.2492763</v>
      </c>
    </row>
    <row r="206" outlineLevel="1">
      <c r="A206" s="342" t="s">
        <v>392</v>
      </c>
      <c r="B206" s="295">
        <f t="shared" si="136"/>
        <v>0</v>
      </c>
      <c r="C206" s="252">
        <f t="shared" si="137"/>
        <v>0</v>
      </c>
      <c r="D206" s="252">
        <f t="shared" ref="D206:L206" si="140">-D156*D137</f>
        <v>0</v>
      </c>
      <c r="E206" s="252">
        <f t="shared" si="140"/>
        <v>0</v>
      </c>
      <c r="F206" s="252">
        <f t="shared" si="140"/>
        <v>0</v>
      </c>
      <c r="G206" s="252">
        <f t="shared" si="140"/>
        <v>0</v>
      </c>
      <c r="H206" s="252">
        <f t="shared" si="140"/>
        <v>0</v>
      </c>
      <c r="I206" s="252">
        <f t="shared" si="140"/>
        <v>0</v>
      </c>
      <c r="J206" s="252">
        <f t="shared" si="140"/>
        <v>0</v>
      </c>
      <c r="K206" s="252">
        <f t="shared" si="140"/>
        <v>0</v>
      </c>
      <c r="L206" s="252">
        <f t="shared" si="140"/>
        <v>0</v>
      </c>
    </row>
    <row r="207" outlineLevel="1">
      <c r="A207" s="342"/>
      <c r="B207" s="459"/>
      <c r="C207" s="459"/>
      <c r="D207" s="417"/>
      <c r="E207" s="459"/>
      <c r="F207" s="459"/>
      <c r="G207" s="459"/>
      <c r="H207" s="459"/>
      <c r="I207" s="459"/>
      <c r="J207" s="459"/>
      <c r="K207" s="459"/>
      <c r="L207" s="459"/>
    </row>
    <row r="208" outlineLevel="1">
      <c r="A208" s="342" t="s">
        <v>612</v>
      </c>
      <c r="B208" s="459"/>
      <c r="C208" s="459"/>
      <c r="D208" s="459"/>
      <c r="E208" s="459"/>
      <c r="F208" s="459"/>
      <c r="G208" s="459"/>
      <c r="H208" s="459"/>
      <c r="I208" s="459"/>
      <c r="J208" s="459"/>
      <c r="K208" s="459"/>
      <c r="L208" s="459"/>
    </row>
    <row r="209" outlineLevel="1">
      <c r="A209" s="342" t="s">
        <v>615</v>
      </c>
      <c r="B209" s="295">
        <f t="shared" ref="B209:B212" si="142">index(A209:L209,,match($A$3,$A$1:$L$1,0))</f>
        <v>0</v>
      </c>
      <c r="C209" s="252">
        <f t="shared" ref="C209:C212" si="143">SUM(D209:L209)</f>
        <v>0</v>
      </c>
      <c r="D209" s="252">
        <f t="shared" ref="D209:L209" si="141">-D159*D134</f>
        <v>0</v>
      </c>
      <c r="E209" s="252">
        <f t="shared" si="141"/>
        <v>0</v>
      </c>
      <c r="F209" s="252">
        <f t="shared" si="141"/>
        <v>0</v>
      </c>
      <c r="G209" s="252">
        <f t="shared" si="141"/>
        <v>0</v>
      </c>
      <c r="H209" s="252">
        <f t="shared" si="141"/>
        <v>0</v>
      </c>
      <c r="I209" s="252">
        <f t="shared" si="141"/>
        <v>0</v>
      </c>
      <c r="J209" s="252">
        <f t="shared" si="141"/>
        <v>0</v>
      </c>
      <c r="K209" s="252">
        <f t="shared" si="141"/>
        <v>0</v>
      </c>
      <c r="L209" s="252">
        <f t="shared" si="141"/>
        <v>0</v>
      </c>
    </row>
    <row r="210" outlineLevel="1">
      <c r="A210" s="342" t="s">
        <v>616</v>
      </c>
      <c r="B210" s="295">
        <f t="shared" si="142"/>
        <v>-584.3394921</v>
      </c>
      <c r="C210" s="252">
        <f t="shared" si="143"/>
        <v>-584.3394921</v>
      </c>
      <c r="D210" s="252">
        <f t="shared" ref="D210:L210" si="144">-D160*D135</f>
        <v>-24.42294697</v>
      </c>
      <c r="E210" s="252">
        <f t="shared" si="144"/>
        <v>-106.6056941</v>
      </c>
      <c r="F210" s="252">
        <f t="shared" si="144"/>
        <v>-43.66819863</v>
      </c>
      <c r="G210" s="252">
        <f t="shared" si="144"/>
        <v>-8.82729354</v>
      </c>
      <c r="H210" s="252">
        <f t="shared" si="144"/>
        <v>-14.97123789</v>
      </c>
      <c r="I210" s="252">
        <f t="shared" si="144"/>
        <v>-99.84815687</v>
      </c>
      <c r="J210" s="252">
        <f t="shared" si="144"/>
        <v>-24.50501849</v>
      </c>
      <c r="K210" s="252">
        <f t="shared" si="144"/>
        <v>-17.43757688</v>
      </c>
      <c r="L210" s="252">
        <f t="shared" si="144"/>
        <v>-244.0533687</v>
      </c>
    </row>
    <row r="211" outlineLevel="1">
      <c r="A211" s="342" t="s">
        <v>391</v>
      </c>
      <c r="B211" s="295">
        <f t="shared" si="142"/>
        <v>0</v>
      </c>
      <c r="C211" s="252">
        <f t="shared" si="143"/>
        <v>0</v>
      </c>
      <c r="D211" s="252">
        <f t="shared" ref="D211:L211" si="145">-D161*D136</f>
        <v>0</v>
      </c>
      <c r="E211" s="252">
        <f t="shared" si="145"/>
        <v>0</v>
      </c>
      <c r="F211" s="252">
        <f t="shared" si="145"/>
        <v>0</v>
      </c>
      <c r="G211" s="252">
        <f t="shared" si="145"/>
        <v>0</v>
      </c>
      <c r="H211" s="252">
        <f t="shared" si="145"/>
        <v>0</v>
      </c>
      <c r="I211" s="252">
        <f t="shared" si="145"/>
        <v>0</v>
      </c>
      <c r="J211" s="252">
        <f t="shared" si="145"/>
        <v>0</v>
      </c>
      <c r="K211" s="252">
        <f t="shared" si="145"/>
        <v>0</v>
      </c>
      <c r="L211" s="252">
        <f t="shared" si="145"/>
        <v>0</v>
      </c>
    </row>
    <row r="212" outlineLevel="1">
      <c r="A212" s="342" t="s">
        <v>392</v>
      </c>
      <c r="B212" s="295">
        <f t="shared" si="142"/>
        <v>0</v>
      </c>
      <c r="C212" s="252">
        <f t="shared" si="143"/>
        <v>0</v>
      </c>
      <c r="D212" s="252">
        <f t="shared" ref="D212:L212" si="146">-D162*D137</f>
        <v>0</v>
      </c>
      <c r="E212" s="252">
        <f t="shared" si="146"/>
        <v>0</v>
      </c>
      <c r="F212" s="252">
        <f t="shared" si="146"/>
        <v>0</v>
      </c>
      <c r="G212" s="252">
        <f t="shared" si="146"/>
        <v>0</v>
      </c>
      <c r="H212" s="252">
        <f t="shared" si="146"/>
        <v>0</v>
      </c>
      <c r="I212" s="252">
        <f t="shared" si="146"/>
        <v>0</v>
      </c>
      <c r="J212" s="252">
        <f t="shared" si="146"/>
        <v>0</v>
      </c>
      <c r="K212" s="252">
        <f t="shared" si="146"/>
        <v>0</v>
      </c>
      <c r="L212" s="252">
        <f t="shared" si="146"/>
        <v>0</v>
      </c>
    </row>
    <row r="213" outlineLevel="1">
      <c r="A213" s="342"/>
      <c r="B213" s="459"/>
      <c r="C213" s="459"/>
      <c r="D213" s="417"/>
      <c r="E213" s="417"/>
      <c r="F213" s="417"/>
      <c r="G213" s="417"/>
      <c r="H213" s="417"/>
      <c r="I213" s="417"/>
      <c r="J213" s="417"/>
      <c r="K213" s="417"/>
      <c r="L213" s="417"/>
    </row>
    <row r="214" outlineLevel="1">
      <c r="A214" s="852" t="s">
        <v>613</v>
      </c>
      <c r="B214" s="459"/>
      <c r="C214" s="459"/>
      <c r="D214" s="459"/>
      <c r="E214" s="459"/>
      <c r="F214" s="459"/>
      <c r="G214" s="459"/>
      <c r="H214" s="459"/>
      <c r="I214" s="459"/>
      <c r="J214" s="459"/>
      <c r="K214" s="459"/>
      <c r="L214" s="459"/>
    </row>
    <row r="215" outlineLevel="1">
      <c r="A215" s="342" t="s">
        <v>615</v>
      </c>
      <c r="B215" s="295">
        <f t="shared" ref="B215:B218" si="148">index(A215:L215,,match($A$3,$A$1:$L$1,0))</f>
        <v>53.55884144</v>
      </c>
      <c r="C215" s="252">
        <f t="shared" ref="C215:C218" si="149">SUM(D215:L215)</f>
        <v>53.55884144</v>
      </c>
      <c r="D215" s="252">
        <f t="shared" ref="D215:L215" si="147">-D165*D134</f>
        <v>1.586381194</v>
      </c>
      <c r="E215" s="252">
        <f t="shared" si="147"/>
        <v>9.800827194</v>
      </c>
      <c r="F215" s="252">
        <f t="shared" si="147"/>
        <v>4.014649239</v>
      </c>
      <c r="G215" s="252">
        <f t="shared" si="147"/>
        <v>0.8115399399</v>
      </c>
      <c r="H215" s="252">
        <f t="shared" si="147"/>
        <v>1.00030642</v>
      </c>
      <c r="I215" s="252">
        <f t="shared" si="147"/>
        <v>9.179570937</v>
      </c>
      <c r="J215" s="252">
        <f t="shared" si="147"/>
        <v>3.072046811</v>
      </c>
      <c r="K215" s="252">
        <f t="shared" si="147"/>
        <v>1.656398379</v>
      </c>
      <c r="L215" s="252">
        <f t="shared" si="147"/>
        <v>22.43712133</v>
      </c>
    </row>
    <row r="216" outlineLevel="1">
      <c r="A216" s="342" t="s">
        <v>616</v>
      </c>
      <c r="B216" s="295">
        <f t="shared" si="148"/>
        <v>0</v>
      </c>
      <c r="C216" s="252">
        <f t="shared" si="149"/>
        <v>0</v>
      </c>
      <c r="D216" s="252">
        <f t="shared" ref="D216:L216" si="150">-D166*D135</f>
        <v>0</v>
      </c>
      <c r="E216" s="252">
        <f t="shared" si="150"/>
        <v>0</v>
      </c>
      <c r="F216" s="252">
        <f t="shared" si="150"/>
        <v>0</v>
      </c>
      <c r="G216" s="252">
        <f t="shared" si="150"/>
        <v>0</v>
      </c>
      <c r="H216" s="252">
        <f t="shared" si="150"/>
        <v>0</v>
      </c>
      <c r="I216" s="252">
        <f t="shared" si="150"/>
        <v>0</v>
      </c>
      <c r="J216" s="252">
        <f t="shared" si="150"/>
        <v>0</v>
      </c>
      <c r="K216" s="252">
        <f t="shared" si="150"/>
        <v>0</v>
      </c>
      <c r="L216" s="252">
        <f t="shared" si="150"/>
        <v>0</v>
      </c>
    </row>
    <row r="217" outlineLevel="1">
      <c r="A217" s="342" t="s">
        <v>391</v>
      </c>
      <c r="B217" s="295">
        <f t="shared" si="148"/>
        <v>0</v>
      </c>
      <c r="C217" s="252">
        <f t="shared" si="149"/>
        <v>0</v>
      </c>
      <c r="D217" s="252">
        <f t="shared" ref="D217:L217" si="151">-D167*D136</f>
        <v>0</v>
      </c>
      <c r="E217" s="252">
        <f t="shared" si="151"/>
        <v>0</v>
      </c>
      <c r="F217" s="252">
        <f t="shared" si="151"/>
        <v>0</v>
      </c>
      <c r="G217" s="252">
        <f t="shared" si="151"/>
        <v>0</v>
      </c>
      <c r="H217" s="252">
        <f t="shared" si="151"/>
        <v>0</v>
      </c>
      <c r="I217" s="252">
        <f t="shared" si="151"/>
        <v>0</v>
      </c>
      <c r="J217" s="252">
        <f t="shared" si="151"/>
        <v>0</v>
      </c>
      <c r="K217" s="252">
        <f t="shared" si="151"/>
        <v>0</v>
      </c>
      <c r="L217" s="252">
        <f t="shared" si="151"/>
        <v>0</v>
      </c>
    </row>
    <row r="218" outlineLevel="1">
      <c r="A218" s="342" t="s">
        <v>392</v>
      </c>
      <c r="B218" s="295">
        <f t="shared" si="148"/>
        <v>232.1575962</v>
      </c>
      <c r="C218" s="252">
        <f t="shared" si="149"/>
        <v>232.1575962</v>
      </c>
      <c r="D218" s="252">
        <f t="shared" ref="D218:L218" si="152">-D168*D137</f>
        <v>9.465870637</v>
      </c>
      <c r="E218" s="252">
        <f t="shared" si="152"/>
        <v>42.36514933</v>
      </c>
      <c r="F218" s="252">
        <f t="shared" si="152"/>
        <v>17.35376118</v>
      </c>
      <c r="G218" s="252">
        <f t="shared" si="152"/>
        <v>3.507970303</v>
      </c>
      <c r="H218" s="252">
        <f t="shared" si="152"/>
        <v>5.812705786</v>
      </c>
      <c r="I218" s="252">
        <f t="shared" si="152"/>
        <v>39.6797011</v>
      </c>
      <c r="J218" s="252">
        <f t="shared" si="152"/>
        <v>10.03643504</v>
      </c>
      <c r="K218" s="252">
        <f t="shared" si="152"/>
        <v>6.949087598</v>
      </c>
      <c r="L218" s="252">
        <f t="shared" si="152"/>
        <v>96.98691518</v>
      </c>
    </row>
    <row r="219" outlineLevel="1">
      <c r="A219" s="342"/>
      <c r="B219" s="459"/>
      <c r="C219" s="459"/>
      <c r="D219" s="417"/>
      <c r="E219" s="417"/>
      <c r="F219" s="417"/>
      <c r="G219" s="417"/>
      <c r="H219" s="417"/>
      <c r="I219" s="417"/>
      <c r="J219" s="417"/>
      <c r="K219" s="417"/>
      <c r="L219" s="417"/>
    </row>
    <row r="220" outlineLevel="1">
      <c r="A220" s="342" t="s">
        <v>288</v>
      </c>
      <c r="B220" s="459"/>
      <c r="C220" s="459"/>
      <c r="D220" s="459"/>
      <c r="E220" s="459"/>
      <c r="F220" s="459"/>
      <c r="G220" s="459"/>
      <c r="H220" s="459"/>
      <c r="I220" s="459"/>
      <c r="J220" s="459"/>
      <c r="K220" s="459"/>
      <c r="L220" s="459"/>
    </row>
    <row r="221" outlineLevel="1">
      <c r="A221" s="342" t="s">
        <v>615</v>
      </c>
      <c r="B221" s="295">
        <f t="shared" ref="B221:B224" si="154">index(A221:L221,,match($A$3,$A$1:$L$1,0))</f>
        <v>85.7930898</v>
      </c>
      <c r="C221" s="252">
        <f t="shared" ref="C221:C224" si="155">SUM(D221:L221)</f>
        <v>85.7930898</v>
      </c>
      <c r="D221" s="252">
        <f t="shared" ref="D221:L221" si="153">-D171*D134</f>
        <v>2.03466984</v>
      </c>
      <c r="E221" s="252">
        <f t="shared" si="153"/>
        <v>15.33820332</v>
      </c>
      <c r="F221" s="252">
        <f t="shared" si="153"/>
        <v>6.282888687</v>
      </c>
      <c r="G221" s="252">
        <f t="shared" si="153"/>
        <v>1.270052451</v>
      </c>
      <c r="H221" s="252">
        <f t="shared" si="153"/>
        <v>1.417882798</v>
      </c>
      <c r="I221" s="252">
        <f t="shared" si="153"/>
        <v>14.36594306</v>
      </c>
      <c r="J221" s="252">
        <f t="shared" si="153"/>
        <v>4.169149736</v>
      </c>
      <c r="K221" s="252">
        <f t="shared" si="153"/>
        <v>5.800413885</v>
      </c>
      <c r="L221" s="252">
        <f t="shared" si="153"/>
        <v>35.11388602</v>
      </c>
    </row>
    <row r="222" outlineLevel="1">
      <c r="A222" s="342" t="s">
        <v>616</v>
      </c>
      <c r="B222" s="295">
        <f t="shared" si="154"/>
        <v>315.0602833</v>
      </c>
      <c r="C222" s="252">
        <f t="shared" si="155"/>
        <v>315.0602833</v>
      </c>
      <c r="D222" s="252">
        <f t="shared" ref="D222:L222" si="156">-D172*D135</f>
        <v>0.5114262819</v>
      </c>
      <c r="E222" s="252">
        <f t="shared" si="156"/>
        <v>54.23976617</v>
      </c>
      <c r="F222" s="252">
        <f t="shared" si="156"/>
        <v>22.21788342</v>
      </c>
      <c r="G222" s="252">
        <f t="shared" si="156"/>
        <v>4.49122668</v>
      </c>
      <c r="H222" s="252">
        <f t="shared" si="156"/>
        <v>6.249720261</v>
      </c>
      <c r="I222" s="252">
        <f t="shared" si="156"/>
        <v>50.801608</v>
      </c>
      <c r="J222" s="252">
        <f t="shared" si="156"/>
        <v>8.751340434</v>
      </c>
      <c r="K222" s="252">
        <f t="shared" si="156"/>
        <v>43.62573031</v>
      </c>
      <c r="L222" s="252">
        <f t="shared" si="156"/>
        <v>124.1715817</v>
      </c>
    </row>
    <row r="223" outlineLevel="1">
      <c r="A223" s="342" t="s">
        <v>391</v>
      </c>
      <c r="B223" s="295">
        <f t="shared" si="154"/>
        <v>29.43309538</v>
      </c>
      <c r="C223" s="252">
        <f t="shared" si="155"/>
        <v>29.43309538</v>
      </c>
      <c r="D223" s="252">
        <f t="shared" ref="D223:L223" si="157">-D173*D136</f>
        <v>5.426492749</v>
      </c>
      <c r="E223" s="252">
        <f t="shared" si="157"/>
        <v>5.087925921</v>
      </c>
      <c r="F223" s="252">
        <f t="shared" si="157"/>
        <v>2.084134076</v>
      </c>
      <c r="G223" s="252">
        <f t="shared" si="157"/>
        <v>0.4212965921</v>
      </c>
      <c r="H223" s="252">
        <f t="shared" si="157"/>
        <v>0</v>
      </c>
      <c r="I223" s="252">
        <f t="shared" si="157"/>
        <v>4.765411734</v>
      </c>
      <c r="J223" s="252">
        <f t="shared" si="157"/>
        <v>0</v>
      </c>
      <c r="K223" s="252">
        <f t="shared" si="157"/>
        <v>0</v>
      </c>
      <c r="L223" s="252">
        <f t="shared" si="157"/>
        <v>11.64783431</v>
      </c>
    </row>
    <row r="224" outlineLevel="1">
      <c r="A224" s="342" t="s">
        <v>392</v>
      </c>
      <c r="B224" s="295">
        <f t="shared" si="154"/>
        <v>371.166629</v>
      </c>
      <c r="C224" s="252">
        <f t="shared" si="155"/>
        <v>371.166629</v>
      </c>
      <c r="D224" s="252">
        <f t="shared" ref="D224:L224" si="158">-D174*D137</f>
        <v>12.14079036</v>
      </c>
      <c r="E224" s="252">
        <f t="shared" si="158"/>
        <v>66.30106434</v>
      </c>
      <c r="F224" s="252">
        <f t="shared" si="158"/>
        <v>27.15847471</v>
      </c>
      <c r="G224" s="252">
        <f t="shared" si="158"/>
        <v>5.489940869</v>
      </c>
      <c r="H224" s="252">
        <f t="shared" si="158"/>
        <v>8.239210888</v>
      </c>
      <c r="I224" s="252">
        <f t="shared" si="158"/>
        <v>62.09836285</v>
      </c>
      <c r="J224" s="252">
        <f t="shared" si="158"/>
        <v>13.62069106</v>
      </c>
      <c r="K224" s="252">
        <f t="shared" si="158"/>
        <v>24.33447454</v>
      </c>
      <c r="L224" s="252">
        <f t="shared" si="158"/>
        <v>151.7836194</v>
      </c>
    </row>
    <row r="225" outlineLevel="1">
      <c r="A225" s="342"/>
      <c r="B225" s="459"/>
      <c r="C225" s="459"/>
      <c r="D225" s="459"/>
      <c r="E225" s="459"/>
      <c r="F225" s="459"/>
      <c r="G225" s="459"/>
      <c r="H225" s="459"/>
      <c r="I225" s="459"/>
      <c r="J225" s="459"/>
      <c r="K225" s="459"/>
      <c r="L225" s="459"/>
    </row>
    <row r="226" outlineLevel="1">
      <c r="A226" s="341" t="s">
        <v>619</v>
      </c>
      <c r="B226" s="459"/>
      <c r="C226" s="459"/>
      <c r="D226" s="459"/>
      <c r="E226" s="459"/>
      <c r="F226" s="459"/>
      <c r="G226" s="459"/>
      <c r="H226" s="459"/>
      <c r="I226" s="459"/>
      <c r="J226" s="459"/>
      <c r="K226" s="459"/>
      <c r="L226" s="459"/>
    </row>
    <row r="227" outlineLevel="1">
      <c r="A227" s="342" t="s">
        <v>611</v>
      </c>
      <c r="B227" s="295">
        <f t="shared" ref="B227:B230" si="160">index(A227:L227,,match($A$3,$A$1:$L$1,0))</f>
        <v>7283.763402</v>
      </c>
      <c r="C227" s="252">
        <f t="shared" ref="C227:C230" si="161">SUM(D227:L227)</f>
        <v>7283.763402</v>
      </c>
      <c r="D227" s="252">
        <f t="shared" ref="D227:L227" si="159">sum(D178:D181,D203:D206)</f>
        <v>232.1682776</v>
      </c>
      <c r="E227" s="252">
        <f t="shared" si="159"/>
        <v>1104.507564</v>
      </c>
      <c r="F227" s="252">
        <f t="shared" si="159"/>
        <v>464.9950284</v>
      </c>
      <c r="G227" s="252">
        <f t="shared" si="159"/>
        <v>69.98021695</v>
      </c>
      <c r="H227" s="252">
        <f t="shared" si="159"/>
        <v>111.0114118</v>
      </c>
      <c r="I227" s="252">
        <f t="shared" si="159"/>
        <v>662.3273701</v>
      </c>
      <c r="J227" s="252">
        <f t="shared" si="159"/>
        <v>513.4632723</v>
      </c>
      <c r="K227" s="252">
        <f t="shared" si="159"/>
        <v>479.1755715</v>
      </c>
      <c r="L227" s="252">
        <f t="shared" si="159"/>
        <v>3646.134689</v>
      </c>
    </row>
    <row r="228" outlineLevel="1">
      <c r="A228" s="342" t="s">
        <v>612</v>
      </c>
      <c r="B228" s="295">
        <f t="shared" si="160"/>
        <v>7195.642985</v>
      </c>
      <c r="C228" s="252">
        <f t="shared" si="161"/>
        <v>7195.642985</v>
      </c>
      <c r="D228" s="252">
        <f t="shared" ref="D228:L228" si="162">sum(D184:D187,D209:D212)</f>
        <v>228.4852127</v>
      </c>
      <c r="E228" s="252">
        <f t="shared" si="162"/>
        <v>1088.431057</v>
      </c>
      <c r="F228" s="252">
        <f t="shared" si="162"/>
        <v>458.409713</v>
      </c>
      <c r="G228" s="252">
        <f t="shared" si="162"/>
        <v>68.64903054</v>
      </c>
      <c r="H228" s="252">
        <f t="shared" si="162"/>
        <v>108.7536973</v>
      </c>
      <c r="I228" s="252">
        <f t="shared" si="162"/>
        <v>647.2699226</v>
      </c>
      <c r="J228" s="252">
        <f t="shared" si="162"/>
        <v>509.7678308</v>
      </c>
      <c r="K228" s="252">
        <f t="shared" si="162"/>
        <v>476.5459245</v>
      </c>
      <c r="L228" s="252">
        <f t="shared" si="162"/>
        <v>3609.330597</v>
      </c>
    </row>
    <row r="229" outlineLevel="1">
      <c r="A229" s="852" t="s">
        <v>613</v>
      </c>
      <c r="B229" s="295">
        <f t="shared" si="160"/>
        <v>-4083.836801</v>
      </c>
      <c r="C229" s="252">
        <f t="shared" si="161"/>
        <v>-4083.836801</v>
      </c>
      <c r="D229" s="252">
        <f t="shared" ref="D229:L229" si="163">sum(D190:D193,D215:D218)</f>
        <v>-120.8048626</v>
      </c>
      <c r="E229" s="252">
        <f t="shared" si="163"/>
        <v>-616.9441599</v>
      </c>
      <c r="F229" s="252">
        <f t="shared" si="163"/>
        <v>-259.7488186</v>
      </c>
      <c r="G229" s="252">
        <f t="shared" si="163"/>
        <v>-39.06007097</v>
      </c>
      <c r="H229" s="252">
        <f t="shared" si="163"/>
        <v>-58.02154239</v>
      </c>
      <c r="I229" s="252">
        <f t="shared" si="163"/>
        <v>-369.4578047</v>
      </c>
      <c r="J229" s="252">
        <f t="shared" si="163"/>
        <v>-311.549274</v>
      </c>
      <c r="K229" s="252">
        <f t="shared" si="163"/>
        <v>-270.1354095</v>
      </c>
      <c r="L229" s="252">
        <f t="shared" si="163"/>
        <v>-2038.114859</v>
      </c>
    </row>
    <row r="230" outlineLevel="1">
      <c r="A230" s="342" t="s">
        <v>288</v>
      </c>
      <c r="B230" s="295">
        <f t="shared" si="160"/>
        <v>-11614.08945</v>
      </c>
      <c r="C230" s="252">
        <f t="shared" si="161"/>
        <v>-11614.08945</v>
      </c>
      <c r="D230" s="252">
        <f t="shared" ref="D230:L230" si="164">sum(D196:D199,D221:D224)</f>
        <v>-220.4729011</v>
      </c>
      <c r="E230" s="252">
        <f t="shared" si="164"/>
        <v>-1581.368815</v>
      </c>
      <c r="F230" s="252">
        <f t="shared" si="164"/>
        <v>-665.871812</v>
      </c>
      <c r="G230" s="252">
        <f t="shared" si="164"/>
        <v>-99.98952608</v>
      </c>
      <c r="H230" s="252">
        <f t="shared" si="164"/>
        <v>-127.64161</v>
      </c>
      <c r="I230" s="252">
        <f t="shared" si="164"/>
        <v>-944.7457654</v>
      </c>
      <c r="J230" s="252">
        <f t="shared" si="164"/>
        <v>-604.861666</v>
      </c>
      <c r="K230" s="252">
        <f t="shared" si="164"/>
        <v>-2138.199919</v>
      </c>
      <c r="L230" s="252">
        <f t="shared" si="164"/>
        <v>-5230.937435</v>
      </c>
    </row>
    <row r="231" outlineLevel="1">
      <c r="A231" s="342"/>
      <c r="B231" s="459"/>
      <c r="C231" s="459"/>
      <c r="D231" s="459"/>
      <c r="E231" s="459"/>
      <c r="F231" s="459"/>
      <c r="G231" s="459"/>
      <c r="H231" s="459"/>
      <c r="I231" s="459"/>
      <c r="J231" s="459"/>
      <c r="K231" s="459"/>
      <c r="L231" s="459"/>
    </row>
    <row r="232" outlineLevel="1">
      <c r="A232" s="341" t="s">
        <v>620</v>
      </c>
      <c r="B232" s="459"/>
      <c r="C232" s="459"/>
      <c r="D232" s="459"/>
      <c r="E232" s="459"/>
      <c r="F232" s="459"/>
      <c r="G232" s="459"/>
      <c r="H232" s="459"/>
      <c r="I232" s="459"/>
      <c r="J232" s="459"/>
      <c r="K232" s="459"/>
      <c r="L232" s="459"/>
    </row>
    <row r="233" outlineLevel="1">
      <c r="A233" s="342" t="s">
        <v>611</v>
      </c>
      <c r="B233" s="295">
        <f t="shared" ref="B233:B237" si="166">index(A233:L233,,match($A$3,$A$1:$L$1,0))</f>
        <v>496.2190749</v>
      </c>
      <c r="C233" s="252">
        <f t="shared" ref="C233:C236" si="167">SUM(D233:L233)</f>
        <v>496.2190749</v>
      </c>
      <c r="D233" s="252">
        <f t="shared" ref="D233:L233" si="165">D$8*D$105-D227</f>
        <v>20.73988207</v>
      </c>
      <c r="E233" s="252">
        <f t="shared" si="165"/>
        <v>90.52918657</v>
      </c>
      <c r="F233" s="252">
        <f t="shared" si="165"/>
        <v>37.08288319</v>
      </c>
      <c r="G233" s="252">
        <f t="shared" si="165"/>
        <v>7.496107132</v>
      </c>
      <c r="H233" s="252">
        <f t="shared" si="165"/>
        <v>12.71352342</v>
      </c>
      <c r="I233" s="252">
        <f t="shared" si="165"/>
        <v>84.79070935</v>
      </c>
      <c r="J233" s="252">
        <f t="shared" si="165"/>
        <v>20.80957692</v>
      </c>
      <c r="K233" s="252">
        <f t="shared" si="165"/>
        <v>14.80792996</v>
      </c>
      <c r="L233" s="252">
        <f t="shared" si="165"/>
        <v>207.2492763</v>
      </c>
    </row>
    <row r="234" outlineLevel="1">
      <c r="A234" s="342" t="s">
        <v>612</v>
      </c>
      <c r="B234" s="295">
        <f t="shared" si="166"/>
        <v>584.3394921</v>
      </c>
      <c r="C234" s="252">
        <f t="shared" si="167"/>
        <v>584.3394921</v>
      </c>
      <c r="D234" s="252">
        <f t="shared" ref="D234:L234" si="168">D$8*D$105-D228</f>
        <v>24.42294697</v>
      </c>
      <c r="E234" s="252">
        <f t="shared" si="168"/>
        <v>106.6056941</v>
      </c>
      <c r="F234" s="252">
        <f t="shared" si="168"/>
        <v>43.66819863</v>
      </c>
      <c r="G234" s="252">
        <f t="shared" si="168"/>
        <v>8.82729354</v>
      </c>
      <c r="H234" s="252">
        <f t="shared" si="168"/>
        <v>14.97123789</v>
      </c>
      <c r="I234" s="252">
        <f t="shared" si="168"/>
        <v>99.84815687</v>
      </c>
      <c r="J234" s="252">
        <f t="shared" si="168"/>
        <v>24.50501849</v>
      </c>
      <c r="K234" s="252">
        <f t="shared" si="168"/>
        <v>17.43757688</v>
      </c>
      <c r="L234" s="252">
        <f t="shared" si="168"/>
        <v>244.0533687</v>
      </c>
    </row>
    <row r="235" outlineLevel="1">
      <c r="A235" s="852" t="s">
        <v>613</v>
      </c>
      <c r="B235" s="295">
        <f t="shared" si="166"/>
        <v>11863.81928</v>
      </c>
      <c r="C235" s="252">
        <f t="shared" si="167"/>
        <v>11863.81928</v>
      </c>
      <c r="D235" s="252">
        <f t="shared" ref="D235:L235" si="169">D$8*D$105-D229</f>
        <v>373.7130222</v>
      </c>
      <c r="E235" s="252">
        <f t="shared" si="169"/>
        <v>1811.98091</v>
      </c>
      <c r="F235" s="252">
        <f t="shared" si="169"/>
        <v>761.8267302</v>
      </c>
      <c r="G235" s="252">
        <f t="shared" si="169"/>
        <v>116.536395</v>
      </c>
      <c r="H235" s="252">
        <f t="shared" si="169"/>
        <v>181.7464776</v>
      </c>
      <c r="I235" s="252">
        <f t="shared" si="169"/>
        <v>1116.575884</v>
      </c>
      <c r="J235" s="252">
        <f t="shared" si="169"/>
        <v>845.8221233</v>
      </c>
      <c r="K235" s="252">
        <f t="shared" si="169"/>
        <v>764.1189109</v>
      </c>
      <c r="L235" s="252">
        <f t="shared" si="169"/>
        <v>5891.498824</v>
      </c>
    </row>
    <row r="236" outlineLevel="1">
      <c r="A236" s="855" t="s">
        <v>288</v>
      </c>
      <c r="B236" s="644">
        <f t="shared" si="166"/>
        <v>19394.07193</v>
      </c>
      <c r="C236" s="801">
        <f t="shared" si="167"/>
        <v>19394.07193</v>
      </c>
      <c r="D236" s="801">
        <f t="shared" ref="D236:L236" si="170">D$8*D$105-D230</f>
        <v>473.3810608</v>
      </c>
      <c r="E236" s="801">
        <f t="shared" si="170"/>
        <v>2776.405565</v>
      </c>
      <c r="F236" s="801">
        <f t="shared" si="170"/>
        <v>1167.949724</v>
      </c>
      <c r="G236" s="801">
        <f t="shared" si="170"/>
        <v>177.4658502</v>
      </c>
      <c r="H236" s="801">
        <f t="shared" si="170"/>
        <v>251.3665452</v>
      </c>
      <c r="I236" s="801">
        <f t="shared" si="170"/>
        <v>1691.863845</v>
      </c>
      <c r="J236" s="801">
        <f t="shared" si="170"/>
        <v>1139.134515</v>
      </c>
      <c r="K236" s="801">
        <f t="shared" si="170"/>
        <v>2632.18342</v>
      </c>
      <c r="L236" s="801">
        <f t="shared" si="170"/>
        <v>9084.321401</v>
      </c>
    </row>
    <row r="237" outlineLevel="1">
      <c r="A237" s="342" t="s">
        <v>72</v>
      </c>
      <c r="B237" s="295">
        <f t="shared" si="166"/>
        <v>7369.088667</v>
      </c>
      <c r="C237" s="252">
        <f>sum(D237:L237)</f>
        <v>7369.088667</v>
      </c>
      <c r="D237" s="252">
        <f t="shared" ref="D237:L237" si="171">SUMPRODUCT(D233:D236,D140:D143)</f>
        <v>268.5576932</v>
      </c>
      <c r="E237" s="252">
        <f t="shared" si="171"/>
        <v>957.6856515</v>
      </c>
      <c r="F237" s="252">
        <f t="shared" si="171"/>
        <v>545.7206392</v>
      </c>
      <c r="G237" s="252">
        <f t="shared" si="171"/>
        <v>94.86145611</v>
      </c>
      <c r="H237" s="252">
        <f t="shared" si="171"/>
        <v>131.4881342</v>
      </c>
      <c r="I237" s="252">
        <f t="shared" si="171"/>
        <v>606.7062757</v>
      </c>
      <c r="J237" s="252">
        <f t="shared" si="171"/>
        <v>599.0574477</v>
      </c>
      <c r="K237" s="252">
        <f t="shared" si="171"/>
        <v>539.851546</v>
      </c>
      <c r="L237" s="252">
        <f t="shared" si="171"/>
        <v>3625.159824</v>
      </c>
    </row>
    <row r="238" outlineLevel="1">
      <c r="A238" s="344"/>
      <c r="B238" s="581"/>
      <c r="C238" s="856"/>
      <c r="D238" s="856"/>
      <c r="E238" s="856"/>
      <c r="F238" s="856"/>
      <c r="G238" s="856"/>
      <c r="H238" s="856"/>
      <c r="I238" s="856"/>
      <c r="J238" s="856"/>
      <c r="K238" s="856"/>
      <c r="L238" s="856"/>
    </row>
    <row r="239">
      <c r="A239" s="637" t="s">
        <v>398</v>
      </c>
      <c r="B239" s="857"/>
      <c r="C239" s="637"/>
      <c r="D239" s="637"/>
      <c r="E239" s="637"/>
      <c r="F239" s="637"/>
      <c r="G239" s="637"/>
      <c r="H239" s="637"/>
      <c r="I239" s="637"/>
      <c r="J239" s="637"/>
      <c r="K239" s="637"/>
      <c r="L239" s="637"/>
    </row>
    <row r="240">
      <c r="A240" s="346"/>
      <c r="B240" s="581"/>
      <c r="C240" s="856"/>
      <c r="D240" s="856"/>
      <c r="E240" s="856"/>
      <c r="F240" s="856"/>
      <c r="G240" s="856"/>
      <c r="H240" s="856"/>
      <c r="I240" s="856"/>
      <c r="J240" s="856"/>
      <c r="K240" s="856"/>
      <c r="L240" s="856"/>
    </row>
    <row r="241">
      <c r="A241" s="344" t="s">
        <v>399</v>
      </c>
      <c r="B241" s="541">
        <f t="shared" ref="B241:B242" si="173">index(A241:L241,,match($A$3,$A$1:$L$1,0))</f>
        <v>7369.088667</v>
      </c>
      <c r="C241" s="535">
        <f>sum(D241:L241)</f>
        <v>7369.088667</v>
      </c>
      <c r="D241" s="535">
        <f t="shared" ref="D241:L241" si="172">D237</f>
        <v>268.5576932</v>
      </c>
      <c r="E241" s="535">
        <f t="shared" si="172"/>
        <v>957.6856515</v>
      </c>
      <c r="F241" s="535">
        <f t="shared" si="172"/>
        <v>545.7206392</v>
      </c>
      <c r="G241" s="535">
        <f t="shared" si="172"/>
        <v>94.86145611</v>
      </c>
      <c r="H241" s="535">
        <f t="shared" si="172"/>
        <v>131.4881342</v>
      </c>
      <c r="I241" s="535">
        <f t="shared" si="172"/>
        <v>606.7062757</v>
      </c>
      <c r="J241" s="535">
        <f t="shared" si="172"/>
        <v>599.0574477</v>
      </c>
      <c r="K241" s="535">
        <f t="shared" si="172"/>
        <v>539.851546</v>
      </c>
      <c r="L241" s="535">
        <f t="shared" si="172"/>
        <v>3625.159824</v>
      </c>
    </row>
    <row r="242">
      <c r="A242" s="342" t="s">
        <v>621</v>
      </c>
      <c r="B242" s="196">
        <f t="shared" si="173"/>
        <v>0.07369088667</v>
      </c>
      <c r="C242" s="296">
        <f t="shared" ref="C242:L242" si="174">C241/C16</f>
        <v>0.07369088667</v>
      </c>
      <c r="D242" s="296">
        <f t="shared" si="174"/>
        <v>0.06425468073</v>
      </c>
      <c r="E242" s="296">
        <f t="shared" si="174"/>
        <v>0.05249377643</v>
      </c>
      <c r="F242" s="296">
        <f t="shared" si="174"/>
        <v>0.07302479404</v>
      </c>
      <c r="G242" s="296">
        <f t="shared" si="174"/>
        <v>0.06279534585</v>
      </c>
      <c r="H242" s="296">
        <f t="shared" si="174"/>
        <v>0.0513208795</v>
      </c>
      <c r="I242" s="296">
        <f t="shared" si="174"/>
        <v>0.03550615736</v>
      </c>
      <c r="J242" s="296">
        <f t="shared" si="174"/>
        <v>0.142849484</v>
      </c>
      <c r="K242" s="296">
        <f t="shared" si="174"/>
        <v>0.1809062006</v>
      </c>
      <c r="L242" s="296">
        <f t="shared" si="174"/>
        <v>0.08679757469</v>
      </c>
    </row>
    <row r="243">
      <c r="A243" s="344"/>
      <c r="B243" s="787"/>
      <c r="C243" s="858"/>
      <c r="D243" s="858"/>
      <c r="E243" s="858"/>
      <c r="F243" s="858"/>
      <c r="G243" s="858"/>
      <c r="H243" s="858"/>
      <c r="I243" s="858"/>
      <c r="J243" s="858"/>
      <c r="K243" s="858"/>
      <c r="L243" s="858"/>
    </row>
    <row r="244">
      <c r="A244" s="721" t="s">
        <v>291</v>
      </c>
      <c r="B244" s="680">
        <f t="shared" ref="B244:B245" si="175">index(C244:F244,,match($A$3,$C$1:$F$1,0))</f>
        <v>21.4227532</v>
      </c>
      <c r="C244" s="349">
        <f t="array" ref="C244">C242/index(GiveDirectly!$B:$B,match("Units of value generated per dollar spent",GiveDirectly!$A:$A,0))</f>
        <v>21.4227532</v>
      </c>
      <c r="D244" s="349">
        <f t="array" ref="D244">D242/index(GiveDirectly!$B:$B,match("Units of value generated per dollar spent",GiveDirectly!$A:$A,0))</f>
        <v>18.6795441</v>
      </c>
      <c r="E244" s="349">
        <f t="array" ref="E244">E242/index(GiveDirectly!$B:$B,match("Units of value generated per dollar spent",GiveDirectly!$A:$A,0))</f>
        <v>15.26051955</v>
      </c>
      <c r="F244" s="349">
        <f t="array" ref="F244">F242/index(GiveDirectly!$B:$B,match("Units of value generated per dollar spent",GiveDirectly!$A:$A,0))</f>
        <v>21.22911273</v>
      </c>
      <c r="G244" s="349">
        <f t="array" ref="G244">G242/index(GiveDirectly!$B:$B,match("Units of value generated per dollar spent",GiveDirectly!$A:$A,0))</f>
        <v>18.25529936</v>
      </c>
      <c r="H244" s="349">
        <f t="array" ref="H244">H242/index(GiveDirectly!$B:$B,match("Units of value generated per dollar spent",GiveDirectly!$A:$A,0))</f>
        <v>14.91954548</v>
      </c>
      <c r="I244" s="349">
        <f t="array" ref="I244">I242/index(GiveDirectly!$B:$B,match("Units of value generated per dollar spent",GiveDirectly!$A:$A,0))</f>
        <v>10.3220314</v>
      </c>
      <c r="J244" s="349">
        <f t="array" ref="J244">J242/index(GiveDirectly!$B:$B,match("Units of value generated per dollar spent",GiveDirectly!$A:$A,0))</f>
        <v>41.52791992</v>
      </c>
      <c r="K244" s="349">
        <f t="array" ref="K244">K242/index(GiveDirectly!$B:$B,match("Units of value generated per dollar spent",GiveDirectly!$A:$A,0))</f>
        <v>52.59142701</v>
      </c>
      <c r="L244" s="349">
        <f t="array" ref="L244">L242/index(GiveDirectly!$B:$B,match("Units of value generated per dollar spent",GiveDirectly!$A:$A,0))</f>
        <v>25.23301191</v>
      </c>
    </row>
    <row r="245">
      <c r="A245" s="344" t="s">
        <v>400</v>
      </c>
      <c r="B245" s="682">
        <f t="shared" si="175"/>
        <v>-0.09022741174</v>
      </c>
      <c r="C245" s="856">
        <f t="shared" ref="C245:L245" si="176">(C244-C108)/C108</f>
        <v>-0.09022741174</v>
      </c>
      <c r="D245" s="856">
        <f t="shared" si="176"/>
        <v>0.06187832594</v>
      </c>
      <c r="E245" s="856">
        <f t="shared" si="176"/>
        <v>-0.1986140585</v>
      </c>
      <c r="F245" s="856">
        <f t="shared" si="176"/>
        <v>0.08692421353</v>
      </c>
      <c r="G245" s="856">
        <f t="shared" si="176"/>
        <v>0.2243928353</v>
      </c>
      <c r="H245" s="856">
        <f t="shared" si="176"/>
        <v>0.06274563024</v>
      </c>
      <c r="I245" s="856">
        <f t="shared" si="176"/>
        <v>-0.1879379011</v>
      </c>
      <c r="J245" s="856">
        <f t="shared" si="176"/>
        <v>0.1212575157</v>
      </c>
      <c r="K245" s="856">
        <f t="shared" si="176"/>
        <v>0.09285339382</v>
      </c>
      <c r="L245" s="856">
        <f t="shared" si="176"/>
        <v>-0.05922694025</v>
      </c>
    </row>
    <row r="246">
      <c r="A246" s="344"/>
      <c r="B246" s="682"/>
      <c r="C246" s="856"/>
      <c r="D246" s="856"/>
      <c r="E246" s="856"/>
      <c r="F246" s="856"/>
      <c r="G246" s="856"/>
      <c r="H246" s="856"/>
      <c r="I246" s="856"/>
      <c r="J246" s="856"/>
      <c r="K246" s="856"/>
      <c r="L246" s="856"/>
    </row>
    <row r="247">
      <c r="A247" s="336" t="s">
        <v>154</v>
      </c>
      <c r="B247" s="337"/>
      <c r="C247" s="338"/>
      <c r="D247" s="338"/>
      <c r="E247" s="338"/>
      <c r="F247" s="338"/>
      <c r="G247" s="338"/>
      <c r="H247" s="338"/>
      <c r="I247" s="338"/>
      <c r="J247" s="338"/>
      <c r="K247" s="338"/>
      <c r="L247" s="338"/>
    </row>
    <row r="248">
      <c r="A248" s="350" t="s">
        <v>293</v>
      </c>
      <c r="B248" s="806">
        <f t="shared" ref="B248:B251" si="178">index(C248:F248,,match($A$3,$C$1:$F$1,0))</f>
        <v>96.59600638</v>
      </c>
      <c r="C248" s="249">
        <f t="shared" ref="C248:L248" si="177">C79</f>
        <v>96.59600638</v>
      </c>
      <c r="D248" s="249">
        <f t="shared" si="177"/>
        <v>2.461978211</v>
      </c>
      <c r="E248" s="249">
        <f t="shared" si="177"/>
        <v>13.31750664</v>
      </c>
      <c r="F248" s="249">
        <f t="shared" si="177"/>
        <v>5.700170261</v>
      </c>
      <c r="G248" s="249">
        <f t="shared" si="177"/>
        <v>0.9121040246</v>
      </c>
      <c r="H248" s="249">
        <f t="shared" si="177"/>
        <v>1.300145073</v>
      </c>
      <c r="I248" s="249">
        <f t="shared" si="177"/>
        <v>7.157161448</v>
      </c>
      <c r="J248" s="249">
        <f t="shared" si="177"/>
        <v>5.86935769</v>
      </c>
      <c r="K248" s="249">
        <f t="shared" si="177"/>
        <v>13.55902376</v>
      </c>
      <c r="L248" s="249">
        <f t="shared" si="177"/>
        <v>46.31855926</v>
      </c>
    </row>
    <row r="249">
      <c r="A249" s="350" t="s">
        <v>294</v>
      </c>
      <c r="B249" s="682">
        <f t="shared" si="178"/>
        <v>0.015</v>
      </c>
      <c r="C249" s="856">
        <f>sumif(InclusionExclusion!$N$68:$N$78,"Yes",InclusionExclusion!$M$68:$M$78)</f>
        <v>0.015</v>
      </c>
      <c r="D249" s="856">
        <f>sumif(InclusionExclusion!$N$68:$N$78,"Yes",InclusionExclusion!$M$68:$M$78)</f>
        <v>0.015</v>
      </c>
      <c r="E249" s="856">
        <f>sumif(InclusionExclusion!$N$68:$N$78,"Yes",InclusionExclusion!$M$68:$M$78)</f>
        <v>0.015</v>
      </c>
      <c r="F249" s="856">
        <f>sumif(InclusionExclusion!$N$68:$N$78,"Yes",InclusionExclusion!$M$68:$M$78)</f>
        <v>0.015</v>
      </c>
      <c r="G249" s="856">
        <f>sumif(InclusionExclusion!$N$68:$N$78,"Yes",InclusionExclusion!$M$68:$M$78)</f>
        <v>0.015</v>
      </c>
      <c r="H249" s="856">
        <f>sumif(InclusionExclusion!$N$68:$N$78,"Yes",InclusionExclusion!$M$68:$M$78)</f>
        <v>0.015</v>
      </c>
      <c r="I249" s="856">
        <f>sumif(InclusionExclusion!$N$68:$N$78,"Yes",InclusionExclusion!$M$68:$M$78)</f>
        <v>0.015</v>
      </c>
      <c r="J249" s="856">
        <f>sumif(InclusionExclusion!$N$68:$N$78,"Yes",InclusionExclusion!$M$68:$M$78)</f>
        <v>0.015</v>
      </c>
      <c r="K249" s="856">
        <f>sumif(InclusionExclusion!$N$68:$N$78,"Yes",InclusionExclusion!$M$68:$M$78)</f>
        <v>0.015</v>
      </c>
      <c r="L249" s="856">
        <f>sumif(InclusionExclusion!$N$68:$N$78,"Yes",InclusionExclusion!$M$68:$M$78)</f>
        <v>0.015</v>
      </c>
    </row>
    <row r="250">
      <c r="A250" s="350" t="s">
        <v>295</v>
      </c>
      <c r="B250" s="682">
        <f t="shared" si="178"/>
        <v>-0.09022741174</v>
      </c>
      <c r="C250" s="856">
        <f t="shared" ref="C250:L250" si="179">if(C245&lt;0,C245,0)</f>
        <v>-0.09022741174</v>
      </c>
      <c r="D250" s="856">
        <f t="shared" si="179"/>
        <v>0</v>
      </c>
      <c r="E250" s="856">
        <f t="shared" si="179"/>
        <v>-0.1986140585</v>
      </c>
      <c r="F250" s="856">
        <f t="shared" si="179"/>
        <v>0</v>
      </c>
      <c r="G250" s="856">
        <f t="shared" si="179"/>
        <v>0</v>
      </c>
      <c r="H250" s="856">
        <f t="shared" si="179"/>
        <v>0</v>
      </c>
      <c r="I250" s="856">
        <f t="shared" si="179"/>
        <v>-0.1879379011</v>
      </c>
      <c r="J250" s="856">
        <f t="shared" si="179"/>
        <v>0</v>
      </c>
      <c r="K250" s="856">
        <f t="shared" si="179"/>
        <v>0</v>
      </c>
      <c r="L250" s="856">
        <f t="shared" si="179"/>
        <v>-0.05922694025</v>
      </c>
    </row>
    <row r="251">
      <c r="A251" s="350" t="s">
        <v>296</v>
      </c>
      <c r="B251" s="807">
        <f t="shared" si="178"/>
        <v>2795.221011</v>
      </c>
      <c r="C251" s="858">
        <f t="shared" ref="C251:L251" si="180">C17/(C248*(1+C249)*(1+C250))</f>
        <v>2795.221011</v>
      </c>
      <c r="D251" s="858">
        <f t="shared" si="180"/>
        <v>3263.638166</v>
      </c>
      <c r="E251" s="858">
        <f t="shared" si="180"/>
        <v>4111.450888</v>
      </c>
      <c r="F251" s="858">
        <f t="shared" si="180"/>
        <v>3153.238318</v>
      </c>
      <c r="G251" s="858">
        <f t="shared" si="180"/>
        <v>3983.479102</v>
      </c>
      <c r="H251" s="858">
        <f t="shared" si="180"/>
        <v>4194.044681</v>
      </c>
      <c r="I251" s="858">
        <f t="shared" si="180"/>
        <v>7071.138499</v>
      </c>
      <c r="J251" s="858">
        <f t="shared" si="180"/>
        <v>1535.846505</v>
      </c>
      <c r="K251" s="858">
        <f t="shared" si="180"/>
        <v>1187.771224</v>
      </c>
      <c r="L251" s="858">
        <f t="shared" si="180"/>
        <v>2305.282952</v>
      </c>
    </row>
    <row r="252">
      <c r="A252" s="344"/>
      <c r="B252" s="682"/>
      <c r="C252" s="856"/>
      <c r="D252" s="856"/>
      <c r="E252" s="856"/>
      <c r="F252" s="856"/>
      <c r="G252" s="856"/>
      <c r="H252" s="856"/>
      <c r="I252" s="856"/>
      <c r="J252" s="856"/>
      <c r="K252" s="856"/>
      <c r="L252" s="856"/>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7.29" defaultRowHeight="15.0"/>
  <cols>
    <col customWidth="1" min="1" max="1" width="86.43"/>
    <col customWidth="1" min="4" max="4" width="58.14"/>
  </cols>
  <sheetData>
    <row r="1">
      <c r="A1" s="859"/>
      <c r="B1" s="860"/>
      <c r="C1" s="861"/>
      <c r="D1" s="862"/>
    </row>
    <row r="2">
      <c r="A2" s="863" t="s">
        <v>622</v>
      </c>
      <c r="B2" s="864"/>
      <c r="C2" s="865"/>
      <c r="D2" s="866"/>
    </row>
    <row r="3">
      <c r="A3" s="867" t="s">
        <v>623</v>
      </c>
      <c r="B3" s="868" t="s">
        <v>624</v>
      </c>
      <c r="C3" s="869">
        <v>0.454</v>
      </c>
      <c r="D3" s="870">
        <f t="shared" ref="D3:D4" si="1">$C3</f>
        <v>0.454</v>
      </c>
    </row>
    <row r="4">
      <c r="A4" s="871" t="s">
        <v>625</v>
      </c>
      <c r="B4" s="868" t="s">
        <v>626</v>
      </c>
      <c r="C4" s="872">
        <v>12254.19241</v>
      </c>
      <c r="D4" s="873">
        <f t="shared" si="1"/>
        <v>12254.19241</v>
      </c>
    </row>
    <row r="5">
      <c r="A5" s="867" t="s">
        <v>627</v>
      </c>
      <c r="B5" s="868"/>
      <c r="C5" s="874"/>
      <c r="D5" s="875">
        <f>10000*D3/D4</f>
        <v>0.3704854509</v>
      </c>
    </row>
    <row r="6">
      <c r="A6" s="871" t="s">
        <v>628</v>
      </c>
      <c r="B6" s="868" t="s">
        <v>629</v>
      </c>
      <c r="C6" s="869">
        <v>0.546</v>
      </c>
      <c r="D6" s="870">
        <f t="shared" ref="D6:D7" si="2">$C6</f>
        <v>0.546</v>
      </c>
    </row>
    <row r="7">
      <c r="A7" s="871" t="s">
        <v>630</v>
      </c>
      <c r="B7" s="868" t="s">
        <v>631</v>
      </c>
      <c r="C7" s="876">
        <v>30000.0</v>
      </c>
      <c r="D7" s="873">
        <f t="shared" si="2"/>
        <v>30000</v>
      </c>
    </row>
    <row r="8">
      <c r="A8" s="867" t="s">
        <v>632</v>
      </c>
      <c r="B8" s="868"/>
      <c r="C8" s="874"/>
      <c r="D8" s="875">
        <f>10000*D6/D7</f>
        <v>0.182</v>
      </c>
    </row>
    <row r="9">
      <c r="A9" s="863"/>
      <c r="B9" s="864"/>
      <c r="C9" s="865"/>
      <c r="D9" s="866"/>
    </row>
    <row r="10">
      <c r="A10" s="863" t="s">
        <v>633</v>
      </c>
      <c r="B10" s="864"/>
      <c r="C10" s="865"/>
      <c r="D10" s="866"/>
    </row>
    <row r="11">
      <c r="A11" s="867" t="s">
        <v>634</v>
      </c>
      <c r="B11" s="868" t="s">
        <v>635</v>
      </c>
      <c r="C11" s="877">
        <v>448.2386391</v>
      </c>
      <c r="D11" s="878">
        <f>$C11</f>
        <v>448.2386391</v>
      </c>
    </row>
    <row r="12">
      <c r="A12" s="867" t="s">
        <v>636</v>
      </c>
      <c r="B12" s="868"/>
      <c r="C12" s="879"/>
      <c r="D12" s="880">
        <f>10000/D11</f>
        <v>22.3095448</v>
      </c>
    </row>
    <row r="13">
      <c r="A13" s="881"/>
      <c r="B13" s="882"/>
      <c r="C13" s="883"/>
      <c r="D13" s="883"/>
    </row>
    <row r="14">
      <c r="A14" s="863" t="s">
        <v>637</v>
      </c>
      <c r="B14" s="882"/>
      <c r="C14" s="883"/>
      <c r="D14" s="883"/>
    </row>
    <row r="15">
      <c r="A15" s="867" t="s">
        <v>638</v>
      </c>
      <c r="B15" s="868" t="s">
        <v>639</v>
      </c>
      <c r="C15" s="877">
        <v>483.9901982</v>
      </c>
      <c r="D15" s="878">
        <f>$C15</f>
        <v>483.9901982</v>
      </c>
    </row>
    <row r="16">
      <c r="A16" s="867" t="s">
        <v>636</v>
      </c>
      <c r="B16" s="868"/>
      <c r="C16" s="879"/>
      <c r="D16" s="880">
        <f>10000/D15</f>
        <v>20.66157546</v>
      </c>
    </row>
    <row r="17">
      <c r="B17" s="882"/>
      <c r="C17" s="883"/>
      <c r="D17" s="883"/>
    </row>
    <row r="18">
      <c r="A18" s="863" t="s">
        <v>109</v>
      </c>
      <c r="B18" s="882"/>
      <c r="C18" s="883"/>
      <c r="D18" s="883"/>
    </row>
    <row r="19">
      <c r="A19" s="333" t="s">
        <v>113</v>
      </c>
      <c r="B19" s="882"/>
      <c r="C19" s="884" t="s">
        <v>640</v>
      </c>
      <c r="D19" s="885">
        <f t="array" ref="D19">index('Moral weights and discount rate'!$A$1:$E$18,match($A19,'Moral weights and discount rate'!$A$1:$A$18,0),match("Active",'Moral weights and discount rate'!$A$1:$E$1,0))</f>
        <v>116.9</v>
      </c>
    </row>
    <row r="20">
      <c r="A20" s="333" t="s">
        <v>114</v>
      </c>
      <c r="B20" s="882"/>
      <c r="C20" s="884" t="s">
        <v>640</v>
      </c>
      <c r="D20" s="885">
        <f t="array" ref="D20">index('Moral weights and discount rate'!$A$1:$E$18,match($A20,'Moral weights and discount rate'!$A$1:$A$18,0),match("Active",'Moral weights and discount rate'!$A$1:$E$1,0))</f>
        <v>83.1</v>
      </c>
    </row>
    <row r="21">
      <c r="A21" s="333" t="s">
        <v>121</v>
      </c>
      <c r="B21" s="882"/>
      <c r="C21" s="884" t="s">
        <v>640</v>
      </c>
      <c r="D21" s="886">
        <f t="array" ref="D21">index('Moral weights and discount rate'!$A$1:$E$18,match($A21,'Moral weights and discount rate'!$A$1:$A$18,0),match("Active",'Moral weights and discount rate'!$A$1:$E$1,0))</f>
        <v>1.442695041</v>
      </c>
    </row>
    <row r="22">
      <c r="A22" s="154" t="s">
        <v>641</v>
      </c>
      <c r="B22" s="864"/>
      <c r="C22" s="864"/>
      <c r="D22" s="870">
        <f t="shared" ref="D22:D24" si="3">D19/D$19</f>
        <v>1</v>
      </c>
    </row>
    <row r="23">
      <c r="A23" s="764" t="s">
        <v>642</v>
      </c>
      <c r="B23" s="864"/>
      <c r="C23" s="864"/>
      <c r="D23" s="870">
        <f t="shared" si="3"/>
        <v>0.7108639863</v>
      </c>
    </row>
    <row r="24">
      <c r="A24" s="154" t="s">
        <v>643</v>
      </c>
      <c r="B24" s="864"/>
      <c r="C24" s="864"/>
      <c r="D24" s="870">
        <f t="shared" si="3"/>
        <v>0.01234127494</v>
      </c>
    </row>
    <row r="25">
      <c r="A25" s="881"/>
      <c r="B25" s="864"/>
      <c r="C25" s="887"/>
      <c r="D25" s="866"/>
    </row>
    <row r="26">
      <c r="A26" s="863" t="s">
        <v>644</v>
      </c>
      <c r="B26" s="888"/>
      <c r="C26" s="888"/>
      <c r="D26" s="888"/>
    </row>
    <row r="27">
      <c r="A27" s="867" t="s">
        <v>645</v>
      </c>
      <c r="B27" s="868" t="s">
        <v>646</v>
      </c>
      <c r="C27" s="887" t="s">
        <v>647</v>
      </c>
      <c r="D27" s="889">
        <f>10000/((D5*D22)+(D8*D23))</f>
        <v>20005.49365</v>
      </c>
    </row>
    <row r="28">
      <c r="A28" s="871" t="s">
        <v>648</v>
      </c>
      <c r="B28" s="868" t="s">
        <v>649</v>
      </c>
      <c r="C28" s="887" t="s">
        <v>647</v>
      </c>
      <c r="D28" s="889">
        <f>10000/(D12*D24)</f>
        <v>36320.28629</v>
      </c>
    </row>
    <row r="29">
      <c r="A29" s="867" t="s">
        <v>650</v>
      </c>
      <c r="B29" s="868" t="s">
        <v>651</v>
      </c>
      <c r="C29" s="887" t="s">
        <v>647</v>
      </c>
      <c r="D29" s="889">
        <f>10000/(D16*D24)</f>
        <v>39217.19599</v>
      </c>
    </row>
    <row r="30">
      <c r="A30" s="863"/>
      <c r="B30" s="864"/>
      <c r="C30" s="887"/>
      <c r="D30" s="878"/>
    </row>
    <row r="31">
      <c r="A31" s="888" t="s">
        <v>652</v>
      </c>
      <c r="B31" s="864"/>
      <c r="C31" s="887"/>
      <c r="D31" s="878"/>
    </row>
    <row r="32">
      <c r="A32" s="867" t="s">
        <v>653</v>
      </c>
      <c r="B32" s="868" t="s">
        <v>654</v>
      </c>
      <c r="C32" s="887" t="s">
        <v>655</v>
      </c>
      <c r="D32" s="878">
        <f>25%*D27+70%*D28+5%*D29</f>
        <v>32386.43361</v>
      </c>
    </row>
    <row r="33">
      <c r="A33" s="867" t="s">
        <v>656</v>
      </c>
      <c r="B33" s="868" t="s">
        <v>657</v>
      </c>
      <c r="C33" s="887" t="s">
        <v>658</v>
      </c>
      <c r="D33" s="878">
        <f>80%*D27+10%*D28+10%*D29</f>
        <v>23558.14315</v>
      </c>
    </row>
    <row r="34">
      <c r="A34" s="871" t="s">
        <v>659</v>
      </c>
      <c r="B34" s="890" t="s">
        <v>660</v>
      </c>
      <c r="C34" s="887" t="s">
        <v>661</v>
      </c>
      <c r="D34" s="878">
        <f>'Moral weights and discount rate'!B8/(AMF!C138*0.1)</f>
        <v>21476.62938</v>
      </c>
    </row>
    <row r="35">
      <c r="A35" s="871" t="s">
        <v>662</v>
      </c>
      <c r="B35" s="868" t="s">
        <v>663</v>
      </c>
      <c r="C35" s="891" t="s">
        <v>664</v>
      </c>
      <c r="D35" s="878">
        <f>'Moral weights and discount rate'!B8/0.020132236379234</f>
        <v>5806.607761</v>
      </c>
      <c r="F35" s="892"/>
    </row>
    <row r="36">
      <c r="A36" s="154" t="s">
        <v>665</v>
      </c>
      <c r="B36" s="121"/>
      <c r="C36" s="121" t="s">
        <v>666</v>
      </c>
      <c r="D36" s="302">
        <f>D27</f>
        <v>20005.49365</v>
      </c>
      <c r="E36" s="121"/>
      <c r="F36" s="121"/>
      <c r="G36" s="121"/>
      <c r="H36" s="121"/>
      <c r="I36" s="121"/>
      <c r="J36" s="121"/>
      <c r="K36" s="121"/>
      <c r="L36" s="121"/>
      <c r="M36" s="121"/>
      <c r="N36" s="121"/>
      <c r="O36" s="121"/>
      <c r="P36" s="121"/>
      <c r="Q36" s="121"/>
      <c r="R36" s="121"/>
      <c r="S36" s="121"/>
      <c r="T36" s="121"/>
      <c r="U36" s="121"/>
      <c r="V36" s="121"/>
      <c r="W36" s="121"/>
      <c r="X36" s="121"/>
      <c r="Y36" s="121"/>
      <c r="Z36" s="121"/>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outlineLevelRow="1"/>
  <cols>
    <col customWidth="1" hidden="1" min="1" max="2" width="5.71"/>
    <col customWidth="1" min="3" max="3" width="64.86"/>
    <col customWidth="1" min="4" max="4" width="12.86"/>
    <col customWidth="1" min="5" max="5" width="27.71"/>
    <col customWidth="1" min="6" max="6" width="27.57"/>
    <col customWidth="1" min="7" max="7" width="23.0"/>
    <col customWidth="1" min="8" max="8" width="25.43"/>
    <col customWidth="1" min="9" max="9" width="38.14"/>
    <col customWidth="1" min="14" max="14" width="19.29"/>
  </cols>
  <sheetData>
    <row r="1" collapsed="1">
      <c r="A1" s="893" t="s">
        <v>667</v>
      </c>
      <c r="B1" s="893"/>
      <c r="C1" s="894" t="s">
        <v>668</v>
      </c>
      <c r="D1" s="893" t="s">
        <v>669</v>
      </c>
      <c r="E1" s="895" t="s">
        <v>670</v>
      </c>
      <c r="F1" s="893" t="s">
        <v>671</v>
      </c>
      <c r="G1" s="896" t="s">
        <v>672</v>
      </c>
      <c r="H1" s="893" t="s">
        <v>673</v>
      </c>
      <c r="I1" s="893" t="s">
        <v>108</v>
      </c>
      <c r="J1" s="893"/>
      <c r="K1" s="893"/>
      <c r="L1" s="893"/>
      <c r="M1" s="893"/>
      <c r="N1" s="893"/>
    </row>
    <row r="2" hidden="1" outlineLevel="1">
      <c r="A2" s="70"/>
      <c r="B2" s="70"/>
      <c r="C2" s="70"/>
      <c r="D2" s="897"/>
      <c r="E2" s="897"/>
      <c r="F2" s="897"/>
      <c r="G2" s="897"/>
      <c r="H2" s="897"/>
      <c r="I2" s="898"/>
      <c r="J2" s="70"/>
      <c r="K2" s="899" t="s">
        <v>674</v>
      </c>
      <c r="L2" s="900" t="s">
        <v>675</v>
      </c>
      <c r="M2" s="121"/>
      <c r="N2" s="121"/>
    </row>
    <row r="3" hidden="1" outlineLevel="1">
      <c r="A3" s="70"/>
      <c r="B3" s="70"/>
      <c r="C3" s="70"/>
      <c r="D3" s="897"/>
      <c r="E3" s="897"/>
      <c r="F3" s="897"/>
      <c r="G3" s="897"/>
      <c r="H3" s="897"/>
      <c r="I3" s="898"/>
      <c r="J3" s="70"/>
      <c r="K3" s="901">
        <v>1.0</v>
      </c>
      <c r="L3" s="902">
        <v>0.1</v>
      </c>
      <c r="M3" s="121"/>
      <c r="N3" s="121"/>
    </row>
    <row r="4" hidden="1" outlineLevel="1">
      <c r="A4" s="70"/>
      <c r="B4" s="70"/>
      <c r="C4" s="70"/>
      <c r="D4" s="897"/>
      <c r="E4" s="897"/>
      <c r="F4" s="897"/>
      <c r="G4" s="897"/>
      <c r="H4" s="897"/>
      <c r="I4" s="898"/>
      <c r="J4" s="70"/>
      <c r="K4" s="901">
        <v>2.0</v>
      </c>
      <c r="L4" s="902">
        <f t="shared" ref="L4:L11" si="1">L3+10%</f>
        <v>0.2</v>
      </c>
      <c r="M4" s="121"/>
      <c r="N4" s="121"/>
    </row>
    <row r="5" hidden="1" outlineLevel="1">
      <c r="A5" s="70"/>
      <c r="B5" s="70"/>
      <c r="C5" s="70"/>
      <c r="D5" s="897"/>
      <c r="E5" s="897"/>
      <c r="F5" s="897"/>
      <c r="G5" s="897"/>
      <c r="H5" s="897"/>
      <c r="I5" s="898"/>
      <c r="J5" s="70"/>
      <c r="K5" s="901">
        <v>3.0</v>
      </c>
      <c r="L5" s="902">
        <f t="shared" si="1"/>
        <v>0.3</v>
      </c>
      <c r="M5" s="121"/>
      <c r="N5" s="121"/>
    </row>
    <row r="6" hidden="1" outlineLevel="1">
      <c r="A6" s="70"/>
      <c r="B6" s="70"/>
      <c r="C6" s="70"/>
      <c r="D6" s="897"/>
      <c r="E6" s="897"/>
      <c r="F6" s="897"/>
      <c r="G6" s="897"/>
      <c r="H6" s="897"/>
      <c r="I6" s="898"/>
      <c r="J6" s="70"/>
      <c r="K6" s="901">
        <v>4.0</v>
      </c>
      <c r="L6" s="902">
        <f t="shared" si="1"/>
        <v>0.4</v>
      </c>
      <c r="M6" s="121"/>
      <c r="N6" s="121"/>
    </row>
    <row r="7" hidden="1" outlineLevel="1">
      <c r="A7" s="70"/>
      <c r="B7" s="70"/>
      <c r="C7" s="70"/>
      <c r="D7" s="897"/>
      <c r="E7" s="897"/>
      <c r="F7" s="897"/>
      <c r="G7" s="897"/>
      <c r="H7" s="897"/>
      <c r="I7" s="898"/>
      <c r="J7" s="70"/>
      <c r="K7" s="901">
        <v>5.0</v>
      </c>
      <c r="L7" s="902">
        <f t="shared" si="1"/>
        <v>0.5</v>
      </c>
      <c r="M7" s="121"/>
      <c r="N7" s="121"/>
    </row>
    <row r="8" hidden="1" outlineLevel="1">
      <c r="A8" s="70"/>
      <c r="B8" s="70"/>
      <c r="C8" s="70"/>
      <c r="D8" s="897"/>
      <c r="E8" s="897"/>
      <c r="F8" s="897"/>
      <c r="G8" s="897"/>
      <c r="H8" s="897"/>
      <c r="I8" s="898"/>
      <c r="J8" s="70"/>
      <c r="K8" s="901">
        <v>6.0</v>
      </c>
      <c r="L8" s="902">
        <f t="shared" si="1"/>
        <v>0.6</v>
      </c>
      <c r="M8" s="121"/>
      <c r="N8" s="121"/>
    </row>
    <row r="9" hidden="1" outlineLevel="1">
      <c r="A9" s="70"/>
      <c r="B9" s="70"/>
      <c r="C9" s="70"/>
      <c r="D9" s="897"/>
      <c r="E9" s="897"/>
      <c r="F9" s="897"/>
      <c r="G9" s="897"/>
      <c r="H9" s="897"/>
      <c r="I9" s="898"/>
      <c r="J9" s="70"/>
      <c r="K9" s="901">
        <v>7.0</v>
      </c>
      <c r="L9" s="902">
        <f t="shared" si="1"/>
        <v>0.7</v>
      </c>
      <c r="M9" s="121"/>
      <c r="N9" s="121"/>
    </row>
    <row r="10" hidden="1" outlineLevel="1">
      <c r="A10" s="70"/>
      <c r="B10" s="70"/>
      <c r="C10" s="70"/>
      <c r="D10" s="897"/>
      <c r="E10" s="897"/>
      <c r="F10" s="897"/>
      <c r="G10" s="897"/>
      <c r="H10" s="897"/>
      <c r="I10" s="898"/>
      <c r="J10" s="70"/>
      <c r="K10" s="901">
        <v>8.0</v>
      </c>
      <c r="L10" s="902">
        <f t="shared" si="1"/>
        <v>0.8</v>
      </c>
      <c r="M10" s="121"/>
      <c r="N10" s="121"/>
    </row>
    <row r="11" hidden="1" outlineLevel="1">
      <c r="A11" s="70"/>
      <c r="B11" s="70"/>
      <c r="C11" s="70"/>
      <c r="D11" s="897"/>
      <c r="E11" s="897"/>
      <c r="F11" s="897"/>
      <c r="G11" s="897"/>
      <c r="H11" s="897"/>
      <c r="I11" s="898"/>
      <c r="J11" s="70"/>
      <c r="K11" s="903">
        <v>9.0</v>
      </c>
      <c r="L11" s="904">
        <f t="shared" si="1"/>
        <v>0.9</v>
      </c>
      <c r="M11" s="121"/>
      <c r="N11" s="121"/>
    </row>
    <row r="12" hidden="1" outlineLevel="1">
      <c r="A12" s="70"/>
      <c r="B12" s="70"/>
      <c r="C12" s="70"/>
      <c r="D12" s="897"/>
      <c r="E12" s="897"/>
      <c r="F12" s="897"/>
      <c r="G12" s="897"/>
      <c r="H12" s="897"/>
      <c r="I12" s="898"/>
      <c r="J12" s="70"/>
      <c r="K12" s="121"/>
      <c r="L12" s="121"/>
      <c r="M12" s="121"/>
      <c r="N12" s="121"/>
    </row>
    <row r="13">
      <c r="A13" s="70"/>
      <c r="B13" s="70"/>
      <c r="C13" s="70"/>
      <c r="D13" s="897" t="s">
        <v>676</v>
      </c>
      <c r="E13" s="905" t="s">
        <v>677</v>
      </c>
      <c r="F13" s="905" t="s">
        <v>678</v>
      </c>
      <c r="G13" s="905" t="s">
        <v>679</v>
      </c>
      <c r="H13" s="905"/>
      <c r="I13" s="898"/>
      <c r="J13" s="70"/>
      <c r="M13" s="121"/>
      <c r="N13" s="121"/>
    </row>
    <row r="14">
      <c r="A14" s="906"/>
      <c r="B14" s="906"/>
      <c r="C14" s="906"/>
      <c r="E14" s="907" t="s">
        <v>680</v>
      </c>
      <c r="F14" s="907" t="s">
        <v>681</v>
      </c>
      <c r="G14" s="907" t="s">
        <v>682</v>
      </c>
      <c r="H14" s="907" t="s">
        <v>683</v>
      </c>
      <c r="I14" s="898"/>
      <c r="J14" s="70"/>
      <c r="M14" s="121"/>
      <c r="N14" s="121"/>
    </row>
    <row r="15">
      <c r="A15" s="906"/>
      <c r="B15" s="906"/>
      <c r="C15" s="906"/>
      <c r="E15" s="908" t="s">
        <v>684</v>
      </c>
      <c r="F15" s="908" t="s">
        <v>685</v>
      </c>
      <c r="G15" s="908" t="s">
        <v>686</v>
      </c>
      <c r="H15" s="908" t="s">
        <v>687</v>
      </c>
      <c r="I15" s="70"/>
      <c r="J15" s="70"/>
      <c r="M15" s="121"/>
      <c r="N15" s="121"/>
    </row>
    <row r="16">
      <c r="A16" s="906"/>
      <c r="B16" s="906"/>
      <c r="C16" s="906"/>
      <c r="E16" s="909" t="s">
        <v>688</v>
      </c>
      <c r="F16" s="909" t="s">
        <v>689</v>
      </c>
      <c r="G16" s="909" t="s">
        <v>690</v>
      </c>
      <c r="H16" s="909" t="s">
        <v>691</v>
      </c>
      <c r="I16" s="898"/>
      <c r="J16" s="70"/>
      <c r="M16" s="121"/>
      <c r="N16" s="121"/>
    </row>
    <row r="17">
      <c r="A17" s="70"/>
      <c r="B17" s="70"/>
      <c r="C17" s="70"/>
      <c r="D17" s="70"/>
      <c r="E17" s="910"/>
      <c r="F17" s="910"/>
      <c r="G17" s="910"/>
      <c r="H17" s="910"/>
      <c r="I17" s="898"/>
      <c r="J17" s="70"/>
      <c r="M17" s="121"/>
      <c r="N17" s="121"/>
    </row>
    <row r="18">
      <c r="A18" s="911"/>
      <c r="B18" s="911"/>
      <c r="C18" s="911" t="s">
        <v>15</v>
      </c>
      <c r="D18" s="118"/>
      <c r="E18" s="118"/>
      <c r="F18" s="118"/>
      <c r="G18" s="118"/>
      <c r="H18" s="118"/>
      <c r="I18" s="910"/>
      <c r="J18" s="70"/>
      <c r="K18" s="912" t="s">
        <v>692</v>
      </c>
      <c r="L18" s="912" t="s">
        <v>675</v>
      </c>
      <c r="M18" s="912" t="s">
        <v>693</v>
      </c>
      <c r="N18" s="913" t="s">
        <v>694</v>
      </c>
    </row>
    <row r="19">
      <c r="A19" s="118" t="s">
        <v>15</v>
      </c>
      <c r="B19" s="118"/>
      <c r="C19" s="118" t="s">
        <v>695</v>
      </c>
      <c r="D19" s="118" t="s">
        <v>696</v>
      </c>
      <c r="E19" s="118"/>
      <c r="F19" s="118">
        <v>3.0</v>
      </c>
      <c r="G19" s="118">
        <v>3.0</v>
      </c>
      <c r="H19" s="118">
        <v>3.0</v>
      </c>
      <c r="I19" s="910" t="s">
        <v>697</v>
      </c>
      <c r="J19" s="70"/>
      <c r="K19" s="121">
        <f t="shared" ref="K19:K33" si="2">sum(F19:H19)</f>
        <v>9</v>
      </c>
      <c r="L19" s="152">
        <f t="shared" ref="L19:L33" si="3">index($L$3:$L$11,MATCH(K19,$K$3:$K$11,0))</f>
        <v>0.9</v>
      </c>
      <c r="M19" s="481">
        <f t="shared" ref="M19:M33" si="4">iferror(if(D19="Excluded",L19*E19,0),"Not specified")</f>
        <v>0</v>
      </c>
      <c r="N19" s="914" t="s">
        <v>698</v>
      </c>
    </row>
    <row r="20">
      <c r="A20" s="118" t="s">
        <v>15</v>
      </c>
      <c r="B20" s="118"/>
      <c r="C20" s="112" t="s">
        <v>699</v>
      </c>
      <c r="D20" s="118" t="s">
        <v>696</v>
      </c>
      <c r="E20" s="915"/>
      <c r="F20" s="118">
        <v>2.0</v>
      </c>
      <c r="G20" s="118">
        <v>3.0</v>
      </c>
      <c r="H20" s="916">
        <v>3.0</v>
      </c>
      <c r="I20" s="910" t="s">
        <v>700</v>
      </c>
      <c r="J20" s="70"/>
      <c r="K20" s="121">
        <f t="shared" si="2"/>
        <v>8</v>
      </c>
      <c r="L20" s="152">
        <f t="shared" si="3"/>
        <v>0.8</v>
      </c>
      <c r="M20" s="481">
        <f t="shared" si="4"/>
        <v>0</v>
      </c>
      <c r="N20" s="914" t="s">
        <v>698</v>
      </c>
    </row>
    <row r="21">
      <c r="A21" s="118" t="s">
        <v>15</v>
      </c>
      <c r="B21" s="118"/>
      <c r="C21" s="112" t="s">
        <v>701</v>
      </c>
      <c r="D21" s="118" t="s">
        <v>696</v>
      </c>
      <c r="E21" s="118" t="s">
        <v>702</v>
      </c>
      <c r="F21" s="118">
        <v>2.0</v>
      </c>
      <c r="G21" s="118">
        <v>1.0</v>
      </c>
      <c r="H21" s="118">
        <v>3.0</v>
      </c>
      <c r="I21" s="910" t="s">
        <v>703</v>
      </c>
      <c r="J21" s="70"/>
      <c r="K21" s="121">
        <f t="shared" si="2"/>
        <v>6</v>
      </c>
      <c r="L21" s="152">
        <f t="shared" si="3"/>
        <v>0.6</v>
      </c>
      <c r="M21" s="481">
        <f t="shared" si="4"/>
        <v>0</v>
      </c>
      <c r="N21" s="914" t="s">
        <v>698</v>
      </c>
    </row>
    <row r="22">
      <c r="A22" s="118" t="s">
        <v>15</v>
      </c>
      <c r="B22" s="118"/>
      <c r="C22" s="112" t="s">
        <v>704</v>
      </c>
      <c r="D22" s="917" t="s">
        <v>705</v>
      </c>
      <c r="E22" s="915">
        <v>0.15</v>
      </c>
      <c r="F22" s="118">
        <v>3.0</v>
      </c>
      <c r="G22" s="118">
        <v>2.0</v>
      </c>
      <c r="H22" s="118">
        <v>1.0</v>
      </c>
      <c r="I22" s="910" t="s">
        <v>706</v>
      </c>
      <c r="J22" s="70"/>
      <c r="K22" s="121">
        <f t="shared" si="2"/>
        <v>6</v>
      </c>
      <c r="L22" s="152">
        <f t="shared" si="3"/>
        <v>0.6</v>
      </c>
      <c r="M22" s="481">
        <f t="shared" si="4"/>
        <v>0.09</v>
      </c>
      <c r="N22" s="914" t="s">
        <v>698</v>
      </c>
    </row>
    <row r="23">
      <c r="A23" s="118" t="s">
        <v>15</v>
      </c>
      <c r="B23" s="118"/>
      <c r="C23" s="112" t="s">
        <v>707</v>
      </c>
      <c r="D23" s="917" t="s">
        <v>705</v>
      </c>
      <c r="E23" s="915">
        <v>0.15</v>
      </c>
      <c r="F23" s="118">
        <v>3.0</v>
      </c>
      <c r="G23" s="118">
        <v>2.0</v>
      </c>
      <c r="H23" s="118">
        <v>1.0</v>
      </c>
      <c r="I23" s="910" t="s">
        <v>708</v>
      </c>
      <c r="J23" s="70"/>
      <c r="K23" s="121">
        <f t="shared" si="2"/>
        <v>6</v>
      </c>
      <c r="L23" s="152">
        <f t="shared" si="3"/>
        <v>0.6</v>
      </c>
      <c r="M23" s="481">
        <f t="shared" si="4"/>
        <v>0.09</v>
      </c>
      <c r="N23" s="914" t="s">
        <v>698</v>
      </c>
    </row>
    <row r="24">
      <c r="A24" s="118" t="s">
        <v>15</v>
      </c>
      <c r="B24" s="118"/>
      <c r="C24" s="118" t="s">
        <v>709</v>
      </c>
      <c r="D24" s="917" t="s">
        <v>705</v>
      </c>
      <c r="E24" s="915">
        <v>0.05</v>
      </c>
      <c r="F24" s="118">
        <v>2.0</v>
      </c>
      <c r="G24" s="118">
        <v>1.0</v>
      </c>
      <c r="H24" s="118">
        <v>1.0</v>
      </c>
      <c r="I24" s="910" t="s">
        <v>710</v>
      </c>
      <c r="J24" s="70"/>
      <c r="K24" s="121">
        <f t="shared" si="2"/>
        <v>4</v>
      </c>
      <c r="L24" s="152">
        <f t="shared" si="3"/>
        <v>0.4</v>
      </c>
      <c r="M24" s="481">
        <f t="shared" si="4"/>
        <v>0.02</v>
      </c>
      <c r="N24" s="914" t="s">
        <v>698</v>
      </c>
    </row>
    <row r="25">
      <c r="A25" s="118" t="s">
        <v>15</v>
      </c>
      <c r="B25" s="118"/>
      <c r="C25" s="118" t="s">
        <v>711</v>
      </c>
      <c r="D25" s="917" t="s">
        <v>705</v>
      </c>
      <c r="E25" s="915">
        <v>0.1</v>
      </c>
      <c r="F25" s="118">
        <v>3.0</v>
      </c>
      <c r="G25" s="118">
        <v>3.0</v>
      </c>
      <c r="H25" s="118">
        <v>3.0</v>
      </c>
      <c r="I25" s="910" t="s">
        <v>712</v>
      </c>
      <c r="J25" s="70"/>
      <c r="K25" s="121">
        <f t="shared" si="2"/>
        <v>9</v>
      </c>
      <c r="L25" s="152">
        <f t="shared" si="3"/>
        <v>0.9</v>
      </c>
      <c r="M25" s="481">
        <f t="shared" si="4"/>
        <v>0.09</v>
      </c>
      <c r="N25" s="914" t="s">
        <v>698</v>
      </c>
    </row>
    <row r="26">
      <c r="A26" s="118" t="s">
        <v>15</v>
      </c>
      <c r="B26" s="118"/>
      <c r="C26" s="112" t="s">
        <v>713</v>
      </c>
      <c r="D26" s="917" t="s">
        <v>705</v>
      </c>
      <c r="E26" s="915">
        <v>0.05</v>
      </c>
      <c r="F26" s="118">
        <v>1.0</v>
      </c>
      <c r="G26" s="118">
        <v>2.0</v>
      </c>
      <c r="H26" s="118">
        <v>2.0</v>
      </c>
      <c r="I26" s="910" t="s">
        <v>714</v>
      </c>
      <c r="J26" s="70"/>
      <c r="K26" s="121">
        <f t="shared" si="2"/>
        <v>5</v>
      </c>
      <c r="L26" s="152">
        <f t="shared" si="3"/>
        <v>0.5</v>
      </c>
      <c r="M26" s="481">
        <f t="shared" si="4"/>
        <v>0.025</v>
      </c>
      <c r="N26" s="914" t="s">
        <v>698</v>
      </c>
    </row>
    <row r="27">
      <c r="A27" s="118" t="s">
        <v>15</v>
      </c>
      <c r="B27" s="118"/>
      <c r="C27" s="112" t="s">
        <v>715</v>
      </c>
      <c r="D27" s="917" t="s">
        <v>705</v>
      </c>
      <c r="E27" s="915">
        <v>-0.1</v>
      </c>
      <c r="F27" s="118">
        <v>2.0</v>
      </c>
      <c r="G27" s="118">
        <v>1.0</v>
      </c>
      <c r="H27" s="118">
        <v>1.0</v>
      </c>
      <c r="I27" s="910" t="s">
        <v>716</v>
      </c>
      <c r="J27" s="70"/>
      <c r="K27" s="121">
        <f t="shared" si="2"/>
        <v>4</v>
      </c>
      <c r="L27" s="152">
        <f t="shared" si="3"/>
        <v>0.4</v>
      </c>
      <c r="M27" s="481">
        <f t="shared" si="4"/>
        <v>-0.04</v>
      </c>
      <c r="N27" s="914" t="s">
        <v>717</v>
      </c>
    </row>
    <row r="28">
      <c r="A28" s="118" t="s">
        <v>15</v>
      </c>
      <c r="B28" s="118"/>
      <c r="C28" s="112" t="s">
        <v>718</v>
      </c>
      <c r="D28" s="917" t="s">
        <v>705</v>
      </c>
      <c r="E28" s="118" t="s">
        <v>719</v>
      </c>
      <c r="F28" s="918">
        <v>1.0</v>
      </c>
      <c r="G28" s="918">
        <v>1.0</v>
      </c>
      <c r="H28" s="918">
        <v>1.0</v>
      </c>
      <c r="I28" s="910" t="s">
        <v>720</v>
      </c>
      <c r="J28" s="70"/>
      <c r="K28" s="121">
        <f t="shared" si="2"/>
        <v>3</v>
      </c>
      <c r="L28" s="152">
        <f t="shared" si="3"/>
        <v>0.3</v>
      </c>
      <c r="M28" s="481" t="str">
        <f t="shared" si="4"/>
        <v>Not specified</v>
      </c>
      <c r="N28" s="914" t="s">
        <v>698</v>
      </c>
    </row>
    <row r="29">
      <c r="A29" s="118" t="s">
        <v>15</v>
      </c>
      <c r="B29" s="118"/>
      <c r="C29" s="112" t="s">
        <v>721</v>
      </c>
      <c r="D29" s="917" t="s">
        <v>705</v>
      </c>
      <c r="E29" s="915">
        <v>0.1</v>
      </c>
      <c r="F29" s="118">
        <v>3.0</v>
      </c>
      <c r="G29" s="118">
        <v>2.0</v>
      </c>
      <c r="H29" s="118">
        <v>1.0</v>
      </c>
      <c r="I29" s="910" t="s">
        <v>722</v>
      </c>
      <c r="J29" s="70"/>
      <c r="K29" s="121">
        <f t="shared" si="2"/>
        <v>6</v>
      </c>
      <c r="L29" s="152">
        <f t="shared" si="3"/>
        <v>0.6</v>
      </c>
      <c r="M29" s="481">
        <f t="shared" si="4"/>
        <v>0.06</v>
      </c>
      <c r="N29" s="914" t="s">
        <v>698</v>
      </c>
    </row>
    <row r="30">
      <c r="A30" s="118" t="s">
        <v>15</v>
      </c>
      <c r="B30" s="118"/>
      <c r="C30" s="179" t="s">
        <v>723</v>
      </c>
      <c r="D30" s="96" t="s">
        <v>705</v>
      </c>
      <c r="E30" s="919">
        <v>0.03</v>
      </c>
      <c r="F30" s="920">
        <v>3.0</v>
      </c>
      <c r="G30" s="920">
        <v>3.0</v>
      </c>
      <c r="H30" s="921">
        <v>2.0</v>
      </c>
      <c r="I30" s="922" t="s">
        <v>724</v>
      </c>
      <c r="J30" s="70"/>
      <c r="K30" s="121">
        <f t="shared" si="2"/>
        <v>8</v>
      </c>
      <c r="L30" s="152">
        <f t="shared" si="3"/>
        <v>0.8</v>
      </c>
      <c r="M30" s="481">
        <f t="shared" si="4"/>
        <v>0.024</v>
      </c>
      <c r="N30" s="914" t="s">
        <v>717</v>
      </c>
    </row>
    <row r="31">
      <c r="A31" s="118" t="s">
        <v>15</v>
      </c>
      <c r="B31" s="118"/>
      <c r="C31" s="179" t="s">
        <v>725</v>
      </c>
      <c r="D31" s="96" t="s">
        <v>705</v>
      </c>
      <c r="E31" s="923">
        <v>-0.3</v>
      </c>
      <c r="F31" s="921">
        <v>2.0</v>
      </c>
      <c r="G31" s="924">
        <v>1.0</v>
      </c>
      <c r="H31" s="921">
        <v>2.0</v>
      </c>
      <c r="I31" s="922" t="s">
        <v>726</v>
      </c>
      <c r="J31" s="121"/>
      <c r="K31" s="121">
        <f t="shared" si="2"/>
        <v>5</v>
      </c>
      <c r="L31" s="152">
        <f t="shared" si="3"/>
        <v>0.5</v>
      </c>
      <c r="M31" s="481">
        <f t="shared" si="4"/>
        <v>-0.15</v>
      </c>
      <c r="N31" s="914" t="s">
        <v>717</v>
      </c>
    </row>
    <row r="32">
      <c r="A32" s="118" t="s">
        <v>15</v>
      </c>
      <c r="B32" s="118"/>
      <c r="C32" s="179" t="s">
        <v>727</v>
      </c>
      <c r="D32" s="96" t="s">
        <v>705</v>
      </c>
      <c r="E32" s="919">
        <v>0.1</v>
      </c>
      <c r="F32" s="921">
        <v>2.0</v>
      </c>
      <c r="G32" s="921">
        <v>2.0</v>
      </c>
      <c r="H32" s="924">
        <v>1.0</v>
      </c>
      <c r="I32" s="925" t="s">
        <v>728</v>
      </c>
      <c r="J32" s="121"/>
      <c r="K32" s="121">
        <f t="shared" si="2"/>
        <v>5</v>
      </c>
      <c r="L32" s="152">
        <f t="shared" si="3"/>
        <v>0.5</v>
      </c>
      <c r="M32" s="481">
        <f t="shared" si="4"/>
        <v>0.05</v>
      </c>
      <c r="N32" s="914" t="s">
        <v>717</v>
      </c>
    </row>
    <row r="33">
      <c r="A33" s="118" t="s">
        <v>15</v>
      </c>
      <c r="B33" s="118"/>
      <c r="C33" s="179" t="s">
        <v>729</v>
      </c>
      <c r="D33" s="96" t="s">
        <v>705</v>
      </c>
      <c r="E33" s="919">
        <v>-0.05</v>
      </c>
      <c r="F33" s="924">
        <v>1.0</v>
      </c>
      <c r="G33" s="921">
        <v>2.0</v>
      </c>
      <c r="H33" s="924">
        <v>1.0</v>
      </c>
      <c r="I33" s="925" t="s">
        <v>730</v>
      </c>
      <c r="J33" s="121"/>
      <c r="K33" s="121">
        <f t="shared" si="2"/>
        <v>4</v>
      </c>
      <c r="L33" s="152">
        <f t="shared" si="3"/>
        <v>0.4</v>
      </c>
      <c r="M33" s="481">
        <f t="shared" si="4"/>
        <v>-0.02</v>
      </c>
      <c r="N33" s="914" t="s">
        <v>717</v>
      </c>
    </row>
    <row r="34">
      <c r="A34" s="112"/>
      <c r="B34" s="112"/>
      <c r="C34" s="112"/>
      <c r="D34" s="118"/>
      <c r="E34" s="118"/>
      <c r="F34" s="118"/>
      <c r="G34" s="118"/>
      <c r="H34" s="118"/>
      <c r="I34" s="910"/>
      <c r="J34" s="70"/>
      <c r="K34" s="926" t="s">
        <v>731</v>
      </c>
      <c r="L34" s="927"/>
      <c r="M34" s="928">
        <f>1+sum(iferror(M19:M33,0))</f>
        <v>1.239</v>
      </c>
      <c r="N34" s="928"/>
    </row>
    <row r="35">
      <c r="A35" s="911"/>
      <c r="B35" s="911"/>
      <c r="C35" s="911" t="s">
        <v>732</v>
      </c>
      <c r="D35" s="917"/>
      <c r="E35" s="118"/>
      <c r="F35" s="118"/>
      <c r="G35" s="118"/>
      <c r="H35" s="118"/>
      <c r="I35" s="910"/>
      <c r="J35" s="70"/>
    </row>
    <row r="36">
      <c r="A36" s="112" t="s">
        <v>733</v>
      </c>
      <c r="B36" s="112" t="s">
        <v>734</v>
      </c>
      <c r="C36" s="112" t="s">
        <v>701</v>
      </c>
      <c r="D36" s="118" t="s">
        <v>696</v>
      </c>
      <c r="E36" s="915"/>
      <c r="F36" s="118">
        <v>2.0</v>
      </c>
      <c r="G36" s="118">
        <v>1.0</v>
      </c>
      <c r="H36" s="118">
        <v>3.0</v>
      </c>
      <c r="I36" s="910" t="s">
        <v>735</v>
      </c>
      <c r="J36" s="70"/>
      <c r="K36" s="121">
        <f t="shared" ref="K36:K48" si="5">sum(F36:H36)</f>
        <v>6</v>
      </c>
      <c r="L36" s="152">
        <f t="shared" ref="L36:L48" si="6">index($L$3:$L$11,MATCH(K36,$K$3:$K$11,0))</f>
        <v>0.6</v>
      </c>
      <c r="M36" s="481">
        <f t="shared" ref="M36:M48" si="7">iferror(if(D36="Excluded",L36*E36,0),"Not specified")</f>
        <v>0</v>
      </c>
      <c r="N36" s="914" t="s">
        <v>698</v>
      </c>
    </row>
    <row r="37">
      <c r="A37" s="112" t="s">
        <v>733</v>
      </c>
      <c r="B37" s="112" t="s">
        <v>734</v>
      </c>
      <c r="C37" s="112" t="s">
        <v>736</v>
      </c>
      <c r="D37" s="118" t="s">
        <v>705</v>
      </c>
      <c r="E37" s="915">
        <v>0.02</v>
      </c>
      <c r="F37" s="118">
        <v>2.0</v>
      </c>
      <c r="G37" s="118">
        <v>1.0</v>
      </c>
      <c r="H37" s="118">
        <v>1.0</v>
      </c>
      <c r="I37" s="910" t="s">
        <v>737</v>
      </c>
      <c r="J37" s="70"/>
      <c r="K37" s="121">
        <f t="shared" si="5"/>
        <v>4</v>
      </c>
      <c r="L37" s="152">
        <f t="shared" si="6"/>
        <v>0.4</v>
      </c>
      <c r="M37" s="481">
        <f t="shared" si="7"/>
        <v>0.008</v>
      </c>
      <c r="N37" s="914" t="s">
        <v>698</v>
      </c>
    </row>
    <row r="38">
      <c r="A38" s="112" t="s">
        <v>733</v>
      </c>
      <c r="B38" s="112" t="s">
        <v>734</v>
      </c>
      <c r="C38" s="112" t="s">
        <v>738</v>
      </c>
      <c r="D38" s="118" t="s">
        <v>705</v>
      </c>
      <c r="E38" s="915">
        <v>0.1</v>
      </c>
      <c r="F38" s="118">
        <v>2.0</v>
      </c>
      <c r="G38" s="118">
        <v>2.0</v>
      </c>
      <c r="H38" s="118">
        <v>2.0</v>
      </c>
      <c r="I38" s="910" t="s">
        <v>739</v>
      </c>
      <c r="J38" s="70"/>
      <c r="K38" s="121">
        <f t="shared" si="5"/>
        <v>6</v>
      </c>
      <c r="L38" s="152">
        <f t="shared" si="6"/>
        <v>0.6</v>
      </c>
      <c r="M38" s="481">
        <f t="shared" si="7"/>
        <v>0.06</v>
      </c>
      <c r="N38" s="914" t="s">
        <v>698</v>
      </c>
    </row>
    <row r="39">
      <c r="A39" s="112" t="s">
        <v>733</v>
      </c>
      <c r="B39" s="112" t="s">
        <v>734</v>
      </c>
      <c r="C39" s="118" t="s">
        <v>740</v>
      </c>
      <c r="D39" s="118" t="s">
        <v>705</v>
      </c>
      <c r="E39" s="915">
        <v>-0.05</v>
      </c>
      <c r="F39" s="118">
        <v>2.0</v>
      </c>
      <c r="G39" s="118">
        <v>1.0</v>
      </c>
      <c r="H39" s="118">
        <v>2.0</v>
      </c>
      <c r="I39" s="910" t="s">
        <v>741</v>
      </c>
      <c r="J39" s="70"/>
      <c r="K39" s="121">
        <f t="shared" si="5"/>
        <v>5</v>
      </c>
      <c r="L39" s="152">
        <f t="shared" si="6"/>
        <v>0.5</v>
      </c>
      <c r="M39" s="481">
        <f t="shared" si="7"/>
        <v>-0.025</v>
      </c>
      <c r="N39" s="914" t="s">
        <v>698</v>
      </c>
    </row>
    <row r="40">
      <c r="A40" s="112" t="s">
        <v>733</v>
      </c>
      <c r="B40" s="112" t="s">
        <v>734</v>
      </c>
      <c r="C40" s="118" t="s">
        <v>742</v>
      </c>
      <c r="D40" s="118" t="s">
        <v>705</v>
      </c>
      <c r="E40" s="915">
        <v>0.05</v>
      </c>
      <c r="F40" s="118">
        <v>1.0</v>
      </c>
      <c r="G40" s="118">
        <v>3.0</v>
      </c>
      <c r="H40" s="118">
        <v>3.0</v>
      </c>
      <c r="I40" s="910" t="s">
        <v>743</v>
      </c>
      <c r="J40" s="70"/>
      <c r="K40" s="121">
        <f t="shared" si="5"/>
        <v>7</v>
      </c>
      <c r="L40" s="152">
        <f t="shared" si="6"/>
        <v>0.7</v>
      </c>
      <c r="M40" s="481">
        <f t="shared" si="7"/>
        <v>0.035</v>
      </c>
      <c r="N40" s="914" t="s">
        <v>698</v>
      </c>
    </row>
    <row r="41">
      <c r="A41" s="112" t="s">
        <v>733</v>
      </c>
      <c r="B41" s="112" t="s">
        <v>734</v>
      </c>
      <c r="C41" s="112" t="s">
        <v>707</v>
      </c>
      <c r="D41" s="917" t="s">
        <v>705</v>
      </c>
      <c r="E41" s="915">
        <v>0.15</v>
      </c>
      <c r="F41" s="118">
        <v>3.0</v>
      </c>
      <c r="G41" s="118">
        <v>2.0</v>
      </c>
      <c r="H41" s="118">
        <v>1.0</v>
      </c>
      <c r="I41" s="910" t="s">
        <v>708</v>
      </c>
      <c r="J41" s="70"/>
      <c r="K41" s="121">
        <f t="shared" si="5"/>
        <v>6</v>
      </c>
      <c r="L41" s="152">
        <f t="shared" si="6"/>
        <v>0.6</v>
      </c>
      <c r="M41" s="481">
        <f t="shared" si="7"/>
        <v>0.09</v>
      </c>
      <c r="N41" s="914" t="s">
        <v>698</v>
      </c>
    </row>
    <row r="42">
      <c r="A42" s="112" t="s">
        <v>733</v>
      </c>
      <c r="B42" s="112" t="s">
        <v>734</v>
      </c>
      <c r="C42" s="118" t="s">
        <v>713</v>
      </c>
      <c r="D42" s="118" t="s">
        <v>705</v>
      </c>
      <c r="E42" s="915">
        <v>0.2</v>
      </c>
      <c r="F42" s="118">
        <v>1.0</v>
      </c>
      <c r="G42" s="118">
        <v>2.0</v>
      </c>
      <c r="H42" s="118">
        <v>2.0</v>
      </c>
      <c r="I42" s="910" t="s">
        <v>744</v>
      </c>
      <c r="J42" s="70"/>
      <c r="K42" s="121">
        <f t="shared" si="5"/>
        <v>5</v>
      </c>
      <c r="L42" s="152">
        <f t="shared" si="6"/>
        <v>0.5</v>
      </c>
      <c r="M42" s="481">
        <f t="shared" si="7"/>
        <v>0.1</v>
      </c>
      <c r="N42" s="914" t="s">
        <v>698</v>
      </c>
    </row>
    <row r="43">
      <c r="A43" s="112" t="s">
        <v>733</v>
      </c>
      <c r="B43" s="112" t="s">
        <v>734</v>
      </c>
      <c r="C43" s="118" t="s">
        <v>745</v>
      </c>
      <c r="D43" s="118" t="s">
        <v>705</v>
      </c>
      <c r="E43" s="915">
        <v>0.4</v>
      </c>
      <c r="F43" s="118">
        <v>0.0</v>
      </c>
      <c r="G43" s="118">
        <v>0.0</v>
      </c>
      <c r="H43" s="118">
        <v>1.0</v>
      </c>
      <c r="I43" s="910" t="s">
        <v>746</v>
      </c>
      <c r="J43" s="70"/>
      <c r="K43" s="121">
        <f t="shared" si="5"/>
        <v>1</v>
      </c>
      <c r="L43" s="152">
        <f t="shared" si="6"/>
        <v>0.1</v>
      </c>
      <c r="M43" s="481">
        <f t="shared" si="7"/>
        <v>0.04</v>
      </c>
      <c r="N43" s="914" t="s">
        <v>698</v>
      </c>
    </row>
    <row r="44">
      <c r="A44" s="112" t="s">
        <v>733</v>
      </c>
      <c r="B44" s="112"/>
      <c r="C44" s="118" t="s">
        <v>747</v>
      </c>
      <c r="D44" s="118" t="s">
        <v>705</v>
      </c>
      <c r="E44" s="915">
        <v>0.2</v>
      </c>
      <c r="F44" s="118">
        <v>3.0</v>
      </c>
      <c r="G44" s="118">
        <v>2.0</v>
      </c>
      <c r="H44" s="118">
        <v>2.0</v>
      </c>
      <c r="I44" s="910" t="s">
        <v>748</v>
      </c>
      <c r="J44" s="70"/>
      <c r="K44" s="121">
        <f t="shared" si="5"/>
        <v>7</v>
      </c>
      <c r="L44" s="152">
        <f t="shared" si="6"/>
        <v>0.7</v>
      </c>
      <c r="M44" s="481">
        <f t="shared" si="7"/>
        <v>0.14</v>
      </c>
      <c r="N44" s="914" t="s">
        <v>698</v>
      </c>
    </row>
    <row r="45">
      <c r="A45" s="112" t="s">
        <v>733</v>
      </c>
      <c r="B45" s="112" t="s">
        <v>734</v>
      </c>
      <c r="C45" s="118" t="s">
        <v>749</v>
      </c>
      <c r="D45" s="118" t="s">
        <v>705</v>
      </c>
      <c r="E45" s="915">
        <v>-0.1</v>
      </c>
      <c r="F45" s="118">
        <v>1.0</v>
      </c>
      <c r="G45" s="118">
        <v>1.0</v>
      </c>
      <c r="H45" s="118">
        <v>2.0</v>
      </c>
      <c r="I45" s="910" t="s">
        <v>750</v>
      </c>
      <c r="J45" s="70"/>
      <c r="K45" s="121">
        <f t="shared" si="5"/>
        <v>4</v>
      </c>
      <c r="L45" s="152">
        <f t="shared" si="6"/>
        <v>0.4</v>
      </c>
      <c r="M45" s="481">
        <f t="shared" si="7"/>
        <v>-0.04</v>
      </c>
      <c r="N45" s="914" t="s">
        <v>698</v>
      </c>
    </row>
    <row r="46">
      <c r="A46" s="112" t="s">
        <v>733</v>
      </c>
      <c r="B46" s="112" t="s">
        <v>734</v>
      </c>
      <c r="C46" s="118" t="s">
        <v>751</v>
      </c>
      <c r="D46" s="118" t="s">
        <v>705</v>
      </c>
      <c r="E46" s="915">
        <v>-0.35</v>
      </c>
      <c r="F46" s="118">
        <v>1.0</v>
      </c>
      <c r="G46" s="118">
        <v>1.0</v>
      </c>
      <c r="H46" s="118">
        <v>2.0</v>
      </c>
      <c r="I46" s="910" t="s">
        <v>752</v>
      </c>
      <c r="J46" s="70"/>
      <c r="K46" s="121">
        <f t="shared" si="5"/>
        <v>4</v>
      </c>
      <c r="L46" s="152">
        <f t="shared" si="6"/>
        <v>0.4</v>
      </c>
      <c r="M46" s="481">
        <f t="shared" si="7"/>
        <v>-0.14</v>
      </c>
      <c r="N46" s="914" t="s">
        <v>698</v>
      </c>
    </row>
    <row r="47">
      <c r="A47" s="112" t="s">
        <v>733</v>
      </c>
      <c r="B47" s="112" t="s">
        <v>734</v>
      </c>
      <c r="C47" s="179" t="s">
        <v>725</v>
      </c>
      <c r="D47" s="121" t="s">
        <v>705</v>
      </c>
      <c r="E47" s="919">
        <v>-0.05</v>
      </c>
      <c r="F47" s="929">
        <v>2.0</v>
      </c>
      <c r="G47" s="930">
        <v>1.0</v>
      </c>
      <c r="H47" s="929">
        <v>2.0</v>
      </c>
      <c r="I47" s="922" t="s">
        <v>753</v>
      </c>
      <c r="J47" s="70"/>
      <c r="K47" s="121">
        <f t="shared" si="5"/>
        <v>5</v>
      </c>
      <c r="L47" s="152">
        <f t="shared" si="6"/>
        <v>0.5</v>
      </c>
      <c r="M47" s="481">
        <f t="shared" si="7"/>
        <v>-0.025</v>
      </c>
      <c r="N47" s="914" t="s">
        <v>698</v>
      </c>
    </row>
    <row r="48">
      <c r="A48" s="112" t="s">
        <v>733</v>
      </c>
      <c r="B48" s="112" t="s">
        <v>734</v>
      </c>
      <c r="C48" s="118" t="s">
        <v>754</v>
      </c>
      <c r="D48" s="118" t="s">
        <v>705</v>
      </c>
      <c r="E48" s="915">
        <v>-0.1</v>
      </c>
      <c r="F48" s="118">
        <v>1.0</v>
      </c>
      <c r="G48" s="118">
        <v>1.0</v>
      </c>
      <c r="H48" s="118">
        <v>1.0</v>
      </c>
      <c r="I48" s="910" t="s">
        <v>755</v>
      </c>
      <c r="J48" s="70"/>
      <c r="K48" s="121">
        <f t="shared" si="5"/>
        <v>3</v>
      </c>
      <c r="L48" s="152">
        <f t="shared" si="6"/>
        <v>0.3</v>
      </c>
      <c r="M48" s="481">
        <f t="shared" si="7"/>
        <v>-0.03</v>
      </c>
      <c r="N48" s="914" t="s">
        <v>698</v>
      </c>
    </row>
    <row r="49">
      <c r="A49" s="70"/>
      <c r="B49" s="70"/>
      <c r="C49" s="70"/>
      <c r="D49" s="70"/>
      <c r="E49" s="70"/>
      <c r="F49" s="70"/>
      <c r="G49" s="70"/>
      <c r="H49" s="70"/>
      <c r="I49" s="910"/>
      <c r="J49" s="70"/>
      <c r="K49" s="931" t="s">
        <v>756</v>
      </c>
      <c r="L49" s="927"/>
      <c r="M49" s="928">
        <f>1+sum(iferror(M36:M48,0))</f>
        <v>1.213</v>
      </c>
      <c r="N49" s="928"/>
    </row>
    <row r="50">
      <c r="A50" s="911"/>
      <c r="B50" s="911"/>
      <c r="C50" s="911" t="s">
        <v>757</v>
      </c>
      <c r="D50" s="118"/>
      <c r="E50" s="118"/>
      <c r="F50" s="118"/>
      <c r="G50" s="118"/>
      <c r="H50" s="118"/>
      <c r="I50" s="910"/>
      <c r="J50" s="70"/>
    </row>
    <row r="51">
      <c r="A51" s="118" t="s">
        <v>757</v>
      </c>
      <c r="B51" s="118"/>
      <c r="C51" s="118" t="s">
        <v>695</v>
      </c>
      <c r="D51" s="118" t="s">
        <v>696</v>
      </c>
      <c r="E51" s="915"/>
      <c r="F51" s="118">
        <v>3.0</v>
      </c>
      <c r="G51" s="118">
        <v>3.0</v>
      </c>
      <c r="H51" s="118">
        <v>3.0</v>
      </c>
      <c r="I51" s="910" t="s">
        <v>758</v>
      </c>
      <c r="J51" s="70"/>
      <c r="K51" s="121">
        <f t="shared" ref="K51:K65" si="8">sum(F51:H51)</f>
        <v>9</v>
      </c>
      <c r="L51" s="152">
        <f t="shared" ref="L51:L65" si="9">index($L$3:$L$11,MATCH(K51,$K$3:$K$11,0))</f>
        <v>0.9</v>
      </c>
      <c r="M51" s="481">
        <f t="shared" ref="M51:M65" si="10">iferror(if(D51="Excluded",L51*E51,0),"Not specified")</f>
        <v>0</v>
      </c>
      <c r="N51" s="914" t="s">
        <v>698</v>
      </c>
    </row>
    <row r="52">
      <c r="A52" s="118" t="s">
        <v>757</v>
      </c>
      <c r="B52" s="118"/>
      <c r="C52" s="112" t="s">
        <v>701</v>
      </c>
      <c r="D52" s="118" t="s">
        <v>696</v>
      </c>
      <c r="E52" s="915"/>
      <c r="F52" s="118">
        <v>2.0</v>
      </c>
      <c r="G52" s="118">
        <v>1.0</v>
      </c>
      <c r="H52" s="118">
        <v>3.0</v>
      </c>
      <c r="I52" s="910" t="s">
        <v>703</v>
      </c>
      <c r="J52" s="70"/>
      <c r="K52" s="121">
        <f t="shared" si="8"/>
        <v>6</v>
      </c>
      <c r="L52" s="152">
        <f t="shared" si="9"/>
        <v>0.6</v>
      </c>
      <c r="M52" s="481">
        <f t="shared" si="10"/>
        <v>0</v>
      </c>
      <c r="N52" s="914" t="s">
        <v>698</v>
      </c>
    </row>
    <row r="53">
      <c r="A53" s="118" t="s">
        <v>757</v>
      </c>
      <c r="B53" s="118"/>
      <c r="C53" s="112" t="s">
        <v>699</v>
      </c>
      <c r="D53" s="118" t="s">
        <v>696</v>
      </c>
      <c r="E53" s="915"/>
      <c r="F53" s="118">
        <v>3.0</v>
      </c>
      <c r="G53" s="118">
        <v>3.0</v>
      </c>
      <c r="H53" s="118">
        <v>3.0</v>
      </c>
      <c r="I53" s="910" t="s">
        <v>759</v>
      </c>
      <c r="J53" s="70"/>
      <c r="K53" s="121">
        <f t="shared" si="8"/>
        <v>9</v>
      </c>
      <c r="L53" s="152">
        <f t="shared" si="9"/>
        <v>0.9</v>
      </c>
      <c r="M53" s="481">
        <f t="shared" si="10"/>
        <v>0</v>
      </c>
      <c r="N53" s="914" t="s">
        <v>698</v>
      </c>
    </row>
    <row r="54">
      <c r="A54" s="118" t="s">
        <v>757</v>
      </c>
      <c r="B54" s="118"/>
      <c r="C54" s="112" t="s">
        <v>704</v>
      </c>
      <c r="D54" s="917" t="s">
        <v>705</v>
      </c>
      <c r="E54" s="915">
        <v>0.15</v>
      </c>
      <c r="F54" s="118">
        <v>3.0</v>
      </c>
      <c r="G54" s="118">
        <v>2.0</v>
      </c>
      <c r="H54" s="118">
        <v>1.0</v>
      </c>
      <c r="I54" s="910" t="s">
        <v>706</v>
      </c>
      <c r="J54" s="70"/>
      <c r="K54" s="121">
        <f t="shared" si="8"/>
        <v>6</v>
      </c>
      <c r="L54" s="152">
        <f t="shared" si="9"/>
        <v>0.6</v>
      </c>
      <c r="M54" s="481">
        <f t="shared" si="10"/>
        <v>0.09</v>
      </c>
      <c r="N54" s="914" t="s">
        <v>698</v>
      </c>
    </row>
    <row r="55">
      <c r="A55" s="118" t="s">
        <v>757</v>
      </c>
      <c r="B55" s="118"/>
      <c r="C55" s="112" t="s">
        <v>707</v>
      </c>
      <c r="D55" s="917" t="s">
        <v>705</v>
      </c>
      <c r="E55" s="915">
        <v>0.15</v>
      </c>
      <c r="F55" s="118">
        <v>3.0</v>
      </c>
      <c r="G55" s="118">
        <v>2.0</v>
      </c>
      <c r="H55" s="118">
        <v>1.0</v>
      </c>
      <c r="I55" s="910" t="s">
        <v>708</v>
      </c>
      <c r="J55" s="70"/>
      <c r="K55" s="121">
        <f t="shared" si="8"/>
        <v>6</v>
      </c>
      <c r="L55" s="152">
        <f t="shared" si="9"/>
        <v>0.6</v>
      </c>
      <c r="M55" s="481">
        <f t="shared" si="10"/>
        <v>0.09</v>
      </c>
      <c r="N55" s="914" t="s">
        <v>698</v>
      </c>
    </row>
    <row r="56">
      <c r="A56" s="118" t="s">
        <v>757</v>
      </c>
      <c r="B56" s="118"/>
      <c r="C56" s="112" t="s">
        <v>713</v>
      </c>
      <c r="D56" s="917" t="s">
        <v>705</v>
      </c>
      <c r="E56" s="915">
        <v>0.1</v>
      </c>
      <c r="F56" s="118">
        <v>1.0</v>
      </c>
      <c r="G56" s="118">
        <v>2.0</v>
      </c>
      <c r="H56" s="932">
        <v>2.0</v>
      </c>
      <c r="I56" s="910" t="s">
        <v>760</v>
      </c>
      <c r="J56" s="70"/>
      <c r="K56" s="121">
        <f t="shared" si="8"/>
        <v>5</v>
      </c>
      <c r="L56" s="152">
        <f t="shared" si="9"/>
        <v>0.5</v>
      </c>
      <c r="M56" s="481">
        <f t="shared" si="10"/>
        <v>0.05</v>
      </c>
      <c r="N56" s="914" t="s">
        <v>698</v>
      </c>
    </row>
    <row r="57">
      <c r="A57" s="118" t="s">
        <v>757</v>
      </c>
      <c r="B57" s="118"/>
      <c r="C57" s="112" t="s">
        <v>715</v>
      </c>
      <c r="D57" s="917" t="s">
        <v>705</v>
      </c>
      <c r="E57" s="915">
        <v>-0.1</v>
      </c>
      <c r="F57" s="118">
        <v>2.0</v>
      </c>
      <c r="G57" s="118">
        <v>1.0</v>
      </c>
      <c r="H57" s="118">
        <v>1.0</v>
      </c>
      <c r="I57" s="910" t="s">
        <v>761</v>
      </c>
      <c r="J57" s="70"/>
      <c r="K57" s="121">
        <f t="shared" si="8"/>
        <v>4</v>
      </c>
      <c r="L57" s="152">
        <f t="shared" si="9"/>
        <v>0.4</v>
      </c>
      <c r="M57" s="481">
        <f t="shared" si="10"/>
        <v>-0.04</v>
      </c>
      <c r="N57" s="914" t="s">
        <v>717</v>
      </c>
    </row>
    <row r="58">
      <c r="A58" s="118" t="s">
        <v>757</v>
      </c>
      <c r="B58" s="118"/>
      <c r="C58" s="118" t="s">
        <v>749</v>
      </c>
      <c r="D58" s="118" t="s">
        <v>705</v>
      </c>
      <c r="E58" s="915">
        <v>-0.1</v>
      </c>
      <c r="F58" s="118">
        <v>1.0</v>
      </c>
      <c r="G58" s="118">
        <v>1.0</v>
      </c>
      <c r="H58" s="118">
        <v>2.0</v>
      </c>
      <c r="I58" s="910" t="s">
        <v>762</v>
      </c>
      <c r="J58" s="70"/>
      <c r="K58" s="121">
        <f t="shared" si="8"/>
        <v>4</v>
      </c>
      <c r="L58" s="152">
        <f t="shared" si="9"/>
        <v>0.4</v>
      </c>
      <c r="M58" s="481">
        <f t="shared" si="10"/>
        <v>-0.04</v>
      </c>
      <c r="N58" s="914" t="s">
        <v>717</v>
      </c>
    </row>
    <row r="59">
      <c r="A59" s="118" t="s">
        <v>757</v>
      </c>
      <c r="B59" s="118"/>
      <c r="C59" s="112" t="s">
        <v>718</v>
      </c>
      <c r="D59" s="917" t="s">
        <v>705</v>
      </c>
      <c r="E59" s="118" t="s">
        <v>719</v>
      </c>
      <c r="F59" s="918">
        <v>1.0</v>
      </c>
      <c r="G59" s="918">
        <v>1.0</v>
      </c>
      <c r="H59" s="918">
        <v>1.0</v>
      </c>
      <c r="I59" s="910" t="s">
        <v>720</v>
      </c>
      <c r="J59" s="70"/>
      <c r="K59" s="121">
        <f t="shared" si="8"/>
        <v>3</v>
      </c>
      <c r="L59" s="152">
        <f t="shared" si="9"/>
        <v>0.3</v>
      </c>
      <c r="M59" s="481" t="str">
        <f t="shared" si="10"/>
        <v>Not specified</v>
      </c>
      <c r="N59" s="914" t="s">
        <v>698</v>
      </c>
    </row>
    <row r="60">
      <c r="A60" s="118" t="s">
        <v>757</v>
      </c>
      <c r="B60" s="118"/>
      <c r="C60" s="112" t="s">
        <v>721</v>
      </c>
      <c r="D60" s="917" t="s">
        <v>705</v>
      </c>
      <c r="E60" s="915">
        <v>0.1</v>
      </c>
      <c r="F60" s="118">
        <v>3.0</v>
      </c>
      <c r="G60" s="118">
        <v>2.0</v>
      </c>
      <c r="H60" s="118">
        <v>1.0</v>
      </c>
      <c r="I60" s="910" t="s">
        <v>763</v>
      </c>
      <c r="J60" s="70"/>
      <c r="K60" s="121">
        <f t="shared" si="8"/>
        <v>6</v>
      </c>
      <c r="L60" s="152">
        <f t="shared" si="9"/>
        <v>0.6</v>
      </c>
      <c r="M60" s="481">
        <f t="shared" si="10"/>
        <v>0.06</v>
      </c>
      <c r="N60" s="914" t="s">
        <v>698</v>
      </c>
    </row>
    <row r="61">
      <c r="A61" s="118" t="s">
        <v>757</v>
      </c>
      <c r="B61" s="118"/>
      <c r="C61" s="179" t="s">
        <v>723</v>
      </c>
      <c r="D61" s="96" t="s">
        <v>705</v>
      </c>
      <c r="E61" s="919">
        <v>0.04</v>
      </c>
      <c r="F61" s="920">
        <v>3.0</v>
      </c>
      <c r="G61" s="920">
        <v>3.0</v>
      </c>
      <c r="H61" s="921">
        <v>2.0</v>
      </c>
      <c r="I61" s="922" t="s">
        <v>724</v>
      </c>
      <c r="J61" s="70"/>
      <c r="K61" s="121">
        <f t="shared" si="8"/>
        <v>8</v>
      </c>
      <c r="L61" s="152">
        <f t="shared" si="9"/>
        <v>0.8</v>
      </c>
      <c r="M61" s="481">
        <f t="shared" si="10"/>
        <v>0.032</v>
      </c>
      <c r="N61" s="914" t="s">
        <v>717</v>
      </c>
    </row>
    <row r="62">
      <c r="A62" s="118" t="s">
        <v>757</v>
      </c>
      <c r="B62" s="118"/>
      <c r="C62" s="179" t="s">
        <v>725</v>
      </c>
      <c r="D62" s="121" t="s">
        <v>705</v>
      </c>
      <c r="E62" s="919">
        <v>-0.05</v>
      </c>
      <c r="F62" s="929">
        <v>2.0</v>
      </c>
      <c r="G62" s="930">
        <v>1.0</v>
      </c>
      <c r="H62" s="929">
        <v>2.0</v>
      </c>
      <c r="I62" s="922" t="s">
        <v>764</v>
      </c>
      <c r="J62" s="70"/>
      <c r="K62" s="121">
        <f t="shared" si="8"/>
        <v>5</v>
      </c>
      <c r="L62" s="152">
        <f t="shared" si="9"/>
        <v>0.5</v>
      </c>
      <c r="M62" s="481">
        <f t="shared" si="10"/>
        <v>-0.025</v>
      </c>
      <c r="N62" s="914" t="s">
        <v>717</v>
      </c>
    </row>
    <row r="63">
      <c r="A63" s="118" t="s">
        <v>757</v>
      </c>
      <c r="B63" s="118"/>
      <c r="C63" s="154" t="s">
        <v>765</v>
      </c>
      <c r="D63" s="154" t="s">
        <v>705</v>
      </c>
      <c r="E63" s="933">
        <v>-0.02</v>
      </c>
      <c r="F63" s="934">
        <v>2.0</v>
      </c>
      <c r="G63" s="934">
        <v>3.0</v>
      </c>
      <c r="H63" s="934">
        <v>3.0</v>
      </c>
      <c r="I63" s="922" t="s">
        <v>766</v>
      </c>
      <c r="J63" s="70"/>
      <c r="K63" s="121">
        <f t="shared" si="8"/>
        <v>8</v>
      </c>
      <c r="L63" s="152">
        <f t="shared" si="9"/>
        <v>0.8</v>
      </c>
      <c r="M63" s="481">
        <f t="shared" si="10"/>
        <v>-0.016</v>
      </c>
      <c r="N63" s="914" t="s">
        <v>717</v>
      </c>
    </row>
    <row r="64">
      <c r="A64" s="118" t="s">
        <v>757</v>
      </c>
      <c r="B64" s="118"/>
      <c r="C64" s="154" t="s">
        <v>767</v>
      </c>
      <c r="D64" s="121" t="s">
        <v>705</v>
      </c>
      <c r="E64" s="919">
        <v>-0.01</v>
      </c>
      <c r="F64" s="935">
        <v>3.0</v>
      </c>
      <c r="G64" s="929">
        <v>2.0</v>
      </c>
      <c r="H64" s="930">
        <v>1.0</v>
      </c>
      <c r="I64" s="925" t="s">
        <v>768</v>
      </c>
      <c r="J64" s="70"/>
      <c r="K64" s="121">
        <f t="shared" si="8"/>
        <v>6</v>
      </c>
      <c r="L64" s="152">
        <f t="shared" si="9"/>
        <v>0.6</v>
      </c>
      <c r="M64" s="481">
        <f t="shared" si="10"/>
        <v>-0.006</v>
      </c>
      <c r="N64" s="914" t="s">
        <v>698</v>
      </c>
    </row>
    <row r="65">
      <c r="A65" s="118" t="s">
        <v>757</v>
      </c>
      <c r="B65" s="118"/>
      <c r="C65" s="154" t="s">
        <v>769</v>
      </c>
      <c r="D65" s="154" t="s">
        <v>705</v>
      </c>
      <c r="E65" s="933">
        <v>-0.05</v>
      </c>
      <c r="F65" s="936">
        <v>3.0</v>
      </c>
      <c r="G65" s="937">
        <v>2.0</v>
      </c>
      <c r="H65" s="938">
        <v>2.0</v>
      </c>
      <c r="I65" s="939" t="s">
        <v>770</v>
      </c>
      <c r="J65" s="70"/>
      <c r="K65" s="121">
        <f t="shared" si="8"/>
        <v>7</v>
      </c>
      <c r="L65" s="152">
        <f t="shared" si="9"/>
        <v>0.7</v>
      </c>
      <c r="M65" s="481">
        <f t="shared" si="10"/>
        <v>-0.035</v>
      </c>
      <c r="N65" s="914"/>
    </row>
    <row r="66">
      <c r="A66" s="70"/>
      <c r="B66" s="70"/>
      <c r="C66" s="70"/>
      <c r="D66" s="70"/>
      <c r="E66" s="70"/>
      <c r="F66" s="70"/>
      <c r="G66" s="70"/>
      <c r="H66" s="70"/>
      <c r="I66" s="910"/>
      <c r="J66" s="70"/>
      <c r="K66" s="926" t="s">
        <v>771</v>
      </c>
      <c r="L66" s="927"/>
      <c r="M66" s="928">
        <f>1+sum(iferror(M52:M65,0))</f>
        <v>1.16</v>
      </c>
      <c r="N66" s="928"/>
    </row>
    <row r="67">
      <c r="A67" s="416"/>
      <c r="B67" s="416"/>
      <c r="C67" s="416" t="s">
        <v>772</v>
      </c>
      <c r="D67" s="121"/>
      <c r="E67" s="121"/>
      <c r="F67" s="121"/>
      <c r="G67" s="121"/>
      <c r="H67" s="121"/>
      <c r="I67" s="121"/>
      <c r="J67" s="121"/>
      <c r="K67" s="121"/>
      <c r="L67" s="121"/>
      <c r="M67" s="121"/>
      <c r="N67" s="121"/>
    </row>
    <row r="68">
      <c r="A68" s="154" t="s">
        <v>772</v>
      </c>
      <c r="B68" s="154"/>
      <c r="C68" s="154" t="s">
        <v>773</v>
      </c>
      <c r="D68" s="96" t="s">
        <v>696</v>
      </c>
      <c r="E68" s="915"/>
      <c r="F68" s="940">
        <v>3.0</v>
      </c>
      <c r="G68" s="940">
        <v>3.0</v>
      </c>
      <c r="H68" s="940">
        <v>3.0</v>
      </c>
      <c r="I68" s="925" t="s">
        <v>774</v>
      </c>
      <c r="J68" s="121"/>
      <c r="K68" s="121">
        <f t="shared" ref="K68:K78" si="11">sum(F68:H68)</f>
        <v>9</v>
      </c>
      <c r="L68" s="152">
        <f t="shared" ref="L68:L78" si="12">index($L$3:$L$11,MATCH(K68,$K$3:$K$11,0))</f>
        <v>0.9</v>
      </c>
      <c r="M68" s="481">
        <f t="shared" ref="M68:M78" si="13">iferror(if(D68="Excluded",L68*E68,0),"Not specified")</f>
        <v>0</v>
      </c>
      <c r="N68" s="914" t="s">
        <v>698</v>
      </c>
    </row>
    <row r="69">
      <c r="A69" s="154" t="s">
        <v>772</v>
      </c>
      <c r="B69" s="154"/>
      <c r="C69" s="154" t="s">
        <v>775</v>
      </c>
      <c r="D69" s="154" t="s">
        <v>696</v>
      </c>
      <c r="E69" s="915"/>
      <c r="F69" s="924">
        <v>1.0</v>
      </c>
      <c r="G69" s="924">
        <v>1.0</v>
      </c>
      <c r="H69" s="940">
        <v>3.0</v>
      </c>
      <c r="I69" s="925" t="s">
        <v>776</v>
      </c>
      <c r="J69" s="121"/>
      <c r="K69" s="121">
        <f t="shared" si="11"/>
        <v>5</v>
      </c>
      <c r="L69" s="152">
        <f t="shared" si="12"/>
        <v>0.5</v>
      </c>
      <c r="M69" s="481">
        <f t="shared" si="13"/>
        <v>0</v>
      </c>
      <c r="N69" s="914" t="s">
        <v>698</v>
      </c>
    </row>
    <row r="70">
      <c r="A70" s="154" t="s">
        <v>772</v>
      </c>
      <c r="B70" s="154"/>
      <c r="C70" s="154" t="s">
        <v>777</v>
      </c>
      <c r="D70" s="96" t="s">
        <v>705</v>
      </c>
      <c r="E70" s="941">
        <v>0.15</v>
      </c>
      <c r="F70" s="942">
        <v>2.0</v>
      </c>
      <c r="G70" s="924">
        <v>1.0</v>
      </c>
      <c r="H70" s="924">
        <v>1.0</v>
      </c>
      <c r="I70" s="925" t="s">
        <v>778</v>
      </c>
      <c r="J70" s="121"/>
      <c r="K70" s="121">
        <f t="shared" si="11"/>
        <v>4</v>
      </c>
      <c r="L70" s="152">
        <f t="shared" si="12"/>
        <v>0.4</v>
      </c>
      <c r="M70" s="481">
        <f t="shared" si="13"/>
        <v>0.06</v>
      </c>
      <c r="N70" s="914" t="s">
        <v>698</v>
      </c>
    </row>
    <row r="71">
      <c r="A71" s="154" t="s">
        <v>772</v>
      </c>
      <c r="B71" s="154"/>
      <c r="C71" s="154" t="s">
        <v>707</v>
      </c>
      <c r="D71" s="96" t="s">
        <v>705</v>
      </c>
      <c r="E71" s="943">
        <v>0.15</v>
      </c>
      <c r="F71" s="940">
        <v>3.0</v>
      </c>
      <c r="G71" s="921">
        <v>2.0</v>
      </c>
      <c r="H71" s="924">
        <v>1.0</v>
      </c>
      <c r="I71" s="925" t="s">
        <v>708</v>
      </c>
      <c r="J71" s="121"/>
      <c r="K71" s="121">
        <f t="shared" si="11"/>
        <v>6</v>
      </c>
      <c r="L71" s="152">
        <f t="shared" si="12"/>
        <v>0.6</v>
      </c>
      <c r="M71" s="481">
        <f t="shared" si="13"/>
        <v>0.09</v>
      </c>
      <c r="N71" s="914" t="s">
        <v>698</v>
      </c>
    </row>
    <row r="72">
      <c r="A72" s="154" t="s">
        <v>772</v>
      </c>
      <c r="B72" s="154"/>
      <c r="C72" s="154" t="s">
        <v>713</v>
      </c>
      <c r="D72" s="96" t="s">
        <v>705</v>
      </c>
      <c r="E72" s="944">
        <v>0.05</v>
      </c>
      <c r="F72" s="936">
        <v>1.0</v>
      </c>
      <c r="G72" s="937">
        <v>2.0</v>
      </c>
      <c r="H72" s="938">
        <v>3.0</v>
      </c>
      <c r="I72" s="910" t="s">
        <v>760</v>
      </c>
      <c r="J72" s="121"/>
      <c r="K72" s="121">
        <f t="shared" si="11"/>
        <v>6</v>
      </c>
      <c r="L72" s="152">
        <f t="shared" si="12"/>
        <v>0.6</v>
      </c>
      <c r="M72" s="481">
        <f t="shared" si="13"/>
        <v>0.03</v>
      </c>
      <c r="N72" s="914" t="s">
        <v>698</v>
      </c>
    </row>
    <row r="73">
      <c r="A73" s="154" t="s">
        <v>772</v>
      </c>
      <c r="B73" s="154"/>
      <c r="C73" s="154" t="s">
        <v>779</v>
      </c>
      <c r="D73" s="96" t="s">
        <v>705</v>
      </c>
      <c r="E73" s="943">
        <v>0.15</v>
      </c>
      <c r="F73" s="938">
        <v>2.0</v>
      </c>
      <c r="G73" s="921">
        <v>2.0</v>
      </c>
      <c r="H73" s="154">
        <v>2.0</v>
      </c>
      <c r="I73" s="925" t="s">
        <v>780</v>
      </c>
      <c r="J73" s="121"/>
      <c r="K73" s="121">
        <f t="shared" si="11"/>
        <v>6</v>
      </c>
      <c r="L73" s="152">
        <f t="shared" si="12"/>
        <v>0.6</v>
      </c>
      <c r="M73" s="481">
        <f t="shared" si="13"/>
        <v>0.09</v>
      </c>
      <c r="N73" s="914" t="s">
        <v>698</v>
      </c>
    </row>
    <row r="74">
      <c r="A74" s="154" t="s">
        <v>772</v>
      </c>
      <c r="B74" s="154"/>
      <c r="C74" s="154" t="s">
        <v>781</v>
      </c>
      <c r="D74" s="96" t="s">
        <v>705</v>
      </c>
      <c r="E74" s="923">
        <v>0.3</v>
      </c>
      <c r="F74" s="921">
        <v>2.0</v>
      </c>
      <c r="G74" s="921">
        <v>2.0</v>
      </c>
      <c r="H74" s="921">
        <v>2.0</v>
      </c>
      <c r="I74" s="925" t="s">
        <v>782</v>
      </c>
      <c r="J74" s="121"/>
      <c r="K74" s="121">
        <f t="shared" si="11"/>
        <v>6</v>
      </c>
      <c r="L74" s="152">
        <f t="shared" si="12"/>
        <v>0.6</v>
      </c>
      <c r="M74" s="481">
        <f t="shared" si="13"/>
        <v>0.18</v>
      </c>
      <c r="N74" s="914" t="s">
        <v>698</v>
      </c>
    </row>
    <row r="75">
      <c r="A75" s="154" t="s">
        <v>772</v>
      </c>
      <c r="B75" s="154"/>
      <c r="C75" s="154" t="s">
        <v>783</v>
      </c>
      <c r="D75" s="96" t="s">
        <v>705</v>
      </c>
      <c r="E75" s="919">
        <v>0.05</v>
      </c>
      <c r="F75" s="154">
        <v>1.0</v>
      </c>
      <c r="G75" s="154">
        <v>1.0</v>
      </c>
      <c r="H75" s="154">
        <v>1.0</v>
      </c>
      <c r="I75" s="925" t="s">
        <v>784</v>
      </c>
      <c r="J75" s="121"/>
      <c r="K75" s="121">
        <f t="shared" si="11"/>
        <v>3</v>
      </c>
      <c r="L75" s="152">
        <f t="shared" si="12"/>
        <v>0.3</v>
      </c>
      <c r="M75" s="481">
        <f t="shared" si="13"/>
        <v>0.015</v>
      </c>
      <c r="N75" s="914" t="s">
        <v>717</v>
      </c>
    </row>
    <row r="76">
      <c r="A76" s="154" t="s">
        <v>772</v>
      </c>
      <c r="B76" s="154"/>
      <c r="C76" s="179" t="s">
        <v>718</v>
      </c>
      <c r="D76" s="121" t="s">
        <v>705</v>
      </c>
      <c r="E76" s="299" t="s">
        <v>719</v>
      </c>
      <c r="F76" s="945">
        <v>1.0</v>
      </c>
      <c r="G76" s="945">
        <v>1.0</v>
      </c>
      <c r="H76" s="945">
        <v>1.0</v>
      </c>
      <c r="I76" s="925" t="s">
        <v>720</v>
      </c>
      <c r="J76" s="121"/>
      <c r="K76" s="121">
        <f t="shared" si="11"/>
        <v>3</v>
      </c>
      <c r="L76" s="152">
        <f t="shared" si="12"/>
        <v>0.3</v>
      </c>
      <c r="M76" s="481" t="str">
        <f t="shared" si="13"/>
        <v>Not specified</v>
      </c>
      <c r="N76" s="914" t="s">
        <v>698</v>
      </c>
    </row>
    <row r="77">
      <c r="A77" s="154" t="s">
        <v>772</v>
      </c>
      <c r="B77" s="154"/>
      <c r="C77" s="179" t="s">
        <v>721</v>
      </c>
      <c r="D77" s="267" t="s">
        <v>705</v>
      </c>
      <c r="E77" s="919">
        <v>0.1</v>
      </c>
      <c r="F77" s="935">
        <v>3.0</v>
      </c>
      <c r="G77" s="929">
        <v>2.0</v>
      </c>
      <c r="H77" s="930">
        <v>1.0</v>
      </c>
      <c r="I77" s="946" t="s">
        <v>763</v>
      </c>
      <c r="J77" s="121"/>
      <c r="K77" s="121">
        <f t="shared" si="11"/>
        <v>6</v>
      </c>
      <c r="L77" s="152">
        <f t="shared" si="12"/>
        <v>0.6</v>
      </c>
      <c r="M77" s="481">
        <f t="shared" si="13"/>
        <v>0.06</v>
      </c>
      <c r="N77" s="914" t="s">
        <v>698</v>
      </c>
    </row>
    <row r="78">
      <c r="A78" s="154" t="s">
        <v>772</v>
      </c>
      <c r="B78" s="154"/>
      <c r="C78" s="179" t="s">
        <v>725</v>
      </c>
      <c r="D78" s="121" t="s">
        <v>705</v>
      </c>
      <c r="E78" s="919">
        <v>0.0</v>
      </c>
      <c r="F78" s="929">
        <v>2.0</v>
      </c>
      <c r="G78" s="930">
        <v>1.0</v>
      </c>
      <c r="H78" s="929">
        <v>2.0</v>
      </c>
      <c r="I78" s="947" t="s">
        <v>785</v>
      </c>
      <c r="J78" s="121"/>
      <c r="K78" s="121">
        <f t="shared" si="11"/>
        <v>5</v>
      </c>
      <c r="L78" s="152">
        <f t="shared" si="12"/>
        <v>0.5</v>
      </c>
      <c r="M78" s="481">
        <f t="shared" si="13"/>
        <v>0</v>
      </c>
      <c r="N78" s="914" t="s">
        <v>717</v>
      </c>
    </row>
    <row r="79">
      <c r="A79" s="70"/>
      <c r="B79" s="70"/>
      <c r="C79" s="70"/>
      <c r="D79" s="70"/>
      <c r="E79" s="70"/>
      <c r="F79" s="70"/>
      <c r="G79" s="70"/>
      <c r="H79" s="70"/>
      <c r="I79" s="948"/>
      <c r="J79" s="70"/>
      <c r="K79" s="926" t="s">
        <v>786</v>
      </c>
      <c r="L79" s="927"/>
      <c r="M79" s="928">
        <f>1+sum(iferror(M68:M78,0))</f>
        <v>1.525</v>
      </c>
      <c r="N79" s="928"/>
    </row>
    <row r="80">
      <c r="A80" s="911"/>
      <c r="B80" s="911"/>
      <c r="C80" s="911" t="s">
        <v>787</v>
      </c>
      <c r="D80" s="70"/>
      <c r="E80" s="70"/>
      <c r="F80" s="70"/>
      <c r="G80" s="70"/>
      <c r="H80" s="70"/>
      <c r="I80" s="948"/>
      <c r="J80" s="70"/>
      <c r="K80" s="121"/>
      <c r="L80" s="121"/>
      <c r="M80" s="121"/>
      <c r="N80" s="121"/>
    </row>
    <row r="81">
      <c r="A81" s="112" t="s">
        <v>787</v>
      </c>
      <c r="B81" s="112"/>
      <c r="C81" s="112" t="s">
        <v>788</v>
      </c>
      <c r="D81" s="118" t="s">
        <v>696</v>
      </c>
      <c r="E81" s="915"/>
      <c r="F81" s="118">
        <v>3.0</v>
      </c>
      <c r="G81" s="118">
        <v>3.0</v>
      </c>
      <c r="H81" s="118">
        <v>3.0</v>
      </c>
      <c r="I81" s="910" t="s">
        <v>774</v>
      </c>
      <c r="J81" s="70"/>
      <c r="K81" s="121">
        <f t="shared" ref="K81:K86" si="14">sum(F81:H81)</f>
        <v>9</v>
      </c>
      <c r="L81" s="152">
        <f t="shared" ref="L81:L86" si="15">index($L$3:$L$11,MATCH(K81,$K$3:$K$11,0))</f>
        <v>0.9</v>
      </c>
      <c r="M81" s="481">
        <f t="shared" ref="M81:M86" si="16">iferror(if(D81="Excluded",L81*E81,0),"Not specified")</f>
        <v>0</v>
      </c>
      <c r="N81" s="914" t="s">
        <v>698</v>
      </c>
    </row>
    <row r="82">
      <c r="A82" s="112" t="s">
        <v>787</v>
      </c>
      <c r="B82" s="112"/>
      <c r="C82" s="112" t="s">
        <v>713</v>
      </c>
      <c r="D82" s="118" t="s">
        <v>696</v>
      </c>
      <c r="E82" s="915"/>
      <c r="F82" s="118">
        <v>2.0</v>
      </c>
      <c r="G82" s="118">
        <v>2.0</v>
      </c>
      <c r="H82" s="118">
        <v>1.0</v>
      </c>
      <c r="I82" s="910" t="s">
        <v>789</v>
      </c>
      <c r="J82" s="70"/>
      <c r="K82" s="121">
        <f t="shared" si="14"/>
        <v>5</v>
      </c>
      <c r="L82" s="152">
        <f t="shared" si="15"/>
        <v>0.5</v>
      </c>
      <c r="M82" s="481">
        <f t="shared" si="16"/>
        <v>0</v>
      </c>
      <c r="N82" s="914" t="s">
        <v>698</v>
      </c>
    </row>
    <row r="83">
      <c r="A83" s="112" t="s">
        <v>787</v>
      </c>
      <c r="B83" s="112"/>
      <c r="C83" s="118" t="s">
        <v>790</v>
      </c>
      <c r="D83" s="118" t="s">
        <v>705</v>
      </c>
      <c r="E83" s="915">
        <v>-0.1</v>
      </c>
      <c r="F83" s="118">
        <v>3.0</v>
      </c>
      <c r="G83" s="118">
        <v>2.0</v>
      </c>
      <c r="H83" s="118">
        <v>2.0</v>
      </c>
      <c r="I83" s="910" t="s">
        <v>791</v>
      </c>
      <c r="J83" s="70"/>
      <c r="K83" s="121">
        <f t="shared" si="14"/>
        <v>7</v>
      </c>
      <c r="L83" s="152">
        <f t="shared" si="15"/>
        <v>0.7</v>
      </c>
      <c r="M83" s="481">
        <f t="shared" si="16"/>
        <v>-0.07</v>
      </c>
      <c r="N83" s="914" t="s">
        <v>698</v>
      </c>
    </row>
    <row r="84">
      <c r="A84" s="112" t="s">
        <v>787</v>
      </c>
      <c r="B84" s="112"/>
      <c r="C84" s="118" t="s">
        <v>701</v>
      </c>
      <c r="D84" s="118" t="s">
        <v>705</v>
      </c>
      <c r="E84" s="915">
        <v>0.1</v>
      </c>
      <c r="F84" s="118">
        <v>1.0</v>
      </c>
      <c r="G84" s="118">
        <v>2.0</v>
      </c>
      <c r="H84" s="118">
        <v>2.0</v>
      </c>
      <c r="I84" s="910" t="s">
        <v>792</v>
      </c>
      <c r="J84" s="70"/>
      <c r="K84" s="121">
        <f t="shared" si="14"/>
        <v>5</v>
      </c>
      <c r="L84" s="152">
        <f t="shared" si="15"/>
        <v>0.5</v>
      </c>
      <c r="M84" s="481">
        <f t="shared" si="16"/>
        <v>0.05</v>
      </c>
      <c r="N84" s="914" t="s">
        <v>698</v>
      </c>
    </row>
    <row r="85">
      <c r="A85" s="112" t="s">
        <v>787</v>
      </c>
      <c r="B85" s="112"/>
      <c r="C85" s="118" t="s">
        <v>793</v>
      </c>
      <c r="D85" s="118" t="s">
        <v>705</v>
      </c>
      <c r="E85" s="915">
        <v>0.1</v>
      </c>
      <c r="F85" s="118">
        <v>1.0</v>
      </c>
      <c r="G85" s="118">
        <v>2.0</v>
      </c>
      <c r="H85" s="118">
        <v>1.0</v>
      </c>
      <c r="I85" s="910" t="s">
        <v>794</v>
      </c>
      <c r="J85" s="70"/>
      <c r="K85" s="121">
        <f t="shared" si="14"/>
        <v>4</v>
      </c>
      <c r="L85" s="152">
        <f t="shared" si="15"/>
        <v>0.4</v>
      </c>
      <c r="M85" s="481">
        <f t="shared" si="16"/>
        <v>0.04</v>
      </c>
      <c r="N85" s="914" t="s">
        <v>698</v>
      </c>
    </row>
    <row r="86">
      <c r="A86" s="112" t="s">
        <v>787</v>
      </c>
      <c r="B86" s="112"/>
      <c r="C86" s="118" t="s">
        <v>795</v>
      </c>
      <c r="D86" s="118" t="s">
        <v>705</v>
      </c>
      <c r="E86" s="915">
        <v>0.1</v>
      </c>
      <c r="F86" s="118">
        <v>1.0</v>
      </c>
      <c r="G86" s="118">
        <v>2.0</v>
      </c>
      <c r="H86" s="118">
        <v>1.0</v>
      </c>
      <c r="I86" s="910" t="s">
        <v>792</v>
      </c>
      <c r="J86" s="70"/>
      <c r="K86" s="121">
        <f t="shared" si="14"/>
        <v>4</v>
      </c>
      <c r="L86" s="152">
        <f t="shared" si="15"/>
        <v>0.4</v>
      </c>
      <c r="M86" s="481">
        <f t="shared" si="16"/>
        <v>0.04</v>
      </c>
      <c r="N86" s="914" t="s">
        <v>698</v>
      </c>
    </row>
    <row r="87">
      <c r="A87" s="70"/>
      <c r="B87" s="70"/>
      <c r="C87" s="70"/>
      <c r="D87" s="70"/>
      <c r="E87" s="70"/>
      <c r="F87" s="70"/>
      <c r="G87" s="70"/>
      <c r="H87" s="70"/>
      <c r="I87" s="948"/>
      <c r="J87" s="70"/>
      <c r="K87" s="926" t="s">
        <v>796</v>
      </c>
      <c r="L87" s="927"/>
      <c r="M87" s="928">
        <f>1+sum(iferror(M81:M86,0))</f>
        <v>1.06</v>
      </c>
      <c r="N87" s="928"/>
    </row>
    <row r="88">
      <c r="A88" s="911"/>
      <c r="B88" s="911"/>
      <c r="C88" s="911" t="s">
        <v>797</v>
      </c>
      <c r="D88" s="70"/>
      <c r="E88" s="70"/>
      <c r="F88" s="70"/>
      <c r="G88" s="70"/>
      <c r="H88" s="70"/>
      <c r="I88" s="948"/>
      <c r="J88" s="70"/>
    </row>
    <row r="89">
      <c r="A89" s="118"/>
      <c r="B89" s="118"/>
      <c r="C89" s="118" t="s">
        <v>798</v>
      </c>
      <c r="D89" s="118" t="s">
        <v>696</v>
      </c>
      <c r="E89" s="118"/>
      <c r="F89" s="118">
        <v>1.0</v>
      </c>
      <c r="G89" s="118">
        <v>2.0</v>
      </c>
      <c r="H89" s="118">
        <v>3.0</v>
      </c>
      <c r="I89" s="910" t="s">
        <v>799</v>
      </c>
      <c r="J89" s="70"/>
    </row>
    <row r="90">
      <c r="A90" s="118"/>
      <c r="B90" s="118"/>
      <c r="C90" s="118" t="s">
        <v>800</v>
      </c>
      <c r="D90" s="118" t="s">
        <v>705</v>
      </c>
      <c r="E90" s="118" t="s">
        <v>719</v>
      </c>
      <c r="F90" s="118">
        <v>0.0</v>
      </c>
      <c r="G90" s="118">
        <v>0.0</v>
      </c>
      <c r="H90" s="118">
        <v>1.0</v>
      </c>
      <c r="I90" s="910" t="s">
        <v>801</v>
      </c>
      <c r="J90" s="70"/>
    </row>
    <row r="91">
      <c r="A91" s="118"/>
      <c r="B91" s="118"/>
      <c r="C91" s="118" t="s">
        <v>802</v>
      </c>
      <c r="D91" s="118" t="s">
        <v>705</v>
      </c>
      <c r="E91" s="118" t="s">
        <v>719</v>
      </c>
      <c r="F91" s="118">
        <v>0.0</v>
      </c>
      <c r="G91" s="118">
        <v>0.0</v>
      </c>
      <c r="H91" s="118">
        <v>1.0</v>
      </c>
      <c r="I91" s="910" t="s">
        <v>801</v>
      </c>
      <c r="J91" s="70"/>
    </row>
    <row r="92">
      <c r="A92" s="118"/>
      <c r="B92" s="118"/>
      <c r="C92" s="118" t="s">
        <v>803</v>
      </c>
      <c r="D92" s="118" t="s">
        <v>705</v>
      </c>
      <c r="E92" s="118" t="s">
        <v>719</v>
      </c>
      <c r="F92" s="118">
        <v>1.0</v>
      </c>
      <c r="G92" s="118">
        <v>0.0</v>
      </c>
      <c r="H92" s="118">
        <v>1.0</v>
      </c>
      <c r="I92" s="910" t="s">
        <v>804</v>
      </c>
      <c r="J92" s="70"/>
    </row>
    <row r="93">
      <c r="A93" s="121"/>
      <c r="B93" s="121"/>
      <c r="C93" s="121" t="s">
        <v>805</v>
      </c>
      <c r="D93" s="121" t="s">
        <v>705</v>
      </c>
      <c r="E93" s="121" t="s">
        <v>719</v>
      </c>
      <c r="F93" s="930">
        <v>1.0</v>
      </c>
      <c r="G93" s="929">
        <v>2.0</v>
      </c>
      <c r="H93" s="930">
        <v>1.0</v>
      </c>
      <c r="I93" s="922" t="s">
        <v>806</v>
      </c>
      <c r="J93" s="70"/>
    </row>
    <row r="94">
      <c r="A94" s="70"/>
      <c r="B94" s="70"/>
      <c r="C94" s="70"/>
      <c r="D94" s="70"/>
      <c r="E94" s="70"/>
      <c r="F94" s="70"/>
      <c r="G94" s="70"/>
      <c r="H94" s="70"/>
      <c r="I94" s="948"/>
      <c r="J94" s="70"/>
    </row>
    <row r="95">
      <c r="A95" s="70"/>
      <c r="B95" s="70"/>
      <c r="C95" s="70"/>
      <c r="D95" s="70"/>
      <c r="E95" s="70"/>
      <c r="F95" s="70"/>
      <c r="G95" s="70"/>
      <c r="H95" s="70"/>
      <c r="I95" s="948"/>
      <c r="J95" s="70"/>
      <c r="K95" s="121"/>
      <c r="L95" s="121"/>
      <c r="M95" s="121"/>
      <c r="N95" s="121"/>
    </row>
    <row r="96">
      <c r="A96" s="70"/>
      <c r="B96" s="70"/>
      <c r="C96" s="70"/>
      <c r="D96" s="70"/>
      <c r="E96" s="70"/>
      <c r="F96" s="70"/>
      <c r="G96" s="70"/>
      <c r="H96" s="70"/>
      <c r="I96" s="948"/>
      <c r="J96" s="70"/>
      <c r="K96" s="70"/>
      <c r="L96" s="70"/>
      <c r="M96" s="70"/>
      <c r="N96" s="70"/>
    </row>
    <row r="97">
      <c r="A97" s="70"/>
      <c r="B97" s="70"/>
      <c r="C97" s="70"/>
      <c r="D97" s="70"/>
      <c r="E97" s="70"/>
      <c r="F97" s="70"/>
      <c r="G97" s="70"/>
      <c r="H97" s="70"/>
      <c r="I97" s="948"/>
      <c r="J97" s="70"/>
      <c r="K97" s="70"/>
      <c r="L97" s="70"/>
      <c r="M97" s="70"/>
      <c r="N97" s="70"/>
    </row>
    <row r="98">
      <c r="A98" s="70"/>
      <c r="B98" s="70"/>
      <c r="C98" s="70"/>
      <c r="D98" s="70"/>
      <c r="E98" s="70"/>
      <c r="F98" s="70"/>
      <c r="G98" s="70"/>
      <c r="H98" s="70"/>
      <c r="I98" s="948"/>
      <c r="J98" s="70"/>
      <c r="K98" s="70"/>
      <c r="L98" s="70"/>
      <c r="M98" s="70"/>
      <c r="N98" s="70"/>
    </row>
    <row r="99">
      <c r="A99" s="70"/>
      <c r="B99" s="70"/>
      <c r="C99" s="70"/>
      <c r="D99" s="70"/>
      <c r="E99" s="70"/>
      <c r="F99" s="70"/>
      <c r="G99" s="70"/>
      <c r="H99" s="70"/>
      <c r="I99" s="948"/>
      <c r="J99" s="70"/>
      <c r="K99" s="70"/>
      <c r="L99" s="70"/>
      <c r="M99" s="70"/>
      <c r="N99" s="70"/>
    </row>
    <row r="100">
      <c r="A100" s="70"/>
      <c r="B100" s="70"/>
      <c r="C100" s="70"/>
      <c r="D100" s="70"/>
      <c r="E100" s="70"/>
      <c r="F100" s="70"/>
      <c r="G100" s="70"/>
      <c r="H100" s="70"/>
      <c r="I100" s="948"/>
      <c r="J100" s="70"/>
      <c r="K100" s="70"/>
      <c r="L100" s="70"/>
      <c r="M100" s="70"/>
      <c r="N100" s="70"/>
    </row>
    <row r="101">
      <c r="A101" s="70"/>
      <c r="B101" s="70"/>
      <c r="C101" s="70"/>
      <c r="D101" s="70"/>
      <c r="E101" s="70"/>
      <c r="F101" s="70"/>
      <c r="G101" s="70"/>
      <c r="H101" s="70"/>
      <c r="I101" s="948"/>
      <c r="J101" s="70"/>
      <c r="K101" s="70"/>
      <c r="L101" s="70"/>
      <c r="M101" s="70"/>
      <c r="N101" s="70"/>
    </row>
    <row r="102">
      <c r="A102" s="70"/>
      <c r="B102" s="70"/>
      <c r="C102" s="70"/>
      <c r="D102" s="70"/>
      <c r="E102" s="70"/>
      <c r="F102" s="70"/>
      <c r="G102" s="70"/>
      <c r="H102" s="70"/>
      <c r="I102" s="948"/>
      <c r="J102" s="70"/>
      <c r="K102" s="70"/>
      <c r="L102" s="70"/>
      <c r="M102" s="70"/>
      <c r="N102" s="70"/>
    </row>
    <row r="103">
      <c r="A103" s="70"/>
      <c r="B103" s="70"/>
      <c r="C103" s="70"/>
      <c r="D103" s="70"/>
      <c r="E103" s="70"/>
      <c r="F103" s="70"/>
      <c r="G103" s="70"/>
      <c r="H103" s="70"/>
      <c r="I103" s="948"/>
      <c r="J103" s="70"/>
      <c r="K103" s="70"/>
      <c r="L103" s="70"/>
      <c r="M103" s="70"/>
      <c r="N103" s="70"/>
    </row>
    <row r="104">
      <c r="A104" s="70"/>
      <c r="B104" s="70"/>
      <c r="C104" s="70"/>
      <c r="D104" s="70"/>
      <c r="E104" s="70"/>
      <c r="F104" s="70"/>
      <c r="G104" s="70"/>
      <c r="H104" s="70"/>
      <c r="I104" s="948"/>
      <c r="J104" s="70"/>
      <c r="K104" s="70"/>
      <c r="L104" s="70"/>
      <c r="M104" s="70"/>
      <c r="N104" s="70"/>
    </row>
    <row r="105">
      <c r="A105" s="70"/>
      <c r="B105" s="70"/>
      <c r="C105" s="70"/>
      <c r="D105" s="70"/>
      <c r="E105" s="70"/>
      <c r="F105" s="70"/>
      <c r="G105" s="70"/>
      <c r="H105" s="70"/>
      <c r="I105" s="948"/>
      <c r="J105" s="70"/>
      <c r="K105" s="70"/>
      <c r="L105" s="70"/>
      <c r="M105" s="70"/>
      <c r="N105" s="70"/>
    </row>
    <row r="106">
      <c r="A106" s="70"/>
      <c r="B106" s="70"/>
      <c r="C106" s="70"/>
      <c r="D106" s="70"/>
      <c r="E106" s="70"/>
      <c r="F106" s="70"/>
      <c r="G106" s="70"/>
      <c r="H106" s="70"/>
      <c r="I106" s="948"/>
      <c r="J106" s="70"/>
      <c r="K106" s="70"/>
      <c r="L106" s="70"/>
      <c r="M106" s="70"/>
      <c r="N106" s="70"/>
    </row>
    <row r="107">
      <c r="A107" s="70"/>
      <c r="B107" s="70"/>
      <c r="C107" s="70"/>
      <c r="D107" s="70"/>
      <c r="E107" s="70"/>
      <c r="F107" s="70"/>
      <c r="G107" s="70"/>
      <c r="H107" s="70"/>
      <c r="I107" s="948"/>
      <c r="J107" s="70"/>
      <c r="K107" s="70"/>
      <c r="L107" s="70"/>
      <c r="M107" s="70"/>
      <c r="N107" s="70"/>
    </row>
    <row r="108">
      <c r="A108" s="70"/>
      <c r="B108" s="70"/>
      <c r="C108" s="70"/>
      <c r="D108" s="70"/>
      <c r="E108" s="70"/>
      <c r="F108" s="70"/>
      <c r="G108" s="70"/>
      <c r="H108" s="70"/>
      <c r="I108" s="948"/>
      <c r="J108" s="70"/>
      <c r="K108" s="70"/>
      <c r="L108" s="70"/>
      <c r="M108" s="70"/>
      <c r="N108" s="70"/>
    </row>
    <row r="109">
      <c r="A109" s="70"/>
      <c r="B109" s="70"/>
      <c r="C109" s="70"/>
      <c r="D109" s="70"/>
      <c r="E109" s="70"/>
      <c r="F109" s="70"/>
      <c r="G109" s="70"/>
      <c r="H109" s="70"/>
      <c r="I109" s="948"/>
      <c r="J109" s="70"/>
      <c r="K109" s="70"/>
      <c r="L109" s="70"/>
      <c r="M109" s="70"/>
      <c r="N109" s="70"/>
    </row>
    <row r="110">
      <c r="A110" s="70"/>
      <c r="B110" s="70"/>
      <c r="C110" s="70"/>
      <c r="D110" s="70"/>
      <c r="E110" s="70"/>
      <c r="F110" s="70"/>
      <c r="G110" s="70"/>
      <c r="H110" s="70"/>
      <c r="I110" s="948"/>
      <c r="J110" s="70"/>
      <c r="K110" s="70"/>
      <c r="L110" s="70"/>
      <c r="M110" s="70"/>
      <c r="N110" s="70"/>
    </row>
    <row r="111">
      <c r="A111" s="70"/>
      <c r="B111" s="70"/>
      <c r="C111" s="70"/>
      <c r="D111" s="70"/>
      <c r="E111" s="70"/>
      <c r="F111" s="70"/>
      <c r="G111" s="70"/>
      <c r="H111" s="70"/>
      <c r="I111" s="948"/>
      <c r="J111" s="70"/>
      <c r="K111" s="70"/>
      <c r="L111" s="70"/>
      <c r="M111" s="70"/>
      <c r="N111" s="70"/>
    </row>
    <row r="112">
      <c r="A112" s="70"/>
      <c r="B112" s="70"/>
      <c r="C112" s="70"/>
      <c r="D112" s="70"/>
      <c r="E112" s="70"/>
      <c r="F112" s="70"/>
      <c r="G112" s="70"/>
      <c r="H112" s="70"/>
      <c r="I112" s="948"/>
      <c r="J112" s="70"/>
      <c r="K112" s="70"/>
      <c r="L112" s="70"/>
      <c r="M112" s="70"/>
      <c r="N112" s="70"/>
    </row>
    <row r="113">
      <c r="A113" s="70"/>
      <c r="B113" s="70"/>
      <c r="C113" s="70"/>
      <c r="D113" s="70"/>
      <c r="E113" s="70"/>
      <c r="F113" s="70"/>
      <c r="G113" s="70"/>
      <c r="H113" s="70"/>
      <c r="I113" s="948"/>
      <c r="J113" s="70"/>
      <c r="K113" s="70"/>
      <c r="L113" s="70"/>
      <c r="M113" s="70"/>
      <c r="N113" s="70"/>
    </row>
    <row r="114">
      <c r="A114" s="70"/>
      <c r="B114" s="70"/>
      <c r="C114" s="70"/>
      <c r="D114" s="70"/>
      <c r="E114" s="70"/>
      <c r="F114" s="70"/>
      <c r="G114" s="70"/>
      <c r="H114" s="70"/>
      <c r="I114" s="948"/>
      <c r="J114" s="70"/>
      <c r="K114" s="70"/>
      <c r="L114" s="70"/>
      <c r="M114" s="70"/>
      <c r="N114" s="70"/>
    </row>
  </sheetData>
  <mergeCells count="1">
    <mergeCell ref="D13:D16"/>
  </mergeCells>
  <conditionalFormatting sqref="E19:E86 E89">
    <cfRule type="cellIs" dxfId="6" priority="1" operator="between">
      <formula>"14.90%"</formula>
      <formula>"-14.90%"</formula>
    </cfRule>
  </conditionalFormatting>
  <conditionalFormatting sqref="E19:E86 E89">
    <cfRule type="cellIs" dxfId="7" priority="2" operator="between">
      <formula>"15%"</formula>
      <formula>"25%"</formula>
    </cfRule>
  </conditionalFormatting>
  <conditionalFormatting sqref="E19:E86 E89">
    <cfRule type="cellIs" dxfId="8" priority="3" operator="between">
      <formula>"25%"</formula>
      <formula>"50%"</formula>
    </cfRule>
  </conditionalFormatting>
  <conditionalFormatting sqref="E19:E86 E89">
    <cfRule type="cellIs" dxfId="9" priority="4" operator="greaterThan">
      <formula>"50%"</formula>
    </cfRule>
  </conditionalFormatting>
  <conditionalFormatting sqref="F19:H86 F89:H92">
    <cfRule type="cellIs" dxfId="6" priority="5" operator="equal">
      <formula>0</formula>
    </cfRule>
  </conditionalFormatting>
  <conditionalFormatting sqref="F19:H86 F89:H92">
    <cfRule type="cellIs" dxfId="7" priority="6" operator="equal">
      <formula>1</formula>
    </cfRule>
  </conditionalFormatting>
  <conditionalFormatting sqref="F19:H86 F89:H92">
    <cfRule type="cellIs" dxfId="8" priority="7" operator="equal">
      <formula>2</formula>
    </cfRule>
  </conditionalFormatting>
  <conditionalFormatting sqref="F19:H86 F89:H92">
    <cfRule type="cellIs" dxfId="9" priority="8" operator="equal">
      <formula>3</formula>
    </cfRule>
  </conditionalFormatting>
  <conditionalFormatting sqref="F19:H86 F89:H92">
    <cfRule type="cellIs" dxfId="10" priority="9" operator="equal">
      <formula>"?"</formula>
    </cfRule>
  </conditionalFormatting>
  <conditionalFormatting sqref="E19:E86 E89">
    <cfRule type="cellIs" dxfId="7" priority="10" operator="between">
      <formula>"-15%"</formula>
      <formula>"-25%"</formula>
    </cfRule>
  </conditionalFormatting>
  <conditionalFormatting sqref="E19:E86 E89">
    <cfRule type="cellIs" dxfId="9" priority="11" operator="lessThan">
      <formula>"-50%"</formula>
    </cfRule>
  </conditionalFormatting>
  <conditionalFormatting sqref="E19:E86 E89">
    <cfRule type="cellIs" dxfId="8" priority="12" operator="between">
      <formula>"-25%"</formula>
      <formula>"-50%"</formula>
    </cfRule>
  </conditionalFormatting>
  <hyperlinks>
    <hyperlink r:id="rId2" location="Coveragesurveys" ref="I65"/>
  </hyperlinks>
  <drawing r:id="rId3"/>
  <legacy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5.14"/>
  </cols>
  <sheetData>
    <row r="1">
      <c r="A1" s="949" t="s">
        <v>807</v>
      </c>
      <c r="B1" s="950"/>
      <c r="C1" s="951"/>
      <c r="D1" s="951"/>
      <c r="E1" s="951"/>
      <c r="F1" s="951"/>
      <c r="G1" s="951"/>
      <c r="H1" s="951"/>
      <c r="I1" s="951"/>
      <c r="J1" s="951"/>
      <c r="K1" s="951"/>
      <c r="L1" s="951"/>
      <c r="M1" s="951"/>
      <c r="N1" s="951"/>
      <c r="O1" s="951"/>
      <c r="P1" s="951"/>
      <c r="Q1" s="951"/>
      <c r="R1" s="951"/>
      <c r="S1" s="951"/>
      <c r="T1" s="951"/>
      <c r="U1" s="951"/>
      <c r="V1" s="951"/>
      <c r="W1" s="951"/>
      <c r="X1" s="951"/>
      <c r="Y1" s="951"/>
      <c r="Z1" s="951"/>
    </row>
    <row r="2">
      <c r="A2" s="952"/>
      <c r="B2" s="951"/>
      <c r="C2" s="951"/>
      <c r="D2" s="951"/>
      <c r="E2" s="951"/>
      <c r="F2" s="951"/>
      <c r="G2" s="951"/>
      <c r="H2" s="951"/>
      <c r="I2" s="951"/>
      <c r="J2" s="951"/>
      <c r="K2" s="951"/>
      <c r="L2" s="951"/>
      <c r="M2" s="951"/>
      <c r="N2" s="951"/>
      <c r="O2" s="951"/>
      <c r="P2" s="951"/>
      <c r="Q2" s="951"/>
      <c r="R2" s="951"/>
      <c r="S2" s="951"/>
      <c r="T2" s="951"/>
      <c r="U2" s="951"/>
      <c r="V2" s="951"/>
      <c r="W2" s="951"/>
      <c r="X2" s="951"/>
      <c r="Y2" s="951"/>
      <c r="Z2" s="951"/>
    </row>
    <row r="3">
      <c r="A3" s="953" t="s">
        <v>808</v>
      </c>
      <c r="B3" s="954"/>
      <c r="C3" s="954"/>
      <c r="D3" s="954"/>
      <c r="E3" s="954"/>
      <c r="F3" s="954"/>
      <c r="G3" s="954"/>
      <c r="H3" s="954"/>
      <c r="I3" s="954"/>
      <c r="J3" s="954"/>
      <c r="K3" s="954"/>
      <c r="L3" s="954"/>
      <c r="M3" s="954"/>
      <c r="N3" s="954"/>
      <c r="O3" s="954"/>
      <c r="P3" s="954"/>
      <c r="Q3" s="954"/>
      <c r="R3" s="954"/>
      <c r="S3" s="954"/>
      <c r="T3" s="954"/>
      <c r="U3" s="954"/>
      <c r="V3" s="954"/>
      <c r="W3" s="954"/>
      <c r="X3" s="954"/>
      <c r="Y3" s="954"/>
      <c r="Z3" s="954"/>
    </row>
    <row r="4">
      <c r="A4" s="79"/>
      <c r="B4" s="955" t="s">
        <v>809</v>
      </c>
      <c r="F4" s="79"/>
      <c r="G4" s="79"/>
      <c r="H4" s="79"/>
      <c r="I4" s="79"/>
      <c r="J4" s="79"/>
      <c r="K4" s="79"/>
      <c r="L4" s="79"/>
      <c r="M4" s="79"/>
      <c r="N4" s="79"/>
      <c r="O4" s="79"/>
      <c r="P4" s="79"/>
      <c r="Q4" s="79"/>
      <c r="R4" s="79"/>
      <c r="S4" s="79"/>
      <c r="T4" s="79"/>
      <c r="U4" s="79"/>
      <c r="V4" s="79"/>
      <c r="W4" s="79"/>
      <c r="X4" s="79"/>
      <c r="Y4" s="79"/>
      <c r="Z4" s="79"/>
    </row>
    <row r="5">
      <c r="A5" s="79"/>
      <c r="B5" s="956" t="s">
        <v>810</v>
      </c>
      <c r="C5" s="956">
        <v>2022.0</v>
      </c>
      <c r="D5" s="956">
        <v>2023.0</v>
      </c>
      <c r="E5" s="956" t="s">
        <v>63</v>
      </c>
      <c r="F5" s="79"/>
      <c r="G5" s="79"/>
      <c r="H5" s="79"/>
      <c r="I5" s="79"/>
      <c r="J5" s="79"/>
      <c r="K5" s="79"/>
      <c r="L5" s="79"/>
      <c r="M5" s="79"/>
      <c r="N5" s="79"/>
      <c r="O5" s="79"/>
      <c r="P5" s="79"/>
      <c r="Q5" s="79"/>
      <c r="R5" s="79"/>
      <c r="S5" s="79"/>
      <c r="T5" s="79"/>
      <c r="U5" s="79"/>
      <c r="V5" s="79"/>
      <c r="W5" s="79"/>
      <c r="X5" s="79"/>
      <c r="Y5" s="79"/>
      <c r="Z5" s="79"/>
    </row>
    <row r="6">
      <c r="A6" s="957" t="s">
        <v>811</v>
      </c>
      <c r="B6" s="958">
        <f t="shared" ref="B6:E6" si="1">SUM(B12:B1013)</f>
        <v>0</v>
      </c>
      <c r="C6" s="958">
        <f t="shared" si="1"/>
        <v>0</v>
      </c>
      <c r="D6" s="958">
        <f t="shared" si="1"/>
        <v>37.80389109</v>
      </c>
      <c r="E6" s="958">
        <f t="shared" si="1"/>
        <v>37.80389109</v>
      </c>
      <c r="F6" s="79"/>
      <c r="G6" s="79"/>
      <c r="H6" s="79"/>
      <c r="I6" s="79"/>
      <c r="J6" s="79"/>
      <c r="K6" s="79"/>
      <c r="L6" s="79"/>
      <c r="M6" s="79"/>
      <c r="N6" s="79"/>
      <c r="O6" s="79"/>
      <c r="P6" s="79"/>
      <c r="Q6" s="79"/>
      <c r="R6" s="79"/>
      <c r="S6" s="79"/>
      <c r="T6" s="79"/>
      <c r="U6" s="79"/>
      <c r="V6" s="79"/>
      <c r="W6" s="79"/>
      <c r="X6" s="79"/>
      <c r="Y6" s="79"/>
      <c r="Z6" s="79"/>
    </row>
    <row r="7">
      <c r="A7" s="79"/>
      <c r="B7" s="956"/>
      <c r="C7" s="956"/>
      <c r="D7" s="956"/>
      <c r="E7" s="956"/>
      <c r="F7" s="79"/>
      <c r="G7" s="959"/>
      <c r="H7" s="79"/>
      <c r="I7" s="79"/>
      <c r="J7" s="79"/>
      <c r="K7" s="79"/>
      <c r="L7" s="79"/>
      <c r="M7" s="79"/>
      <c r="N7" s="79"/>
      <c r="O7" s="79"/>
      <c r="P7" s="79"/>
      <c r="Q7" s="79"/>
      <c r="R7" s="79"/>
      <c r="S7" s="79"/>
      <c r="T7" s="79"/>
      <c r="U7" s="79"/>
      <c r="V7" s="79"/>
      <c r="W7" s="79"/>
      <c r="X7" s="79"/>
      <c r="Y7" s="79"/>
      <c r="Z7" s="79"/>
    </row>
    <row r="8">
      <c r="A8" s="953" t="s">
        <v>812</v>
      </c>
      <c r="B8" s="954"/>
      <c r="C8" s="954"/>
      <c r="D8" s="954"/>
      <c r="E8" s="954"/>
      <c r="F8" s="954"/>
      <c r="G8" s="954"/>
      <c r="H8" s="954"/>
      <c r="I8" s="954"/>
      <c r="J8" s="954"/>
      <c r="K8" s="954"/>
      <c r="L8" s="954"/>
      <c r="M8" s="954"/>
      <c r="N8" s="954"/>
      <c r="O8" s="954"/>
      <c r="P8" s="954"/>
      <c r="Q8" s="954"/>
      <c r="R8" s="954"/>
      <c r="S8" s="954"/>
      <c r="T8" s="954"/>
      <c r="U8" s="954"/>
      <c r="V8" s="954"/>
      <c r="W8" s="954"/>
      <c r="X8" s="954"/>
      <c r="Y8" s="954"/>
      <c r="Z8" s="954"/>
    </row>
    <row r="9">
      <c r="A9" s="960" t="s">
        <v>813</v>
      </c>
      <c r="F9" s="79"/>
      <c r="G9" s="79"/>
      <c r="H9" s="79"/>
      <c r="I9" s="79"/>
      <c r="J9" s="79"/>
      <c r="K9" s="79"/>
      <c r="L9" s="79"/>
      <c r="M9" s="79"/>
      <c r="N9" s="79"/>
      <c r="O9" s="79"/>
      <c r="P9" s="79"/>
      <c r="Q9" s="79"/>
      <c r="R9" s="79"/>
      <c r="S9" s="79"/>
      <c r="T9" s="79"/>
      <c r="U9" s="79"/>
      <c r="V9" s="79"/>
      <c r="W9" s="79"/>
      <c r="X9" s="79"/>
      <c r="Y9" s="79"/>
      <c r="Z9" s="79"/>
    </row>
    <row r="10">
      <c r="A10" s="79"/>
      <c r="B10" s="955" t="s">
        <v>809</v>
      </c>
      <c r="F10" s="79"/>
      <c r="G10" s="79"/>
      <c r="H10" s="79"/>
      <c r="I10" s="79"/>
      <c r="J10" s="79"/>
      <c r="K10" s="79"/>
      <c r="L10" s="79"/>
      <c r="M10" s="79"/>
      <c r="N10" s="79"/>
      <c r="O10" s="79"/>
      <c r="P10" s="79"/>
      <c r="Q10" s="79"/>
      <c r="R10" s="79"/>
      <c r="S10" s="79"/>
      <c r="T10" s="79"/>
      <c r="U10" s="79"/>
      <c r="V10" s="79"/>
      <c r="W10" s="79"/>
      <c r="X10" s="79"/>
      <c r="Y10" s="79"/>
      <c r="Z10" s="79"/>
    </row>
    <row r="11">
      <c r="A11" s="957" t="s">
        <v>814</v>
      </c>
      <c r="B11" s="956">
        <v>2021.0</v>
      </c>
      <c r="C11" s="956">
        <v>2022.0</v>
      </c>
      <c r="D11" s="956">
        <v>2023.0</v>
      </c>
      <c r="E11" s="956" t="s">
        <v>63</v>
      </c>
      <c r="F11" s="79"/>
      <c r="G11" s="961" t="s">
        <v>815</v>
      </c>
      <c r="H11" s="955" t="s">
        <v>65</v>
      </c>
      <c r="I11" s="79"/>
      <c r="J11" s="79"/>
      <c r="K11" s="79"/>
      <c r="L11" s="79"/>
      <c r="M11" s="79"/>
      <c r="N11" s="79"/>
      <c r="O11" s="79"/>
      <c r="P11" s="79"/>
      <c r="Q11" s="79"/>
      <c r="R11" s="79"/>
      <c r="S11" s="79"/>
      <c r="T11" s="79"/>
      <c r="U11" s="79"/>
      <c r="V11" s="79"/>
      <c r="W11" s="79"/>
      <c r="X11" s="79"/>
      <c r="Y11" s="79"/>
      <c r="Z11" s="79"/>
    </row>
    <row r="12">
      <c r="A12" s="962" t="s">
        <v>816</v>
      </c>
      <c r="B12" s="963">
        <v>0.0</v>
      </c>
      <c r="C12" s="963">
        <v>0.0</v>
      </c>
      <c r="D12" s="963">
        <v>37.80389109122829</v>
      </c>
      <c r="E12" s="963">
        <f>SUM(B12:D12)</f>
        <v>37.80389109</v>
      </c>
      <c r="F12" s="79"/>
      <c r="G12" s="964">
        <v>1.0</v>
      </c>
      <c r="H12" s="964" t="s">
        <v>817</v>
      </c>
      <c r="I12" s="79"/>
      <c r="J12" s="79"/>
      <c r="K12" s="79"/>
      <c r="L12" s="79"/>
      <c r="M12" s="79"/>
      <c r="N12" s="79"/>
      <c r="O12" s="79"/>
      <c r="P12" s="79"/>
      <c r="Q12" s="79"/>
      <c r="R12" s="79"/>
      <c r="S12" s="79"/>
      <c r="T12" s="79"/>
      <c r="U12" s="79"/>
      <c r="V12" s="79"/>
      <c r="W12" s="79"/>
      <c r="X12" s="79"/>
      <c r="Y12" s="79"/>
      <c r="Z12" s="79"/>
    </row>
    <row r="13">
      <c r="A13" s="965"/>
      <c r="B13" s="965"/>
      <c r="C13" s="965"/>
      <c r="D13" s="965"/>
      <c r="E13" s="965"/>
      <c r="F13" s="965"/>
      <c r="G13" s="965"/>
      <c r="H13" s="965"/>
      <c r="I13" s="965"/>
      <c r="J13" s="965"/>
      <c r="K13" s="965"/>
      <c r="L13" s="965"/>
      <c r="M13" s="965"/>
      <c r="N13" s="965"/>
      <c r="O13" s="965"/>
      <c r="P13" s="965"/>
      <c r="Q13" s="965"/>
      <c r="R13" s="965"/>
      <c r="S13" s="965"/>
      <c r="T13" s="965"/>
      <c r="U13" s="965"/>
      <c r="V13" s="965"/>
      <c r="W13" s="965"/>
      <c r="X13" s="965"/>
      <c r="Y13" s="965"/>
      <c r="Z13" s="965"/>
    </row>
    <row r="14">
      <c r="A14" s="965"/>
      <c r="B14" s="965"/>
      <c r="C14" s="965"/>
      <c r="D14" s="965"/>
      <c r="E14" s="965"/>
      <c r="F14" s="965"/>
      <c r="G14" s="965"/>
      <c r="H14" s="965"/>
      <c r="I14" s="965"/>
      <c r="J14" s="965"/>
      <c r="K14" s="965"/>
      <c r="L14" s="965"/>
      <c r="M14" s="965"/>
      <c r="N14" s="965"/>
      <c r="O14" s="965"/>
      <c r="P14" s="965"/>
      <c r="Q14" s="965"/>
      <c r="R14" s="965"/>
      <c r="S14" s="965"/>
      <c r="T14" s="965"/>
      <c r="U14" s="965"/>
      <c r="V14" s="965"/>
      <c r="W14" s="965"/>
      <c r="X14" s="965"/>
      <c r="Y14" s="965"/>
      <c r="Z14" s="965"/>
    </row>
    <row r="15">
      <c r="A15" s="965"/>
      <c r="B15" s="965"/>
      <c r="C15" s="965"/>
      <c r="D15" s="965"/>
      <c r="E15" s="965"/>
      <c r="F15" s="965"/>
      <c r="G15" s="965"/>
      <c r="H15" s="965"/>
      <c r="I15" s="965"/>
      <c r="J15" s="965"/>
      <c r="K15" s="965"/>
      <c r="L15" s="965"/>
      <c r="M15" s="965"/>
      <c r="N15" s="965"/>
      <c r="O15" s="965"/>
      <c r="P15" s="965"/>
      <c r="Q15" s="965"/>
      <c r="R15" s="965"/>
      <c r="S15" s="965"/>
      <c r="T15" s="965"/>
      <c r="U15" s="965"/>
      <c r="V15" s="965"/>
      <c r="W15" s="965"/>
      <c r="X15" s="965"/>
      <c r="Y15" s="965"/>
      <c r="Z15" s="965"/>
    </row>
    <row r="16">
      <c r="A16" s="966" t="s">
        <v>818</v>
      </c>
      <c r="B16" s="965"/>
      <c r="C16" s="965"/>
      <c r="D16" s="965"/>
      <c r="E16" s="965"/>
      <c r="F16" s="965"/>
      <c r="G16" s="965"/>
      <c r="H16" s="965"/>
      <c r="I16" s="965"/>
      <c r="J16" s="965"/>
      <c r="K16" s="965"/>
      <c r="L16" s="965"/>
      <c r="M16" s="965"/>
      <c r="N16" s="965"/>
      <c r="O16" s="965"/>
      <c r="P16" s="965"/>
      <c r="Q16" s="965"/>
      <c r="R16" s="965"/>
      <c r="S16" s="965"/>
      <c r="T16" s="965"/>
      <c r="U16" s="965"/>
      <c r="V16" s="965"/>
      <c r="W16" s="965"/>
      <c r="X16" s="965"/>
      <c r="Y16" s="965"/>
      <c r="Z16" s="965"/>
    </row>
    <row r="17">
      <c r="A17" s="967" t="s">
        <v>819</v>
      </c>
      <c r="B17" s="965"/>
      <c r="C17" s="965"/>
      <c r="D17" s="965"/>
      <c r="E17" s="965"/>
      <c r="F17" s="965"/>
      <c r="G17" s="965"/>
      <c r="H17" s="965"/>
      <c r="I17" s="965"/>
      <c r="J17" s="965"/>
      <c r="K17" s="965"/>
      <c r="L17" s="965"/>
      <c r="M17" s="965"/>
      <c r="N17" s="965"/>
      <c r="O17" s="965"/>
      <c r="P17" s="965"/>
      <c r="Q17" s="965"/>
      <c r="R17" s="965"/>
      <c r="S17" s="965"/>
      <c r="T17" s="965"/>
      <c r="U17" s="965"/>
      <c r="V17" s="965"/>
      <c r="W17" s="965"/>
      <c r="X17" s="965"/>
      <c r="Y17" s="965"/>
      <c r="Z17" s="965"/>
    </row>
    <row r="18">
      <c r="A18" s="965"/>
      <c r="B18" s="965"/>
      <c r="C18" s="965"/>
      <c r="D18" s="965"/>
      <c r="E18" s="965"/>
      <c r="F18" s="965"/>
      <c r="G18" s="965"/>
      <c r="H18" s="965"/>
      <c r="I18" s="965"/>
      <c r="J18" s="965"/>
      <c r="K18" s="965"/>
      <c r="L18" s="965"/>
      <c r="M18" s="965"/>
      <c r="N18" s="965"/>
      <c r="O18" s="965"/>
      <c r="P18" s="965"/>
      <c r="Q18" s="965"/>
      <c r="R18" s="965"/>
      <c r="S18" s="965"/>
      <c r="T18" s="965"/>
      <c r="U18" s="965"/>
      <c r="V18" s="965"/>
      <c r="W18" s="965"/>
      <c r="X18" s="965"/>
      <c r="Y18" s="965"/>
      <c r="Z18" s="965"/>
    </row>
    <row r="19">
      <c r="A19" s="965"/>
      <c r="B19" s="965"/>
      <c r="C19" s="965"/>
      <c r="D19" s="965"/>
      <c r="E19" s="965"/>
      <c r="F19" s="965"/>
      <c r="G19" s="965"/>
      <c r="H19" s="965"/>
      <c r="I19" s="965"/>
      <c r="J19" s="965"/>
      <c r="K19" s="965"/>
      <c r="L19" s="965"/>
      <c r="M19" s="965"/>
      <c r="N19" s="965"/>
      <c r="O19" s="965"/>
      <c r="P19" s="965"/>
      <c r="Q19" s="965"/>
      <c r="R19" s="965"/>
      <c r="S19" s="965"/>
      <c r="T19" s="965"/>
      <c r="U19" s="965"/>
      <c r="V19" s="965"/>
      <c r="W19" s="965"/>
      <c r="X19" s="965"/>
      <c r="Y19" s="965"/>
      <c r="Z19" s="965"/>
    </row>
    <row r="20">
      <c r="A20" s="965"/>
      <c r="B20" s="965"/>
      <c r="C20" s="965"/>
      <c r="D20" s="965"/>
      <c r="E20" s="965"/>
      <c r="F20" s="965"/>
      <c r="G20" s="965"/>
      <c r="H20" s="965"/>
      <c r="I20" s="965"/>
      <c r="J20" s="965"/>
      <c r="K20" s="965"/>
      <c r="L20" s="965"/>
      <c r="M20" s="965"/>
      <c r="N20" s="965"/>
      <c r="O20" s="965"/>
      <c r="P20" s="965"/>
      <c r="Q20" s="965"/>
      <c r="R20" s="965"/>
      <c r="S20" s="965"/>
      <c r="T20" s="965"/>
      <c r="U20" s="965"/>
      <c r="V20" s="965"/>
      <c r="W20" s="965"/>
      <c r="X20" s="965"/>
      <c r="Y20" s="965"/>
      <c r="Z20" s="965"/>
    </row>
    <row r="21">
      <c r="A21" s="965"/>
      <c r="B21" s="965"/>
      <c r="C21" s="965"/>
      <c r="D21" s="965"/>
      <c r="E21" s="965"/>
      <c r="F21" s="965"/>
      <c r="G21" s="965"/>
      <c r="H21" s="965"/>
      <c r="I21" s="965"/>
      <c r="J21" s="965"/>
      <c r="K21" s="965"/>
      <c r="L21" s="965"/>
      <c r="M21" s="965"/>
      <c r="N21" s="965"/>
      <c r="O21" s="965"/>
      <c r="P21" s="965"/>
      <c r="Q21" s="965"/>
      <c r="R21" s="965"/>
      <c r="S21" s="965"/>
      <c r="T21" s="965"/>
      <c r="U21" s="965"/>
      <c r="V21" s="965"/>
      <c r="W21" s="965"/>
      <c r="X21" s="965"/>
      <c r="Y21" s="965"/>
      <c r="Z21" s="965"/>
    </row>
    <row r="22">
      <c r="A22" s="965"/>
      <c r="B22" s="965"/>
      <c r="C22" s="965"/>
      <c r="D22" s="965"/>
      <c r="E22" s="965"/>
      <c r="F22" s="965"/>
      <c r="G22" s="965"/>
      <c r="H22" s="965"/>
      <c r="I22" s="965"/>
      <c r="J22" s="965"/>
      <c r="K22" s="965"/>
      <c r="L22" s="965"/>
      <c r="M22" s="965"/>
      <c r="N22" s="965"/>
      <c r="O22" s="965"/>
      <c r="P22" s="965"/>
      <c r="Q22" s="965"/>
      <c r="R22" s="965"/>
      <c r="S22" s="965"/>
      <c r="T22" s="965"/>
      <c r="U22" s="965"/>
      <c r="V22" s="965"/>
      <c r="W22" s="965"/>
      <c r="X22" s="965"/>
      <c r="Y22" s="965"/>
      <c r="Z22" s="965"/>
    </row>
    <row r="23">
      <c r="A23" s="965"/>
      <c r="B23" s="965"/>
      <c r="C23" s="965"/>
      <c r="D23" s="965"/>
      <c r="E23" s="965"/>
      <c r="F23" s="965"/>
      <c r="G23" s="965"/>
      <c r="H23" s="965"/>
      <c r="I23" s="965"/>
      <c r="J23" s="965"/>
      <c r="K23" s="965"/>
      <c r="L23" s="965"/>
      <c r="M23" s="965"/>
      <c r="N23" s="965"/>
      <c r="O23" s="965"/>
      <c r="P23" s="965"/>
      <c r="Q23" s="965"/>
      <c r="R23" s="965"/>
      <c r="S23" s="965"/>
      <c r="T23" s="965"/>
      <c r="U23" s="965"/>
      <c r="V23" s="965"/>
      <c r="W23" s="965"/>
      <c r="X23" s="965"/>
      <c r="Y23" s="965"/>
      <c r="Z23" s="965"/>
    </row>
    <row r="24">
      <c r="A24" s="965"/>
      <c r="B24" s="965"/>
      <c r="C24" s="965"/>
      <c r="D24" s="965"/>
      <c r="E24" s="965"/>
      <c r="F24" s="965"/>
      <c r="G24" s="965"/>
      <c r="H24" s="965"/>
      <c r="I24" s="965"/>
      <c r="J24" s="965"/>
      <c r="K24" s="965"/>
      <c r="L24" s="965"/>
      <c r="M24" s="965"/>
      <c r="N24" s="965"/>
      <c r="O24" s="965"/>
      <c r="P24" s="965"/>
      <c r="Q24" s="965"/>
      <c r="R24" s="965"/>
      <c r="S24" s="965"/>
      <c r="T24" s="965"/>
      <c r="U24" s="965"/>
      <c r="V24" s="965"/>
      <c r="W24" s="965"/>
      <c r="X24" s="965"/>
      <c r="Y24" s="965"/>
      <c r="Z24" s="965"/>
    </row>
    <row r="25">
      <c r="A25" s="965"/>
      <c r="B25" s="965"/>
      <c r="C25" s="965"/>
      <c r="D25" s="965"/>
      <c r="E25" s="965"/>
      <c r="F25" s="965"/>
      <c r="G25" s="965"/>
      <c r="H25" s="965"/>
      <c r="I25" s="965"/>
      <c r="J25" s="965"/>
      <c r="K25" s="965"/>
      <c r="L25" s="965"/>
      <c r="M25" s="965"/>
      <c r="N25" s="965"/>
      <c r="O25" s="965"/>
      <c r="P25" s="965"/>
      <c r="Q25" s="965"/>
      <c r="R25" s="965"/>
      <c r="S25" s="965"/>
      <c r="T25" s="965"/>
      <c r="U25" s="965"/>
      <c r="V25" s="965"/>
      <c r="W25" s="965"/>
      <c r="X25" s="965"/>
      <c r="Y25" s="965"/>
      <c r="Z25" s="965"/>
    </row>
    <row r="26">
      <c r="A26" s="965"/>
      <c r="B26" s="965"/>
      <c r="C26" s="965"/>
      <c r="D26" s="965"/>
      <c r="E26" s="965"/>
      <c r="F26" s="965"/>
      <c r="G26" s="965"/>
      <c r="H26" s="965"/>
      <c r="I26" s="965"/>
      <c r="J26" s="965"/>
      <c r="K26" s="965"/>
      <c r="L26" s="965"/>
      <c r="M26" s="965"/>
      <c r="N26" s="965"/>
      <c r="O26" s="965"/>
      <c r="P26" s="965"/>
      <c r="Q26" s="965"/>
      <c r="R26" s="965"/>
      <c r="S26" s="965"/>
      <c r="T26" s="965"/>
      <c r="U26" s="965"/>
      <c r="V26" s="965"/>
      <c r="W26" s="965"/>
      <c r="X26" s="965"/>
      <c r="Y26" s="965"/>
      <c r="Z26" s="965"/>
    </row>
    <row r="27">
      <c r="A27" s="965"/>
      <c r="B27" s="965"/>
      <c r="C27" s="965"/>
      <c r="D27" s="965"/>
      <c r="E27" s="965"/>
      <c r="F27" s="965"/>
      <c r="G27" s="965"/>
      <c r="H27" s="965"/>
      <c r="I27" s="965"/>
      <c r="J27" s="965"/>
      <c r="K27" s="965"/>
      <c r="L27" s="965"/>
      <c r="M27" s="965"/>
      <c r="N27" s="965"/>
      <c r="O27" s="965"/>
      <c r="P27" s="965"/>
      <c r="Q27" s="965"/>
      <c r="R27" s="965"/>
      <c r="S27" s="965"/>
      <c r="T27" s="965"/>
      <c r="U27" s="965"/>
      <c r="V27" s="965"/>
      <c r="W27" s="965"/>
      <c r="X27" s="965"/>
      <c r="Y27" s="965"/>
      <c r="Z27" s="965"/>
    </row>
    <row r="28">
      <c r="A28" s="965"/>
      <c r="B28" s="965"/>
      <c r="C28" s="965"/>
      <c r="D28" s="965"/>
      <c r="E28" s="965"/>
      <c r="F28" s="965"/>
      <c r="G28" s="965"/>
      <c r="H28" s="965"/>
      <c r="I28" s="965"/>
      <c r="J28" s="965"/>
      <c r="K28" s="965"/>
      <c r="L28" s="965"/>
      <c r="M28" s="965"/>
      <c r="N28" s="965"/>
      <c r="O28" s="965"/>
      <c r="P28" s="965"/>
      <c r="Q28" s="965"/>
      <c r="R28" s="965"/>
      <c r="S28" s="965"/>
      <c r="T28" s="965"/>
      <c r="U28" s="965"/>
      <c r="V28" s="965"/>
      <c r="W28" s="965"/>
      <c r="X28" s="965"/>
      <c r="Y28" s="965"/>
      <c r="Z28" s="965"/>
    </row>
    <row r="29">
      <c r="A29" s="965"/>
      <c r="B29" s="965"/>
      <c r="C29" s="965"/>
      <c r="D29" s="965"/>
      <c r="E29" s="965"/>
      <c r="F29" s="965"/>
      <c r="G29" s="965"/>
      <c r="H29" s="965"/>
      <c r="I29" s="965"/>
      <c r="J29" s="965"/>
      <c r="K29" s="965"/>
      <c r="L29" s="965"/>
      <c r="M29" s="965"/>
      <c r="N29" s="965"/>
      <c r="O29" s="965"/>
      <c r="P29" s="965"/>
      <c r="Q29" s="965"/>
      <c r="R29" s="965"/>
      <c r="S29" s="965"/>
      <c r="T29" s="965"/>
      <c r="U29" s="965"/>
      <c r="V29" s="965"/>
      <c r="W29" s="965"/>
      <c r="X29" s="965"/>
      <c r="Y29" s="965"/>
      <c r="Z29" s="965"/>
    </row>
    <row r="30">
      <c r="A30" s="965"/>
      <c r="B30" s="965"/>
      <c r="C30" s="965"/>
      <c r="D30" s="965"/>
      <c r="E30" s="965"/>
      <c r="F30" s="965"/>
      <c r="G30" s="965"/>
      <c r="H30" s="965"/>
      <c r="I30" s="965"/>
      <c r="J30" s="965"/>
      <c r="K30" s="965"/>
      <c r="L30" s="965"/>
      <c r="M30" s="965"/>
      <c r="N30" s="965"/>
      <c r="O30" s="965"/>
      <c r="P30" s="965"/>
      <c r="Q30" s="965"/>
      <c r="R30" s="965"/>
      <c r="S30" s="965"/>
      <c r="T30" s="965"/>
      <c r="U30" s="965"/>
      <c r="V30" s="965"/>
      <c r="W30" s="965"/>
      <c r="X30" s="965"/>
      <c r="Y30" s="965"/>
      <c r="Z30" s="965"/>
    </row>
    <row r="31">
      <c r="A31" s="965"/>
      <c r="B31" s="965"/>
      <c r="C31" s="965"/>
      <c r="D31" s="965"/>
      <c r="E31" s="965"/>
      <c r="F31" s="965"/>
      <c r="G31" s="965"/>
      <c r="H31" s="965"/>
      <c r="I31" s="965"/>
      <c r="J31" s="965"/>
      <c r="K31" s="965"/>
      <c r="L31" s="965"/>
      <c r="M31" s="965"/>
      <c r="N31" s="965"/>
      <c r="O31" s="965"/>
      <c r="P31" s="965"/>
      <c r="Q31" s="965"/>
      <c r="R31" s="965"/>
      <c r="S31" s="965"/>
      <c r="T31" s="965"/>
      <c r="U31" s="965"/>
      <c r="V31" s="965"/>
      <c r="W31" s="965"/>
      <c r="X31" s="965"/>
      <c r="Y31" s="965"/>
      <c r="Z31" s="965"/>
    </row>
    <row r="32">
      <c r="A32" s="965"/>
      <c r="B32" s="965"/>
      <c r="C32" s="965"/>
      <c r="D32" s="965"/>
      <c r="E32" s="965"/>
      <c r="F32" s="965"/>
      <c r="G32" s="965"/>
      <c r="H32" s="965"/>
      <c r="I32" s="965"/>
      <c r="J32" s="965"/>
      <c r="K32" s="965"/>
      <c r="L32" s="965"/>
      <c r="M32" s="965"/>
      <c r="N32" s="965"/>
      <c r="O32" s="965"/>
      <c r="P32" s="965"/>
      <c r="Q32" s="965"/>
      <c r="R32" s="965"/>
      <c r="S32" s="965"/>
      <c r="T32" s="965"/>
      <c r="U32" s="965"/>
      <c r="V32" s="965"/>
      <c r="W32" s="965"/>
      <c r="X32" s="965"/>
      <c r="Y32" s="965"/>
      <c r="Z32" s="965"/>
    </row>
    <row r="33">
      <c r="A33" s="965"/>
      <c r="B33" s="965"/>
      <c r="C33" s="965"/>
      <c r="D33" s="965"/>
      <c r="E33" s="965"/>
      <c r="F33" s="965"/>
      <c r="G33" s="965"/>
      <c r="H33" s="965"/>
      <c r="I33" s="965"/>
      <c r="J33" s="965"/>
      <c r="K33" s="965"/>
      <c r="L33" s="965"/>
      <c r="M33" s="965"/>
      <c r="N33" s="965"/>
      <c r="O33" s="965"/>
      <c r="P33" s="965"/>
      <c r="Q33" s="965"/>
      <c r="R33" s="965"/>
      <c r="S33" s="965"/>
      <c r="T33" s="965"/>
      <c r="U33" s="965"/>
      <c r="V33" s="965"/>
      <c r="W33" s="965"/>
      <c r="X33" s="965"/>
      <c r="Y33" s="965"/>
      <c r="Z33" s="965"/>
    </row>
    <row r="36">
      <c r="A36" s="965"/>
      <c r="B36" s="965"/>
      <c r="C36" s="965"/>
      <c r="D36" s="965"/>
      <c r="E36" s="965"/>
      <c r="F36" s="965"/>
      <c r="G36" s="965"/>
      <c r="H36" s="965"/>
      <c r="I36" s="965"/>
      <c r="J36" s="965"/>
      <c r="K36" s="965"/>
      <c r="L36" s="965"/>
      <c r="M36" s="965"/>
      <c r="N36" s="965"/>
      <c r="O36" s="965"/>
      <c r="P36" s="965"/>
      <c r="Q36" s="965"/>
      <c r="R36" s="965"/>
      <c r="S36" s="965"/>
      <c r="T36" s="965"/>
      <c r="U36" s="965"/>
      <c r="V36" s="965"/>
      <c r="W36" s="965"/>
      <c r="X36" s="965"/>
      <c r="Y36" s="965"/>
      <c r="Z36" s="965"/>
    </row>
    <row r="37">
      <c r="A37" s="965"/>
      <c r="B37" s="965"/>
      <c r="C37" s="965"/>
      <c r="D37" s="965"/>
      <c r="E37" s="965"/>
      <c r="F37" s="965"/>
      <c r="G37" s="965"/>
      <c r="H37" s="965"/>
      <c r="I37" s="965"/>
      <c r="J37" s="965"/>
      <c r="K37" s="965"/>
      <c r="L37" s="965"/>
      <c r="M37" s="965"/>
      <c r="N37" s="965"/>
      <c r="O37" s="965"/>
      <c r="P37" s="965"/>
      <c r="Q37" s="965"/>
      <c r="R37" s="965"/>
      <c r="S37" s="965"/>
      <c r="T37" s="965"/>
      <c r="U37" s="965"/>
      <c r="V37" s="965"/>
      <c r="W37" s="965"/>
      <c r="X37" s="965"/>
      <c r="Y37" s="965"/>
      <c r="Z37" s="965"/>
    </row>
    <row r="38">
      <c r="A38" s="965"/>
      <c r="B38" s="965"/>
      <c r="C38" s="965"/>
      <c r="D38" s="965"/>
      <c r="E38" s="965"/>
      <c r="F38" s="965"/>
      <c r="G38" s="965"/>
      <c r="H38" s="965"/>
      <c r="I38" s="965"/>
      <c r="J38" s="965"/>
      <c r="K38" s="965"/>
      <c r="L38" s="965"/>
      <c r="M38" s="965"/>
      <c r="N38" s="965"/>
      <c r="O38" s="965"/>
      <c r="P38" s="965"/>
      <c r="Q38" s="965"/>
      <c r="R38" s="965"/>
      <c r="S38" s="965"/>
      <c r="T38" s="965"/>
      <c r="U38" s="965"/>
      <c r="V38" s="965"/>
      <c r="W38" s="965"/>
      <c r="X38" s="965"/>
      <c r="Y38" s="965"/>
      <c r="Z38" s="965"/>
    </row>
    <row r="39">
      <c r="A39" s="965"/>
      <c r="B39" s="965"/>
      <c r="C39" s="965"/>
      <c r="D39" s="965"/>
      <c r="E39" s="965"/>
      <c r="F39" s="965"/>
      <c r="G39" s="965"/>
      <c r="H39" s="965"/>
      <c r="I39" s="965"/>
      <c r="J39" s="965"/>
      <c r="K39" s="965"/>
      <c r="L39" s="965"/>
      <c r="M39" s="965"/>
      <c r="N39" s="965"/>
      <c r="O39" s="965"/>
      <c r="P39" s="965"/>
      <c r="Q39" s="965"/>
      <c r="R39" s="965"/>
      <c r="S39" s="965"/>
      <c r="T39" s="965"/>
      <c r="U39" s="965"/>
      <c r="V39" s="965"/>
      <c r="W39" s="965"/>
      <c r="X39" s="965"/>
      <c r="Y39" s="965"/>
      <c r="Z39" s="965"/>
    </row>
    <row r="40">
      <c r="A40" s="965"/>
      <c r="B40" s="965"/>
      <c r="C40" s="965"/>
      <c r="D40" s="965"/>
      <c r="E40" s="965"/>
      <c r="F40" s="965"/>
      <c r="G40" s="965"/>
      <c r="H40" s="965"/>
      <c r="I40" s="965"/>
      <c r="J40" s="965"/>
      <c r="K40" s="965"/>
      <c r="L40" s="965"/>
      <c r="M40" s="965"/>
      <c r="N40" s="965"/>
      <c r="O40" s="965"/>
      <c r="P40" s="965"/>
      <c r="Q40" s="965"/>
      <c r="R40" s="965"/>
      <c r="S40" s="965"/>
      <c r="T40" s="965"/>
      <c r="U40" s="965"/>
      <c r="V40" s="965"/>
      <c r="W40" s="965"/>
      <c r="X40" s="965"/>
      <c r="Y40" s="965"/>
      <c r="Z40" s="965"/>
    </row>
    <row r="41">
      <c r="A41" s="965"/>
      <c r="B41" s="965"/>
      <c r="C41" s="965"/>
      <c r="D41" s="965"/>
      <c r="E41" s="965"/>
      <c r="F41" s="965"/>
      <c r="G41" s="965"/>
      <c r="H41" s="965"/>
      <c r="I41" s="965"/>
      <c r="J41" s="965"/>
      <c r="K41" s="965"/>
      <c r="L41" s="965"/>
      <c r="M41" s="965"/>
      <c r="N41" s="965"/>
      <c r="O41" s="965"/>
      <c r="P41" s="965"/>
      <c r="Q41" s="965"/>
      <c r="R41" s="965"/>
      <c r="S41" s="965"/>
      <c r="T41" s="965"/>
      <c r="U41" s="965"/>
      <c r="V41" s="965"/>
      <c r="W41" s="965"/>
      <c r="X41" s="965"/>
      <c r="Y41" s="965"/>
      <c r="Z41" s="965"/>
    </row>
    <row r="42">
      <c r="A42" s="965"/>
      <c r="B42" s="965"/>
      <c r="C42" s="965"/>
      <c r="D42" s="965"/>
      <c r="E42" s="965"/>
      <c r="F42" s="965"/>
      <c r="G42" s="965"/>
      <c r="H42" s="965"/>
      <c r="I42" s="965"/>
      <c r="J42" s="965"/>
      <c r="K42" s="965"/>
      <c r="L42" s="965"/>
      <c r="M42" s="965"/>
      <c r="N42" s="965"/>
      <c r="O42" s="965"/>
      <c r="P42" s="965"/>
      <c r="Q42" s="965"/>
      <c r="R42" s="965"/>
      <c r="S42" s="965"/>
      <c r="T42" s="965"/>
      <c r="U42" s="965"/>
      <c r="V42" s="965"/>
      <c r="W42" s="965"/>
      <c r="X42" s="965"/>
      <c r="Y42" s="965"/>
      <c r="Z42" s="965"/>
    </row>
    <row r="43">
      <c r="A43" s="965"/>
      <c r="B43" s="965"/>
      <c r="C43" s="965"/>
      <c r="D43" s="965"/>
      <c r="E43" s="965"/>
      <c r="F43" s="965"/>
      <c r="G43" s="965"/>
      <c r="H43" s="965"/>
      <c r="I43" s="965"/>
      <c r="J43" s="965"/>
      <c r="K43" s="965"/>
      <c r="L43" s="965"/>
      <c r="M43" s="965"/>
      <c r="N43" s="965"/>
      <c r="O43" s="965"/>
      <c r="P43" s="965"/>
      <c r="Q43" s="965"/>
      <c r="R43" s="965"/>
      <c r="S43" s="965"/>
      <c r="T43" s="965"/>
      <c r="U43" s="965"/>
      <c r="V43" s="965"/>
      <c r="W43" s="965"/>
      <c r="X43" s="965"/>
      <c r="Y43" s="965"/>
      <c r="Z43" s="965"/>
    </row>
    <row r="44">
      <c r="A44" s="965"/>
      <c r="B44" s="965"/>
      <c r="C44" s="965"/>
      <c r="D44" s="965"/>
      <c r="E44" s="965"/>
      <c r="F44" s="965"/>
      <c r="G44" s="965"/>
      <c r="H44" s="965"/>
      <c r="I44" s="965"/>
      <c r="J44" s="965"/>
      <c r="K44" s="965"/>
      <c r="L44" s="965"/>
      <c r="M44" s="965"/>
      <c r="N44" s="965"/>
      <c r="O44" s="965"/>
      <c r="P44" s="965"/>
      <c r="Q44" s="965"/>
      <c r="R44" s="965"/>
      <c r="S44" s="965"/>
      <c r="T44" s="965"/>
      <c r="U44" s="965"/>
      <c r="V44" s="965"/>
      <c r="W44" s="965"/>
      <c r="X44" s="965"/>
      <c r="Y44" s="965"/>
      <c r="Z44" s="965"/>
    </row>
    <row r="45">
      <c r="A45" s="965"/>
      <c r="B45" s="965"/>
      <c r="C45" s="965"/>
      <c r="D45" s="965"/>
      <c r="E45" s="965"/>
      <c r="F45" s="965"/>
      <c r="G45" s="965"/>
      <c r="H45" s="965"/>
      <c r="I45" s="965"/>
      <c r="J45" s="965"/>
      <c r="K45" s="965"/>
      <c r="L45" s="965"/>
      <c r="M45" s="965"/>
      <c r="N45" s="965"/>
      <c r="O45" s="965"/>
      <c r="P45" s="965"/>
      <c r="Q45" s="965"/>
      <c r="R45" s="965"/>
      <c r="S45" s="965"/>
      <c r="T45" s="965"/>
      <c r="U45" s="965"/>
      <c r="V45" s="965"/>
      <c r="W45" s="965"/>
      <c r="X45" s="965"/>
      <c r="Y45" s="965"/>
      <c r="Z45" s="965"/>
    </row>
    <row r="46">
      <c r="A46" s="965"/>
      <c r="B46" s="965"/>
      <c r="C46" s="965"/>
      <c r="D46" s="965"/>
      <c r="E46" s="965"/>
      <c r="F46" s="965"/>
      <c r="G46" s="965"/>
      <c r="H46" s="965"/>
      <c r="I46" s="965"/>
      <c r="J46" s="965"/>
      <c r="K46" s="965"/>
      <c r="L46" s="965"/>
      <c r="M46" s="965"/>
      <c r="N46" s="965"/>
      <c r="O46" s="965"/>
      <c r="P46" s="965"/>
      <c r="Q46" s="965"/>
      <c r="R46" s="965"/>
      <c r="S46" s="965"/>
      <c r="T46" s="965"/>
      <c r="U46" s="965"/>
      <c r="V46" s="965"/>
      <c r="W46" s="965"/>
      <c r="X46" s="965"/>
      <c r="Y46" s="965"/>
      <c r="Z46" s="965"/>
    </row>
    <row r="47">
      <c r="A47" s="965"/>
      <c r="B47" s="965"/>
      <c r="C47" s="965"/>
      <c r="D47" s="965"/>
      <c r="E47" s="965"/>
      <c r="F47" s="965"/>
      <c r="G47" s="965"/>
      <c r="H47" s="965"/>
      <c r="I47" s="965"/>
      <c r="J47" s="965"/>
      <c r="K47" s="965"/>
      <c r="L47" s="965"/>
      <c r="M47" s="965"/>
      <c r="N47" s="965"/>
      <c r="O47" s="965"/>
      <c r="P47" s="965"/>
      <c r="Q47" s="965"/>
      <c r="R47" s="965"/>
      <c r="S47" s="965"/>
      <c r="T47" s="965"/>
      <c r="U47" s="965"/>
      <c r="V47" s="965"/>
      <c r="W47" s="965"/>
      <c r="X47" s="965"/>
      <c r="Y47" s="965"/>
      <c r="Z47" s="965"/>
    </row>
    <row r="48">
      <c r="A48" s="965"/>
      <c r="B48" s="965"/>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row>
    <row r="49">
      <c r="A49" s="965"/>
      <c r="B49" s="965"/>
      <c r="C49" s="965"/>
      <c r="D49" s="965"/>
      <c r="E49" s="965"/>
      <c r="F49" s="965"/>
      <c r="G49" s="965"/>
      <c r="H49" s="965"/>
      <c r="I49" s="965"/>
      <c r="J49" s="965"/>
      <c r="K49" s="965"/>
      <c r="L49" s="965"/>
      <c r="M49" s="965"/>
      <c r="N49" s="965"/>
      <c r="O49" s="965"/>
      <c r="P49" s="965"/>
      <c r="Q49" s="965"/>
      <c r="R49" s="965"/>
      <c r="S49" s="965"/>
      <c r="T49" s="965"/>
      <c r="U49" s="965"/>
      <c r="V49" s="965"/>
      <c r="W49" s="965"/>
      <c r="X49" s="965"/>
      <c r="Y49" s="965"/>
      <c r="Z49" s="965"/>
    </row>
    <row r="50">
      <c r="A50" s="965"/>
      <c r="B50" s="965"/>
      <c r="C50" s="965"/>
      <c r="D50" s="965"/>
      <c r="E50" s="965"/>
      <c r="F50" s="965"/>
      <c r="G50" s="965"/>
      <c r="H50" s="965"/>
      <c r="I50" s="965"/>
      <c r="J50" s="965"/>
      <c r="K50" s="965"/>
      <c r="L50" s="965"/>
      <c r="M50" s="965"/>
      <c r="N50" s="965"/>
      <c r="O50" s="965"/>
      <c r="P50" s="965"/>
      <c r="Q50" s="965"/>
      <c r="R50" s="965"/>
      <c r="S50" s="965"/>
      <c r="T50" s="965"/>
      <c r="U50" s="965"/>
      <c r="V50" s="965"/>
      <c r="W50" s="965"/>
      <c r="X50" s="965"/>
      <c r="Y50" s="965"/>
      <c r="Z50" s="965"/>
    </row>
    <row r="51">
      <c r="A51" s="965"/>
      <c r="B51" s="965"/>
      <c r="C51" s="965"/>
      <c r="D51" s="965"/>
      <c r="E51" s="965"/>
      <c r="F51" s="965"/>
      <c r="G51" s="965"/>
      <c r="H51" s="965"/>
      <c r="I51" s="965"/>
      <c r="J51" s="965"/>
      <c r="K51" s="965"/>
      <c r="L51" s="965"/>
      <c r="M51" s="965"/>
      <c r="N51" s="965"/>
      <c r="O51" s="965"/>
      <c r="P51" s="965"/>
      <c r="Q51" s="965"/>
      <c r="R51" s="965"/>
      <c r="S51" s="965"/>
      <c r="T51" s="965"/>
      <c r="U51" s="965"/>
      <c r="V51" s="965"/>
      <c r="W51" s="965"/>
      <c r="X51" s="965"/>
      <c r="Y51" s="965"/>
      <c r="Z51" s="965"/>
    </row>
    <row r="52">
      <c r="A52" s="965"/>
      <c r="B52" s="965"/>
      <c r="C52" s="965"/>
      <c r="D52" s="965"/>
      <c r="E52" s="965"/>
      <c r="F52" s="965"/>
      <c r="G52" s="965"/>
      <c r="H52" s="965"/>
      <c r="I52" s="965"/>
      <c r="J52" s="965"/>
      <c r="K52" s="965"/>
      <c r="L52" s="965"/>
      <c r="M52" s="965"/>
      <c r="N52" s="965"/>
      <c r="O52" s="965"/>
      <c r="P52" s="965"/>
      <c r="Q52" s="965"/>
      <c r="R52" s="965"/>
      <c r="S52" s="965"/>
      <c r="T52" s="965"/>
      <c r="U52" s="965"/>
      <c r="V52" s="965"/>
      <c r="W52" s="965"/>
      <c r="X52" s="965"/>
      <c r="Y52" s="965"/>
      <c r="Z52" s="965"/>
    </row>
    <row r="53">
      <c r="A53" s="965"/>
      <c r="B53" s="965"/>
      <c r="C53" s="965"/>
      <c r="D53" s="965"/>
      <c r="E53" s="965"/>
      <c r="F53" s="965"/>
      <c r="G53" s="965"/>
      <c r="H53" s="965"/>
      <c r="I53" s="965"/>
      <c r="J53" s="965"/>
      <c r="K53" s="965"/>
      <c r="L53" s="965"/>
      <c r="M53" s="965"/>
      <c r="N53" s="965"/>
      <c r="O53" s="965"/>
      <c r="P53" s="965"/>
      <c r="Q53" s="965"/>
      <c r="R53" s="965"/>
      <c r="S53" s="965"/>
      <c r="T53" s="965"/>
      <c r="U53" s="965"/>
      <c r="V53" s="965"/>
      <c r="W53" s="965"/>
      <c r="X53" s="965"/>
      <c r="Y53" s="965"/>
      <c r="Z53" s="965"/>
    </row>
    <row r="54">
      <c r="A54" s="965"/>
      <c r="B54" s="965"/>
      <c r="C54" s="965"/>
      <c r="D54" s="965"/>
      <c r="E54" s="965"/>
      <c r="F54" s="965"/>
      <c r="G54" s="965"/>
      <c r="H54" s="965"/>
      <c r="I54" s="965"/>
      <c r="J54" s="965"/>
      <c r="K54" s="965"/>
      <c r="L54" s="965"/>
      <c r="M54" s="965"/>
      <c r="N54" s="965"/>
      <c r="O54" s="965"/>
      <c r="P54" s="965"/>
      <c r="Q54" s="965"/>
      <c r="R54" s="965"/>
      <c r="S54" s="965"/>
      <c r="T54" s="965"/>
      <c r="U54" s="965"/>
      <c r="V54" s="965"/>
      <c r="W54" s="965"/>
      <c r="X54" s="965"/>
      <c r="Y54" s="965"/>
      <c r="Z54" s="965"/>
    </row>
    <row r="55">
      <c r="A55" s="965"/>
      <c r="B55" s="965"/>
      <c r="C55" s="965"/>
      <c r="D55" s="965"/>
      <c r="E55" s="965"/>
      <c r="F55" s="965"/>
      <c r="G55" s="965"/>
      <c r="H55" s="965"/>
      <c r="I55" s="965"/>
      <c r="J55" s="965"/>
      <c r="K55" s="965"/>
      <c r="L55" s="965"/>
      <c r="M55" s="965"/>
      <c r="N55" s="965"/>
      <c r="O55" s="965"/>
      <c r="P55" s="965"/>
      <c r="Q55" s="965"/>
      <c r="R55" s="965"/>
      <c r="S55" s="965"/>
      <c r="T55" s="965"/>
      <c r="U55" s="965"/>
      <c r="V55" s="965"/>
      <c r="W55" s="965"/>
      <c r="X55" s="965"/>
      <c r="Y55" s="965"/>
      <c r="Z55" s="965"/>
    </row>
    <row r="56">
      <c r="A56" s="965"/>
      <c r="B56" s="965"/>
      <c r="C56" s="965"/>
      <c r="D56" s="965"/>
      <c r="E56" s="965"/>
      <c r="F56" s="965"/>
      <c r="G56" s="965"/>
      <c r="H56" s="965"/>
      <c r="I56" s="965"/>
      <c r="J56" s="965"/>
      <c r="K56" s="965"/>
      <c r="L56" s="965"/>
      <c r="M56" s="965"/>
      <c r="N56" s="965"/>
      <c r="O56" s="965"/>
      <c r="P56" s="965"/>
      <c r="Q56" s="965"/>
      <c r="R56" s="965"/>
      <c r="S56" s="965"/>
      <c r="T56" s="965"/>
      <c r="U56" s="965"/>
      <c r="V56" s="965"/>
      <c r="W56" s="965"/>
      <c r="X56" s="965"/>
      <c r="Y56" s="965"/>
      <c r="Z56" s="965"/>
    </row>
    <row r="57">
      <c r="A57" s="965"/>
      <c r="B57" s="965"/>
      <c r="C57" s="965"/>
      <c r="D57" s="965"/>
      <c r="E57" s="965"/>
      <c r="F57" s="965"/>
      <c r="G57" s="965"/>
      <c r="H57" s="965"/>
      <c r="I57" s="965"/>
      <c r="J57" s="965"/>
      <c r="K57" s="965"/>
      <c r="L57" s="965"/>
      <c r="M57" s="965"/>
      <c r="N57" s="965"/>
      <c r="O57" s="965"/>
      <c r="P57" s="965"/>
      <c r="Q57" s="965"/>
      <c r="R57" s="965"/>
      <c r="S57" s="965"/>
      <c r="T57" s="965"/>
      <c r="U57" s="965"/>
      <c r="V57" s="965"/>
      <c r="W57" s="965"/>
      <c r="X57" s="965"/>
      <c r="Y57" s="965"/>
      <c r="Z57" s="965"/>
    </row>
    <row r="58">
      <c r="A58" s="965"/>
      <c r="B58" s="965"/>
      <c r="C58" s="965"/>
      <c r="D58" s="965"/>
      <c r="E58" s="965"/>
      <c r="F58" s="965"/>
      <c r="G58" s="965"/>
      <c r="H58" s="965"/>
      <c r="I58" s="965"/>
      <c r="J58" s="965"/>
      <c r="K58" s="965"/>
      <c r="L58" s="965"/>
      <c r="M58" s="965"/>
      <c r="N58" s="965"/>
      <c r="O58" s="965"/>
      <c r="P58" s="965"/>
      <c r="Q58" s="965"/>
      <c r="R58" s="965"/>
      <c r="S58" s="965"/>
      <c r="T58" s="965"/>
      <c r="U58" s="965"/>
      <c r="V58" s="965"/>
      <c r="W58" s="965"/>
      <c r="X58" s="965"/>
      <c r="Y58" s="965"/>
      <c r="Z58" s="965"/>
    </row>
    <row r="59">
      <c r="A59" s="965"/>
      <c r="B59" s="965"/>
      <c r="C59" s="965"/>
      <c r="D59" s="965"/>
      <c r="E59" s="965"/>
      <c r="F59" s="965"/>
      <c r="G59" s="965"/>
      <c r="H59" s="965"/>
      <c r="I59" s="965"/>
      <c r="J59" s="965"/>
      <c r="K59" s="965"/>
      <c r="L59" s="965"/>
      <c r="M59" s="965"/>
      <c r="N59" s="965"/>
      <c r="O59" s="965"/>
      <c r="P59" s="965"/>
      <c r="Q59" s="965"/>
      <c r="R59" s="965"/>
      <c r="S59" s="965"/>
      <c r="T59" s="965"/>
      <c r="U59" s="965"/>
      <c r="V59" s="965"/>
      <c r="W59" s="965"/>
      <c r="X59" s="965"/>
      <c r="Y59" s="965"/>
      <c r="Z59" s="965"/>
    </row>
    <row r="60">
      <c r="A60" s="965"/>
      <c r="B60" s="965"/>
      <c r="C60" s="965"/>
      <c r="D60" s="965"/>
      <c r="E60" s="965"/>
      <c r="F60" s="965"/>
      <c r="G60" s="965"/>
      <c r="H60" s="965"/>
      <c r="I60" s="965"/>
      <c r="J60" s="965"/>
      <c r="K60" s="965"/>
      <c r="L60" s="965"/>
      <c r="M60" s="965"/>
      <c r="N60" s="965"/>
      <c r="O60" s="965"/>
      <c r="P60" s="965"/>
      <c r="Q60" s="965"/>
      <c r="R60" s="965"/>
      <c r="S60" s="965"/>
      <c r="T60" s="965"/>
      <c r="U60" s="965"/>
      <c r="V60" s="965"/>
      <c r="W60" s="965"/>
      <c r="X60" s="965"/>
      <c r="Y60" s="965"/>
      <c r="Z60" s="965"/>
    </row>
    <row r="61">
      <c r="A61" s="965"/>
      <c r="B61" s="965"/>
      <c r="C61" s="965"/>
      <c r="D61" s="965"/>
      <c r="E61" s="965"/>
      <c r="F61" s="965"/>
      <c r="G61" s="965"/>
      <c r="H61" s="965"/>
      <c r="I61" s="965"/>
      <c r="J61" s="965"/>
      <c r="K61" s="965"/>
      <c r="L61" s="965"/>
      <c r="M61" s="965"/>
      <c r="N61" s="965"/>
      <c r="O61" s="965"/>
      <c r="P61" s="965"/>
      <c r="Q61" s="965"/>
      <c r="R61" s="965"/>
      <c r="S61" s="965"/>
      <c r="T61" s="965"/>
      <c r="U61" s="965"/>
      <c r="V61" s="965"/>
      <c r="W61" s="965"/>
      <c r="X61" s="965"/>
      <c r="Y61" s="965"/>
      <c r="Z61" s="965"/>
    </row>
    <row r="62">
      <c r="A62" s="965"/>
      <c r="B62" s="965"/>
      <c r="C62" s="965"/>
      <c r="D62" s="965"/>
      <c r="E62" s="965"/>
      <c r="F62" s="965"/>
      <c r="G62" s="965"/>
      <c r="H62" s="965"/>
      <c r="I62" s="965"/>
      <c r="J62" s="965"/>
      <c r="K62" s="965"/>
      <c r="L62" s="965"/>
      <c r="M62" s="965"/>
      <c r="N62" s="965"/>
      <c r="O62" s="965"/>
      <c r="P62" s="965"/>
      <c r="Q62" s="965"/>
      <c r="R62" s="965"/>
      <c r="S62" s="965"/>
      <c r="T62" s="965"/>
      <c r="U62" s="965"/>
      <c r="V62" s="965"/>
      <c r="W62" s="965"/>
      <c r="X62" s="965"/>
      <c r="Y62" s="965"/>
      <c r="Z62" s="965"/>
    </row>
    <row r="63">
      <c r="A63" s="965"/>
      <c r="B63" s="965"/>
      <c r="C63" s="965"/>
      <c r="D63" s="965"/>
      <c r="E63" s="965"/>
      <c r="F63" s="965"/>
      <c r="G63" s="965"/>
      <c r="H63" s="965"/>
      <c r="I63" s="965"/>
      <c r="J63" s="965"/>
      <c r="K63" s="965"/>
      <c r="L63" s="965"/>
      <c r="M63" s="965"/>
      <c r="N63" s="965"/>
      <c r="O63" s="965"/>
      <c r="P63" s="965"/>
      <c r="Q63" s="965"/>
      <c r="R63" s="965"/>
      <c r="S63" s="965"/>
      <c r="T63" s="965"/>
      <c r="U63" s="965"/>
      <c r="V63" s="965"/>
      <c r="W63" s="965"/>
      <c r="X63" s="965"/>
      <c r="Y63" s="965"/>
      <c r="Z63" s="965"/>
    </row>
    <row r="64">
      <c r="A64" s="965"/>
      <c r="B64" s="965"/>
      <c r="C64" s="965"/>
      <c r="D64" s="965"/>
      <c r="E64" s="965"/>
      <c r="F64" s="965"/>
      <c r="G64" s="965"/>
      <c r="H64" s="965"/>
      <c r="I64" s="965"/>
      <c r="J64" s="965"/>
      <c r="K64" s="965"/>
      <c r="L64" s="965"/>
      <c r="M64" s="965"/>
      <c r="N64" s="965"/>
      <c r="O64" s="965"/>
      <c r="P64" s="965"/>
      <c r="Q64" s="965"/>
      <c r="R64" s="965"/>
      <c r="S64" s="965"/>
      <c r="T64" s="965"/>
      <c r="U64" s="965"/>
      <c r="V64" s="965"/>
      <c r="W64" s="965"/>
      <c r="X64" s="965"/>
      <c r="Y64" s="965"/>
      <c r="Z64" s="965"/>
    </row>
    <row r="65">
      <c r="A65" s="965"/>
      <c r="B65" s="965"/>
      <c r="C65" s="965"/>
      <c r="D65" s="965"/>
      <c r="E65" s="965"/>
      <c r="F65" s="965"/>
      <c r="G65" s="965"/>
      <c r="H65" s="965"/>
      <c r="I65" s="965"/>
      <c r="J65" s="965"/>
      <c r="K65" s="965"/>
      <c r="L65" s="965"/>
      <c r="M65" s="965"/>
      <c r="N65" s="965"/>
      <c r="O65" s="965"/>
      <c r="P65" s="965"/>
      <c r="Q65" s="965"/>
      <c r="R65" s="965"/>
      <c r="S65" s="965"/>
      <c r="T65" s="965"/>
      <c r="U65" s="965"/>
      <c r="V65" s="965"/>
      <c r="W65" s="965"/>
      <c r="X65" s="965"/>
      <c r="Y65" s="965"/>
      <c r="Z65" s="965"/>
    </row>
    <row r="66">
      <c r="A66" s="965"/>
      <c r="B66" s="965"/>
      <c r="C66" s="965"/>
      <c r="D66" s="965"/>
      <c r="E66" s="965"/>
      <c r="F66" s="965"/>
      <c r="G66" s="965"/>
      <c r="H66" s="965"/>
      <c r="I66" s="965"/>
      <c r="J66" s="965"/>
      <c r="K66" s="965"/>
      <c r="L66" s="965"/>
      <c r="M66" s="965"/>
      <c r="N66" s="965"/>
      <c r="O66" s="965"/>
      <c r="P66" s="965"/>
      <c r="Q66" s="965"/>
      <c r="R66" s="965"/>
      <c r="S66" s="965"/>
      <c r="T66" s="965"/>
      <c r="U66" s="965"/>
      <c r="V66" s="965"/>
      <c r="W66" s="965"/>
      <c r="X66" s="965"/>
      <c r="Y66" s="965"/>
      <c r="Z66" s="965"/>
    </row>
    <row r="67">
      <c r="A67" s="965"/>
      <c r="B67" s="965"/>
      <c r="C67" s="965"/>
      <c r="D67" s="965"/>
      <c r="E67" s="965"/>
      <c r="F67" s="965"/>
      <c r="G67" s="965"/>
      <c r="H67" s="965"/>
      <c r="I67" s="965"/>
      <c r="J67" s="965"/>
      <c r="K67" s="965"/>
      <c r="L67" s="965"/>
      <c r="M67" s="965"/>
      <c r="N67" s="965"/>
      <c r="O67" s="965"/>
      <c r="P67" s="965"/>
      <c r="Q67" s="965"/>
      <c r="R67" s="965"/>
      <c r="S67" s="965"/>
      <c r="T67" s="965"/>
      <c r="U67" s="965"/>
      <c r="V67" s="965"/>
      <c r="W67" s="965"/>
      <c r="X67" s="965"/>
      <c r="Y67" s="965"/>
      <c r="Z67" s="965"/>
    </row>
    <row r="68">
      <c r="A68" s="965"/>
      <c r="B68" s="965"/>
      <c r="C68" s="965"/>
      <c r="D68" s="965"/>
      <c r="E68" s="965"/>
      <c r="F68" s="965"/>
      <c r="G68" s="965"/>
      <c r="H68" s="965"/>
      <c r="I68" s="965"/>
      <c r="J68" s="965"/>
      <c r="K68" s="965"/>
      <c r="L68" s="965"/>
      <c r="M68" s="965"/>
      <c r="N68" s="965"/>
      <c r="O68" s="965"/>
      <c r="P68" s="965"/>
      <c r="Q68" s="965"/>
      <c r="R68" s="965"/>
      <c r="S68" s="965"/>
      <c r="T68" s="965"/>
      <c r="U68" s="965"/>
      <c r="V68" s="965"/>
      <c r="W68" s="965"/>
      <c r="X68" s="965"/>
      <c r="Y68" s="965"/>
      <c r="Z68" s="965"/>
    </row>
    <row r="69">
      <c r="A69" s="965"/>
      <c r="B69" s="965"/>
      <c r="C69" s="965"/>
      <c r="D69" s="965"/>
      <c r="E69" s="965"/>
      <c r="F69" s="965"/>
      <c r="G69" s="965"/>
      <c r="H69" s="965"/>
      <c r="I69" s="965"/>
      <c r="J69" s="965"/>
      <c r="K69" s="965"/>
      <c r="L69" s="965"/>
      <c r="M69" s="965"/>
      <c r="N69" s="965"/>
      <c r="O69" s="965"/>
      <c r="P69" s="965"/>
      <c r="Q69" s="965"/>
      <c r="R69" s="965"/>
      <c r="S69" s="965"/>
      <c r="T69" s="965"/>
      <c r="U69" s="965"/>
      <c r="V69" s="965"/>
      <c r="W69" s="965"/>
      <c r="X69" s="965"/>
      <c r="Y69" s="965"/>
      <c r="Z69" s="965"/>
    </row>
    <row r="70">
      <c r="A70" s="965"/>
      <c r="B70" s="965"/>
      <c r="C70" s="965"/>
      <c r="D70" s="965"/>
      <c r="E70" s="965"/>
      <c r="F70" s="965"/>
      <c r="G70" s="965"/>
      <c r="H70" s="965"/>
      <c r="I70" s="965"/>
      <c r="J70" s="965"/>
      <c r="K70" s="965"/>
      <c r="L70" s="965"/>
      <c r="M70" s="965"/>
      <c r="N70" s="965"/>
      <c r="O70" s="965"/>
      <c r="P70" s="965"/>
      <c r="Q70" s="965"/>
      <c r="R70" s="965"/>
      <c r="S70" s="965"/>
      <c r="T70" s="965"/>
      <c r="U70" s="965"/>
      <c r="V70" s="965"/>
      <c r="W70" s="965"/>
      <c r="X70" s="965"/>
      <c r="Y70" s="965"/>
      <c r="Z70" s="965"/>
    </row>
    <row r="71">
      <c r="A71" s="965"/>
      <c r="B71" s="965"/>
      <c r="C71" s="965"/>
      <c r="D71" s="965"/>
      <c r="E71" s="965"/>
      <c r="F71" s="965"/>
      <c r="G71" s="965"/>
      <c r="H71" s="965"/>
      <c r="I71" s="965"/>
      <c r="J71" s="965"/>
      <c r="K71" s="965"/>
      <c r="L71" s="965"/>
      <c r="M71" s="965"/>
      <c r="N71" s="965"/>
      <c r="O71" s="965"/>
      <c r="P71" s="965"/>
      <c r="Q71" s="965"/>
      <c r="R71" s="965"/>
      <c r="S71" s="965"/>
      <c r="T71" s="965"/>
      <c r="U71" s="965"/>
      <c r="V71" s="965"/>
      <c r="W71" s="965"/>
      <c r="X71" s="965"/>
      <c r="Y71" s="965"/>
      <c r="Z71" s="965"/>
    </row>
    <row r="72">
      <c r="A72" s="965"/>
      <c r="B72" s="965"/>
      <c r="C72" s="965"/>
      <c r="D72" s="965"/>
      <c r="E72" s="965"/>
      <c r="F72" s="965"/>
      <c r="G72" s="965"/>
      <c r="H72" s="965"/>
      <c r="I72" s="965"/>
      <c r="J72" s="965"/>
      <c r="K72" s="965"/>
      <c r="L72" s="965"/>
      <c r="M72" s="965"/>
      <c r="N72" s="965"/>
      <c r="O72" s="965"/>
      <c r="P72" s="965"/>
      <c r="Q72" s="965"/>
      <c r="R72" s="965"/>
      <c r="S72" s="965"/>
      <c r="T72" s="965"/>
      <c r="U72" s="965"/>
      <c r="V72" s="965"/>
      <c r="W72" s="965"/>
      <c r="X72" s="965"/>
      <c r="Y72" s="965"/>
      <c r="Z72" s="965"/>
    </row>
    <row r="73">
      <c r="A73" s="965"/>
      <c r="B73" s="965"/>
      <c r="C73" s="965"/>
      <c r="D73" s="965"/>
      <c r="E73" s="965"/>
      <c r="F73" s="965"/>
      <c r="G73" s="965"/>
      <c r="H73" s="965"/>
      <c r="I73" s="965"/>
      <c r="J73" s="965"/>
      <c r="K73" s="965"/>
      <c r="L73" s="965"/>
      <c r="M73" s="965"/>
      <c r="N73" s="965"/>
      <c r="O73" s="965"/>
      <c r="P73" s="965"/>
      <c r="Q73" s="965"/>
      <c r="R73" s="965"/>
      <c r="S73" s="965"/>
      <c r="T73" s="965"/>
      <c r="U73" s="965"/>
      <c r="V73" s="965"/>
      <c r="W73" s="965"/>
      <c r="X73" s="965"/>
      <c r="Y73" s="965"/>
      <c r="Z73" s="965"/>
    </row>
    <row r="74">
      <c r="A74" s="965"/>
      <c r="B74" s="965"/>
      <c r="C74" s="965"/>
      <c r="D74" s="965"/>
      <c r="E74" s="965"/>
      <c r="F74" s="965"/>
      <c r="G74" s="965"/>
      <c r="H74" s="965"/>
      <c r="I74" s="965"/>
      <c r="J74" s="965"/>
      <c r="K74" s="965"/>
      <c r="L74" s="965"/>
      <c r="M74" s="965"/>
      <c r="N74" s="965"/>
      <c r="O74" s="965"/>
      <c r="P74" s="965"/>
      <c r="Q74" s="965"/>
      <c r="R74" s="965"/>
      <c r="S74" s="965"/>
      <c r="T74" s="965"/>
      <c r="U74" s="965"/>
      <c r="V74" s="965"/>
      <c r="W74" s="965"/>
      <c r="X74" s="965"/>
      <c r="Y74" s="965"/>
      <c r="Z74" s="965"/>
    </row>
    <row r="75">
      <c r="A75" s="965"/>
      <c r="B75" s="965"/>
      <c r="C75" s="965"/>
      <c r="D75" s="965"/>
      <c r="E75" s="965"/>
      <c r="F75" s="965"/>
      <c r="G75" s="965"/>
      <c r="H75" s="965"/>
      <c r="I75" s="965"/>
      <c r="J75" s="965"/>
      <c r="K75" s="965"/>
      <c r="L75" s="965"/>
      <c r="M75" s="965"/>
      <c r="N75" s="965"/>
      <c r="O75" s="965"/>
      <c r="P75" s="965"/>
      <c r="Q75" s="965"/>
      <c r="R75" s="965"/>
      <c r="S75" s="965"/>
      <c r="T75" s="965"/>
      <c r="U75" s="965"/>
      <c r="V75" s="965"/>
      <c r="W75" s="965"/>
      <c r="X75" s="965"/>
      <c r="Y75" s="965"/>
      <c r="Z75" s="965"/>
    </row>
    <row r="76">
      <c r="A76" s="965"/>
      <c r="B76" s="965"/>
      <c r="C76" s="965"/>
      <c r="D76" s="965"/>
      <c r="E76" s="965"/>
      <c r="F76" s="965"/>
      <c r="G76" s="965"/>
      <c r="H76" s="965"/>
      <c r="I76" s="965"/>
      <c r="J76" s="965"/>
      <c r="K76" s="965"/>
      <c r="L76" s="965"/>
      <c r="M76" s="965"/>
      <c r="N76" s="965"/>
      <c r="O76" s="965"/>
      <c r="P76" s="965"/>
      <c r="Q76" s="965"/>
      <c r="R76" s="965"/>
      <c r="S76" s="965"/>
      <c r="T76" s="965"/>
      <c r="U76" s="965"/>
      <c r="V76" s="965"/>
      <c r="W76" s="965"/>
      <c r="X76" s="965"/>
      <c r="Y76" s="965"/>
      <c r="Z76" s="965"/>
    </row>
    <row r="77">
      <c r="A77" s="965"/>
      <c r="B77" s="965"/>
      <c r="C77" s="965"/>
      <c r="D77" s="965"/>
      <c r="E77" s="965"/>
      <c r="F77" s="965"/>
      <c r="G77" s="965"/>
      <c r="H77" s="965"/>
      <c r="I77" s="965"/>
      <c r="J77" s="965"/>
      <c r="K77" s="965"/>
      <c r="L77" s="965"/>
      <c r="M77" s="965"/>
      <c r="N77" s="965"/>
      <c r="O77" s="965"/>
      <c r="P77" s="965"/>
      <c r="Q77" s="965"/>
      <c r="R77" s="965"/>
      <c r="S77" s="965"/>
      <c r="T77" s="965"/>
      <c r="U77" s="965"/>
      <c r="V77" s="965"/>
      <c r="W77" s="965"/>
      <c r="X77" s="965"/>
      <c r="Y77" s="965"/>
      <c r="Z77" s="965"/>
    </row>
    <row r="78">
      <c r="A78" s="965"/>
      <c r="B78" s="965"/>
      <c r="C78" s="965"/>
      <c r="D78" s="965"/>
      <c r="E78" s="965"/>
      <c r="F78" s="965"/>
      <c r="G78" s="965"/>
      <c r="H78" s="965"/>
      <c r="I78" s="965"/>
      <c r="J78" s="965"/>
      <c r="K78" s="965"/>
      <c r="L78" s="965"/>
      <c r="M78" s="965"/>
      <c r="N78" s="965"/>
      <c r="O78" s="965"/>
      <c r="P78" s="965"/>
      <c r="Q78" s="965"/>
      <c r="R78" s="965"/>
      <c r="S78" s="965"/>
      <c r="T78" s="965"/>
      <c r="U78" s="965"/>
      <c r="V78" s="965"/>
      <c r="W78" s="965"/>
      <c r="X78" s="965"/>
      <c r="Y78" s="965"/>
      <c r="Z78" s="965"/>
    </row>
    <row r="79">
      <c r="A79" s="965"/>
      <c r="B79" s="965"/>
      <c r="C79" s="965"/>
      <c r="D79" s="965"/>
      <c r="E79" s="965"/>
      <c r="F79" s="965"/>
      <c r="G79" s="965"/>
      <c r="H79" s="965"/>
      <c r="I79" s="965"/>
      <c r="J79" s="965"/>
      <c r="K79" s="965"/>
      <c r="L79" s="965"/>
      <c r="M79" s="965"/>
      <c r="N79" s="965"/>
      <c r="O79" s="965"/>
      <c r="P79" s="965"/>
      <c r="Q79" s="965"/>
      <c r="R79" s="965"/>
      <c r="S79" s="965"/>
      <c r="T79" s="965"/>
      <c r="U79" s="965"/>
      <c r="V79" s="965"/>
      <c r="W79" s="965"/>
      <c r="X79" s="965"/>
      <c r="Y79" s="965"/>
      <c r="Z79" s="965"/>
    </row>
    <row r="80">
      <c r="A80" s="965"/>
      <c r="B80" s="965"/>
      <c r="C80" s="965"/>
      <c r="D80" s="965"/>
      <c r="E80" s="965"/>
      <c r="F80" s="965"/>
      <c r="G80" s="965"/>
      <c r="H80" s="965"/>
      <c r="I80" s="965"/>
      <c r="J80" s="965"/>
      <c r="K80" s="965"/>
      <c r="L80" s="965"/>
      <c r="M80" s="965"/>
      <c r="N80" s="965"/>
      <c r="O80" s="965"/>
      <c r="P80" s="965"/>
      <c r="Q80" s="965"/>
      <c r="R80" s="965"/>
      <c r="S80" s="965"/>
      <c r="T80" s="965"/>
      <c r="U80" s="965"/>
      <c r="V80" s="965"/>
      <c r="W80" s="965"/>
      <c r="X80" s="965"/>
      <c r="Y80" s="965"/>
      <c r="Z80" s="965"/>
    </row>
    <row r="81">
      <c r="A81" s="965"/>
      <c r="B81" s="965"/>
      <c r="C81" s="965"/>
      <c r="D81" s="965"/>
      <c r="E81" s="965"/>
      <c r="F81" s="965"/>
      <c r="G81" s="965"/>
      <c r="H81" s="965"/>
      <c r="I81" s="965"/>
      <c r="J81" s="965"/>
      <c r="K81" s="965"/>
      <c r="L81" s="965"/>
      <c r="M81" s="965"/>
      <c r="N81" s="965"/>
      <c r="O81" s="965"/>
      <c r="P81" s="965"/>
      <c r="Q81" s="965"/>
      <c r="R81" s="965"/>
      <c r="S81" s="965"/>
      <c r="T81" s="965"/>
      <c r="U81" s="965"/>
      <c r="V81" s="965"/>
      <c r="W81" s="965"/>
      <c r="X81" s="965"/>
      <c r="Y81" s="965"/>
      <c r="Z81" s="965"/>
    </row>
    <row r="82">
      <c r="A82" s="965"/>
      <c r="B82" s="965"/>
      <c r="C82" s="965"/>
      <c r="D82" s="965"/>
      <c r="E82" s="965"/>
      <c r="F82" s="965"/>
      <c r="G82" s="965"/>
      <c r="H82" s="965"/>
      <c r="I82" s="965"/>
      <c r="J82" s="965"/>
      <c r="K82" s="965"/>
      <c r="L82" s="965"/>
      <c r="M82" s="965"/>
      <c r="N82" s="965"/>
      <c r="O82" s="965"/>
      <c r="P82" s="965"/>
      <c r="Q82" s="965"/>
      <c r="R82" s="965"/>
      <c r="S82" s="965"/>
      <c r="T82" s="965"/>
      <c r="U82" s="965"/>
      <c r="V82" s="965"/>
      <c r="W82" s="965"/>
      <c r="X82" s="965"/>
      <c r="Y82" s="965"/>
      <c r="Z82" s="965"/>
    </row>
    <row r="83">
      <c r="A83" s="965"/>
      <c r="B83" s="965"/>
      <c r="C83" s="965"/>
      <c r="D83" s="965"/>
      <c r="E83" s="965"/>
      <c r="F83" s="965"/>
      <c r="G83" s="965"/>
      <c r="H83" s="965"/>
      <c r="I83" s="965"/>
      <c r="J83" s="965"/>
      <c r="K83" s="965"/>
      <c r="L83" s="965"/>
      <c r="M83" s="965"/>
      <c r="N83" s="965"/>
      <c r="O83" s="965"/>
      <c r="P83" s="965"/>
      <c r="Q83" s="965"/>
      <c r="R83" s="965"/>
      <c r="S83" s="965"/>
      <c r="T83" s="965"/>
      <c r="U83" s="965"/>
      <c r="V83" s="965"/>
      <c r="W83" s="965"/>
      <c r="X83" s="965"/>
      <c r="Y83" s="965"/>
      <c r="Z83" s="965"/>
    </row>
    <row r="84">
      <c r="A84" s="965"/>
      <c r="B84" s="965"/>
      <c r="C84" s="965"/>
      <c r="D84" s="965"/>
      <c r="E84" s="965"/>
      <c r="F84" s="965"/>
      <c r="G84" s="965"/>
      <c r="H84" s="965"/>
      <c r="I84" s="965"/>
      <c r="J84" s="965"/>
      <c r="K84" s="965"/>
      <c r="L84" s="965"/>
      <c r="M84" s="965"/>
      <c r="N84" s="965"/>
      <c r="O84" s="965"/>
      <c r="P84" s="965"/>
      <c r="Q84" s="965"/>
      <c r="R84" s="965"/>
      <c r="S84" s="965"/>
      <c r="T84" s="965"/>
      <c r="U84" s="965"/>
      <c r="V84" s="965"/>
      <c r="W84" s="965"/>
      <c r="X84" s="965"/>
      <c r="Y84" s="965"/>
      <c r="Z84" s="965"/>
    </row>
    <row r="85">
      <c r="A85" s="965"/>
      <c r="B85" s="965"/>
      <c r="C85" s="965"/>
      <c r="D85" s="965"/>
      <c r="E85" s="965"/>
      <c r="F85" s="965"/>
      <c r="G85" s="965"/>
      <c r="H85" s="965"/>
      <c r="I85" s="965"/>
      <c r="J85" s="965"/>
      <c r="K85" s="965"/>
      <c r="L85" s="965"/>
      <c r="M85" s="965"/>
      <c r="N85" s="965"/>
      <c r="O85" s="965"/>
      <c r="P85" s="965"/>
      <c r="Q85" s="965"/>
      <c r="R85" s="965"/>
      <c r="S85" s="965"/>
      <c r="T85" s="965"/>
      <c r="U85" s="965"/>
      <c r="V85" s="965"/>
      <c r="W85" s="965"/>
      <c r="X85" s="965"/>
      <c r="Y85" s="965"/>
      <c r="Z85" s="965"/>
    </row>
    <row r="86">
      <c r="A86" s="965"/>
      <c r="B86" s="965"/>
      <c r="C86" s="965"/>
      <c r="D86" s="965"/>
      <c r="E86" s="965"/>
      <c r="F86" s="965"/>
      <c r="G86" s="965"/>
      <c r="H86" s="965"/>
      <c r="I86" s="965"/>
      <c r="J86" s="965"/>
      <c r="K86" s="965"/>
      <c r="L86" s="965"/>
      <c r="M86" s="965"/>
      <c r="N86" s="965"/>
      <c r="O86" s="965"/>
      <c r="P86" s="965"/>
      <c r="Q86" s="965"/>
      <c r="R86" s="965"/>
      <c r="S86" s="965"/>
      <c r="T86" s="965"/>
      <c r="U86" s="965"/>
      <c r="V86" s="965"/>
      <c r="W86" s="965"/>
      <c r="X86" s="965"/>
      <c r="Y86" s="965"/>
      <c r="Z86" s="965"/>
    </row>
    <row r="87">
      <c r="A87" s="965"/>
      <c r="B87" s="965"/>
      <c r="C87" s="965"/>
      <c r="D87" s="965"/>
      <c r="E87" s="965"/>
      <c r="F87" s="965"/>
      <c r="G87" s="965"/>
      <c r="H87" s="965"/>
      <c r="I87" s="965"/>
      <c r="J87" s="965"/>
      <c r="K87" s="965"/>
      <c r="L87" s="965"/>
      <c r="M87" s="965"/>
      <c r="N87" s="965"/>
      <c r="O87" s="965"/>
      <c r="P87" s="965"/>
      <c r="Q87" s="965"/>
      <c r="R87" s="965"/>
      <c r="S87" s="965"/>
      <c r="T87" s="965"/>
      <c r="U87" s="965"/>
      <c r="V87" s="965"/>
      <c r="W87" s="965"/>
      <c r="X87" s="965"/>
      <c r="Y87" s="965"/>
      <c r="Z87" s="965"/>
    </row>
    <row r="88">
      <c r="A88" s="965"/>
      <c r="B88" s="965"/>
      <c r="C88" s="965"/>
      <c r="D88" s="965"/>
      <c r="E88" s="965"/>
      <c r="F88" s="965"/>
      <c r="G88" s="965"/>
      <c r="H88" s="965"/>
      <c r="I88" s="965"/>
      <c r="J88" s="965"/>
      <c r="K88" s="965"/>
      <c r="L88" s="965"/>
      <c r="M88" s="965"/>
      <c r="N88" s="965"/>
      <c r="O88" s="965"/>
      <c r="P88" s="965"/>
      <c r="Q88" s="965"/>
      <c r="R88" s="965"/>
      <c r="S88" s="965"/>
      <c r="T88" s="965"/>
      <c r="U88" s="965"/>
      <c r="V88" s="965"/>
      <c r="W88" s="965"/>
      <c r="X88" s="965"/>
      <c r="Y88" s="965"/>
      <c r="Z88" s="965"/>
    </row>
    <row r="89">
      <c r="A89" s="965"/>
      <c r="B89" s="965"/>
      <c r="C89" s="965"/>
      <c r="D89" s="965"/>
      <c r="E89" s="965"/>
      <c r="F89" s="965"/>
      <c r="G89" s="965"/>
      <c r="H89" s="965"/>
      <c r="I89" s="965"/>
      <c r="J89" s="965"/>
      <c r="K89" s="965"/>
      <c r="L89" s="965"/>
      <c r="M89" s="965"/>
      <c r="N89" s="965"/>
      <c r="O89" s="965"/>
      <c r="P89" s="965"/>
      <c r="Q89" s="965"/>
      <c r="R89" s="965"/>
      <c r="S89" s="965"/>
      <c r="T89" s="965"/>
      <c r="U89" s="965"/>
      <c r="V89" s="965"/>
      <c r="W89" s="965"/>
      <c r="X89" s="965"/>
      <c r="Y89" s="965"/>
      <c r="Z89" s="965"/>
    </row>
    <row r="90">
      <c r="A90" s="965"/>
      <c r="B90" s="965"/>
      <c r="C90" s="965"/>
      <c r="D90" s="965"/>
      <c r="E90" s="965"/>
      <c r="F90" s="965"/>
      <c r="G90" s="965"/>
      <c r="H90" s="965"/>
      <c r="I90" s="965"/>
      <c r="J90" s="965"/>
      <c r="K90" s="965"/>
      <c r="L90" s="965"/>
      <c r="M90" s="965"/>
      <c r="N90" s="965"/>
      <c r="O90" s="965"/>
      <c r="P90" s="965"/>
      <c r="Q90" s="965"/>
      <c r="R90" s="965"/>
      <c r="S90" s="965"/>
      <c r="T90" s="965"/>
      <c r="U90" s="965"/>
      <c r="V90" s="965"/>
      <c r="W90" s="965"/>
      <c r="X90" s="965"/>
      <c r="Y90" s="965"/>
      <c r="Z90" s="965"/>
    </row>
    <row r="91">
      <c r="A91" s="965"/>
      <c r="B91" s="965"/>
      <c r="C91" s="965"/>
      <c r="D91" s="965"/>
      <c r="E91" s="965"/>
      <c r="F91" s="965"/>
      <c r="G91" s="965"/>
      <c r="H91" s="965"/>
      <c r="I91" s="965"/>
      <c r="J91" s="965"/>
      <c r="K91" s="965"/>
      <c r="L91" s="965"/>
      <c r="M91" s="965"/>
      <c r="N91" s="965"/>
      <c r="O91" s="965"/>
      <c r="P91" s="965"/>
      <c r="Q91" s="965"/>
      <c r="R91" s="965"/>
      <c r="S91" s="965"/>
      <c r="T91" s="965"/>
      <c r="U91" s="965"/>
      <c r="V91" s="965"/>
      <c r="W91" s="965"/>
      <c r="X91" s="965"/>
      <c r="Y91" s="965"/>
      <c r="Z91" s="965"/>
    </row>
    <row r="92">
      <c r="A92" s="965"/>
      <c r="B92" s="965"/>
      <c r="C92" s="965"/>
      <c r="D92" s="965"/>
      <c r="E92" s="965"/>
      <c r="F92" s="965"/>
      <c r="G92" s="965"/>
      <c r="H92" s="965"/>
      <c r="I92" s="965"/>
      <c r="J92" s="965"/>
      <c r="K92" s="965"/>
      <c r="L92" s="965"/>
      <c r="M92" s="965"/>
      <c r="N92" s="965"/>
      <c r="O92" s="965"/>
      <c r="P92" s="965"/>
      <c r="Q92" s="965"/>
      <c r="R92" s="965"/>
      <c r="S92" s="965"/>
      <c r="T92" s="965"/>
      <c r="U92" s="965"/>
      <c r="V92" s="965"/>
      <c r="W92" s="965"/>
      <c r="X92" s="965"/>
      <c r="Y92" s="965"/>
      <c r="Z92" s="965"/>
    </row>
    <row r="93">
      <c r="A93" s="965"/>
      <c r="B93" s="965"/>
      <c r="C93" s="965"/>
      <c r="D93" s="965"/>
      <c r="E93" s="965"/>
      <c r="F93" s="965"/>
      <c r="G93" s="965"/>
      <c r="H93" s="965"/>
      <c r="I93" s="965"/>
      <c r="J93" s="965"/>
      <c r="K93" s="965"/>
      <c r="L93" s="965"/>
      <c r="M93" s="965"/>
      <c r="N93" s="965"/>
      <c r="O93" s="965"/>
      <c r="P93" s="965"/>
      <c r="Q93" s="965"/>
      <c r="R93" s="965"/>
      <c r="S93" s="965"/>
      <c r="T93" s="965"/>
      <c r="U93" s="965"/>
      <c r="V93" s="965"/>
      <c r="W93" s="965"/>
      <c r="X93" s="965"/>
      <c r="Y93" s="965"/>
      <c r="Z93" s="965"/>
    </row>
    <row r="94">
      <c r="A94" s="965"/>
      <c r="B94" s="965"/>
      <c r="C94" s="965"/>
      <c r="D94" s="965"/>
      <c r="E94" s="965"/>
      <c r="F94" s="965"/>
      <c r="G94" s="965"/>
      <c r="H94" s="965"/>
      <c r="I94" s="965"/>
      <c r="J94" s="965"/>
      <c r="K94" s="965"/>
      <c r="L94" s="965"/>
      <c r="M94" s="965"/>
      <c r="N94" s="965"/>
      <c r="O94" s="965"/>
      <c r="P94" s="965"/>
      <c r="Q94" s="965"/>
      <c r="R94" s="965"/>
      <c r="S94" s="965"/>
      <c r="T94" s="965"/>
      <c r="U94" s="965"/>
      <c r="V94" s="965"/>
      <c r="W94" s="965"/>
      <c r="X94" s="965"/>
      <c r="Y94" s="965"/>
      <c r="Z94" s="965"/>
    </row>
    <row r="95">
      <c r="A95" s="965"/>
      <c r="B95" s="965"/>
      <c r="C95" s="965"/>
      <c r="D95" s="965"/>
      <c r="E95" s="965"/>
      <c r="F95" s="965"/>
      <c r="G95" s="965"/>
      <c r="H95" s="965"/>
      <c r="I95" s="965"/>
      <c r="J95" s="965"/>
      <c r="K95" s="965"/>
      <c r="L95" s="965"/>
      <c r="M95" s="965"/>
      <c r="N95" s="965"/>
      <c r="O95" s="965"/>
      <c r="P95" s="965"/>
      <c r="Q95" s="965"/>
      <c r="R95" s="965"/>
      <c r="S95" s="965"/>
      <c r="T95" s="965"/>
      <c r="U95" s="965"/>
      <c r="V95" s="965"/>
      <c r="W95" s="965"/>
      <c r="X95" s="965"/>
      <c r="Y95" s="965"/>
      <c r="Z95" s="965"/>
    </row>
    <row r="96">
      <c r="A96" s="965"/>
      <c r="B96" s="965"/>
      <c r="C96" s="965"/>
      <c r="D96" s="965"/>
      <c r="E96" s="965"/>
      <c r="F96" s="965"/>
      <c r="G96" s="965"/>
      <c r="H96" s="965"/>
      <c r="I96" s="965"/>
      <c r="J96" s="965"/>
      <c r="K96" s="965"/>
      <c r="L96" s="965"/>
      <c r="M96" s="965"/>
      <c r="N96" s="965"/>
      <c r="O96" s="965"/>
      <c r="P96" s="965"/>
      <c r="Q96" s="965"/>
      <c r="R96" s="965"/>
      <c r="S96" s="965"/>
      <c r="T96" s="965"/>
      <c r="U96" s="965"/>
      <c r="V96" s="965"/>
      <c r="W96" s="965"/>
      <c r="X96" s="965"/>
      <c r="Y96" s="965"/>
      <c r="Z96" s="965"/>
    </row>
    <row r="97">
      <c r="A97" s="965"/>
      <c r="B97" s="965"/>
      <c r="C97" s="965"/>
      <c r="D97" s="965"/>
      <c r="E97" s="965"/>
      <c r="F97" s="965"/>
      <c r="G97" s="965"/>
      <c r="H97" s="965"/>
      <c r="I97" s="965"/>
      <c r="J97" s="965"/>
      <c r="K97" s="965"/>
      <c r="L97" s="965"/>
      <c r="M97" s="965"/>
      <c r="N97" s="965"/>
      <c r="O97" s="965"/>
      <c r="P97" s="965"/>
      <c r="Q97" s="965"/>
      <c r="R97" s="965"/>
      <c r="S97" s="965"/>
      <c r="T97" s="965"/>
      <c r="U97" s="965"/>
      <c r="V97" s="965"/>
      <c r="W97" s="965"/>
      <c r="X97" s="965"/>
      <c r="Y97" s="965"/>
      <c r="Z97" s="965"/>
    </row>
    <row r="98">
      <c r="A98" s="965"/>
      <c r="B98" s="965"/>
      <c r="C98" s="965"/>
      <c r="D98" s="965"/>
      <c r="E98" s="965"/>
      <c r="F98" s="965"/>
      <c r="G98" s="965"/>
      <c r="H98" s="965"/>
      <c r="I98" s="965"/>
      <c r="J98" s="965"/>
      <c r="K98" s="965"/>
      <c r="L98" s="965"/>
      <c r="M98" s="965"/>
      <c r="N98" s="965"/>
      <c r="O98" s="965"/>
      <c r="P98" s="965"/>
      <c r="Q98" s="965"/>
      <c r="R98" s="965"/>
      <c r="S98" s="965"/>
      <c r="T98" s="965"/>
      <c r="U98" s="965"/>
      <c r="V98" s="965"/>
      <c r="W98" s="965"/>
      <c r="X98" s="965"/>
      <c r="Y98" s="965"/>
      <c r="Z98" s="965"/>
    </row>
    <row r="99">
      <c r="A99" s="965"/>
      <c r="B99" s="965"/>
      <c r="C99" s="965"/>
      <c r="D99" s="965"/>
      <c r="E99" s="965"/>
      <c r="F99" s="965"/>
      <c r="G99" s="965"/>
      <c r="H99" s="965"/>
      <c r="I99" s="965"/>
      <c r="J99" s="965"/>
      <c r="K99" s="965"/>
      <c r="L99" s="965"/>
      <c r="M99" s="965"/>
      <c r="N99" s="965"/>
      <c r="O99" s="965"/>
      <c r="P99" s="965"/>
      <c r="Q99" s="965"/>
      <c r="R99" s="965"/>
      <c r="S99" s="965"/>
      <c r="T99" s="965"/>
      <c r="U99" s="965"/>
      <c r="V99" s="965"/>
      <c r="W99" s="965"/>
      <c r="X99" s="965"/>
      <c r="Y99" s="965"/>
      <c r="Z99" s="965"/>
    </row>
    <row r="100">
      <c r="A100" s="965"/>
      <c r="B100" s="965"/>
      <c r="C100" s="965"/>
      <c r="D100" s="965"/>
      <c r="E100" s="965"/>
      <c r="F100" s="965"/>
      <c r="G100" s="965"/>
      <c r="H100" s="965"/>
      <c r="I100" s="965"/>
      <c r="J100" s="965"/>
      <c r="K100" s="965"/>
      <c r="L100" s="965"/>
      <c r="M100" s="965"/>
      <c r="N100" s="965"/>
      <c r="O100" s="965"/>
      <c r="P100" s="965"/>
      <c r="Q100" s="965"/>
      <c r="R100" s="965"/>
      <c r="S100" s="965"/>
      <c r="T100" s="965"/>
      <c r="U100" s="965"/>
      <c r="V100" s="965"/>
      <c r="W100" s="965"/>
      <c r="X100" s="965"/>
      <c r="Y100" s="965"/>
      <c r="Z100" s="965"/>
    </row>
    <row r="101">
      <c r="A101" s="965"/>
      <c r="B101" s="965"/>
      <c r="C101" s="965"/>
      <c r="D101" s="965"/>
      <c r="E101" s="965"/>
      <c r="F101" s="965"/>
      <c r="G101" s="965"/>
      <c r="H101" s="965"/>
      <c r="I101" s="965"/>
      <c r="J101" s="965"/>
      <c r="K101" s="965"/>
      <c r="L101" s="965"/>
      <c r="M101" s="965"/>
      <c r="N101" s="965"/>
      <c r="O101" s="965"/>
      <c r="P101" s="965"/>
      <c r="Q101" s="965"/>
      <c r="R101" s="965"/>
      <c r="S101" s="965"/>
      <c r="T101" s="965"/>
      <c r="U101" s="965"/>
      <c r="V101" s="965"/>
      <c r="W101" s="965"/>
      <c r="X101" s="965"/>
      <c r="Y101" s="965"/>
      <c r="Z101" s="965"/>
    </row>
    <row r="102">
      <c r="A102" s="965"/>
      <c r="B102" s="965"/>
      <c r="C102" s="965"/>
      <c r="D102" s="965"/>
      <c r="E102" s="965"/>
      <c r="F102" s="965"/>
      <c r="G102" s="965"/>
      <c r="H102" s="965"/>
      <c r="I102" s="965"/>
      <c r="J102" s="965"/>
      <c r="K102" s="965"/>
      <c r="L102" s="965"/>
      <c r="M102" s="965"/>
      <c r="N102" s="965"/>
      <c r="O102" s="965"/>
      <c r="P102" s="965"/>
      <c r="Q102" s="965"/>
      <c r="R102" s="965"/>
      <c r="S102" s="965"/>
      <c r="T102" s="965"/>
      <c r="U102" s="965"/>
      <c r="V102" s="965"/>
      <c r="W102" s="965"/>
      <c r="X102" s="965"/>
      <c r="Y102" s="965"/>
      <c r="Z102" s="965"/>
    </row>
    <row r="103">
      <c r="A103" s="965"/>
      <c r="B103" s="965"/>
      <c r="C103" s="965"/>
      <c r="D103" s="965"/>
      <c r="E103" s="965"/>
      <c r="F103" s="965"/>
      <c r="G103" s="965"/>
      <c r="H103" s="965"/>
      <c r="I103" s="965"/>
      <c r="J103" s="965"/>
      <c r="K103" s="965"/>
      <c r="L103" s="965"/>
      <c r="M103" s="965"/>
      <c r="N103" s="965"/>
      <c r="O103" s="965"/>
      <c r="P103" s="965"/>
      <c r="Q103" s="965"/>
      <c r="R103" s="965"/>
      <c r="S103" s="965"/>
      <c r="T103" s="965"/>
      <c r="U103" s="965"/>
      <c r="V103" s="965"/>
      <c r="W103" s="965"/>
      <c r="X103" s="965"/>
      <c r="Y103" s="965"/>
      <c r="Z103" s="965"/>
    </row>
    <row r="104">
      <c r="A104" s="965"/>
      <c r="B104" s="965"/>
      <c r="C104" s="965"/>
      <c r="D104" s="965"/>
      <c r="E104" s="965"/>
      <c r="F104" s="965"/>
      <c r="G104" s="965"/>
      <c r="H104" s="965"/>
      <c r="I104" s="965"/>
      <c r="J104" s="965"/>
      <c r="K104" s="965"/>
      <c r="L104" s="965"/>
      <c r="M104" s="965"/>
      <c r="N104" s="965"/>
      <c r="O104" s="965"/>
      <c r="P104" s="965"/>
      <c r="Q104" s="965"/>
      <c r="R104" s="965"/>
      <c r="S104" s="965"/>
      <c r="T104" s="965"/>
      <c r="U104" s="965"/>
      <c r="V104" s="965"/>
      <c r="W104" s="965"/>
      <c r="X104" s="965"/>
      <c r="Y104" s="965"/>
      <c r="Z104" s="965"/>
    </row>
    <row r="105">
      <c r="A105" s="965"/>
      <c r="B105" s="965"/>
      <c r="C105" s="965"/>
      <c r="D105" s="965"/>
      <c r="E105" s="965"/>
      <c r="F105" s="965"/>
      <c r="G105" s="965"/>
      <c r="H105" s="965"/>
      <c r="I105" s="965"/>
      <c r="J105" s="965"/>
      <c r="K105" s="965"/>
      <c r="L105" s="965"/>
      <c r="M105" s="965"/>
      <c r="N105" s="965"/>
      <c r="O105" s="965"/>
      <c r="P105" s="965"/>
      <c r="Q105" s="965"/>
      <c r="R105" s="965"/>
      <c r="S105" s="965"/>
      <c r="T105" s="965"/>
      <c r="U105" s="965"/>
      <c r="V105" s="965"/>
      <c r="W105" s="965"/>
      <c r="X105" s="965"/>
      <c r="Y105" s="965"/>
      <c r="Z105" s="965"/>
    </row>
    <row r="106">
      <c r="A106" s="965"/>
      <c r="B106" s="965"/>
      <c r="C106" s="965"/>
      <c r="D106" s="965"/>
      <c r="E106" s="965"/>
      <c r="F106" s="965"/>
      <c r="G106" s="965"/>
      <c r="H106" s="965"/>
      <c r="I106" s="965"/>
      <c r="J106" s="965"/>
      <c r="K106" s="965"/>
      <c r="L106" s="965"/>
      <c r="M106" s="965"/>
      <c r="N106" s="965"/>
      <c r="O106" s="965"/>
      <c r="P106" s="965"/>
      <c r="Q106" s="965"/>
      <c r="R106" s="965"/>
      <c r="S106" s="965"/>
      <c r="T106" s="965"/>
      <c r="U106" s="965"/>
      <c r="V106" s="965"/>
      <c r="W106" s="965"/>
      <c r="X106" s="965"/>
      <c r="Y106" s="965"/>
      <c r="Z106" s="965"/>
    </row>
    <row r="107">
      <c r="A107" s="965"/>
      <c r="B107" s="965"/>
      <c r="C107" s="965"/>
      <c r="D107" s="965"/>
      <c r="E107" s="965"/>
      <c r="F107" s="965"/>
      <c r="G107" s="965"/>
      <c r="H107" s="965"/>
      <c r="I107" s="965"/>
      <c r="J107" s="965"/>
      <c r="K107" s="965"/>
      <c r="L107" s="965"/>
      <c r="M107" s="965"/>
      <c r="N107" s="965"/>
      <c r="O107" s="965"/>
      <c r="P107" s="965"/>
      <c r="Q107" s="965"/>
      <c r="R107" s="965"/>
      <c r="S107" s="965"/>
      <c r="T107" s="965"/>
      <c r="U107" s="965"/>
      <c r="V107" s="965"/>
      <c r="W107" s="965"/>
      <c r="X107" s="965"/>
      <c r="Y107" s="965"/>
      <c r="Z107" s="965"/>
    </row>
    <row r="108">
      <c r="A108" s="965"/>
      <c r="B108" s="965"/>
      <c r="C108" s="965"/>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row>
    <row r="109">
      <c r="A109" s="965"/>
      <c r="B109" s="965"/>
      <c r="C109" s="965"/>
      <c r="D109" s="965"/>
      <c r="E109" s="965"/>
      <c r="F109" s="965"/>
      <c r="G109" s="965"/>
      <c r="H109" s="965"/>
      <c r="I109" s="965"/>
      <c r="J109" s="965"/>
      <c r="K109" s="965"/>
      <c r="L109" s="965"/>
      <c r="M109" s="965"/>
      <c r="N109" s="965"/>
      <c r="O109" s="965"/>
      <c r="P109" s="965"/>
      <c r="Q109" s="965"/>
      <c r="R109" s="965"/>
      <c r="S109" s="965"/>
      <c r="T109" s="965"/>
      <c r="U109" s="965"/>
      <c r="V109" s="965"/>
      <c r="W109" s="965"/>
      <c r="X109" s="965"/>
      <c r="Y109" s="965"/>
      <c r="Z109" s="965"/>
    </row>
    <row r="110">
      <c r="A110" s="965"/>
      <c r="B110" s="965"/>
      <c r="C110" s="965"/>
      <c r="D110" s="965"/>
      <c r="E110" s="965"/>
      <c r="F110" s="965"/>
      <c r="G110" s="965"/>
      <c r="H110" s="965"/>
      <c r="I110" s="965"/>
      <c r="J110" s="965"/>
      <c r="K110" s="965"/>
      <c r="L110" s="965"/>
      <c r="M110" s="965"/>
      <c r="N110" s="965"/>
      <c r="O110" s="965"/>
      <c r="P110" s="965"/>
      <c r="Q110" s="965"/>
      <c r="R110" s="965"/>
      <c r="S110" s="965"/>
      <c r="T110" s="965"/>
      <c r="U110" s="965"/>
      <c r="V110" s="965"/>
      <c r="W110" s="965"/>
      <c r="X110" s="965"/>
      <c r="Y110" s="965"/>
      <c r="Z110" s="965"/>
    </row>
    <row r="111">
      <c r="A111" s="965"/>
      <c r="B111" s="965"/>
      <c r="C111" s="965"/>
      <c r="D111" s="965"/>
      <c r="E111" s="965"/>
      <c r="F111" s="965"/>
      <c r="G111" s="965"/>
      <c r="H111" s="965"/>
      <c r="I111" s="965"/>
      <c r="J111" s="965"/>
      <c r="K111" s="965"/>
      <c r="L111" s="965"/>
      <c r="M111" s="965"/>
      <c r="N111" s="965"/>
      <c r="O111" s="965"/>
      <c r="P111" s="965"/>
      <c r="Q111" s="965"/>
      <c r="R111" s="965"/>
      <c r="S111" s="965"/>
      <c r="T111" s="965"/>
      <c r="U111" s="965"/>
      <c r="V111" s="965"/>
      <c r="W111" s="965"/>
      <c r="X111" s="965"/>
      <c r="Y111" s="965"/>
      <c r="Z111" s="965"/>
    </row>
    <row r="112">
      <c r="A112" s="965"/>
      <c r="B112" s="965"/>
      <c r="C112" s="965"/>
      <c r="D112" s="965"/>
      <c r="E112" s="965"/>
      <c r="F112" s="965"/>
      <c r="G112" s="965"/>
      <c r="H112" s="965"/>
      <c r="I112" s="965"/>
      <c r="J112" s="965"/>
      <c r="K112" s="965"/>
      <c r="L112" s="965"/>
      <c r="M112" s="965"/>
      <c r="N112" s="965"/>
      <c r="O112" s="965"/>
      <c r="P112" s="965"/>
      <c r="Q112" s="965"/>
      <c r="R112" s="965"/>
      <c r="S112" s="965"/>
      <c r="T112" s="965"/>
      <c r="U112" s="965"/>
      <c r="V112" s="965"/>
      <c r="W112" s="965"/>
      <c r="X112" s="965"/>
      <c r="Y112" s="965"/>
      <c r="Z112" s="965"/>
    </row>
    <row r="113">
      <c r="A113" s="965"/>
      <c r="B113" s="965"/>
      <c r="C113" s="965"/>
      <c r="D113" s="965"/>
      <c r="E113" s="965"/>
      <c r="F113" s="965"/>
      <c r="G113" s="965"/>
      <c r="H113" s="965"/>
      <c r="I113" s="965"/>
      <c r="J113" s="965"/>
      <c r="K113" s="965"/>
      <c r="L113" s="965"/>
      <c r="M113" s="965"/>
      <c r="N113" s="965"/>
      <c r="O113" s="965"/>
      <c r="P113" s="965"/>
      <c r="Q113" s="965"/>
      <c r="R113" s="965"/>
      <c r="S113" s="965"/>
      <c r="T113" s="965"/>
      <c r="U113" s="965"/>
      <c r="V113" s="965"/>
      <c r="W113" s="965"/>
      <c r="X113" s="965"/>
      <c r="Y113" s="965"/>
      <c r="Z113" s="965"/>
    </row>
    <row r="114">
      <c r="A114" s="965"/>
      <c r="B114" s="965"/>
      <c r="C114" s="965"/>
      <c r="D114" s="965"/>
      <c r="E114" s="965"/>
      <c r="F114" s="965"/>
      <c r="G114" s="965"/>
      <c r="H114" s="965"/>
      <c r="I114" s="965"/>
      <c r="J114" s="965"/>
      <c r="K114" s="965"/>
      <c r="L114" s="965"/>
      <c r="M114" s="965"/>
      <c r="N114" s="965"/>
      <c r="O114" s="965"/>
      <c r="P114" s="965"/>
      <c r="Q114" s="965"/>
      <c r="R114" s="965"/>
      <c r="S114" s="965"/>
      <c r="T114" s="965"/>
      <c r="U114" s="965"/>
      <c r="V114" s="965"/>
      <c r="W114" s="965"/>
      <c r="X114" s="965"/>
      <c r="Y114" s="965"/>
      <c r="Z114" s="965"/>
    </row>
    <row r="115">
      <c r="A115" s="965"/>
      <c r="B115" s="965"/>
      <c r="C115" s="965"/>
      <c r="D115" s="965"/>
      <c r="E115" s="965"/>
      <c r="F115" s="965"/>
      <c r="G115" s="965"/>
      <c r="H115" s="965"/>
      <c r="I115" s="965"/>
      <c r="J115" s="965"/>
      <c r="K115" s="965"/>
      <c r="L115" s="965"/>
      <c r="M115" s="965"/>
      <c r="N115" s="965"/>
      <c r="O115" s="965"/>
      <c r="P115" s="965"/>
      <c r="Q115" s="965"/>
      <c r="R115" s="965"/>
      <c r="S115" s="965"/>
      <c r="T115" s="965"/>
      <c r="U115" s="965"/>
      <c r="V115" s="965"/>
      <c r="W115" s="965"/>
      <c r="X115" s="965"/>
      <c r="Y115" s="965"/>
      <c r="Z115" s="965"/>
    </row>
    <row r="116">
      <c r="A116" s="965"/>
      <c r="B116" s="965"/>
      <c r="C116" s="965"/>
      <c r="D116" s="965"/>
      <c r="E116" s="965"/>
      <c r="F116" s="965"/>
      <c r="G116" s="965"/>
      <c r="H116" s="965"/>
      <c r="I116" s="965"/>
      <c r="J116" s="965"/>
      <c r="K116" s="965"/>
      <c r="L116" s="965"/>
      <c r="M116" s="965"/>
      <c r="N116" s="965"/>
      <c r="O116" s="965"/>
      <c r="P116" s="965"/>
      <c r="Q116" s="965"/>
      <c r="R116" s="965"/>
      <c r="S116" s="965"/>
      <c r="T116" s="965"/>
      <c r="U116" s="965"/>
      <c r="V116" s="965"/>
      <c r="W116" s="965"/>
      <c r="X116" s="965"/>
      <c r="Y116" s="965"/>
      <c r="Z116" s="965"/>
    </row>
    <row r="117">
      <c r="A117" s="965"/>
      <c r="B117" s="965"/>
      <c r="C117" s="965"/>
      <c r="D117" s="965"/>
      <c r="E117" s="965"/>
      <c r="F117" s="965"/>
      <c r="G117" s="965"/>
      <c r="H117" s="965"/>
      <c r="I117" s="965"/>
      <c r="J117" s="965"/>
      <c r="K117" s="965"/>
      <c r="L117" s="965"/>
      <c r="M117" s="965"/>
      <c r="N117" s="965"/>
      <c r="O117" s="965"/>
      <c r="P117" s="965"/>
      <c r="Q117" s="965"/>
      <c r="R117" s="965"/>
      <c r="S117" s="965"/>
      <c r="T117" s="965"/>
      <c r="U117" s="965"/>
      <c r="V117" s="965"/>
      <c r="W117" s="965"/>
      <c r="X117" s="965"/>
      <c r="Y117" s="965"/>
      <c r="Z117" s="965"/>
    </row>
    <row r="118">
      <c r="A118" s="965"/>
      <c r="B118" s="965"/>
      <c r="C118" s="965"/>
      <c r="D118" s="965"/>
      <c r="E118" s="965"/>
      <c r="F118" s="965"/>
      <c r="G118" s="965"/>
      <c r="H118" s="965"/>
      <c r="I118" s="965"/>
      <c r="J118" s="965"/>
      <c r="K118" s="965"/>
      <c r="L118" s="965"/>
      <c r="M118" s="965"/>
      <c r="N118" s="965"/>
      <c r="O118" s="965"/>
      <c r="P118" s="965"/>
      <c r="Q118" s="965"/>
      <c r="R118" s="965"/>
      <c r="S118" s="965"/>
      <c r="T118" s="965"/>
      <c r="U118" s="965"/>
      <c r="V118" s="965"/>
      <c r="W118" s="965"/>
      <c r="X118" s="965"/>
      <c r="Y118" s="965"/>
      <c r="Z118" s="965"/>
    </row>
    <row r="119">
      <c r="A119" s="965"/>
      <c r="B119" s="965"/>
      <c r="C119" s="965"/>
      <c r="D119" s="965"/>
      <c r="E119" s="965"/>
      <c r="F119" s="965"/>
      <c r="G119" s="965"/>
      <c r="H119" s="965"/>
      <c r="I119" s="965"/>
      <c r="J119" s="965"/>
      <c r="K119" s="965"/>
      <c r="L119" s="965"/>
      <c r="M119" s="965"/>
      <c r="N119" s="965"/>
      <c r="O119" s="965"/>
      <c r="P119" s="965"/>
      <c r="Q119" s="965"/>
      <c r="R119" s="965"/>
      <c r="S119" s="965"/>
      <c r="T119" s="965"/>
      <c r="U119" s="965"/>
      <c r="V119" s="965"/>
      <c r="W119" s="965"/>
      <c r="X119" s="965"/>
      <c r="Y119" s="965"/>
      <c r="Z119" s="965"/>
    </row>
    <row r="120">
      <c r="A120" s="965"/>
      <c r="B120" s="965"/>
      <c r="C120" s="965"/>
      <c r="D120" s="965"/>
      <c r="E120" s="965"/>
      <c r="F120" s="965"/>
      <c r="G120" s="965"/>
      <c r="H120" s="965"/>
      <c r="I120" s="965"/>
      <c r="J120" s="965"/>
      <c r="K120" s="965"/>
      <c r="L120" s="965"/>
      <c r="M120" s="965"/>
      <c r="N120" s="965"/>
      <c r="O120" s="965"/>
      <c r="P120" s="965"/>
      <c r="Q120" s="965"/>
      <c r="R120" s="965"/>
      <c r="S120" s="965"/>
      <c r="T120" s="965"/>
      <c r="U120" s="965"/>
      <c r="V120" s="965"/>
      <c r="W120" s="965"/>
      <c r="X120" s="965"/>
      <c r="Y120" s="965"/>
      <c r="Z120" s="965"/>
    </row>
    <row r="121">
      <c r="A121" s="965"/>
      <c r="B121" s="965"/>
      <c r="C121" s="965"/>
      <c r="D121" s="965"/>
      <c r="E121" s="965"/>
      <c r="F121" s="965"/>
      <c r="G121" s="965"/>
      <c r="H121" s="965"/>
      <c r="I121" s="965"/>
      <c r="J121" s="965"/>
      <c r="K121" s="965"/>
      <c r="L121" s="965"/>
      <c r="M121" s="965"/>
      <c r="N121" s="965"/>
      <c r="O121" s="965"/>
      <c r="P121" s="965"/>
      <c r="Q121" s="965"/>
      <c r="R121" s="965"/>
      <c r="S121" s="965"/>
      <c r="T121" s="965"/>
      <c r="U121" s="965"/>
      <c r="V121" s="965"/>
      <c r="W121" s="965"/>
      <c r="X121" s="965"/>
      <c r="Y121" s="965"/>
      <c r="Z121" s="965"/>
    </row>
    <row r="122">
      <c r="A122" s="965"/>
      <c r="B122" s="965"/>
      <c r="C122" s="965"/>
      <c r="D122" s="965"/>
      <c r="E122" s="965"/>
      <c r="F122" s="965"/>
      <c r="G122" s="965"/>
      <c r="H122" s="965"/>
      <c r="I122" s="965"/>
      <c r="J122" s="965"/>
      <c r="K122" s="965"/>
      <c r="L122" s="965"/>
      <c r="M122" s="965"/>
      <c r="N122" s="965"/>
      <c r="O122" s="965"/>
      <c r="P122" s="965"/>
      <c r="Q122" s="965"/>
      <c r="R122" s="965"/>
      <c r="S122" s="965"/>
      <c r="T122" s="965"/>
      <c r="U122" s="965"/>
      <c r="V122" s="965"/>
      <c r="W122" s="965"/>
      <c r="X122" s="965"/>
      <c r="Y122" s="965"/>
      <c r="Z122" s="965"/>
    </row>
    <row r="123">
      <c r="A123" s="965"/>
      <c r="B123" s="965"/>
      <c r="C123" s="965"/>
      <c r="D123" s="965"/>
      <c r="E123" s="965"/>
      <c r="F123" s="965"/>
      <c r="G123" s="965"/>
      <c r="H123" s="965"/>
      <c r="I123" s="965"/>
      <c r="J123" s="965"/>
      <c r="K123" s="965"/>
      <c r="L123" s="965"/>
      <c r="M123" s="965"/>
      <c r="N123" s="965"/>
      <c r="O123" s="965"/>
      <c r="P123" s="965"/>
      <c r="Q123" s="965"/>
      <c r="R123" s="965"/>
      <c r="S123" s="965"/>
      <c r="T123" s="965"/>
      <c r="U123" s="965"/>
      <c r="V123" s="965"/>
      <c r="W123" s="965"/>
      <c r="X123" s="965"/>
      <c r="Y123" s="965"/>
      <c r="Z123" s="965"/>
    </row>
    <row r="124">
      <c r="A124" s="965"/>
      <c r="B124" s="965"/>
      <c r="C124" s="965"/>
      <c r="D124" s="965"/>
      <c r="E124" s="965"/>
      <c r="F124" s="965"/>
      <c r="G124" s="965"/>
      <c r="H124" s="965"/>
      <c r="I124" s="965"/>
      <c r="J124" s="965"/>
      <c r="K124" s="965"/>
      <c r="L124" s="965"/>
      <c r="M124" s="965"/>
      <c r="N124" s="965"/>
      <c r="O124" s="965"/>
      <c r="P124" s="965"/>
      <c r="Q124" s="965"/>
      <c r="R124" s="965"/>
      <c r="S124" s="965"/>
      <c r="T124" s="965"/>
      <c r="U124" s="965"/>
      <c r="V124" s="965"/>
      <c r="W124" s="965"/>
      <c r="X124" s="965"/>
      <c r="Y124" s="965"/>
      <c r="Z124" s="965"/>
    </row>
    <row r="125">
      <c r="A125" s="965"/>
      <c r="B125" s="965"/>
      <c r="C125" s="965"/>
      <c r="D125" s="965"/>
      <c r="E125" s="965"/>
      <c r="F125" s="965"/>
      <c r="G125" s="965"/>
      <c r="H125" s="965"/>
      <c r="I125" s="965"/>
      <c r="J125" s="965"/>
      <c r="K125" s="965"/>
      <c r="L125" s="965"/>
      <c r="M125" s="965"/>
      <c r="N125" s="965"/>
      <c r="O125" s="965"/>
      <c r="P125" s="965"/>
      <c r="Q125" s="965"/>
      <c r="R125" s="965"/>
      <c r="S125" s="965"/>
      <c r="T125" s="965"/>
      <c r="U125" s="965"/>
      <c r="V125" s="965"/>
      <c r="W125" s="965"/>
      <c r="X125" s="965"/>
      <c r="Y125" s="965"/>
      <c r="Z125" s="965"/>
    </row>
    <row r="126">
      <c r="A126" s="965"/>
      <c r="B126" s="965"/>
      <c r="C126" s="965"/>
      <c r="D126" s="965"/>
      <c r="E126" s="965"/>
      <c r="F126" s="965"/>
      <c r="G126" s="965"/>
      <c r="H126" s="965"/>
      <c r="I126" s="965"/>
      <c r="J126" s="965"/>
      <c r="K126" s="965"/>
      <c r="L126" s="965"/>
      <c r="M126" s="965"/>
      <c r="N126" s="965"/>
      <c r="O126" s="965"/>
      <c r="P126" s="965"/>
      <c r="Q126" s="965"/>
      <c r="R126" s="965"/>
      <c r="S126" s="965"/>
      <c r="T126" s="965"/>
      <c r="U126" s="965"/>
      <c r="V126" s="965"/>
      <c r="W126" s="965"/>
      <c r="X126" s="965"/>
      <c r="Y126" s="965"/>
      <c r="Z126" s="965"/>
    </row>
    <row r="127">
      <c r="A127" s="965"/>
      <c r="B127" s="965"/>
      <c r="C127" s="965"/>
      <c r="D127" s="965"/>
      <c r="E127" s="965"/>
      <c r="F127" s="965"/>
      <c r="G127" s="965"/>
      <c r="H127" s="965"/>
      <c r="I127" s="965"/>
      <c r="J127" s="965"/>
      <c r="K127" s="965"/>
      <c r="L127" s="965"/>
      <c r="M127" s="965"/>
      <c r="N127" s="965"/>
      <c r="O127" s="965"/>
      <c r="P127" s="965"/>
      <c r="Q127" s="965"/>
      <c r="R127" s="965"/>
      <c r="S127" s="965"/>
      <c r="T127" s="965"/>
      <c r="U127" s="965"/>
      <c r="V127" s="965"/>
      <c r="W127" s="965"/>
      <c r="X127" s="965"/>
      <c r="Y127" s="965"/>
      <c r="Z127" s="965"/>
    </row>
    <row r="128">
      <c r="A128" s="965"/>
      <c r="B128" s="965"/>
      <c r="C128" s="965"/>
      <c r="D128" s="965"/>
      <c r="E128" s="965"/>
      <c r="F128" s="965"/>
      <c r="G128" s="965"/>
      <c r="H128" s="965"/>
      <c r="I128" s="965"/>
      <c r="J128" s="965"/>
      <c r="K128" s="965"/>
      <c r="L128" s="965"/>
      <c r="M128" s="965"/>
      <c r="N128" s="965"/>
      <c r="O128" s="965"/>
      <c r="P128" s="965"/>
      <c r="Q128" s="965"/>
      <c r="R128" s="965"/>
      <c r="S128" s="965"/>
      <c r="T128" s="965"/>
      <c r="U128" s="965"/>
      <c r="V128" s="965"/>
      <c r="W128" s="965"/>
      <c r="X128" s="965"/>
      <c r="Y128" s="965"/>
      <c r="Z128" s="965"/>
    </row>
    <row r="129">
      <c r="A129" s="965"/>
      <c r="B129" s="965"/>
      <c r="C129" s="965"/>
      <c r="D129" s="965"/>
      <c r="E129" s="965"/>
      <c r="F129" s="965"/>
      <c r="G129" s="965"/>
      <c r="H129" s="965"/>
      <c r="I129" s="965"/>
      <c r="J129" s="965"/>
      <c r="K129" s="965"/>
      <c r="L129" s="965"/>
      <c r="M129" s="965"/>
      <c r="N129" s="965"/>
      <c r="O129" s="965"/>
      <c r="P129" s="965"/>
      <c r="Q129" s="965"/>
      <c r="R129" s="965"/>
      <c r="S129" s="965"/>
      <c r="T129" s="965"/>
      <c r="U129" s="965"/>
      <c r="V129" s="965"/>
      <c r="W129" s="965"/>
      <c r="X129" s="965"/>
      <c r="Y129" s="965"/>
      <c r="Z129" s="965"/>
    </row>
    <row r="130">
      <c r="A130" s="965"/>
      <c r="B130" s="965"/>
      <c r="C130" s="965"/>
      <c r="D130" s="965"/>
      <c r="E130" s="965"/>
      <c r="F130" s="965"/>
      <c r="G130" s="965"/>
      <c r="H130" s="965"/>
      <c r="I130" s="965"/>
      <c r="J130" s="965"/>
      <c r="K130" s="965"/>
      <c r="L130" s="965"/>
      <c r="M130" s="965"/>
      <c r="N130" s="965"/>
      <c r="O130" s="965"/>
      <c r="P130" s="965"/>
      <c r="Q130" s="965"/>
      <c r="R130" s="965"/>
      <c r="S130" s="965"/>
      <c r="T130" s="965"/>
      <c r="U130" s="965"/>
      <c r="V130" s="965"/>
      <c r="W130" s="965"/>
      <c r="X130" s="965"/>
      <c r="Y130" s="965"/>
      <c r="Z130" s="965"/>
    </row>
    <row r="131">
      <c r="A131" s="965"/>
      <c r="B131" s="965"/>
      <c r="C131" s="965"/>
      <c r="D131" s="965"/>
      <c r="E131" s="965"/>
      <c r="F131" s="965"/>
      <c r="G131" s="965"/>
      <c r="H131" s="965"/>
      <c r="I131" s="965"/>
      <c r="J131" s="965"/>
      <c r="K131" s="965"/>
      <c r="L131" s="965"/>
      <c r="M131" s="965"/>
      <c r="N131" s="965"/>
      <c r="O131" s="965"/>
      <c r="P131" s="965"/>
      <c r="Q131" s="965"/>
      <c r="R131" s="965"/>
      <c r="S131" s="965"/>
      <c r="T131" s="965"/>
      <c r="U131" s="965"/>
      <c r="V131" s="965"/>
      <c r="W131" s="965"/>
      <c r="X131" s="965"/>
      <c r="Y131" s="965"/>
      <c r="Z131" s="965"/>
    </row>
    <row r="132">
      <c r="A132" s="965"/>
      <c r="B132" s="965"/>
      <c r="C132" s="965"/>
      <c r="D132" s="965"/>
      <c r="E132" s="965"/>
      <c r="F132" s="965"/>
      <c r="G132" s="965"/>
      <c r="H132" s="965"/>
      <c r="I132" s="965"/>
      <c r="J132" s="965"/>
      <c r="K132" s="965"/>
      <c r="L132" s="965"/>
      <c r="M132" s="965"/>
      <c r="N132" s="965"/>
      <c r="O132" s="965"/>
      <c r="P132" s="965"/>
      <c r="Q132" s="965"/>
      <c r="R132" s="965"/>
      <c r="S132" s="965"/>
      <c r="T132" s="965"/>
      <c r="U132" s="965"/>
      <c r="V132" s="965"/>
      <c r="W132" s="965"/>
      <c r="X132" s="965"/>
      <c r="Y132" s="965"/>
      <c r="Z132" s="965"/>
    </row>
    <row r="133">
      <c r="A133" s="965"/>
      <c r="B133" s="965"/>
      <c r="C133" s="965"/>
      <c r="D133" s="965"/>
      <c r="E133" s="965"/>
      <c r="F133" s="965"/>
      <c r="G133" s="965"/>
      <c r="H133" s="965"/>
      <c r="I133" s="965"/>
      <c r="J133" s="965"/>
      <c r="K133" s="965"/>
      <c r="L133" s="965"/>
      <c r="M133" s="965"/>
      <c r="N133" s="965"/>
      <c r="O133" s="965"/>
      <c r="P133" s="965"/>
      <c r="Q133" s="965"/>
      <c r="R133" s="965"/>
      <c r="S133" s="965"/>
      <c r="T133" s="965"/>
      <c r="U133" s="965"/>
      <c r="V133" s="965"/>
      <c r="W133" s="965"/>
      <c r="X133" s="965"/>
      <c r="Y133" s="965"/>
      <c r="Z133" s="965"/>
    </row>
    <row r="134">
      <c r="A134" s="965"/>
      <c r="B134" s="965"/>
      <c r="C134" s="965"/>
      <c r="D134" s="965"/>
      <c r="E134" s="965"/>
      <c r="F134" s="965"/>
      <c r="G134" s="965"/>
      <c r="H134" s="965"/>
      <c r="I134" s="965"/>
      <c r="J134" s="965"/>
      <c r="K134" s="965"/>
      <c r="L134" s="965"/>
      <c r="M134" s="965"/>
      <c r="N134" s="965"/>
      <c r="O134" s="965"/>
      <c r="P134" s="965"/>
      <c r="Q134" s="965"/>
      <c r="R134" s="965"/>
      <c r="S134" s="965"/>
      <c r="T134" s="965"/>
      <c r="U134" s="965"/>
      <c r="V134" s="965"/>
      <c r="W134" s="965"/>
      <c r="X134" s="965"/>
      <c r="Y134" s="965"/>
      <c r="Z134" s="965"/>
    </row>
    <row r="135">
      <c r="A135" s="965"/>
      <c r="B135" s="965"/>
      <c r="C135" s="965"/>
      <c r="D135" s="965"/>
      <c r="E135" s="965"/>
      <c r="F135" s="965"/>
      <c r="G135" s="965"/>
      <c r="H135" s="965"/>
      <c r="I135" s="965"/>
      <c r="J135" s="965"/>
      <c r="K135" s="965"/>
      <c r="L135" s="965"/>
      <c r="M135" s="965"/>
      <c r="N135" s="965"/>
      <c r="O135" s="965"/>
      <c r="P135" s="965"/>
      <c r="Q135" s="965"/>
      <c r="R135" s="965"/>
      <c r="S135" s="965"/>
      <c r="T135" s="965"/>
      <c r="U135" s="965"/>
      <c r="V135" s="965"/>
      <c r="W135" s="965"/>
      <c r="X135" s="965"/>
      <c r="Y135" s="965"/>
      <c r="Z135" s="965"/>
    </row>
    <row r="136">
      <c r="A136" s="965"/>
      <c r="B136" s="965"/>
      <c r="C136" s="965"/>
      <c r="D136" s="965"/>
      <c r="E136" s="965"/>
      <c r="F136" s="965"/>
      <c r="G136" s="965"/>
      <c r="H136" s="965"/>
      <c r="I136" s="965"/>
      <c r="J136" s="965"/>
      <c r="K136" s="965"/>
      <c r="L136" s="965"/>
      <c r="M136" s="965"/>
      <c r="N136" s="965"/>
      <c r="O136" s="965"/>
      <c r="P136" s="965"/>
      <c r="Q136" s="965"/>
      <c r="R136" s="965"/>
      <c r="S136" s="965"/>
      <c r="T136" s="965"/>
      <c r="U136" s="965"/>
      <c r="V136" s="965"/>
      <c r="W136" s="965"/>
      <c r="X136" s="965"/>
      <c r="Y136" s="965"/>
      <c r="Z136" s="965"/>
    </row>
    <row r="137">
      <c r="A137" s="965"/>
      <c r="B137" s="965"/>
      <c r="C137" s="965"/>
      <c r="D137" s="965"/>
      <c r="E137" s="965"/>
      <c r="F137" s="965"/>
      <c r="G137" s="965"/>
      <c r="H137" s="965"/>
      <c r="I137" s="965"/>
      <c r="J137" s="965"/>
      <c r="K137" s="965"/>
      <c r="L137" s="965"/>
      <c r="M137" s="965"/>
      <c r="N137" s="965"/>
      <c r="O137" s="965"/>
      <c r="P137" s="965"/>
      <c r="Q137" s="965"/>
      <c r="R137" s="965"/>
      <c r="S137" s="965"/>
      <c r="T137" s="965"/>
      <c r="U137" s="965"/>
      <c r="V137" s="965"/>
      <c r="W137" s="965"/>
      <c r="X137" s="965"/>
      <c r="Y137" s="965"/>
      <c r="Z137" s="965"/>
    </row>
    <row r="138">
      <c r="A138" s="965"/>
      <c r="B138" s="965"/>
      <c r="C138" s="965"/>
      <c r="D138" s="965"/>
      <c r="E138" s="965"/>
      <c r="F138" s="965"/>
      <c r="G138" s="965"/>
      <c r="H138" s="965"/>
      <c r="I138" s="965"/>
      <c r="J138" s="965"/>
      <c r="K138" s="965"/>
      <c r="L138" s="965"/>
      <c r="M138" s="965"/>
      <c r="N138" s="965"/>
      <c r="O138" s="965"/>
      <c r="P138" s="965"/>
      <c r="Q138" s="965"/>
      <c r="R138" s="965"/>
      <c r="S138" s="965"/>
      <c r="T138" s="965"/>
      <c r="U138" s="965"/>
      <c r="V138" s="965"/>
      <c r="W138" s="965"/>
      <c r="X138" s="965"/>
      <c r="Y138" s="965"/>
      <c r="Z138" s="965"/>
    </row>
    <row r="139">
      <c r="A139" s="965"/>
      <c r="B139" s="965"/>
      <c r="C139" s="965"/>
      <c r="D139" s="965"/>
      <c r="E139" s="965"/>
      <c r="F139" s="965"/>
      <c r="G139" s="965"/>
      <c r="H139" s="965"/>
      <c r="I139" s="965"/>
      <c r="J139" s="965"/>
      <c r="K139" s="965"/>
      <c r="L139" s="965"/>
      <c r="M139" s="965"/>
      <c r="N139" s="965"/>
      <c r="O139" s="965"/>
      <c r="P139" s="965"/>
      <c r="Q139" s="965"/>
      <c r="R139" s="965"/>
      <c r="S139" s="965"/>
      <c r="T139" s="965"/>
      <c r="U139" s="965"/>
      <c r="V139" s="965"/>
      <c r="W139" s="965"/>
      <c r="X139" s="965"/>
      <c r="Y139" s="965"/>
      <c r="Z139" s="965"/>
    </row>
    <row r="140">
      <c r="A140" s="965"/>
      <c r="B140" s="965"/>
      <c r="C140" s="965"/>
      <c r="D140" s="965"/>
      <c r="E140" s="965"/>
      <c r="F140" s="965"/>
      <c r="G140" s="965"/>
      <c r="H140" s="965"/>
      <c r="I140" s="965"/>
      <c r="J140" s="965"/>
      <c r="K140" s="965"/>
      <c r="L140" s="965"/>
      <c r="M140" s="965"/>
      <c r="N140" s="965"/>
      <c r="O140" s="965"/>
      <c r="P140" s="965"/>
      <c r="Q140" s="965"/>
      <c r="R140" s="965"/>
      <c r="S140" s="965"/>
      <c r="T140" s="965"/>
      <c r="U140" s="965"/>
      <c r="V140" s="965"/>
      <c r="W140" s="965"/>
      <c r="X140" s="965"/>
      <c r="Y140" s="965"/>
      <c r="Z140" s="965"/>
    </row>
    <row r="141">
      <c r="A141" s="965"/>
      <c r="B141" s="965"/>
      <c r="C141" s="965"/>
      <c r="D141" s="965"/>
      <c r="E141" s="965"/>
      <c r="F141" s="965"/>
      <c r="G141" s="965"/>
      <c r="H141" s="965"/>
      <c r="I141" s="965"/>
      <c r="J141" s="965"/>
      <c r="K141" s="965"/>
      <c r="L141" s="965"/>
      <c r="M141" s="965"/>
      <c r="N141" s="965"/>
      <c r="O141" s="965"/>
      <c r="P141" s="965"/>
      <c r="Q141" s="965"/>
      <c r="R141" s="965"/>
      <c r="S141" s="965"/>
      <c r="T141" s="965"/>
      <c r="U141" s="965"/>
      <c r="V141" s="965"/>
      <c r="W141" s="965"/>
      <c r="X141" s="965"/>
      <c r="Y141" s="965"/>
      <c r="Z141" s="965"/>
    </row>
    <row r="142">
      <c r="A142" s="965"/>
      <c r="B142" s="965"/>
      <c r="C142" s="965"/>
      <c r="D142" s="965"/>
      <c r="E142" s="965"/>
      <c r="F142" s="965"/>
      <c r="G142" s="965"/>
      <c r="H142" s="965"/>
      <c r="I142" s="965"/>
      <c r="J142" s="965"/>
      <c r="K142" s="965"/>
      <c r="L142" s="965"/>
      <c r="M142" s="965"/>
      <c r="N142" s="965"/>
      <c r="O142" s="965"/>
      <c r="P142" s="965"/>
      <c r="Q142" s="965"/>
      <c r="R142" s="965"/>
      <c r="S142" s="965"/>
      <c r="T142" s="965"/>
      <c r="U142" s="965"/>
      <c r="V142" s="965"/>
      <c r="W142" s="965"/>
      <c r="X142" s="965"/>
      <c r="Y142" s="965"/>
      <c r="Z142" s="965"/>
    </row>
    <row r="143">
      <c r="A143" s="965"/>
      <c r="B143" s="965"/>
      <c r="C143" s="965"/>
      <c r="D143" s="965"/>
      <c r="E143" s="965"/>
      <c r="F143" s="965"/>
      <c r="G143" s="965"/>
      <c r="H143" s="965"/>
      <c r="I143" s="965"/>
      <c r="J143" s="965"/>
      <c r="K143" s="965"/>
      <c r="L143" s="965"/>
      <c r="M143" s="965"/>
      <c r="N143" s="965"/>
      <c r="O143" s="965"/>
      <c r="P143" s="965"/>
      <c r="Q143" s="965"/>
      <c r="R143" s="965"/>
      <c r="S143" s="965"/>
      <c r="T143" s="965"/>
      <c r="U143" s="965"/>
      <c r="V143" s="965"/>
      <c r="W143" s="965"/>
      <c r="X143" s="965"/>
      <c r="Y143" s="965"/>
      <c r="Z143" s="965"/>
    </row>
    <row r="144">
      <c r="A144" s="965"/>
      <c r="B144" s="965"/>
      <c r="C144" s="965"/>
      <c r="D144" s="965"/>
      <c r="E144" s="965"/>
      <c r="F144" s="965"/>
      <c r="G144" s="965"/>
      <c r="H144" s="965"/>
      <c r="I144" s="965"/>
      <c r="J144" s="965"/>
      <c r="K144" s="965"/>
      <c r="L144" s="965"/>
      <c r="M144" s="965"/>
      <c r="N144" s="965"/>
      <c r="O144" s="965"/>
      <c r="P144" s="965"/>
      <c r="Q144" s="965"/>
      <c r="R144" s="965"/>
      <c r="S144" s="965"/>
      <c r="T144" s="965"/>
      <c r="U144" s="965"/>
      <c r="V144" s="965"/>
      <c r="W144" s="965"/>
      <c r="X144" s="965"/>
      <c r="Y144" s="965"/>
      <c r="Z144" s="965"/>
    </row>
    <row r="145">
      <c r="A145" s="965"/>
      <c r="B145" s="965"/>
      <c r="C145" s="965"/>
      <c r="D145" s="965"/>
      <c r="E145" s="965"/>
      <c r="F145" s="965"/>
      <c r="G145" s="965"/>
      <c r="H145" s="965"/>
      <c r="I145" s="965"/>
      <c r="J145" s="965"/>
      <c r="K145" s="965"/>
      <c r="L145" s="965"/>
      <c r="M145" s="965"/>
      <c r="N145" s="965"/>
      <c r="O145" s="965"/>
      <c r="P145" s="965"/>
      <c r="Q145" s="965"/>
      <c r="R145" s="965"/>
      <c r="S145" s="965"/>
      <c r="T145" s="965"/>
      <c r="U145" s="965"/>
      <c r="V145" s="965"/>
      <c r="W145" s="965"/>
      <c r="X145" s="965"/>
      <c r="Y145" s="965"/>
      <c r="Z145" s="965"/>
    </row>
    <row r="146">
      <c r="A146" s="965"/>
      <c r="B146" s="965"/>
      <c r="C146" s="965"/>
      <c r="D146" s="965"/>
      <c r="E146" s="965"/>
      <c r="F146" s="965"/>
      <c r="G146" s="965"/>
      <c r="H146" s="965"/>
      <c r="I146" s="965"/>
      <c r="J146" s="965"/>
      <c r="K146" s="965"/>
      <c r="L146" s="965"/>
      <c r="M146" s="965"/>
      <c r="N146" s="965"/>
      <c r="O146" s="965"/>
      <c r="P146" s="965"/>
      <c r="Q146" s="965"/>
      <c r="R146" s="965"/>
      <c r="S146" s="965"/>
      <c r="T146" s="965"/>
      <c r="U146" s="965"/>
      <c r="V146" s="965"/>
      <c r="W146" s="965"/>
      <c r="X146" s="965"/>
      <c r="Y146" s="965"/>
      <c r="Z146" s="965"/>
    </row>
    <row r="147">
      <c r="A147" s="965"/>
      <c r="B147" s="965"/>
      <c r="C147" s="965"/>
      <c r="D147" s="965"/>
      <c r="E147" s="965"/>
      <c r="F147" s="965"/>
      <c r="G147" s="965"/>
      <c r="H147" s="965"/>
      <c r="I147" s="965"/>
      <c r="J147" s="965"/>
      <c r="K147" s="965"/>
      <c r="L147" s="965"/>
      <c r="M147" s="965"/>
      <c r="N147" s="965"/>
      <c r="O147" s="965"/>
      <c r="P147" s="965"/>
      <c r="Q147" s="965"/>
      <c r="R147" s="965"/>
      <c r="S147" s="965"/>
      <c r="T147" s="965"/>
      <c r="U147" s="965"/>
      <c r="V147" s="965"/>
      <c r="W147" s="965"/>
      <c r="X147" s="965"/>
      <c r="Y147" s="965"/>
      <c r="Z147" s="965"/>
    </row>
    <row r="148">
      <c r="A148" s="965"/>
      <c r="B148" s="965"/>
      <c r="C148" s="965"/>
      <c r="D148" s="965"/>
      <c r="E148" s="965"/>
      <c r="F148" s="965"/>
      <c r="G148" s="965"/>
      <c r="H148" s="965"/>
      <c r="I148" s="965"/>
      <c r="J148" s="965"/>
      <c r="K148" s="965"/>
      <c r="L148" s="965"/>
      <c r="M148" s="965"/>
      <c r="N148" s="965"/>
      <c r="O148" s="965"/>
      <c r="P148" s="965"/>
      <c r="Q148" s="965"/>
      <c r="R148" s="965"/>
      <c r="S148" s="965"/>
      <c r="T148" s="965"/>
      <c r="U148" s="965"/>
      <c r="V148" s="965"/>
      <c r="W148" s="965"/>
      <c r="X148" s="965"/>
      <c r="Y148" s="965"/>
      <c r="Z148" s="965"/>
    </row>
    <row r="149">
      <c r="A149" s="965"/>
      <c r="B149" s="965"/>
      <c r="C149" s="965"/>
      <c r="D149" s="965"/>
      <c r="E149" s="965"/>
      <c r="F149" s="965"/>
      <c r="G149" s="965"/>
      <c r="H149" s="965"/>
      <c r="I149" s="965"/>
      <c r="J149" s="965"/>
      <c r="K149" s="965"/>
      <c r="L149" s="965"/>
      <c r="M149" s="965"/>
      <c r="N149" s="965"/>
      <c r="O149" s="965"/>
      <c r="P149" s="965"/>
      <c r="Q149" s="965"/>
      <c r="R149" s="965"/>
      <c r="S149" s="965"/>
      <c r="T149" s="965"/>
      <c r="U149" s="965"/>
      <c r="V149" s="965"/>
      <c r="W149" s="965"/>
      <c r="X149" s="965"/>
      <c r="Y149" s="965"/>
      <c r="Z149" s="965"/>
    </row>
    <row r="150">
      <c r="A150" s="965"/>
      <c r="B150" s="965"/>
      <c r="C150" s="965"/>
      <c r="D150" s="965"/>
      <c r="E150" s="965"/>
      <c r="F150" s="965"/>
      <c r="G150" s="965"/>
      <c r="H150" s="965"/>
      <c r="I150" s="965"/>
      <c r="J150" s="965"/>
      <c r="K150" s="965"/>
      <c r="L150" s="965"/>
      <c r="M150" s="965"/>
      <c r="N150" s="965"/>
      <c r="O150" s="965"/>
      <c r="P150" s="965"/>
      <c r="Q150" s="965"/>
      <c r="R150" s="965"/>
      <c r="S150" s="965"/>
      <c r="T150" s="965"/>
      <c r="U150" s="965"/>
      <c r="V150" s="965"/>
      <c r="W150" s="965"/>
      <c r="X150" s="965"/>
      <c r="Y150" s="965"/>
      <c r="Z150" s="965"/>
    </row>
    <row r="151">
      <c r="A151" s="965"/>
      <c r="B151" s="965"/>
      <c r="C151" s="965"/>
      <c r="D151" s="965"/>
      <c r="E151" s="965"/>
      <c r="F151" s="965"/>
      <c r="G151" s="965"/>
      <c r="H151" s="965"/>
      <c r="I151" s="965"/>
      <c r="J151" s="965"/>
      <c r="K151" s="965"/>
      <c r="L151" s="965"/>
      <c r="M151" s="965"/>
      <c r="N151" s="965"/>
      <c r="O151" s="965"/>
      <c r="P151" s="965"/>
      <c r="Q151" s="965"/>
      <c r="R151" s="965"/>
      <c r="S151" s="965"/>
      <c r="T151" s="965"/>
      <c r="U151" s="965"/>
      <c r="V151" s="965"/>
      <c r="W151" s="965"/>
      <c r="X151" s="965"/>
      <c r="Y151" s="965"/>
      <c r="Z151" s="965"/>
    </row>
    <row r="152">
      <c r="A152" s="965"/>
      <c r="B152" s="965"/>
      <c r="C152" s="965"/>
      <c r="D152" s="965"/>
      <c r="E152" s="965"/>
      <c r="F152" s="965"/>
      <c r="G152" s="965"/>
      <c r="H152" s="965"/>
      <c r="I152" s="965"/>
      <c r="J152" s="965"/>
      <c r="K152" s="965"/>
      <c r="L152" s="965"/>
      <c r="M152" s="965"/>
      <c r="N152" s="965"/>
      <c r="O152" s="965"/>
      <c r="P152" s="965"/>
      <c r="Q152" s="965"/>
      <c r="R152" s="965"/>
      <c r="S152" s="965"/>
      <c r="T152" s="965"/>
      <c r="U152" s="965"/>
      <c r="V152" s="965"/>
      <c r="W152" s="965"/>
      <c r="X152" s="965"/>
      <c r="Y152" s="965"/>
      <c r="Z152" s="965"/>
    </row>
    <row r="153">
      <c r="A153" s="965"/>
      <c r="B153" s="965"/>
      <c r="C153" s="965"/>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row>
    <row r="154">
      <c r="A154" s="965"/>
      <c r="B154" s="965"/>
      <c r="C154" s="965"/>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row>
    <row r="155">
      <c r="A155" s="965"/>
      <c r="B155" s="965"/>
      <c r="C155" s="965"/>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row>
    <row r="156">
      <c r="A156" s="965"/>
      <c r="B156" s="965"/>
      <c r="C156" s="965"/>
      <c r="D156" s="965"/>
      <c r="E156" s="965"/>
      <c r="F156" s="965"/>
      <c r="G156" s="965"/>
      <c r="H156" s="965"/>
      <c r="I156" s="965"/>
      <c r="J156" s="965"/>
      <c r="K156" s="965"/>
      <c r="L156" s="965"/>
      <c r="M156" s="965"/>
      <c r="N156" s="965"/>
      <c r="O156" s="965"/>
      <c r="P156" s="965"/>
      <c r="Q156" s="965"/>
      <c r="R156" s="965"/>
      <c r="S156" s="965"/>
      <c r="T156" s="965"/>
      <c r="U156" s="965"/>
      <c r="V156" s="965"/>
      <c r="W156" s="965"/>
      <c r="X156" s="965"/>
      <c r="Y156" s="965"/>
      <c r="Z156" s="965"/>
    </row>
    <row r="157">
      <c r="A157" s="965"/>
      <c r="B157" s="965"/>
      <c r="C157" s="965"/>
      <c r="D157" s="965"/>
      <c r="E157" s="965"/>
      <c r="F157" s="965"/>
      <c r="G157" s="965"/>
      <c r="H157" s="965"/>
      <c r="I157" s="965"/>
      <c r="J157" s="965"/>
      <c r="K157" s="965"/>
      <c r="L157" s="965"/>
      <c r="M157" s="965"/>
      <c r="N157" s="965"/>
      <c r="O157" s="965"/>
      <c r="P157" s="965"/>
      <c r="Q157" s="965"/>
      <c r="R157" s="965"/>
      <c r="S157" s="965"/>
      <c r="T157" s="965"/>
      <c r="U157" s="965"/>
      <c r="V157" s="965"/>
      <c r="W157" s="965"/>
      <c r="X157" s="965"/>
      <c r="Y157" s="965"/>
      <c r="Z157" s="965"/>
    </row>
    <row r="158">
      <c r="A158" s="965"/>
      <c r="B158" s="965"/>
      <c r="C158" s="965"/>
      <c r="D158" s="965"/>
      <c r="E158" s="965"/>
      <c r="F158" s="965"/>
      <c r="G158" s="965"/>
      <c r="H158" s="965"/>
      <c r="I158" s="965"/>
      <c r="J158" s="965"/>
      <c r="K158" s="965"/>
      <c r="L158" s="965"/>
      <c r="M158" s="965"/>
      <c r="N158" s="965"/>
      <c r="O158" s="965"/>
      <c r="P158" s="965"/>
      <c r="Q158" s="965"/>
      <c r="R158" s="965"/>
      <c r="S158" s="965"/>
      <c r="T158" s="965"/>
      <c r="U158" s="965"/>
      <c r="V158" s="965"/>
      <c r="W158" s="965"/>
      <c r="X158" s="965"/>
      <c r="Y158" s="965"/>
      <c r="Z158" s="965"/>
    </row>
    <row r="159">
      <c r="A159" s="965"/>
      <c r="B159" s="965"/>
      <c r="C159" s="965"/>
      <c r="D159" s="965"/>
      <c r="E159" s="965"/>
      <c r="F159" s="965"/>
      <c r="G159" s="965"/>
      <c r="H159" s="965"/>
      <c r="I159" s="965"/>
      <c r="J159" s="965"/>
      <c r="K159" s="965"/>
      <c r="L159" s="965"/>
      <c r="M159" s="965"/>
      <c r="N159" s="965"/>
      <c r="O159" s="965"/>
      <c r="P159" s="965"/>
      <c r="Q159" s="965"/>
      <c r="R159" s="965"/>
      <c r="S159" s="965"/>
      <c r="T159" s="965"/>
      <c r="U159" s="965"/>
      <c r="V159" s="965"/>
      <c r="W159" s="965"/>
      <c r="X159" s="965"/>
      <c r="Y159" s="965"/>
      <c r="Z159" s="965"/>
    </row>
    <row r="160">
      <c r="A160" s="965"/>
      <c r="B160" s="965"/>
      <c r="C160" s="965"/>
      <c r="D160" s="965"/>
      <c r="E160" s="965"/>
      <c r="F160" s="965"/>
      <c r="G160" s="965"/>
      <c r="H160" s="965"/>
      <c r="I160" s="965"/>
      <c r="J160" s="965"/>
      <c r="K160" s="965"/>
      <c r="L160" s="965"/>
      <c r="M160" s="965"/>
      <c r="N160" s="965"/>
      <c r="O160" s="965"/>
      <c r="P160" s="965"/>
      <c r="Q160" s="965"/>
      <c r="R160" s="965"/>
      <c r="S160" s="965"/>
      <c r="T160" s="965"/>
      <c r="U160" s="965"/>
      <c r="V160" s="965"/>
      <c r="W160" s="965"/>
      <c r="X160" s="965"/>
      <c r="Y160" s="965"/>
      <c r="Z160" s="965"/>
    </row>
    <row r="161">
      <c r="A161" s="965"/>
      <c r="B161" s="965"/>
      <c r="C161" s="965"/>
      <c r="D161" s="965"/>
      <c r="E161" s="965"/>
      <c r="F161" s="965"/>
      <c r="G161" s="965"/>
      <c r="H161" s="965"/>
      <c r="I161" s="965"/>
      <c r="J161" s="965"/>
      <c r="K161" s="965"/>
      <c r="L161" s="965"/>
      <c r="M161" s="965"/>
      <c r="N161" s="965"/>
      <c r="O161" s="965"/>
      <c r="P161" s="965"/>
      <c r="Q161" s="965"/>
      <c r="R161" s="965"/>
      <c r="S161" s="965"/>
      <c r="T161" s="965"/>
      <c r="U161" s="965"/>
      <c r="V161" s="965"/>
      <c r="W161" s="965"/>
      <c r="X161" s="965"/>
      <c r="Y161" s="965"/>
      <c r="Z161" s="965"/>
    </row>
    <row r="162">
      <c r="A162" s="965"/>
      <c r="B162" s="965"/>
      <c r="C162" s="965"/>
      <c r="D162" s="965"/>
      <c r="E162" s="965"/>
      <c r="F162" s="965"/>
      <c r="G162" s="965"/>
      <c r="H162" s="965"/>
      <c r="I162" s="965"/>
      <c r="J162" s="965"/>
      <c r="K162" s="965"/>
      <c r="L162" s="965"/>
      <c r="M162" s="965"/>
      <c r="N162" s="965"/>
      <c r="O162" s="965"/>
      <c r="P162" s="965"/>
      <c r="Q162" s="965"/>
      <c r="R162" s="965"/>
      <c r="S162" s="965"/>
      <c r="T162" s="965"/>
      <c r="U162" s="965"/>
      <c r="V162" s="965"/>
      <c r="W162" s="965"/>
      <c r="X162" s="965"/>
      <c r="Y162" s="965"/>
      <c r="Z162" s="965"/>
    </row>
    <row r="163">
      <c r="A163" s="965"/>
      <c r="B163" s="965"/>
      <c r="C163" s="965"/>
      <c r="D163" s="965"/>
      <c r="E163" s="965"/>
      <c r="F163" s="965"/>
      <c r="G163" s="965"/>
      <c r="H163" s="965"/>
      <c r="I163" s="965"/>
      <c r="J163" s="965"/>
      <c r="K163" s="965"/>
      <c r="L163" s="965"/>
      <c r="M163" s="965"/>
      <c r="N163" s="965"/>
      <c r="O163" s="965"/>
      <c r="P163" s="965"/>
      <c r="Q163" s="965"/>
      <c r="R163" s="965"/>
      <c r="S163" s="965"/>
      <c r="T163" s="965"/>
      <c r="U163" s="965"/>
      <c r="V163" s="965"/>
      <c r="W163" s="965"/>
      <c r="X163" s="965"/>
      <c r="Y163" s="965"/>
      <c r="Z163" s="965"/>
    </row>
    <row r="164">
      <c r="A164" s="965"/>
      <c r="B164" s="965"/>
      <c r="C164" s="965"/>
      <c r="D164" s="965"/>
      <c r="E164" s="965"/>
      <c r="F164" s="965"/>
      <c r="G164" s="965"/>
      <c r="H164" s="965"/>
      <c r="I164" s="965"/>
      <c r="J164" s="965"/>
      <c r="K164" s="965"/>
      <c r="L164" s="965"/>
      <c r="M164" s="965"/>
      <c r="N164" s="965"/>
      <c r="O164" s="965"/>
      <c r="P164" s="965"/>
      <c r="Q164" s="965"/>
      <c r="R164" s="965"/>
      <c r="S164" s="965"/>
      <c r="T164" s="965"/>
      <c r="U164" s="965"/>
      <c r="V164" s="965"/>
      <c r="W164" s="965"/>
      <c r="X164" s="965"/>
      <c r="Y164" s="965"/>
      <c r="Z164" s="965"/>
    </row>
    <row r="165">
      <c r="A165" s="965"/>
      <c r="B165" s="965"/>
      <c r="C165" s="965"/>
      <c r="D165" s="965"/>
      <c r="E165" s="965"/>
      <c r="F165" s="965"/>
      <c r="G165" s="965"/>
      <c r="H165" s="965"/>
      <c r="I165" s="965"/>
      <c r="J165" s="965"/>
      <c r="K165" s="965"/>
      <c r="L165" s="965"/>
      <c r="M165" s="965"/>
      <c r="N165" s="965"/>
      <c r="O165" s="965"/>
      <c r="P165" s="965"/>
      <c r="Q165" s="965"/>
      <c r="R165" s="965"/>
      <c r="S165" s="965"/>
      <c r="T165" s="965"/>
      <c r="U165" s="965"/>
      <c r="V165" s="965"/>
      <c r="W165" s="965"/>
      <c r="X165" s="965"/>
      <c r="Y165" s="965"/>
      <c r="Z165" s="965"/>
    </row>
    <row r="166">
      <c r="A166" s="965"/>
      <c r="B166" s="965"/>
      <c r="C166" s="965"/>
      <c r="D166" s="965"/>
      <c r="E166" s="965"/>
      <c r="F166" s="965"/>
      <c r="G166" s="965"/>
      <c r="H166" s="965"/>
      <c r="I166" s="965"/>
      <c r="J166" s="965"/>
      <c r="K166" s="965"/>
      <c r="L166" s="965"/>
      <c r="M166" s="965"/>
      <c r="N166" s="965"/>
      <c r="O166" s="965"/>
      <c r="P166" s="965"/>
      <c r="Q166" s="965"/>
      <c r="R166" s="965"/>
      <c r="S166" s="965"/>
      <c r="T166" s="965"/>
      <c r="U166" s="965"/>
      <c r="V166" s="965"/>
      <c r="W166" s="965"/>
      <c r="X166" s="965"/>
      <c r="Y166" s="965"/>
      <c r="Z166" s="965"/>
    </row>
    <row r="167">
      <c r="A167" s="965"/>
      <c r="B167" s="965"/>
      <c r="C167" s="965"/>
      <c r="D167" s="965"/>
      <c r="E167" s="965"/>
      <c r="F167" s="965"/>
      <c r="G167" s="965"/>
      <c r="H167" s="965"/>
      <c r="I167" s="965"/>
      <c r="J167" s="965"/>
      <c r="K167" s="965"/>
      <c r="L167" s="965"/>
      <c r="M167" s="965"/>
      <c r="N167" s="965"/>
      <c r="O167" s="965"/>
      <c r="P167" s="965"/>
      <c r="Q167" s="965"/>
      <c r="R167" s="965"/>
      <c r="S167" s="965"/>
      <c r="T167" s="965"/>
      <c r="U167" s="965"/>
      <c r="V167" s="965"/>
      <c r="W167" s="965"/>
      <c r="X167" s="965"/>
      <c r="Y167" s="965"/>
      <c r="Z167" s="965"/>
    </row>
    <row r="168">
      <c r="A168" s="965"/>
      <c r="B168" s="965"/>
      <c r="C168" s="965"/>
      <c r="D168" s="965"/>
      <c r="E168" s="965"/>
      <c r="F168" s="965"/>
      <c r="G168" s="965"/>
      <c r="H168" s="965"/>
      <c r="I168" s="965"/>
      <c r="J168" s="965"/>
      <c r="K168" s="965"/>
      <c r="L168" s="965"/>
      <c r="M168" s="965"/>
      <c r="N168" s="965"/>
      <c r="O168" s="965"/>
      <c r="P168" s="965"/>
      <c r="Q168" s="965"/>
      <c r="R168" s="965"/>
      <c r="S168" s="965"/>
      <c r="T168" s="965"/>
      <c r="U168" s="965"/>
      <c r="V168" s="965"/>
      <c r="W168" s="965"/>
      <c r="X168" s="965"/>
      <c r="Y168" s="965"/>
      <c r="Z168" s="965"/>
    </row>
    <row r="169">
      <c r="A169" s="965"/>
      <c r="B169" s="965"/>
      <c r="C169" s="965"/>
      <c r="D169" s="965"/>
      <c r="E169" s="965"/>
      <c r="F169" s="965"/>
      <c r="G169" s="965"/>
      <c r="H169" s="965"/>
      <c r="I169" s="965"/>
      <c r="J169" s="965"/>
      <c r="K169" s="965"/>
      <c r="L169" s="965"/>
      <c r="M169" s="965"/>
      <c r="N169" s="965"/>
      <c r="O169" s="965"/>
      <c r="P169" s="965"/>
      <c r="Q169" s="965"/>
      <c r="R169" s="965"/>
      <c r="S169" s="965"/>
      <c r="T169" s="965"/>
      <c r="U169" s="965"/>
      <c r="V169" s="965"/>
      <c r="W169" s="965"/>
      <c r="X169" s="965"/>
      <c r="Y169" s="965"/>
      <c r="Z169" s="965"/>
    </row>
    <row r="170">
      <c r="A170" s="965"/>
      <c r="B170" s="965"/>
      <c r="C170" s="965"/>
      <c r="D170" s="965"/>
      <c r="E170" s="965"/>
      <c r="F170" s="965"/>
      <c r="G170" s="965"/>
      <c r="H170" s="965"/>
      <c r="I170" s="965"/>
      <c r="J170" s="965"/>
      <c r="K170" s="965"/>
      <c r="L170" s="965"/>
      <c r="M170" s="965"/>
      <c r="N170" s="965"/>
      <c r="O170" s="965"/>
      <c r="P170" s="965"/>
      <c r="Q170" s="965"/>
      <c r="R170" s="965"/>
      <c r="S170" s="965"/>
      <c r="T170" s="965"/>
      <c r="U170" s="965"/>
      <c r="V170" s="965"/>
      <c r="W170" s="965"/>
      <c r="X170" s="965"/>
      <c r="Y170" s="965"/>
      <c r="Z170" s="965"/>
    </row>
    <row r="171">
      <c r="A171" s="965"/>
      <c r="B171" s="965"/>
      <c r="C171" s="965"/>
      <c r="D171" s="965"/>
      <c r="E171" s="965"/>
      <c r="F171" s="965"/>
      <c r="G171" s="965"/>
      <c r="H171" s="965"/>
      <c r="I171" s="965"/>
      <c r="J171" s="965"/>
      <c r="K171" s="965"/>
      <c r="L171" s="965"/>
      <c r="M171" s="965"/>
      <c r="N171" s="965"/>
      <c r="O171" s="965"/>
      <c r="P171" s="965"/>
      <c r="Q171" s="965"/>
      <c r="R171" s="965"/>
      <c r="S171" s="965"/>
      <c r="T171" s="965"/>
      <c r="U171" s="965"/>
      <c r="V171" s="965"/>
      <c r="W171" s="965"/>
      <c r="X171" s="965"/>
      <c r="Y171" s="965"/>
      <c r="Z171" s="965"/>
    </row>
    <row r="172">
      <c r="A172" s="965"/>
      <c r="B172" s="965"/>
      <c r="C172" s="965"/>
      <c r="D172" s="965"/>
      <c r="E172" s="965"/>
      <c r="F172" s="965"/>
      <c r="G172" s="965"/>
      <c r="H172" s="965"/>
      <c r="I172" s="965"/>
      <c r="J172" s="965"/>
      <c r="K172" s="965"/>
      <c r="L172" s="965"/>
      <c r="M172" s="965"/>
      <c r="N172" s="965"/>
      <c r="O172" s="965"/>
      <c r="P172" s="965"/>
      <c r="Q172" s="965"/>
      <c r="R172" s="965"/>
      <c r="S172" s="965"/>
      <c r="T172" s="965"/>
      <c r="U172" s="965"/>
      <c r="V172" s="965"/>
      <c r="W172" s="965"/>
      <c r="X172" s="965"/>
      <c r="Y172" s="965"/>
      <c r="Z172" s="965"/>
    </row>
    <row r="173">
      <c r="A173" s="965"/>
      <c r="B173" s="965"/>
      <c r="C173" s="965"/>
      <c r="D173" s="965"/>
      <c r="E173" s="965"/>
      <c r="F173" s="965"/>
      <c r="G173" s="965"/>
      <c r="H173" s="965"/>
      <c r="I173" s="965"/>
      <c r="J173" s="965"/>
      <c r="K173" s="965"/>
      <c r="L173" s="965"/>
      <c r="M173" s="965"/>
      <c r="N173" s="965"/>
      <c r="O173" s="965"/>
      <c r="P173" s="965"/>
      <c r="Q173" s="965"/>
      <c r="R173" s="965"/>
      <c r="S173" s="965"/>
      <c r="T173" s="965"/>
      <c r="U173" s="965"/>
      <c r="V173" s="965"/>
      <c r="W173" s="965"/>
      <c r="X173" s="965"/>
      <c r="Y173" s="965"/>
      <c r="Z173" s="965"/>
    </row>
    <row r="174">
      <c r="A174" s="965"/>
      <c r="B174" s="965"/>
      <c r="C174" s="965"/>
      <c r="D174" s="965"/>
      <c r="E174" s="965"/>
      <c r="F174" s="965"/>
      <c r="G174" s="965"/>
      <c r="H174" s="965"/>
      <c r="I174" s="965"/>
      <c r="J174" s="965"/>
      <c r="K174" s="965"/>
      <c r="L174" s="965"/>
      <c r="M174" s="965"/>
      <c r="N174" s="965"/>
      <c r="O174" s="965"/>
      <c r="P174" s="965"/>
      <c r="Q174" s="965"/>
      <c r="R174" s="965"/>
      <c r="S174" s="965"/>
      <c r="T174" s="965"/>
      <c r="U174" s="965"/>
      <c r="V174" s="965"/>
      <c r="W174" s="965"/>
      <c r="X174" s="965"/>
      <c r="Y174" s="965"/>
      <c r="Z174" s="965"/>
    </row>
    <row r="175">
      <c r="A175" s="965"/>
      <c r="B175" s="965"/>
      <c r="C175" s="965"/>
      <c r="D175" s="965"/>
      <c r="E175" s="965"/>
      <c r="F175" s="965"/>
      <c r="G175" s="965"/>
      <c r="H175" s="965"/>
      <c r="I175" s="965"/>
      <c r="J175" s="965"/>
      <c r="K175" s="965"/>
      <c r="L175" s="965"/>
      <c r="M175" s="965"/>
      <c r="N175" s="965"/>
      <c r="O175" s="965"/>
      <c r="P175" s="965"/>
      <c r="Q175" s="965"/>
      <c r="R175" s="965"/>
      <c r="S175" s="965"/>
      <c r="T175" s="965"/>
      <c r="U175" s="965"/>
      <c r="V175" s="965"/>
      <c r="W175" s="965"/>
      <c r="X175" s="965"/>
      <c r="Y175" s="965"/>
      <c r="Z175" s="965"/>
    </row>
    <row r="176">
      <c r="A176" s="965"/>
      <c r="B176" s="965"/>
      <c r="C176" s="965"/>
      <c r="D176" s="965"/>
      <c r="E176" s="965"/>
      <c r="F176" s="965"/>
      <c r="G176" s="965"/>
      <c r="H176" s="965"/>
      <c r="I176" s="965"/>
      <c r="J176" s="965"/>
      <c r="K176" s="965"/>
      <c r="L176" s="965"/>
      <c r="M176" s="965"/>
      <c r="N176" s="965"/>
      <c r="O176" s="965"/>
      <c r="P176" s="965"/>
      <c r="Q176" s="965"/>
      <c r="R176" s="965"/>
      <c r="S176" s="965"/>
      <c r="T176" s="965"/>
      <c r="U176" s="965"/>
      <c r="V176" s="965"/>
      <c r="W176" s="965"/>
      <c r="X176" s="965"/>
      <c r="Y176" s="965"/>
      <c r="Z176" s="965"/>
    </row>
    <row r="177">
      <c r="A177" s="965"/>
      <c r="B177" s="965"/>
      <c r="C177" s="965"/>
      <c r="D177" s="965"/>
      <c r="E177" s="965"/>
      <c r="F177" s="965"/>
      <c r="G177" s="965"/>
      <c r="H177" s="965"/>
      <c r="I177" s="965"/>
      <c r="J177" s="965"/>
      <c r="K177" s="965"/>
      <c r="L177" s="965"/>
      <c r="M177" s="965"/>
      <c r="N177" s="965"/>
      <c r="O177" s="965"/>
      <c r="P177" s="965"/>
      <c r="Q177" s="965"/>
      <c r="R177" s="965"/>
      <c r="S177" s="965"/>
      <c r="T177" s="965"/>
      <c r="U177" s="965"/>
      <c r="V177" s="965"/>
      <c r="W177" s="965"/>
      <c r="X177" s="965"/>
      <c r="Y177" s="965"/>
      <c r="Z177" s="965"/>
    </row>
    <row r="178">
      <c r="A178" s="965"/>
      <c r="B178" s="965"/>
      <c r="C178" s="965"/>
      <c r="D178" s="965"/>
      <c r="E178" s="965"/>
      <c r="F178" s="965"/>
      <c r="G178" s="965"/>
      <c r="H178" s="965"/>
      <c r="I178" s="965"/>
      <c r="J178" s="965"/>
      <c r="K178" s="965"/>
      <c r="L178" s="965"/>
      <c r="M178" s="965"/>
      <c r="N178" s="965"/>
      <c r="O178" s="965"/>
      <c r="P178" s="965"/>
      <c r="Q178" s="965"/>
      <c r="R178" s="965"/>
      <c r="S178" s="965"/>
      <c r="T178" s="965"/>
      <c r="U178" s="965"/>
      <c r="V178" s="965"/>
      <c r="W178" s="965"/>
      <c r="X178" s="965"/>
      <c r="Y178" s="965"/>
      <c r="Z178" s="965"/>
    </row>
    <row r="179">
      <c r="A179" s="965"/>
      <c r="B179" s="965"/>
      <c r="C179" s="965"/>
      <c r="D179" s="965"/>
      <c r="E179" s="965"/>
      <c r="F179" s="965"/>
      <c r="G179" s="965"/>
      <c r="H179" s="965"/>
      <c r="I179" s="965"/>
      <c r="J179" s="965"/>
      <c r="K179" s="965"/>
      <c r="L179" s="965"/>
      <c r="M179" s="965"/>
      <c r="N179" s="965"/>
      <c r="O179" s="965"/>
      <c r="P179" s="965"/>
      <c r="Q179" s="965"/>
      <c r="R179" s="965"/>
      <c r="S179" s="965"/>
      <c r="T179" s="965"/>
      <c r="U179" s="965"/>
      <c r="V179" s="965"/>
      <c r="W179" s="965"/>
      <c r="X179" s="965"/>
      <c r="Y179" s="965"/>
      <c r="Z179" s="965"/>
    </row>
    <row r="180">
      <c r="A180" s="965"/>
      <c r="B180" s="965"/>
      <c r="C180" s="965"/>
      <c r="D180" s="965"/>
      <c r="E180" s="965"/>
      <c r="F180" s="965"/>
      <c r="G180" s="965"/>
      <c r="H180" s="965"/>
      <c r="I180" s="965"/>
      <c r="J180" s="965"/>
      <c r="K180" s="965"/>
      <c r="L180" s="965"/>
      <c r="M180" s="965"/>
      <c r="N180" s="965"/>
      <c r="O180" s="965"/>
      <c r="P180" s="965"/>
      <c r="Q180" s="965"/>
      <c r="R180" s="965"/>
      <c r="S180" s="965"/>
      <c r="T180" s="965"/>
      <c r="U180" s="965"/>
      <c r="V180" s="965"/>
      <c r="W180" s="965"/>
      <c r="X180" s="965"/>
      <c r="Y180" s="965"/>
      <c r="Z180" s="965"/>
    </row>
    <row r="181">
      <c r="A181" s="965"/>
      <c r="B181" s="965"/>
      <c r="C181" s="965"/>
      <c r="D181" s="965"/>
      <c r="E181" s="965"/>
      <c r="F181" s="965"/>
      <c r="G181" s="965"/>
      <c r="H181" s="965"/>
      <c r="I181" s="965"/>
      <c r="J181" s="965"/>
      <c r="K181" s="965"/>
      <c r="L181" s="965"/>
      <c r="M181" s="965"/>
      <c r="N181" s="965"/>
      <c r="O181" s="965"/>
      <c r="P181" s="965"/>
      <c r="Q181" s="965"/>
      <c r="R181" s="965"/>
      <c r="S181" s="965"/>
      <c r="T181" s="965"/>
      <c r="U181" s="965"/>
      <c r="V181" s="965"/>
      <c r="W181" s="965"/>
      <c r="X181" s="965"/>
      <c r="Y181" s="965"/>
      <c r="Z181" s="965"/>
    </row>
    <row r="182">
      <c r="A182" s="965"/>
      <c r="B182" s="965"/>
      <c r="C182" s="965"/>
      <c r="D182" s="965"/>
      <c r="E182" s="965"/>
      <c r="F182" s="965"/>
      <c r="G182" s="965"/>
      <c r="H182" s="965"/>
      <c r="I182" s="965"/>
      <c r="J182" s="965"/>
      <c r="K182" s="965"/>
      <c r="L182" s="965"/>
      <c r="M182" s="965"/>
      <c r="N182" s="965"/>
      <c r="O182" s="965"/>
      <c r="P182" s="965"/>
      <c r="Q182" s="965"/>
      <c r="R182" s="965"/>
      <c r="S182" s="965"/>
      <c r="T182" s="965"/>
      <c r="U182" s="965"/>
      <c r="V182" s="965"/>
      <c r="W182" s="965"/>
      <c r="X182" s="965"/>
      <c r="Y182" s="965"/>
      <c r="Z182" s="965"/>
    </row>
    <row r="183">
      <c r="A183" s="965"/>
      <c r="B183" s="965"/>
      <c r="C183" s="965"/>
      <c r="D183" s="965"/>
      <c r="E183" s="965"/>
      <c r="F183" s="965"/>
      <c r="G183" s="965"/>
      <c r="H183" s="965"/>
      <c r="I183" s="965"/>
      <c r="J183" s="965"/>
      <c r="K183" s="965"/>
      <c r="L183" s="965"/>
      <c r="M183" s="965"/>
      <c r="N183" s="965"/>
      <c r="O183" s="965"/>
      <c r="P183" s="965"/>
      <c r="Q183" s="965"/>
      <c r="R183" s="965"/>
      <c r="S183" s="965"/>
      <c r="T183" s="965"/>
      <c r="U183" s="965"/>
      <c r="V183" s="965"/>
      <c r="W183" s="965"/>
      <c r="X183" s="965"/>
      <c r="Y183" s="965"/>
      <c r="Z183" s="965"/>
    </row>
    <row r="184">
      <c r="A184" s="965"/>
      <c r="B184" s="965"/>
      <c r="C184" s="965"/>
      <c r="D184" s="965"/>
      <c r="E184" s="965"/>
      <c r="F184" s="965"/>
      <c r="G184" s="965"/>
      <c r="H184" s="965"/>
      <c r="I184" s="965"/>
      <c r="J184" s="965"/>
      <c r="K184" s="965"/>
      <c r="L184" s="965"/>
      <c r="M184" s="965"/>
      <c r="N184" s="965"/>
      <c r="O184" s="965"/>
      <c r="P184" s="965"/>
      <c r="Q184" s="965"/>
      <c r="R184" s="965"/>
      <c r="S184" s="965"/>
      <c r="T184" s="965"/>
      <c r="U184" s="965"/>
      <c r="V184" s="965"/>
      <c r="W184" s="965"/>
      <c r="X184" s="965"/>
      <c r="Y184" s="965"/>
      <c r="Z184" s="965"/>
    </row>
    <row r="185">
      <c r="A185" s="965"/>
      <c r="B185" s="965"/>
      <c r="C185" s="965"/>
      <c r="D185" s="965"/>
      <c r="E185" s="965"/>
      <c r="F185" s="965"/>
      <c r="G185" s="965"/>
      <c r="H185" s="965"/>
      <c r="I185" s="965"/>
      <c r="J185" s="965"/>
      <c r="K185" s="965"/>
      <c r="L185" s="965"/>
      <c r="M185" s="965"/>
      <c r="N185" s="965"/>
      <c r="O185" s="965"/>
      <c r="P185" s="965"/>
      <c r="Q185" s="965"/>
      <c r="R185" s="965"/>
      <c r="S185" s="965"/>
      <c r="T185" s="965"/>
      <c r="U185" s="965"/>
      <c r="V185" s="965"/>
      <c r="W185" s="965"/>
      <c r="X185" s="965"/>
      <c r="Y185" s="965"/>
      <c r="Z185" s="965"/>
    </row>
    <row r="186">
      <c r="A186" s="965"/>
      <c r="B186" s="965"/>
      <c r="C186" s="965"/>
      <c r="D186" s="965"/>
      <c r="E186" s="965"/>
      <c r="F186" s="965"/>
      <c r="G186" s="965"/>
      <c r="H186" s="965"/>
      <c r="I186" s="965"/>
      <c r="J186" s="965"/>
      <c r="K186" s="965"/>
      <c r="L186" s="965"/>
      <c r="M186" s="965"/>
      <c r="N186" s="965"/>
      <c r="O186" s="965"/>
      <c r="P186" s="965"/>
      <c r="Q186" s="965"/>
      <c r="R186" s="965"/>
      <c r="S186" s="965"/>
      <c r="T186" s="965"/>
      <c r="U186" s="965"/>
      <c r="V186" s="965"/>
      <c r="W186" s="965"/>
      <c r="X186" s="965"/>
      <c r="Y186" s="965"/>
      <c r="Z186" s="965"/>
    </row>
    <row r="187">
      <c r="A187" s="965"/>
      <c r="B187" s="965"/>
      <c r="C187" s="965"/>
      <c r="D187" s="965"/>
      <c r="E187" s="965"/>
      <c r="F187" s="965"/>
      <c r="G187" s="965"/>
      <c r="H187" s="965"/>
      <c r="I187" s="965"/>
      <c r="J187" s="965"/>
      <c r="K187" s="965"/>
      <c r="L187" s="965"/>
      <c r="M187" s="965"/>
      <c r="N187" s="965"/>
      <c r="O187" s="965"/>
      <c r="P187" s="965"/>
      <c r="Q187" s="965"/>
      <c r="R187" s="965"/>
      <c r="S187" s="965"/>
      <c r="T187" s="965"/>
      <c r="U187" s="965"/>
      <c r="V187" s="965"/>
      <c r="W187" s="965"/>
      <c r="X187" s="965"/>
      <c r="Y187" s="965"/>
      <c r="Z187" s="965"/>
    </row>
    <row r="188">
      <c r="A188" s="965"/>
      <c r="B188" s="965"/>
      <c r="C188" s="965"/>
      <c r="D188" s="965"/>
      <c r="E188" s="965"/>
      <c r="F188" s="965"/>
      <c r="G188" s="965"/>
      <c r="H188" s="965"/>
      <c r="I188" s="965"/>
      <c r="J188" s="965"/>
      <c r="K188" s="965"/>
      <c r="L188" s="965"/>
      <c r="M188" s="965"/>
      <c r="N188" s="965"/>
      <c r="O188" s="965"/>
      <c r="P188" s="965"/>
      <c r="Q188" s="965"/>
      <c r="R188" s="965"/>
      <c r="S188" s="965"/>
      <c r="T188" s="965"/>
      <c r="U188" s="965"/>
      <c r="V188" s="965"/>
      <c r="W188" s="965"/>
      <c r="X188" s="965"/>
      <c r="Y188" s="965"/>
      <c r="Z188" s="965"/>
    </row>
    <row r="189">
      <c r="A189" s="965"/>
      <c r="B189" s="965"/>
      <c r="C189" s="965"/>
      <c r="D189" s="965"/>
      <c r="E189" s="965"/>
      <c r="F189" s="965"/>
      <c r="G189" s="965"/>
      <c r="H189" s="965"/>
      <c r="I189" s="965"/>
      <c r="J189" s="965"/>
      <c r="K189" s="965"/>
      <c r="L189" s="965"/>
      <c r="M189" s="965"/>
      <c r="N189" s="965"/>
      <c r="O189" s="965"/>
      <c r="P189" s="965"/>
      <c r="Q189" s="965"/>
      <c r="R189" s="965"/>
      <c r="S189" s="965"/>
      <c r="T189" s="965"/>
      <c r="U189" s="965"/>
      <c r="V189" s="965"/>
      <c r="W189" s="965"/>
      <c r="X189" s="965"/>
      <c r="Y189" s="965"/>
      <c r="Z189" s="965"/>
    </row>
    <row r="190">
      <c r="A190" s="965"/>
      <c r="B190" s="965"/>
      <c r="C190" s="965"/>
      <c r="D190" s="965"/>
      <c r="E190" s="965"/>
      <c r="F190" s="965"/>
      <c r="G190" s="965"/>
      <c r="H190" s="965"/>
      <c r="I190" s="965"/>
      <c r="J190" s="965"/>
      <c r="K190" s="965"/>
      <c r="L190" s="965"/>
      <c r="M190" s="965"/>
      <c r="N190" s="965"/>
      <c r="O190" s="965"/>
      <c r="P190" s="965"/>
      <c r="Q190" s="965"/>
      <c r="R190" s="965"/>
      <c r="S190" s="965"/>
      <c r="T190" s="965"/>
      <c r="U190" s="965"/>
      <c r="V190" s="965"/>
      <c r="W190" s="965"/>
      <c r="X190" s="965"/>
      <c r="Y190" s="965"/>
      <c r="Z190" s="965"/>
    </row>
    <row r="191">
      <c r="A191" s="965"/>
      <c r="B191" s="965"/>
      <c r="C191" s="965"/>
      <c r="D191" s="965"/>
      <c r="E191" s="965"/>
      <c r="F191" s="965"/>
      <c r="G191" s="965"/>
      <c r="H191" s="965"/>
      <c r="I191" s="965"/>
      <c r="J191" s="965"/>
      <c r="K191" s="965"/>
      <c r="L191" s="965"/>
      <c r="M191" s="965"/>
      <c r="N191" s="965"/>
      <c r="O191" s="965"/>
      <c r="P191" s="965"/>
      <c r="Q191" s="965"/>
      <c r="R191" s="965"/>
      <c r="S191" s="965"/>
      <c r="T191" s="965"/>
      <c r="U191" s="965"/>
      <c r="V191" s="965"/>
      <c r="W191" s="965"/>
      <c r="X191" s="965"/>
      <c r="Y191" s="965"/>
      <c r="Z191" s="965"/>
    </row>
    <row r="192">
      <c r="A192" s="965"/>
      <c r="B192" s="965"/>
      <c r="C192" s="965"/>
      <c r="D192" s="965"/>
      <c r="E192" s="965"/>
      <c r="F192" s="965"/>
      <c r="G192" s="965"/>
      <c r="H192" s="965"/>
      <c r="I192" s="965"/>
      <c r="J192" s="965"/>
      <c r="K192" s="965"/>
      <c r="L192" s="965"/>
      <c r="M192" s="965"/>
      <c r="N192" s="965"/>
      <c r="O192" s="965"/>
      <c r="P192" s="965"/>
      <c r="Q192" s="965"/>
      <c r="R192" s="965"/>
      <c r="S192" s="965"/>
      <c r="T192" s="965"/>
      <c r="U192" s="965"/>
      <c r="V192" s="965"/>
      <c r="W192" s="965"/>
      <c r="X192" s="965"/>
      <c r="Y192" s="965"/>
      <c r="Z192" s="965"/>
    </row>
    <row r="193">
      <c r="A193" s="965"/>
      <c r="B193" s="965"/>
      <c r="C193" s="965"/>
      <c r="D193" s="965"/>
      <c r="E193" s="965"/>
      <c r="F193" s="965"/>
      <c r="G193" s="965"/>
      <c r="H193" s="965"/>
      <c r="I193" s="965"/>
      <c r="J193" s="965"/>
      <c r="K193" s="965"/>
      <c r="L193" s="965"/>
      <c r="M193" s="965"/>
      <c r="N193" s="965"/>
      <c r="O193" s="965"/>
      <c r="P193" s="965"/>
      <c r="Q193" s="965"/>
      <c r="R193" s="965"/>
      <c r="S193" s="965"/>
      <c r="T193" s="965"/>
      <c r="U193" s="965"/>
      <c r="V193" s="965"/>
      <c r="W193" s="965"/>
      <c r="X193" s="965"/>
      <c r="Y193" s="965"/>
      <c r="Z193" s="965"/>
    </row>
    <row r="194">
      <c r="A194" s="965"/>
      <c r="B194" s="965"/>
      <c r="C194" s="965"/>
      <c r="D194" s="965"/>
      <c r="E194" s="965"/>
      <c r="F194" s="965"/>
      <c r="G194" s="965"/>
      <c r="H194" s="965"/>
      <c r="I194" s="965"/>
      <c r="J194" s="965"/>
      <c r="K194" s="965"/>
      <c r="L194" s="965"/>
      <c r="M194" s="965"/>
      <c r="N194" s="965"/>
      <c r="O194" s="965"/>
      <c r="P194" s="965"/>
      <c r="Q194" s="965"/>
      <c r="R194" s="965"/>
      <c r="S194" s="965"/>
      <c r="T194" s="965"/>
      <c r="U194" s="965"/>
      <c r="V194" s="965"/>
      <c r="W194" s="965"/>
      <c r="X194" s="965"/>
      <c r="Y194" s="965"/>
      <c r="Z194" s="965"/>
    </row>
    <row r="195">
      <c r="A195" s="965"/>
      <c r="B195" s="965"/>
      <c r="C195" s="965"/>
      <c r="D195" s="965"/>
      <c r="E195" s="965"/>
      <c r="F195" s="965"/>
      <c r="G195" s="965"/>
      <c r="H195" s="965"/>
      <c r="I195" s="965"/>
      <c r="J195" s="965"/>
      <c r="K195" s="965"/>
      <c r="L195" s="965"/>
      <c r="M195" s="965"/>
      <c r="N195" s="965"/>
      <c r="O195" s="965"/>
      <c r="P195" s="965"/>
      <c r="Q195" s="965"/>
      <c r="R195" s="965"/>
      <c r="S195" s="965"/>
      <c r="T195" s="965"/>
      <c r="U195" s="965"/>
      <c r="V195" s="965"/>
      <c r="W195" s="965"/>
      <c r="X195" s="965"/>
      <c r="Y195" s="965"/>
      <c r="Z195" s="965"/>
    </row>
    <row r="196">
      <c r="A196" s="965"/>
      <c r="B196" s="965"/>
      <c r="C196" s="965"/>
      <c r="D196" s="965"/>
      <c r="E196" s="965"/>
      <c r="F196" s="965"/>
      <c r="G196" s="965"/>
      <c r="H196" s="965"/>
      <c r="I196" s="965"/>
      <c r="J196" s="965"/>
      <c r="K196" s="965"/>
      <c r="L196" s="965"/>
      <c r="M196" s="965"/>
      <c r="N196" s="965"/>
      <c r="O196" s="965"/>
      <c r="P196" s="965"/>
      <c r="Q196" s="965"/>
      <c r="R196" s="965"/>
      <c r="S196" s="965"/>
      <c r="T196" s="965"/>
      <c r="U196" s="965"/>
      <c r="V196" s="965"/>
      <c r="W196" s="965"/>
      <c r="X196" s="965"/>
      <c r="Y196" s="965"/>
      <c r="Z196" s="965"/>
    </row>
    <row r="197">
      <c r="A197" s="965"/>
      <c r="B197" s="965"/>
      <c r="C197" s="965"/>
      <c r="D197" s="965"/>
      <c r="E197" s="965"/>
      <c r="F197" s="965"/>
      <c r="G197" s="965"/>
      <c r="H197" s="965"/>
      <c r="I197" s="965"/>
      <c r="J197" s="965"/>
      <c r="K197" s="965"/>
      <c r="L197" s="965"/>
      <c r="M197" s="965"/>
      <c r="N197" s="965"/>
      <c r="O197" s="965"/>
      <c r="P197" s="965"/>
      <c r="Q197" s="965"/>
      <c r="R197" s="965"/>
      <c r="S197" s="965"/>
      <c r="T197" s="965"/>
      <c r="U197" s="965"/>
      <c r="V197" s="965"/>
      <c r="W197" s="965"/>
      <c r="X197" s="965"/>
      <c r="Y197" s="965"/>
      <c r="Z197" s="965"/>
    </row>
    <row r="198">
      <c r="A198" s="965"/>
      <c r="B198" s="965"/>
      <c r="C198" s="965"/>
      <c r="D198" s="965"/>
      <c r="E198" s="965"/>
      <c r="F198" s="965"/>
      <c r="G198" s="965"/>
      <c r="H198" s="965"/>
      <c r="I198" s="965"/>
      <c r="J198" s="965"/>
      <c r="K198" s="965"/>
      <c r="L198" s="965"/>
      <c r="M198" s="965"/>
      <c r="N198" s="965"/>
      <c r="O198" s="965"/>
      <c r="P198" s="965"/>
      <c r="Q198" s="965"/>
      <c r="R198" s="965"/>
      <c r="S198" s="965"/>
      <c r="T198" s="965"/>
      <c r="U198" s="965"/>
      <c r="V198" s="965"/>
      <c r="W198" s="965"/>
      <c r="X198" s="965"/>
      <c r="Y198" s="965"/>
      <c r="Z198" s="965"/>
    </row>
    <row r="199">
      <c r="A199" s="965"/>
      <c r="B199" s="965"/>
      <c r="C199" s="965"/>
      <c r="D199" s="965"/>
      <c r="E199" s="965"/>
      <c r="F199" s="965"/>
      <c r="G199" s="965"/>
      <c r="H199" s="965"/>
      <c r="I199" s="965"/>
      <c r="J199" s="965"/>
      <c r="K199" s="965"/>
      <c r="L199" s="965"/>
      <c r="M199" s="965"/>
      <c r="N199" s="965"/>
      <c r="O199" s="965"/>
      <c r="P199" s="965"/>
      <c r="Q199" s="965"/>
      <c r="R199" s="965"/>
      <c r="S199" s="965"/>
      <c r="T199" s="965"/>
      <c r="U199" s="965"/>
      <c r="V199" s="965"/>
      <c r="W199" s="965"/>
      <c r="X199" s="965"/>
      <c r="Y199" s="965"/>
      <c r="Z199" s="965"/>
    </row>
    <row r="200">
      <c r="A200" s="965"/>
      <c r="B200" s="965"/>
      <c r="C200" s="965"/>
      <c r="D200" s="965"/>
      <c r="E200" s="965"/>
      <c r="F200" s="965"/>
      <c r="G200" s="965"/>
      <c r="H200" s="965"/>
      <c r="I200" s="965"/>
      <c r="J200" s="965"/>
      <c r="K200" s="965"/>
      <c r="L200" s="965"/>
      <c r="M200" s="965"/>
      <c r="N200" s="965"/>
      <c r="O200" s="965"/>
      <c r="P200" s="965"/>
      <c r="Q200" s="965"/>
      <c r="R200" s="965"/>
      <c r="S200" s="965"/>
      <c r="T200" s="965"/>
      <c r="U200" s="965"/>
      <c r="V200" s="965"/>
      <c r="W200" s="965"/>
      <c r="X200" s="965"/>
      <c r="Y200" s="965"/>
      <c r="Z200" s="965"/>
    </row>
    <row r="201">
      <c r="A201" s="965"/>
      <c r="B201" s="965"/>
      <c r="C201" s="965"/>
      <c r="D201" s="965"/>
      <c r="E201" s="965"/>
      <c r="F201" s="965"/>
      <c r="G201" s="965"/>
      <c r="H201" s="965"/>
      <c r="I201" s="965"/>
      <c r="J201" s="965"/>
      <c r="K201" s="965"/>
      <c r="L201" s="965"/>
      <c r="M201" s="965"/>
      <c r="N201" s="965"/>
      <c r="O201" s="965"/>
      <c r="P201" s="965"/>
      <c r="Q201" s="965"/>
      <c r="R201" s="965"/>
      <c r="S201" s="965"/>
      <c r="T201" s="965"/>
      <c r="U201" s="965"/>
      <c r="V201" s="965"/>
      <c r="W201" s="965"/>
      <c r="X201" s="965"/>
      <c r="Y201" s="965"/>
      <c r="Z201" s="965"/>
    </row>
    <row r="202">
      <c r="A202" s="965"/>
      <c r="B202" s="965"/>
      <c r="C202" s="965"/>
      <c r="D202" s="965"/>
      <c r="E202" s="965"/>
      <c r="F202" s="965"/>
      <c r="G202" s="965"/>
      <c r="H202" s="965"/>
      <c r="I202" s="965"/>
      <c r="J202" s="965"/>
      <c r="K202" s="965"/>
      <c r="L202" s="965"/>
      <c r="M202" s="965"/>
      <c r="N202" s="965"/>
      <c r="O202" s="965"/>
      <c r="P202" s="965"/>
      <c r="Q202" s="965"/>
      <c r="R202" s="965"/>
      <c r="S202" s="965"/>
      <c r="T202" s="965"/>
      <c r="U202" s="965"/>
      <c r="V202" s="965"/>
      <c r="W202" s="965"/>
      <c r="X202" s="965"/>
      <c r="Y202" s="965"/>
      <c r="Z202" s="965"/>
    </row>
    <row r="203">
      <c r="A203" s="965"/>
      <c r="B203" s="965"/>
      <c r="C203" s="965"/>
      <c r="D203" s="965"/>
      <c r="E203" s="965"/>
      <c r="F203" s="965"/>
      <c r="G203" s="965"/>
      <c r="H203" s="965"/>
      <c r="I203" s="965"/>
      <c r="J203" s="965"/>
      <c r="K203" s="965"/>
      <c r="L203" s="965"/>
      <c r="M203" s="965"/>
      <c r="N203" s="965"/>
      <c r="O203" s="965"/>
      <c r="P203" s="965"/>
      <c r="Q203" s="965"/>
      <c r="R203" s="965"/>
      <c r="S203" s="965"/>
      <c r="T203" s="965"/>
      <c r="U203" s="965"/>
      <c r="V203" s="965"/>
      <c r="W203" s="965"/>
      <c r="X203" s="965"/>
      <c r="Y203" s="965"/>
      <c r="Z203" s="965"/>
    </row>
    <row r="204">
      <c r="A204" s="965"/>
      <c r="B204" s="965"/>
      <c r="C204" s="965"/>
      <c r="D204" s="965"/>
      <c r="E204" s="965"/>
      <c r="F204" s="965"/>
      <c r="G204" s="965"/>
      <c r="H204" s="965"/>
      <c r="I204" s="965"/>
      <c r="J204" s="965"/>
      <c r="K204" s="965"/>
      <c r="L204" s="965"/>
      <c r="M204" s="965"/>
      <c r="N204" s="965"/>
      <c r="O204" s="965"/>
      <c r="P204" s="965"/>
      <c r="Q204" s="965"/>
      <c r="R204" s="965"/>
      <c r="S204" s="965"/>
      <c r="T204" s="965"/>
      <c r="U204" s="965"/>
      <c r="V204" s="965"/>
      <c r="W204" s="965"/>
      <c r="X204" s="965"/>
      <c r="Y204" s="965"/>
      <c r="Z204" s="965"/>
    </row>
    <row r="205">
      <c r="A205" s="965"/>
      <c r="B205" s="965"/>
      <c r="C205" s="965"/>
      <c r="D205" s="965"/>
      <c r="E205" s="965"/>
      <c r="F205" s="965"/>
      <c r="G205" s="965"/>
      <c r="H205" s="965"/>
      <c r="I205" s="965"/>
      <c r="J205" s="965"/>
      <c r="K205" s="965"/>
      <c r="L205" s="965"/>
      <c r="M205" s="965"/>
      <c r="N205" s="965"/>
      <c r="O205" s="965"/>
      <c r="P205" s="965"/>
      <c r="Q205" s="965"/>
      <c r="R205" s="965"/>
      <c r="S205" s="965"/>
      <c r="T205" s="965"/>
      <c r="U205" s="965"/>
      <c r="V205" s="965"/>
      <c r="W205" s="965"/>
      <c r="X205" s="965"/>
      <c r="Y205" s="965"/>
      <c r="Z205" s="965"/>
    </row>
    <row r="206">
      <c r="A206" s="965"/>
      <c r="B206" s="965"/>
      <c r="C206" s="965"/>
      <c r="D206" s="965"/>
      <c r="E206" s="965"/>
      <c r="F206" s="965"/>
      <c r="G206" s="965"/>
      <c r="H206" s="965"/>
      <c r="I206" s="965"/>
      <c r="J206" s="965"/>
      <c r="K206" s="965"/>
      <c r="L206" s="965"/>
      <c r="M206" s="965"/>
      <c r="N206" s="965"/>
      <c r="O206" s="965"/>
      <c r="P206" s="965"/>
      <c r="Q206" s="965"/>
      <c r="R206" s="965"/>
      <c r="S206" s="965"/>
      <c r="T206" s="965"/>
      <c r="U206" s="965"/>
      <c r="V206" s="965"/>
      <c r="W206" s="965"/>
      <c r="X206" s="965"/>
      <c r="Y206" s="965"/>
      <c r="Z206" s="965"/>
    </row>
    <row r="207">
      <c r="A207" s="965"/>
      <c r="B207" s="965"/>
      <c r="C207" s="965"/>
      <c r="D207" s="965"/>
      <c r="E207" s="965"/>
      <c r="F207" s="965"/>
      <c r="G207" s="965"/>
      <c r="H207" s="965"/>
      <c r="I207" s="965"/>
      <c r="J207" s="965"/>
      <c r="K207" s="965"/>
      <c r="L207" s="965"/>
      <c r="M207" s="965"/>
      <c r="N207" s="965"/>
      <c r="O207" s="965"/>
      <c r="P207" s="965"/>
      <c r="Q207" s="965"/>
      <c r="R207" s="965"/>
      <c r="S207" s="965"/>
      <c r="T207" s="965"/>
      <c r="U207" s="965"/>
      <c r="V207" s="965"/>
      <c r="W207" s="965"/>
      <c r="X207" s="965"/>
      <c r="Y207" s="965"/>
      <c r="Z207" s="965"/>
    </row>
    <row r="208">
      <c r="A208" s="965"/>
      <c r="B208" s="965"/>
      <c r="C208" s="965"/>
      <c r="D208" s="965"/>
      <c r="E208" s="965"/>
      <c r="F208" s="965"/>
      <c r="G208" s="965"/>
      <c r="H208" s="965"/>
      <c r="I208" s="965"/>
      <c r="J208" s="965"/>
      <c r="K208" s="965"/>
      <c r="L208" s="965"/>
      <c r="M208" s="965"/>
      <c r="N208" s="965"/>
      <c r="O208" s="965"/>
      <c r="P208" s="965"/>
      <c r="Q208" s="965"/>
      <c r="R208" s="965"/>
      <c r="S208" s="965"/>
      <c r="T208" s="965"/>
      <c r="U208" s="965"/>
      <c r="V208" s="965"/>
      <c r="W208" s="965"/>
      <c r="X208" s="965"/>
      <c r="Y208" s="965"/>
      <c r="Z208" s="965"/>
    </row>
    <row r="209">
      <c r="A209" s="965"/>
      <c r="B209" s="965"/>
      <c r="C209" s="965"/>
      <c r="D209" s="965"/>
      <c r="E209" s="965"/>
      <c r="F209" s="965"/>
      <c r="G209" s="965"/>
      <c r="H209" s="965"/>
      <c r="I209" s="965"/>
      <c r="J209" s="965"/>
      <c r="K209" s="965"/>
      <c r="L209" s="965"/>
      <c r="M209" s="965"/>
      <c r="N209" s="965"/>
      <c r="O209" s="965"/>
      <c r="P209" s="965"/>
      <c r="Q209" s="965"/>
      <c r="R209" s="965"/>
      <c r="S209" s="965"/>
      <c r="T209" s="965"/>
      <c r="U209" s="965"/>
      <c r="V209" s="965"/>
      <c r="W209" s="965"/>
      <c r="X209" s="965"/>
      <c r="Y209" s="965"/>
      <c r="Z209" s="965"/>
    </row>
    <row r="210">
      <c r="A210" s="965"/>
      <c r="B210" s="965"/>
      <c r="C210" s="965"/>
      <c r="D210" s="965"/>
      <c r="E210" s="965"/>
      <c r="F210" s="965"/>
      <c r="G210" s="965"/>
      <c r="H210" s="965"/>
      <c r="I210" s="965"/>
      <c r="J210" s="965"/>
      <c r="K210" s="965"/>
      <c r="L210" s="965"/>
      <c r="M210" s="965"/>
      <c r="N210" s="965"/>
      <c r="O210" s="965"/>
      <c r="P210" s="965"/>
      <c r="Q210" s="965"/>
      <c r="R210" s="965"/>
      <c r="S210" s="965"/>
      <c r="T210" s="965"/>
      <c r="U210" s="965"/>
      <c r="V210" s="965"/>
      <c r="W210" s="965"/>
      <c r="X210" s="965"/>
      <c r="Y210" s="965"/>
      <c r="Z210" s="965"/>
    </row>
    <row r="211">
      <c r="A211" s="965"/>
      <c r="B211" s="965"/>
      <c r="C211" s="965"/>
      <c r="D211" s="965"/>
      <c r="E211" s="965"/>
      <c r="F211" s="965"/>
      <c r="G211" s="965"/>
      <c r="H211" s="965"/>
      <c r="I211" s="965"/>
      <c r="J211" s="965"/>
      <c r="K211" s="965"/>
      <c r="L211" s="965"/>
      <c r="M211" s="965"/>
      <c r="N211" s="965"/>
      <c r="O211" s="965"/>
      <c r="P211" s="965"/>
      <c r="Q211" s="965"/>
      <c r="R211" s="965"/>
      <c r="S211" s="965"/>
      <c r="T211" s="965"/>
      <c r="U211" s="965"/>
      <c r="V211" s="965"/>
      <c r="W211" s="965"/>
      <c r="X211" s="965"/>
      <c r="Y211" s="965"/>
      <c r="Z211" s="965"/>
    </row>
    <row r="212">
      <c r="A212" s="965"/>
      <c r="B212" s="965"/>
      <c r="C212" s="965"/>
      <c r="D212" s="965"/>
      <c r="E212" s="965"/>
      <c r="F212" s="965"/>
      <c r="G212" s="965"/>
      <c r="H212" s="965"/>
      <c r="I212" s="965"/>
      <c r="J212" s="965"/>
      <c r="K212" s="965"/>
      <c r="L212" s="965"/>
      <c r="M212" s="965"/>
      <c r="N212" s="965"/>
      <c r="O212" s="965"/>
      <c r="P212" s="965"/>
      <c r="Q212" s="965"/>
      <c r="R212" s="965"/>
      <c r="S212" s="965"/>
      <c r="T212" s="965"/>
      <c r="U212" s="965"/>
      <c r="V212" s="965"/>
      <c r="W212" s="965"/>
      <c r="X212" s="965"/>
      <c r="Y212" s="965"/>
      <c r="Z212" s="965"/>
    </row>
    <row r="213">
      <c r="A213" s="965"/>
      <c r="B213" s="965"/>
      <c r="C213" s="965"/>
      <c r="D213" s="965"/>
      <c r="E213" s="965"/>
      <c r="F213" s="965"/>
      <c r="G213" s="965"/>
      <c r="H213" s="965"/>
      <c r="I213" s="965"/>
      <c r="J213" s="965"/>
      <c r="K213" s="965"/>
      <c r="L213" s="965"/>
      <c r="M213" s="965"/>
      <c r="N213" s="965"/>
      <c r="O213" s="965"/>
      <c r="P213" s="965"/>
      <c r="Q213" s="965"/>
      <c r="R213" s="965"/>
      <c r="S213" s="965"/>
      <c r="T213" s="965"/>
      <c r="U213" s="965"/>
      <c r="V213" s="965"/>
      <c r="W213" s="965"/>
      <c r="X213" s="965"/>
      <c r="Y213" s="965"/>
      <c r="Z213" s="965"/>
    </row>
    <row r="214">
      <c r="A214" s="965"/>
      <c r="B214" s="965"/>
      <c r="C214" s="965"/>
      <c r="D214" s="965"/>
      <c r="E214" s="965"/>
      <c r="F214" s="965"/>
      <c r="G214" s="965"/>
      <c r="H214" s="965"/>
      <c r="I214" s="965"/>
      <c r="J214" s="965"/>
      <c r="K214" s="965"/>
      <c r="L214" s="965"/>
      <c r="M214" s="965"/>
      <c r="N214" s="965"/>
      <c r="O214" s="965"/>
      <c r="P214" s="965"/>
      <c r="Q214" s="965"/>
      <c r="R214" s="965"/>
      <c r="S214" s="965"/>
      <c r="T214" s="965"/>
      <c r="U214" s="965"/>
      <c r="V214" s="965"/>
      <c r="W214" s="965"/>
      <c r="X214" s="965"/>
      <c r="Y214" s="965"/>
      <c r="Z214" s="965"/>
    </row>
    <row r="215">
      <c r="A215" s="965"/>
      <c r="B215" s="965"/>
      <c r="C215" s="965"/>
      <c r="D215" s="965"/>
      <c r="E215" s="965"/>
      <c r="F215" s="965"/>
      <c r="G215" s="965"/>
      <c r="H215" s="965"/>
      <c r="I215" s="965"/>
      <c r="J215" s="965"/>
      <c r="K215" s="965"/>
      <c r="L215" s="965"/>
      <c r="M215" s="965"/>
      <c r="N215" s="965"/>
      <c r="O215" s="965"/>
      <c r="P215" s="965"/>
      <c r="Q215" s="965"/>
      <c r="R215" s="965"/>
      <c r="S215" s="965"/>
      <c r="T215" s="965"/>
      <c r="U215" s="965"/>
      <c r="V215" s="965"/>
      <c r="W215" s="965"/>
      <c r="X215" s="965"/>
      <c r="Y215" s="965"/>
      <c r="Z215" s="965"/>
    </row>
    <row r="216">
      <c r="A216" s="965"/>
      <c r="B216" s="965"/>
      <c r="C216" s="965"/>
      <c r="D216" s="965"/>
      <c r="E216" s="965"/>
      <c r="F216" s="965"/>
      <c r="G216" s="965"/>
      <c r="H216" s="965"/>
      <c r="I216" s="965"/>
      <c r="J216" s="965"/>
      <c r="K216" s="965"/>
      <c r="L216" s="965"/>
      <c r="M216" s="965"/>
      <c r="N216" s="965"/>
      <c r="O216" s="965"/>
      <c r="P216" s="965"/>
      <c r="Q216" s="965"/>
      <c r="R216" s="965"/>
      <c r="S216" s="965"/>
      <c r="T216" s="965"/>
      <c r="U216" s="965"/>
      <c r="V216" s="965"/>
      <c r="W216" s="965"/>
      <c r="X216" s="965"/>
      <c r="Y216" s="965"/>
      <c r="Z216" s="965"/>
    </row>
    <row r="217">
      <c r="A217" s="965"/>
      <c r="B217" s="965"/>
      <c r="C217" s="965"/>
      <c r="D217" s="965"/>
      <c r="E217" s="965"/>
      <c r="F217" s="965"/>
      <c r="G217" s="965"/>
      <c r="H217" s="965"/>
      <c r="I217" s="965"/>
      <c r="J217" s="965"/>
      <c r="K217" s="965"/>
      <c r="L217" s="965"/>
      <c r="M217" s="965"/>
      <c r="N217" s="965"/>
      <c r="O217" s="965"/>
      <c r="P217" s="965"/>
      <c r="Q217" s="965"/>
      <c r="R217" s="965"/>
      <c r="S217" s="965"/>
      <c r="T217" s="965"/>
      <c r="U217" s="965"/>
      <c r="V217" s="965"/>
      <c r="W217" s="965"/>
      <c r="X217" s="965"/>
      <c r="Y217" s="965"/>
      <c r="Z217" s="965"/>
    </row>
    <row r="218">
      <c r="A218" s="965"/>
      <c r="B218" s="965"/>
      <c r="C218" s="965"/>
      <c r="D218" s="965"/>
      <c r="E218" s="965"/>
      <c r="F218" s="965"/>
      <c r="G218" s="965"/>
      <c r="H218" s="965"/>
      <c r="I218" s="965"/>
      <c r="J218" s="965"/>
      <c r="K218" s="965"/>
      <c r="L218" s="965"/>
      <c r="M218" s="965"/>
      <c r="N218" s="965"/>
      <c r="O218" s="965"/>
      <c r="P218" s="965"/>
      <c r="Q218" s="965"/>
      <c r="R218" s="965"/>
      <c r="S218" s="965"/>
      <c r="T218" s="965"/>
      <c r="U218" s="965"/>
      <c r="V218" s="965"/>
      <c r="W218" s="965"/>
      <c r="X218" s="965"/>
      <c r="Y218" s="965"/>
      <c r="Z218" s="965"/>
    </row>
    <row r="219">
      <c r="A219" s="965"/>
      <c r="B219" s="965"/>
      <c r="C219" s="965"/>
      <c r="D219" s="965"/>
      <c r="E219" s="965"/>
      <c r="F219" s="965"/>
      <c r="G219" s="965"/>
      <c r="H219" s="965"/>
      <c r="I219" s="965"/>
      <c r="J219" s="965"/>
      <c r="K219" s="965"/>
      <c r="L219" s="965"/>
      <c r="M219" s="965"/>
      <c r="N219" s="965"/>
      <c r="O219" s="965"/>
      <c r="P219" s="965"/>
      <c r="Q219" s="965"/>
      <c r="R219" s="965"/>
      <c r="S219" s="965"/>
      <c r="T219" s="965"/>
      <c r="U219" s="965"/>
      <c r="V219" s="965"/>
      <c r="W219" s="965"/>
      <c r="X219" s="965"/>
      <c r="Y219" s="965"/>
      <c r="Z219" s="965"/>
    </row>
    <row r="220">
      <c r="A220" s="965"/>
      <c r="B220" s="965"/>
      <c r="C220" s="965"/>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row>
    <row r="221">
      <c r="A221" s="965"/>
      <c r="B221" s="965"/>
      <c r="C221" s="965"/>
      <c r="D221" s="965"/>
      <c r="E221" s="965"/>
      <c r="F221" s="965"/>
      <c r="G221" s="965"/>
      <c r="H221" s="965"/>
      <c r="I221" s="965"/>
      <c r="J221" s="965"/>
      <c r="K221" s="965"/>
      <c r="L221" s="965"/>
      <c r="M221" s="965"/>
      <c r="N221" s="965"/>
      <c r="O221" s="965"/>
      <c r="P221" s="965"/>
      <c r="Q221" s="965"/>
      <c r="R221" s="965"/>
      <c r="S221" s="965"/>
      <c r="T221" s="965"/>
      <c r="U221" s="965"/>
      <c r="V221" s="965"/>
      <c r="W221" s="965"/>
      <c r="X221" s="965"/>
      <c r="Y221" s="965"/>
      <c r="Z221" s="965"/>
    </row>
    <row r="222">
      <c r="A222" s="965"/>
      <c r="B222" s="965"/>
      <c r="C222" s="965"/>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row>
    <row r="223">
      <c r="A223" s="965"/>
      <c r="B223" s="965"/>
      <c r="C223" s="965"/>
      <c r="D223" s="965"/>
      <c r="E223" s="965"/>
      <c r="F223" s="965"/>
      <c r="G223" s="965"/>
      <c r="H223" s="965"/>
      <c r="I223" s="965"/>
      <c r="J223" s="965"/>
      <c r="K223" s="965"/>
      <c r="L223" s="965"/>
      <c r="M223" s="965"/>
      <c r="N223" s="965"/>
      <c r="O223" s="965"/>
      <c r="P223" s="965"/>
      <c r="Q223" s="965"/>
      <c r="R223" s="965"/>
      <c r="S223" s="965"/>
      <c r="T223" s="965"/>
      <c r="U223" s="965"/>
      <c r="V223" s="965"/>
      <c r="W223" s="965"/>
      <c r="X223" s="965"/>
      <c r="Y223" s="965"/>
      <c r="Z223" s="965"/>
    </row>
    <row r="224">
      <c r="A224" s="965"/>
      <c r="B224" s="965"/>
      <c r="C224" s="965"/>
      <c r="D224" s="965"/>
      <c r="E224" s="965"/>
      <c r="F224" s="965"/>
      <c r="G224" s="965"/>
      <c r="H224" s="965"/>
      <c r="I224" s="965"/>
      <c r="J224" s="965"/>
      <c r="K224" s="965"/>
      <c r="L224" s="965"/>
      <c r="M224" s="965"/>
      <c r="N224" s="965"/>
      <c r="O224" s="965"/>
      <c r="P224" s="965"/>
      <c r="Q224" s="965"/>
      <c r="R224" s="965"/>
      <c r="S224" s="965"/>
      <c r="T224" s="965"/>
      <c r="U224" s="965"/>
      <c r="V224" s="965"/>
      <c r="W224" s="965"/>
      <c r="X224" s="965"/>
      <c r="Y224" s="965"/>
      <c r="Z224" s="965"/>
    </row>
    <row r="225">
      <c r="A225" s="965"/>
      <c r="B225" s="965"/>
      <c r="C225" s="965"/>
      <c r="D225" s="965"/>
      <c r="E225" s="965"/>
      <c r="F225" s="965"/>
      <c r="G225" s="965"/>
      <c r="H225" s="965"/>
      <c r="I225" s="965"/>
      <c r="J225" s="965"/>
      <c r="K225" s="965"/>
      <c r="L225" s="965"/>
      <c r="M225" s="965"/>
      <c r="N225" s="965"/>
      <c r="O225" s="965"/>
      <c r="P225" s="965"/>
      <c r="Q225" s="965"/>
      <c r="R225" s="965"/>
      <c r="S225" s="965"/>
      <c r="T225" s="965"/>
      <c r="U225" s="965"/>
      <c r="V225" s="965"/>
      <c r="W225" s="965"/>
      <c r="X225" s="965"/>
      <c r="Y225" s="965"/>
      <c r="Z225" s="965"/>
    </row>
    <row r="226">
      <c r="A226" s="965"/>
      <c r="B226" s="965"/>
      <c r="C226" s="965"/>
      <c r="D226" s="965"/>
      <c r="E226" s="965"/>
      <c r="F226" s="965"/>
      <c r="G226" s="965"/>
      <c r="H226" s="965"/>
      <c r="I226" s="965"/>
      <c r="J226" s="965"/>
      <c r="K226" s="965"/>
      <c r="L226" s="965"/>
      <c r="M226" s="965"/>
      <c r="N226" s="965"/>
      <c r="O226" s="965"/>
      <c r="P226" s="965"/>
      <c r="Q226" s="965"/>
      <c r="R226" s="965"/>
      <c r="S226" s="965"/>
      <c r="T226" s="965"/>
      <c r="U226" s="965"/>
      <c r="V226" s="965"/>
      <c r="W226" s="965"/>
      <c r="X226" s="965"/>
      <c r="Y226" s="965"/>
      <c r="Z226" s="965"/>
    </row>
    <row r="227">
      <c r="A227" s="965"/>
      <c r="B227" s="965"/>
      <c r="C227" s="965"/>
      <c r="D227" s="965"/>
      <c r="E227" s="965"/>
      <c r="F227" s="965"/>
      <c r="G227" s="965"/>
      <c r="H227" s="965"/>
      <c r="I227" s="965"/>
      <c r="J227" s="965"/>
      <c r="K227" s="965"/>
      <c r="L227" s="965"/>
      <c r="M227" s="965"/>
      <c r="N227" s="965"/>
      <c r="O227" s="965"/>
      <c r="P227" s="965"/>
      <c r="Q227" s="965"/>
      <c r="R227" s="965"/>
      <c r="S227" s="965"/>
      <c r="T227" s="965"/>
      <c r="U227" s="965"/>
      <c r="V227" s="965"/>
      <c r="W227" s="965"/>
      <c r="X227" s="965"/>
      <c r="Y227" s="965"/>
      <c r="Z227" s="965"/>
    </row>
    <row r="228">
      <c r="A228" s="965"/>
      <c r="B228" s="965"/>
      <c r="C228" s="965"/>
      <c r="D228" s="965"/>
      <c r="E228" s="965"/>
      <c r="F228" s="965"/>
      <c r="G228" s="965"/>
      <c r="H228" s="965"/>
      <c r="I228" s="965"/>
      <c r="J228" s="965"/>
      <c r="K228" s="965"/>
      <c r="L228" s="965"/>
      <c r="M228" s="965"/>
      <c r="N228" s="965"/>
      <c r="O228" s="965"/>
      <c r="P228" s="965"/>
      <c r="Q228" s="965"/>
      <c r="R228" s="965"/>
      <c r="S228" s="965"/>
      <c r="T228" s="965"/>
      <c r="U228" s="965"/>
      <c r="V228" s="965"/>
      <c r="W228" s="965"/>
      <c r="X228" s="965"/>
      <c r="Y228" s="965"/>
      <c r="Z228" s="965"/>
    </row>
    <row r="229">
      <c r="A229" s="965"/>
      <c r="B229" s="965"/>
      <c r="C229" s="965"/>
      <c r="D229" s="965"/>
      <c r="E229" s="965"/>
      <c r="F229" s="965"/>
      <c r="G229" s="965"/>
      <c r="H229" s="965"/>
      <c r="I229" s="965"/>
      <c r="J229" s="965"/>
      <c r="K229" s="965"/>
      <c r="L229" s="965"/>
      <c r="M229" s="965"/>
      <c r="N229" s="965"/>
      <c r="O229" s="965"/>
      <c r="P229" s="965"/>
      <c r="Q229" s="965"/>
      <c r="R229" s="965"/>
      <c r="S229" s="965"/>
      <c r="T229" s="965"/>
      <c r="U229" s="965"/>
      <c r="V229" s="965"/>
      <c r="W229" s="965"/>
      <c r="X229" s="965"/>
      <c r="Y229" s="965"/>
      <c r="Z229" s="965"/>
    </row>
    <row r="230">
      <c r="A230" s="965"/>
      <c r="B230" s="965"/>
      <c r="C230" s="965"/>
      <c r="D230" s="965"/>
      <c r="E230" s="965"/>
      <c r="F230" s="965"/>
      <c r="G230" s="965"/>
      <c r="H230" s="965"/>
      <c r="I230" s="965"/>
      <c r="J230" s="965"/>
      <c r="K230" s="965"/>
      <c r="L230" s="965"/>
      <c r="M230" s="965"/>
      <c r="N230" s="965"/>
      <c r="O230" s="965"/>
      <c r="P230" s="965"/>
      <c r="Q230" s="965"/>
      <c r="R230" s="965"/>
      <c r="S230" s="965"/>
      <c r="T230" s="965"/>
      <c r="U230" s="965"/>
      <c r="V230" s="965"/>
      <c r="W230" s="965"/>
      <c r="X230" s="965"/>
      <c r="Y230" s="965"/>
      <c r="Z230" s="965"/>
    </row>
    <row r="231">
      <c r="A231" s="965"/>
      <c r="B231" s="965"/>
      <c r="C231" s="965"/>
      <c r="D231" s="965"/>
      <c r="E231" s="965"/>
      <c r="F231" s="965"/>
      <c r="G231" s="965"/>
      <c r="H231" s="965"/>
      <c r="I231" s="965"/>
      <c r="J231" s="965"/>
      <c r="K231" s="965"/>
      <c r="L231" s="965"/>
      <c r="M231" s="965"/>
      <c r="N231" s="965"/>
      <c r="O231" s="965"/>
      <c r="P231" s="965"/>
      <c r="Q231" s="965"/>
      <c r="R231" s="965"/>
      <c r="S231" s="965"/>
      <c r="T231" s="965"/>
      <c r="U231" s="965"/>
      <c r="V231" s="965"/>
      <c r="W231" s="965"/>
      <c r="X231" s="965"/>
      <c r="Y231" s="965"/>
      <c r="Z231" s="965"/>
    </row>
    <row r="232">
      <c r="A232" s="965"/>
      <c r="B232" s="965"/>
      <c r="C232" s="965"/>
      <c r="D232" s="965"/>
      <c r="E232" s="965"/>
      <c r="F232" s="965"/>
      <c r="G232" s="965"/>
      <c r="H232" s="965"/>
      <c r="I232" s="965"/>
      <c r="J232" s="965"/>
      <c r="K232" s="965"/>
      <c r="L232" s="965"/>
      <c r="M232" s="965"/>
      <c r="N232" s="965"/>
      <c r="O232" s="965"/>
      <c r="P232" s="965"/>
      <c r="Q232" s="965"/>
      <c r="R232" s="965"/>
      <c r="S232" s="965"/>
      <c r="T232" s="965"/>
      <c r="U232" s="965"/>
      <c r="V232" s="965"/>
      <c r="W232" s="965"/>
      <c r="X232" s="965"/>
      <c r="Y232" s="965"/>
      <c r="Z232" s="965"/>
    </row>
    <row r="233">
      <c r="A233" s="965"/>
      <c r="B233" s="965"/>
      <c r="C233" s="965"/>
      <c r="D233" s="965"/>
      <c r="E233" s="965"/>
      <c r="F233" s="965"/>
      <c r="G233" s="965"/>
      <c r="H233" s="965"/>
      <c r="I233" s="965"/>
      <c r="J233" s="965"/>
      <c r="K233" s="965"/>
      <c r="L233" s="965"/>
      <c r="M233" s="965"/>
      <c r="N233" s="965"/>
      <c r="O233" s="965"/>
      <c r="P233" s="965"/>
      <c r="Q233" s="965"/>
      <c r="R233" s="965"/>
      <c r="S233" s="965"/>
      <c r="T233" s="965"/>
      <c r="U233" s="965"/>
      <c r="V233" s="965"/>
      <c r="W233" s="965"/>
      <c r="X233" s="965"/>
      <c r="Y233" s="965"/>
      <c r="Z233" s="965"/>
    </row>
    <row r="234">
      <c r="A234" s="965"/>
      <c r="B234" s="965"/>
      <c r="C234" s="965"/>
      <c r="D234" s="965"/>
      <c r="E234" s="965"/>
      <c r="F234" s="965"/>
      <c r="G234" s="965"/>
      <c r="H234" s="965"/>
      <c r="I234" s="965"/>
      <c r="J234" s="965"/>
      <c r="K234" s="965"/>
      <c r="L234" s="965"/>
      <c r="M234" s="965"/>
      <c r="N234" s="965"/>
      <c r="O234" s="965"/>
      <c r="P234" s="965"/>
      <c r="Q234" s="965"/>
      <c r="R234" s="965"/>
      <c r="S234" s="965"/>
      <c r="T234" s="965"/>
      <c r="U234" s="965"/>
      <c r="V234" s="965"/>
      <c r="W234" s="965"/>
      <c r="X234" s="965"/>
      <c r="Y234" s="965"/>
      <c r="Z234" s="965"/>
    </row>
    <row r="235">
      <c r="A235" s="965"/>
      <c r="B235" s="965"/>
      <c r="C235" s="965"/>
      <c r="D235" s="965"/>
      <c r="E235" s="965"/>
      <c r="F235" s="965"/>
      <c r="G235" s="965"/>
      <c r="H235" s="965"/>
      <c r="I235" s="965"/>
      <c r="J235" s="965"/>
      <c r="K235" s="965"/>
      <c r="L235" s="965"/>
      <c r="M235" s="965"/>
      <c r="N235" s="965"/>
      <c r="O235" s="965"/>
      <c r="P235" s="965"/>
      <c r="Q235" s="965"/>
      <c r="R235" s="965"/>
      <c r="S235" s="965"/>
      <c r="T235" s="965"/>
      <c r="U235" s="965"/>
      <c r="V235" s="965"/>
      <c r="W235" s="965"/>
      <c r="X235" s="965"/>
      <c r="Y235" s="965"/>
      <c r="Z235" s="965"/>
    </row>
    <row r="236">
      <c r="A236" s="965"/>
      <c r="B236" s="965"/>
      <c r="C236" s="965"/>
      <c r="D236" s="965"/>
      <c r="E236" s="965"/>
      <c r="F236" s="965"/>
      <c r="G236" s="965"/>
      <c r="H236" s="965"/>
      <c r="I236" s="965"/>
      <c r="J236" s="965"/>
      <c r="K236" s="965"/>
      <c r="L236" s="965"/>
      <c r="M236" s="965"/>
      <c r="N236" s="965"/>
      <c r="O236" s="965"/>
      <c r="P236" s="965"/>
      <c r="Q236" s="965"/>
      <c r="R236" s="965"/>
      <c r="S236" s="965"/>
      <c r="T236" s="965"/>
      <c r="U236" s="965"/>
      <c r="V236" s="965"/>
      <c r="W236" s="965"/>
      <c r="X236" s="965"/>
      <c r="Y236" s="965"/>
      <c r="Z236" s="965"/>
    </row>
    <row r="237">
      <c r="A237" s="965"/>
      <c r="B237" s="965"/>
      <c r="C237" s="965"/>
      <c r="D237" s="965"/>
      <c r="E237" s="965"/>
      <c r="F237" s="965"/>
      <c r="G237" s="965"/>
      <c r="H237" s="965"/>
      <c r="I237" s="965"/>
      <c r="J237" s="965"/>
      <c r="K237" s="965"/>
      <c r="L237" s="965"/>
      <c r="M237" s="965"/>
      <c r="N237" s="965"/>
      <c r="O237" s="965"/>
      <c r="P237" s="965"/>
      <c r="Q237" s="965"/>
      <c r="R237" s="965"/>
      <c r="S237" s="965"/>
      <c r="T237" s="965"/>
      <c r="U237" s="965"/>
      <c r="V237" s="965"/>
      <c r="W237" s="965"/>
      <c r="X237" s="965"/>
      <c r="Y237" s="965"/>
      <c r="Z237" s="965"/>
    </row>
    <row r="238">
      <c r="A238" s="965"/>
      <c r="B238" s="965"/>
      <c r="C238" s="965"/>
      <c r="D238" s="965"/>
      <c r="E238" s="965"/>
      <c r="F238" s="965"/>
      <c r="G238" s="965"/>
      <c r="H238" s="965"/>
      <c r="I238" s="965"/>
      <c r="J238" s="965"/>
      <c r="K238" s="965"/>
      <c r="L238" s="965"/>
      <c r="M238" s="965"/>
      <c r="N238" s="965"/>
      <c r="O238" s="965"/>
      <c r="P238" s="965"/>
      <c r="Q238" s="965"/>
      <c r="R238" s="965"/>
      <c r="S238" s="965"/>
      <c r="T238" s="965"/>
      <c r="U238" s="965"/>
      <c r="V238" s="965"/>
      <c r="W238" s="965"/>
      <c r="X238" s="965"/>
      <c r="Y238" s="965"/>
      <c r="Z238" s="965"/>
    </row>
    <row r="239">
      <c r="A239" s="965"/>
      <c r="B239" s="965"/>
      <c r="C239" s="965"/>
      <c r="D239" s="965"/>
      <c r="E239" s="965"/>
      <c r="F239" s="965"/>
      <c r="G239" s="965"/>
      <c r="H239" s="965"/>
      <c r="I239" s="965"/>
      <c r="J239" s="965"/>
      <c r="K239" s="965"/>
      <c r="L239" s="965"/>
      <c r="M239" s="965"/>
      <c r="N239" s="965"/>
      <c r="O239" s="965"/>
      <c r="P239" s="965"/>
      <c r="Q239" s="965"/>
      <c r="R239" s="965"/>
      <c r="S239" s="965"/>
      <c r="T239" s="965"/>
      <c r="U239" s="965"/>
      <c r="V239" s="965"/>
      <c r="W239" s="965"/>
      <c r="X239" s="965"/>
      <c r="Y239" s="965"/>
      <c r="Z239" s="965"/>
    </row>
    <row r="240">
      <c r="A240" s="965"/>
      <c r="B240" s="965"/>
      <c r="C240" s="965"/>
      <c r="D240" s="965"/>
      <c r="E240" s="965"/>
      <c r="F240" s="965"/>
      <c r="G240" s="965"/>
      <c r="H240" s="965"/>
      <c r="I240" s="965"/>
      <c r="J240" s="965"/>
      <c r="K240" s="965"/>
      <c r="L240" s="965"/>
      <c r="M240" s="965"/>
      <c r="N240" s="965"/>
      <c r="O240" s="965"/>
      <c r="P240" s="965"/>
      <c r="Q240" s="965"/>
      <c r="R240" s="965"/>
      <c r="S240" s="965"/>
      <c r="T240" s="965"/>
      <c r="U240" s="965"/>
      <c r="V240" s="965"/>
      <c r="W240" s="965"/>
      <c r="X240" s="965"/>
      <c r="Y240" s="965"/>
      <c r="Z240" s="965"/>
    </row>
    <row r="241">
      <c r="A241" s="965"/>
      <c r="B241" s="965"/>
      <c r="C241" s="965"/>
      <c r="D241" s="965"/>
      <c r="E241" s="965"/>
      <c r="F241" s="965"/>
      <c r="G241" s="965"/>
      <c r="H241" s="965"/>
      <c r="I241" s="965"/>
      <c r="J241" s="965"/>
      <c r="K241" s="965"/>
      <c r="L241" s="965"/>
      <c r="M241" s="965"/>
      <c r="N241" s="965"/>
      <c r="O241" s="965"/>
      <c r="P241" s="965"/>
      <c r="Q241" s="965"/>
      <c r="R241" s="965"/>
      <c r="S241" s="965"/>
      <c r="T241" s="965"/>
      <c r="U241" s="965"/>
      <c r="V241" s="965"/>
      <c r="W241" s="965"/>
      <c r="X241" s="965"/>
      <c r="Y241" s="965"/>
      <c r="Z241" s="965"/>
    </row>
    <row r="242">
      <c r="A242" s="965"/>
      <c r="B242" s="965"/>
      <c r="C242" s="965"/>
      <c r="D242" s="965"/>
      <c r="E242" s="965"/>
      <c r="F242" s="965"/>
      <c r="G242" s="965"/>
      <c r="H242" s="965"/>
      <c r="I242" s="965"/>
      <c r="J242" s="965"/>
      <c r="K242" s="965"/>
      <c r="L242" s="965"/>
      <c r="M242" s="965"/>
      <c r="N242" s="965"/>
      <c r="O242" s="965"/>
      <c r="P242" s="965"/>
      <c r="Q242" s="965"/>
      <c r="R242" s="965"/>
      <c r="S242" s="965"/>
      <c r="T242" s="965"/>
      <c r="U242" s="965"/>
      <c r="V242" s="965"/>
      <c r="W242" s="965"/>
      <c r="X242" s="965"/>
      <c r="Y242" s="965"/>
      <c r="Z242" s="965"/>
    </row>
    <row r="243">
      <c r="A243" s="965"/>
      <c r="B243" s="965"/>
      <c r="C243" s="965"/>
      <c r="D243" s="965"/>
      <c r="E243" s="965"/>
      <c r="F243" s="965"/>
      <c r="G243" s="965"/>
      <c r="H243" s="965"/>
      <c r="I243" s="965"/>
      <c r="J243" s="965"/>
      <c r="K243" s="965"/>
      <c r="L243" s="965"/>
      <c r="M243" s="965"/>
      <c r="N243" s="965"/>
      <c r="O243" s="965"/>
      <c r="P243" s="965"/>
      <c r="Q243" s="965"/>
      <c r="R243" s="965"/>
      <c r="S243" s="965"/>
      <c r="T243" s="965"/>
      <c r="U243" s="965"/>
      <c r="V243" s="965"/>
      <c r="W243" s="965"/>
      <c r="X243" s="965"/>
      <c r="Y243" s="965"/>
      <c r="Z243" s="965"/>
    </row>
    <row r="244">
      <c r="A244" s="965"/>
      <c r="B244" s="965"/>
      <c r="C244" s="965"/>
      <c r="D244" s="965"/>
      <c r="E244" s="965"/>
      <c r="F244" s="965"/>
      <c r="G244" s="965"/>
      <c r="H244" s="965"/>
      <c r="I244" s="965"/>
      <c r="J244" s="965"/>
      <c r="K244" s="965"/>
      <c r="L244" s="965"/>
      <c r="M244" s="965"/>
      <c r="N244" s="965"/>
      <c r="O244" s="965"/>
      <c r="P244" s="965"/>
      <c r="Q244" s="965"/>
      <c r="R244" s="965"/>
      <c r="S244" s="965"/>
      <c r="T244" s="965"/>
      <c r="U244" s="965"/>
      <c r="V244" s="965"/>
      <c r="W244" s="965"/>
      <c r="X244" s="965"/>
      <c r="Y244" s="965"/>
      <c r="Z244" s="965"/>
    </row>
    <row r="245">
      <c r="A245" s="965"/>
      <c r="B245" s="965"/>
      <c r="C245" s="965"/>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row>
    <row r="246">
      <c r="A246" s="965"/>
      <c r="B246" s="965"/>
      <c r="C246" s="965"/>
      <c r="D246" s="965"/>
      <c r="E246" s="965"/>
      <c r="F246" s="965"/>
      <c r="G246" s="965"/>
      <c r="H246" s="965"/>
      <c r="I246" s="965"/>
      <c r="J246" s="965"/>
      <c r="K246" s="965"/>
      <c r="L246" s="965"/>
      <c r="M246" s="965"/>
      <c r="N246" s="965"/>
      <c r="O246" s="965"/>
      <c r="P246" s="965"/>
      <c r="Q246" s="965"/>
      <c r="R246" s="965"/>
      <c r="S246" s="965"/>
      <c r="T246" s="965"/>
      <c r="U246" s="965"/>
      <c r="V246" s="965"/>
      <c r="W246" s="965"/>
      <c r="X246" s="965"/>
      <c r="Y246" s="965"/>
      <c r="Z246" s="965"/>
    </row>
    <row r="247">
      <c r="A247" s="965"/>
      <c r="B247" s="965"/>
      <c r="C247" s="965"/>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row>
    <row r="248">
      <c r="A248" s="965"/>
      <c r="B248" s="965"/>
      <c r="C248" s="965"/>
      <c r="D248" s="965"/>
      <c r="E248" s="965"/>
      <c r="F248" s="965"/>
      <c r="G248" s="965"/>
      <c r="H248" s="965"/>
      <c r="I248" s="965"/>
      <c r="J248" s="965"/>
      <c r="K248" s="965"/>
      <c r="L248" s="965"/>
      <c r="M248" s="965"/>
      <c r="N248" s="965"/>
      <c r="O248" s="965"/>
      <c r="P248" s="965"/>
      <c r="Q248" s="965"/>
      <c r="R248" s="965"/>
      <c r="S248" s="965"/>
      <c r="T248" s="965"/>
      <c r="U248" s="965"/>
      <c r="V248" s="965"/>
      <c r="W248" s="965"/>
      <c r="X248" s="965"/>
      <c r="Y248" s="965"/>
      <c r="Z248" s="965"/>
    </row>
    <row r="249">
      <c r="A249" s="965"/>
      <c r="B249" s="965"/>
      <c r="C249" s="965"/>
      <c r="D249" s="965"/>
      <c r="E249" s="965"/>
      <c r="F249" s="965"/>
      <c r="G249" s="965"/>
      <c r="H249" s="965"/>
      <c r="I249" s="965"/>
      <c r="J249" s="965"/>
      <c r="K249" s="965"/>
      <c r="L249" s="965"/>
      <c r="M249" s="965"/>
      <c r="N249" s="965"/>
      <c r="O249" s="965"/>
      <c r="P249" s="965"/>
      <c r="Q249" s="965"/>
      <c r="R249" s="965"/>
      <c r="S249" s="965"/>
      <c r="T249" s="965"/>
      <c r="U249" s="965"/>
      <c r="V249" s="965"/>
      <c r="W249" s="965"/>
      <c r="X249" s="965"/>
      <c r="Y249" s="965"/>
      <c r="Z249" s="965"/>
    </row>
    <row r="250">
      <c r="A250" s="965"/>
      <c r="B250" s="965"/>
      <c r="C250" s="965"/>
      <c r="D250" s="965"/>
      <c r="E250" s="965"/>
      <c r="F250" s="965"/>
      <c r="G250" s="965"/>
      <c r="H250" s="965"/>
      <c r="I250" s="965"/>
      <c r="J250" s="965"/>
      <c r="K250" s="965"/>
      <c r="L250" s="965"/>
      <c r="M250" s="965"/>
      <c r="N250" s="965"/>
      <c r="O250" s="965"/>
      <c r="P250" s="965"/>
      <c r="Q250" s="965"/>
      <c r="R250" s="965"/>
      <c r="S250" s="965"/>
      <c r="T250" s="965"/>
      <c r="U250" s="965"/>
      <c r="V250" s="965"/>
      <c r="W250" s="965"/>
      <c r="X250" s="965"/>
      <c r="Y250" s="965"/>
      <c r="Z250" s="965"/>
    </row>
    <row r="251">
      <c r="A251" s="965"/>
      <c r="B251" s="965"/>
      <c r="C251" s="965"/>
      <c r="D251" s="965"/>
      <c r="E251" s="965"/>
      <c r="F251" s="965"/>
      <c r="G251" s="965"/>
      <c r="H251" s="965"/>
      <c r="I251" s="965"/>
      <c r="J251" s="965"/>
      <c r="K251" s="965"/>
      <c r="L251" s="965"/>
      <c r="M251" s="965"/>
      <c r="N251" s="965"/>
      <c r="O251" s="965"/>
      <c r="P251" s="965"/>
      <c r="Q251" s="965"/>
      <c r="R251" s="965"/>
      <c r="S251" s="965"/>
      <c r="T251" s="965"/>
      <c r="U251" s="965"/>
      <c r="V251" s="965"/>
      <c r="W251" s="965"/>
      <c r="X251" s="965"/>
      <c r="Y251" s="965"/>
      <c r="Z251" s="965"/>
    </row>
    <row r="252">
      <c r="A252" s="965"/>
      <c r="B252" s="965"/>
      <c r="C252" s="965"/>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row>
    <row r="253">
      <c r="A253" s="965"/>
      <c r="B253" s="965"/>
      <c r="C253" s="965"/>
      <c r="D253" s="965"/>
      <c r="E253" s="965"/>
      <c r="F253" s="965"/>
      <c r="G253" s="965"/>
      <c r="H253" s="965"/>
      <c r="I253" s="965"/>
      <c r="J253" s="965"/>
      <c r="K253" s="965"/>
      <c r="L253" s="965"/>
      <c r="M253" s="965"/>
      <c r="N253" s="965"/>
      <c r="O253" s="965"/>
      <c r="P253" s="965"/>
      <c r="Q253" s="965"/>
      <c r="R253" s="965"/>
      <c r="S253" s="965"/>
      <c r="T253" s="965"/>
      <c r="U253" s="965"/>
      <c r="V253" s="965"/>
      <c r="W253" s="965"/>
      <c r="X253" s="965"/>
      <c r="Y253" s="965"/>
      <c r="Z253" s="965"/>
    </row>
    <row r="254">
      <c r="A254" s="965"/>
      <c r="B254" s="965"/>
      <c r="C254" s="965"/>
      <c r="D254" s="965"/>
      <c r="E254" s="965"/>
      <c r="F254" s="965"/>
      <c r="G254" s="965"/>
      <c r="H254" s="965"/>
      <c r="I254" s="965"/>
      <c r="J254" s="965"/>
      <c r="K254" s="965"/>
      <c r="L254" s="965"/>
      <c r="M254" s="965"/>
      <c r="N254" s="965"/>
      <c r="O254" s="965"/>
      <c r="P254" s="965"/>
      <c r="Q254" s="965"/>
      <c r="R254" s="965"/>
      <c r="S254" s="965"/>
      <c r="T254" s="965"/>
      <c r="U254" s="965"/>
      <c r="V254" s="965"/>
      <c r="W254" s="965"/>
      <c r="X254" s="965"/>
      <c r="Y254" s="965"/>
      <c r="Z254" s="965"/>
    </row>
    <row r="255">
      <c r="A255" s="965"/>
      <c r="B255" s="965"/>
      <c r="C255" s="965"/>
      <c r="D255" s="965"/>
      <c r="E255" s="965"/>
      <c r="F255" s="965"/>
      <c r="G255" s="965"/>
      <c r="H255" s="965"/>
      <c r="I255" s="965"/>
      <c r="J255" s="965"/>
      <c r="K255" s="965"/>
      <c r="L255" s="965"/>
      <c r="M255" s="965"/>
      <c r="N255" s="965"/>
      <c r="O255" s="965"/>
      <c r="P255" s="965"/>
      <c r="Q255" s="965"/>
      <c r="R255" s="965"/>
      <c r="S255" s="965"/>
      <c r="T255" s="965"/>
      <c r="U255" s="965"/>
      <c r="V255" s="965"/>
      <c r="W255" s="965"/>
      <c r="X255" s="965"/>
      <c r="Y255" s="965"/>
      <c r="Z255" s="965"/>
    </row>
    <row r="256">
      <c r="A256" s="965"/>
      <c r="B256" s="965"/>
      <c r="C256" s="965"/>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row>
    <row r="257">
      <c r="A257" s="965"/>
      <c r="B257" s="965"/>
      <c r="C257" s="965"/>
      <c r="D257" s="965"/>
      <c r="E257" s="965"/>
      <c r="F257" s="965"/>
      <c r="G257" s="965"/>
      <c r="H257" s="965"/>
      <c r="I257" s="965"/>
      <c r="J257" s="965"/>
      <c r="K257" s="965"/>
      <c r="L257" s="965"/>
      <c r="M257" s="965"/>
      <c r="N257" s="965"/>
      <c r="O257" s="965"/>
      <c r="P257" s="965"/>
      <c r="Q257" s="965"/>
      <c r="R257" s="965"/>
      <c r="S257" s="965"/>
      <c r="T257" s="965"/>
      <c r="U257" s="965"/>
      <c r="V257" s="965"/>
      <c r="W257" s="965"/>
      <c r="X257" s="965"/>
      <c r="Y257" s="965"/>
      <c r="Z257" s="965"/>
    </row>
    <row r="258">
      <c r="A258" s="965"/>
      <c r="B258" s="965"/>
      <c r="C258" s="965"/>
      <c r="D258" s="965"/>
      <c r="E258" s="965"/>
      <c r="F258" s="965"/>
      <c r="G258" s="965"/>
      <c r="H258" s="965"/>
      <c r="I258" s="965"/>
      <c r="J258" s="965"/>
      <c r="K258" s="965"/>
      <c r="L258" s="965"/>
      <c r="M258" s="965"/>
      <c r="N258" s="965"/>
      <c r="O258" s="965"/>
      <c r="P258" s="965"/>
      <c r="Q258" s="965"/>
      <c r="R258" s="965"/>
      <c r="S258" s="965"/>
      <c r="T258" s="965"/>
      <c r="U258" s="965"/>
      <c r="V258" s="965"/>
      <c r="W258" s="965"/>
      <c r="X258" s="965"/>
      <c r="Y258" s="965"/>
      <c r="Z258" s="965"/>
    </row>
    <row r="259">
      <c r="A259" s="965"/>
      <c r="B259" s="965"/>
      <c r="C259" s="965"/>
      <c r="D259" s="965"/>
      <c r="E259" s="965"/>
      <c r="F259" s="965"/>
      <c r="G259" s="965"/>
      <c r="H259" s="965"/>
      <c r="I259" s="965"/>
      <c r="J259" s="965"/>
      <c r="K259" s="965"/>
      <c r="L259" s="965"/>
      <c r="M259" s="965"/>
      <c r="N259" s="965"/>
      <c r="O259" s="965"/>
      <c r="P259" s="965"/>
      <c r="Q259" s="965"/>
      <c r="R259" s="965"/>
      <c r="S259" s="965"/>
      <c r="T259" s="965"/>
      <c r="U259" s="965"/>
      <c r="V259" s="965"/>
      <c r="W259" s="965"/>
      <c r="X259" s="965"/>
      <c r="Y259" s="965"/>
      <c r="Z259" s="965"/>
    </row>
    <row r="260">
      <c r="A260" s="965"/>
      <c r="B260" s="965"/>
      <c r="C260" s="965"/>
      <c r="D260" s="965"/>
      <c r="E260" s="965"/>
      <c r="F260" s="965"/>
      <c r="G260" s="965"/>
      <c r="H260" s="965"/>
      <c r="I260" s="965"/>
      <c r="J260" s="965"/>
      <c r="K260" s="965"/>
      <c r="L260" s="965"/>
      <c r="M260" s="965"/>
      <c r="N260" s="965"/>
      <c r="O260" s="965"/>
      <c r="P260" s="965"/>
      <c r="Q260" s="965"/>
      <c r="R260" s="965"/>
      <c r="S260" s="965"/>
      <c r="T260" s="965"/>
      <c r="U260" s="965"/>
      <c r="V260" s="965"/>
      <c r="W260" s="965"/>
      <c r="X260" s="965"/>
      <c r="Y260" s="965"/>
      <c r="Z260" s="965"/>
    </row>
    <row r="261">
      <c r="A261" s="965"/>
      <c r="B261" s="965"/>
      <c r="C261" s="965"/>
      <c r="D261" s="965"/>
      <c r="E261" s="965"/>
      <c r="F261" s="965"/>
      <c r="G261" s="965"/>
      <c r="H261" s="965"/>
      <c r="I261" s="965"/>
      <c r="J261" s="965"/>
      <c r="K261" s="965"/>
      <c r="L261" s="965"/>
      <c r="M261" s="965"/>
      <c r="N261" s="965"/>
      <c r="O261" s="965"/>
      <c r="P261" s="965"/>
      <c r="Q261" s="965"/>
      <c r="R261" s="965"/>
      <c r="S261" s="965"/>
      <c r="T261" s="965"/>
      <c r="U261" s="965"/>
      <c r="V261" s="965"/>
      <c r="W261" s="965"/>
      <c r="X261" s="965"/>
      <c r="Y261" s="965"/>
      <c r="Z261" s="965"/>
    </row>
    <row r="262">
      <c r="A262" s="965"/>
      <c r="B262" s="965"/>
      <c r="C262" s="965"/>
      <c r="D262" s="965"/>
      <c r="E262" s="965"/>
      <c r="F262" s="965"/>
      <c r="G262" s="965"/>
      <c r="H262" s="965"/>
      <c r="I262" s="965"/>
      <c r="J262" s="965"/>
      <c r="K262" s="965"/>
      <c r="L262" s="965"/>
      <c r="M262" s="965"/>
      <c r="N262" s="965"/>
      <c r="O262" s="965"/>
      <c r="P262" s="965"/>
      <c r="Q262" s="965"/>
      <c r="R262" s="965"/>
      <c r="S262" s="965"/>
      <c r="T262" s="965"/>
      <c r="U262" s="965"/>
      <c r="V262" s="965"/>
      <c r="W262" s="965"/>
      <c r="X262" s="965"/>
      <c r="Y262" s="965"/>
      <c r="Z262" s="965"/>
    </row>
    <row r="263">
      <c r="A263" s="965"/>
      <c r="B263" s="965"/>
      <c r="C263" s="965"/>
      <c r="D263" s="965"/>
      <c r="E263" s="965"/>
      <c r="F263" s="965"/>
      <c r="G263" s="965"/>
      <c r="H263" s="965"/>
      <c r="I263" s="965"/>
      <c r="J263" s="965"/>
      <c r="K263" s="965"/>
      <c r="L263" s="965"/>
      <c r="M263" s="965"/>
      <c r="N263" s="965"/>
      <c r="O263" s="965"/>
      <c r="P263" s="965"/>
      <c r="Q263" s="965"/>
      <c r="R263" s="965"/>
      <c r="S263" s="965"/>
      <c r="T263" s="965"/>
      <c r="U263" s="965"/>
      <c r="V263" s="965"/>
      <c r="W263" s="965"/>
      <c r="X263" s="965"/>
      <c r="Y263" s="965"/>
      <c r="Z263" s="965"/>
    </row>
    <row r="264">
      <c r="A264" s="965"/>
      <c r="B264" s="965"/>
      <c r="C264" s="965"/>
      <c r="D264" s="965"/>
      <c r="E264" s="965"/>
      <c r="F264" s="965"/>
      <c r="G264" s="965"/>
      <c r="H264" s="965"/>
      <c r="I264" s="965"/>
      <c r="J264" s="965"/>
      <c r="K264" s="965"/>
      <c r="L264" s="965"/>
      <c r="M264" s="965"/>
      <c r="N264" s="965"/>
      <c r="O264" s="965"/>
      <c r="P264" s="965"/>
      <c r="Q264" s="965"/>
      <c r="R264" s="965"/>
      <c r="S264" s="965"/>
      <c r="T264" s="965"/>
      <c r="U264" s="965"/>
      <c r="V264" s="965"/>
      <c r="W264" s="965"/>
      <c r="X264" s="965"/>
      <c r="Y264" s="965"/>
      <c r="Z264" s="965"/>
    </row>
    <row r="265">
      <c r="A265" s="965"/>
      <c r="B265" s="965"/>
      <c r="C265" s="965"/>
      <c r="D265" s="965"/>
      <c r="E265" s="965"/>
      <c r="F265" s="965"/>
      <c r="G265" s="965"/>
      <c r="H265" s="965"/>
      <c r="I265" s="965"/>
      <c r="J265" s="965"/>
      <c r="K265" s="965"/>
      <c r="L265" s="965"/>
      <c r="M265" s="965"/>
      <c r="N265" s="965"/>
      <c r="O265" s="965"/>
      <c r="P265" s="965"/>
      <c r="Q265" s="965"/>
      <c r="R265" s="965"/>
      <c r="S265" s="965"/>
      <c r="T265" s="965"/>
      <c r="U265" s="965"/>
      <c r="V265" s="965"/>
      <c r="W265" s="965"/>
      <c r="X265" s="965"/>
      <c r="Y265" s="965"/>
      <c r="Z265" s="965"/>
    </row>
    <row r="266">
      <c r="A266" s="965"/>
      <c r="B266" s="965"/>
      <c r="C266" s="965"/>
      <c r="D266" s="965"/>
      <c r="E266" s="965"/>
      <c r="F266" s="965"/>
      <c r="G266" s="965"/>
      <c r="H266" s="965"/>
      <c r="I266" s="965"/>
      <c r="J266" s="965"/>
      <c r="K266" s="965"/>
      <c r="L266" s="965"/>
      <c r="M266" s="965"/>
      <c r="N266" s="965"/>
      <c r="O266" s="965"/>
      <c r="P266" s="965"/>
      <c r="Q266" s="965"/>
      <c r="R266" s="965"/>
      <c r="S266" s="965"/>
      <c r="T266" s="965"/>
      <c r="U266" s="965"/>
      <c r="V266" s="965"/>
      <c r="W266" s="965"/>
      <c r="X266" s="965"/>
      <c r="Y266" s="965"/>
      <c r="Z266" s="965"/>
    </row>
    <row r="267">
      <c r="A267" s="965"/>
      <c r="B267" s="965"/>
      <c r="C267" s="965"/>
      <c r="D267" s="965"/>
      <c r="E267" s="965"/>
      <c r="F267" s="965"/>
      <c r="G267" s="965"/>
      <c r="H267" s="965"/>
      <c r="I267" s="965"/>
      <c r="J267" s="965"/>
      <c r="K267" s="965"/>
      <c r="L267" s="965"/>
      <c r="M267" s="965"/>
      <c r="N267" s="965"/>
      <c r="O267" s="965"/>
      <c r="P267" s="965"/>
      <c r="Q267" s="965"/>
      <c r="R267" s="965"/>
      <c r="S267" s="965"/>
      <c r="T267" s="965"/>
      <c r="U267" s="965"/>
      <c r="V267" s="965"/>
      <c r="W267" s="965"/>
      <c r="X267" s="965"/>
      <c r="Y267" s="965"/>
      <c r="Z267" s="965"/>
    </row>
    <row r="268">
      <c r="A268" s="965"/>
      <c r="B268" s="965"/>
      <c r="C268" s="965"/>
      <c r="D268" s="965"/>
      <c r="E268" s="965"/>
      <c r="F268" s="965"/>
      <c r="G268" s="965"/>
      <c r="H268" s="965"/>
      <c r="I268" s="965"/>
      <c r="J268" s="965"/>
      <c r="K268" s="965"/>
      <c r="L268" s="965"/>
      <c r="M268" s="965"/>
      <c r="N268" s="965"/>
      <c r="O268" s="965"/>
      <c r="P268" s="965"/>
      <c r="Q268" s="965"/>
      <c r="R268" s="965"/>
      <c r="S268" s="965"/>
      <c r="T268" s="965"/>
      <c r="U268" s="965"/>
      <c r="V268" s="965"/>
      <c r="W268" s="965"/>
      <c r="X268" s="965"/>
      <c r="Y268" s="965"/>
      <c r="Z268" s="965"/>
    </row>
    <row r="269">
      <c r="A269" s="965"/>
      <c r="B269" s="965"/>
      <c r="C269" s="965"/>
      <c r="D269" s="965"/>
      <c r="E269" s="965"/>
      <c r="F269" s="965"/>
      <c r="G269" s="965"/>
      <c r="H269" s="965"/>
      <c r="I269" s="965"/>
      <c r="J269" s="965"/>
      <c r="K269" s="965"/>
      <c r="L269" s="965"/>
      <c r="M269" s="965"/>
      <c r="N269" s="965"/>
      <c r="O269" s="965"/>
      <c r="P269" s="965"/>
      <c r="Q269" s="965"/>
      <c r="R269" s="965"/>
      <c r="S269" s="965"/>
      <c r="T269" s="965"/>
      <c r="U269" s="965"/>
      <c r="V269" s="965"/>
      <c r="W269" s="965"/>
      <c r="X269" s="965"/>
      <c r="Y269" s="965"/>
      <c r="Z269" s="965"/>
    </row>
    <row r="270">
      <c r="A270" s="965"/>
      <c r="B270" s="965"/>
      <c r="C270" s="965"/>
      <c r="D270" s="965"/>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row>
    <row r="271">
      <c r="A271" s="965"/>
      <c r="B271" s="965"/>
      <c r="C271" s="965"/>
      <c r="D271" s="965"/>
      <c r="E271" s="965"/>
      <c r="F271" s="965"/>
      <c r="G271" s="965"/>
      <c r="H271" s="965"/>
      <c r="I271" s="965"/>
      <c r="J271" s="965"/>
      <c r="K271" s="965"/>
      <c r="L271" s="965"/>
      <c r="M271" s="965"/>
      <c r="N271" s="965"/>
      <c r="O271" s="965"/>
      <c r="P271" s="965"/>
      <c r="Q271" s="965"/>
      <c r="R271" s="965"/>
      <c r="S271" s="965"/>
      <c r="T271" s="965"/>
      <c r="U271" s="965"/>
      <c r="V271" s="965"/>
      <c r="W271" s="965"/>
      <c r="X271" s="965"/>
      <c r="Y271" s="965"/>
      <c r="Z271" s="965"/>
    </row>
    <row r="272">
      <c r="A272" s="965"/>
      <c r="B272" s="965"/>
      <c r="C272" s="965"/>
      <c r="D272" s="965"/>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row>
    <row r="273">
      <c r="A273" s="965"/>
      <c r="B273" s="965"/>
      <c r="C273" s="965"/>
      <c r="D273" s="965"/>
      <c r="E273" s="965"/>
      <c r="F273" s="965"/>
      <c r="G273" s="965"/>
      <c r="H273" s="965"/>
      <c r="I273" s="965"/>
      <c r="J273" s="965"/>
      <c r="K273" s="965"/>
      <c r="L273" s="965"/>
      <c r="M273" s="965"/>
      <c r="N273" s="965"/>
      <c r="O273" s="965"/>
      <c r="P273" s="965"/>
      <c r="Q273" s="965"/>
      <c r="R273" s="965"/>
      <c r="S273" s="965"/>
      <c r="T273" s="965"/>
      <c r="U273" s="965"/>
      <c r="V273" s="965"/>
      <c r="W273" s="965"/>
      <c r="X273" s="965"/>
      <c r="Y273" s="965"/>
      <c r="Z273" s="965"/>
    </row>
    <row r="274">
      <c r="A274" s="965"/>
      <c r="B274" s="965"/>
      <c r="C274" s="965"/>
      <c r="D274" s="965"/>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row>
    <row r="275">
      <c r="A275" s="965"/>
      <c r="B275" s="965"/>
      <c r="C275" s="965"/>
      <c r="D275" s="965"/>
      <c r="E275" s="965"/>
      <c r="F275" s="965"/>
      <c r="G275" s="965"/>
      <c r="H275" s="965"/>
      <c r="I275" s="965"/>
      <c r="J275" s="965"/>
      <c r="K275" s="965"/>
      <c r="L275" s="965"/>
      <c r="M275" s="965"/>
      <c r="N275" s="965"/>
      <c r="O275" s="965"/>
      <c r="P275" s="965"/>
      <c r="Q275" s="965"/>
      <c r="R275" s="965"/>
      <c r="S275" s="965"/>
      <c r="T275" s="965"/>
      <c r="U275" s="965"/>
      <c r="V275" s="965"/>
      <c r="W275" s="965"/>
      <c r="X275" s="965"/>
      <c r="Y275" s="965"/>
      <c r="Z275" s="965"/>
    </row>
    <row r="276">
      <c r="A276" s="965"/>
      <c r="B276" s="965"/>
      <c r="C276" s="965"/>
      <c r="D276" s="965"/>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row>
    <row r="277">
      <c r="A277" s="965"/>
      <c r="B277" s="965"/>
      <c r="C277" s="965"/>
      <c r="D277" s="965"/>
      <c r="E277" s="965"/>
      <c r="F277" s="965"/>
      <c r="G277" s="965"/>
      <c r="H277" s="965"/>
      <c r="I277" s="965"/>
      <c r="J277" s="965"/>
      <c r="K277" s="965"/>
      <c r="L277" s="965"/>
      <c r="M277" s="965"/>
      <c r="N277" s="965"/>
      <c r="O277" s="965"/>
      <c r="P277" s="965"/>
      <c r="Q277" s="965"/>
      <c r="R277" s="965"/>
      <c r="S277" s="965"/>
      <c r="T277" s="965"/>
      <c r="U277" s="965"/>
      <c r="V277" s="965"/>
      <c r="W277" s="965"/>
      <c r="X277" s="965"/>
      <c r="Y277" s="965"/>
      <c r="Z277" s="965"/>
    </row>
    <row r="278">
      <c r="A278" s="965"/>
      <c r="B278" s="965"/>
      <c r="C278" s="965"/>
      <c r="D278" s="965"/>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row>
    <row r="279">
      <c r="A279" s="965"/>
      <c r="B279" s="965"/>
      <c r="C279" s="965"/>
      <c r="D279" s="965"/>
      <c r="E279" s="965"/>
      <c r="F279" s="965"/>
      <c r="G279" s="965"/>
      <c r="H279" s="965"/>
      <c r="I279" s="965"/>
      <c r="J279" s="965"/>
      <c r="K279" s="965"/>
      <c r="L279" s="965"/>
      <c r="M279" s="965"/>
      <c r="N279" s="965"/>
      <c r="O279" s="965"/>
      <c r="P279" s="965"/>
      <c r="Q279" s="965"/>
      <c r="R279" s="965"/>
      <c r="S279" s="965"/>
      <c r="T279" s="965"/>
      <c r="U279" s="965"/>
      <c r="V279" s="965"/>
      <c r="W279" s="965"/>
      <c r="X279" s="965"/>
      <c r="Y279" s="965"/>
      <c r="Z279" s="965"/>
    </row>
    <row r="280">
      <c r="A280" s="965"/>
      <c r="B280" s="965"/>
      <c r="C280" s="965"/>
      <c r="D280" s="965"/>
      <c r="E280" s="965"/>
      <c r="F280" s="965"/>
      <c r="G280" s="965"/>
      <c r="H280" s="965"/>
      <c r="I280" s="965"/>
      <c r="J280" s="965"/>
      <c r="K280" s="965"/>
      <c r="L280" s="965"/>
      <c r="M280" s="965"/>
      <c r="N280" s="965"/>
      <c r="O280" s="965"/>
      <c r="P280" s="965"/>
      <c r="Q280" s="965"/>
      <c r="R280" s="965"/>
      <c r="S280" s="965"/>
      <c r="T280" s="965"/>
      <c r="U280" s="965"/>
      <c r="V280" s="965"/>
      <c r="W280" s="965"/>
      <c r="X280" s="965"/>
      <c r="Y280" s="965"/>
      <c r="Z280" s="965"/>
    </row>
    <row r="281">
      <c r="A281" s="965"/>
      <c r="B281" s="965"/>
      <c r="C281" s="965"/>
      <c r="D281" s="965"/>
      <c r="E281" s="965"/>
      <c r="F281" s="965"/>
      <c r="G281" s="965"/>
      <c r="H281" s="965"/>
      <c r="I281" s="965"/>
      <c r="J281" s="965"/>
      <c r="K281" s="965"/>
      <c r="L281" s="965"/>
      <c r="M281" s="965"/>
      <c r="N281" s="965"/>
      <c r="O281" s="965"/>
      <c r="P281" s="965"/>
      <c r="Q281" s="965"/>
      <c r="R281" s="965"/>
      <c r="S281" s="965"/>
      <c r="T281" s="965"/>
      <c r="U281" s="965"/>
      <c r="V281" s="965"/>
      <c r="W281" s="965"/>
      <c r="X281" s="965"/>
      <c r="Y281" s="965"/>
      <c r="Z281" s="965"/>
    </row>
    <row r="282">
      <c r="A282" s="965"/>
      <c r="B282" s="965"/>
      <c r="C282" s="965"/>
      <c r="D282" s="965"/>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row>
    <row r="283">
      <c r="A283" s="965"/>
      <c r="B283" s="965"/>
      <c r="C283" s="965"/>
      <c r="D283" s="965"/>
      <c r="E283" s="965"/>
      <c r="F283" s="965"/>
      <c r="G283" s="965"/>
      <c r="H283" s="965"/>
      <c r="I283" s="965"/>
      <c r="J283" s="965"/>
      <c r="K283" s="965"/>
      <c r="L283" s="965"/>
      <c r="M283" s="965"/>
      <c r="N283" s="965"/>
      <c r="O283" s="965"/>
      <c r="P283" s="965"/>
      <c r="Q283" s="965"/>
      <c r="R283" s="965"/>
      <c r="S283" s="965"/>
      <c r="T283" s="965"/>
      <c r="U283" s="965"/>
      <c r="V283" s="965"/>
      <c r="W283" s="965"/>
      <c r="X283" s="965"/>
      <c r="Y283" s="965"/>
      <c r="Z283" s="965"/>
    </row>
    <row r="284">
      <c r="A284" s="965"/>
      <c r="B284" s="965"/>
      <c r="C284" s="965"/>
      <c r="D284" s="965"/>
      <c r="E284" s="965"/>
      <c r="F284" s="965"/>
      <c r="G284" s="965"/>
      <c r="H284" s="965"/>
      <c r="I284" s="965"/>
      <c r="J284" s="965"/>
      <c r="K284" s="965"/>
      <c r="L284" s="965"/>
      <c r="M284" s="965"/>
      <c r="N284" s="965"/>
      <c r="O284" s="965"/>
      <c r="P284" s="965"/>
      <c r="Q284" s="965"/>
      <c r="R284" s="965"/>
      <c r="S284" s="965"/>
      <c r="T284" s="965"/>
      <c r="U284" s="965"/>
      <c r="V284" s="965"/>
      <c r="W284" s="965"/>
      <c r="X284" s="965"/>
      <c r="Y284" s="965"/>
      <c r="Z284" s="965"/>
    </row>
    <row r="285">
      <c r="A285" s="965"/>
      <c r="B285" s="965"/>
      <c r="C285" s="965"/>
      <c r="D285" s="965"/>
      <c r="E285" s="965"/>
      <c r="F285" s="965"/>
      <c r="G285" s="965"/>
      <c r="H285" s="965"/>
      <c r="I285" s="965"/>
      <c r="J285" s="965"/>
      <c r="K285" s="965"/>
      <c r="L285" s="965"/>
      <c r="M285" s="965"/>
      <c r="N285" s="965"/>
      <c r="O285" s="965"/>
      <c r="P285" s="965"/>
      <c r="Q285" s="965"/>
      <c r="R285" s="965"/>
      <c r="S285" s="965"/>
      <c r="T285" s="965"/>
      <c r="U285" s="965"/>
      <c r="V285" s="965"/>
      <c r="W285" s="965"/>
      <c r="X285" s="965"/>
      <c r="Y285" s="965"/>
      <c r="Z285" s="965"/>
    </row>
    <row r="286">
      <c r="A286" s="965"/>
      <c r="B286" s="965"/>
      <c r="C286" s="965"/>
      <c r="D286" s="965"/>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row>
    <row r="287">
      <c r="A287" s="965"/>
      <c r="B287" s="965"/>
      <c r="C287" s="965"/>
      <c r="D287" s="965"/>
      <c r="E287" s="965"/>
      <c r="F287" s="965"/>
      <c r="G287" s="965"/>
      <c r="H287" s="965"/>
      <c r="I287" s="965"/>
      <c r="J287" s="965"/>
      <c r="K287" s="965"/>
      <c r="L287" s="965"/>
      <c r="M287" s="965"/>
      <c r="N287" s="965"/>
      <c r="O287" s="965"/>
      <c r="P287" s="965"/>
      <c r="Q287" s="965"/>
      <c r="R287" s="965"/>
      <c r="S287" s="965"/>
      <c r="T287" s="965"/>
      <c r="U287" s="965"/>
      <c r="V287" s="965"/>
      <c r="W287" s="965"/>
      <c r="X287" s="965"/>
      <c r="Y287" s="965"/>
      <c r="Z287" s="965"/>
    </row>
    <row r="288">
      <c r="A288" s="965"/>
      <c r="B288" s="965"/>
      <c r="C288" s="965"/>
      <c r="D288" s="965"/>
      <c r="E288" s="965"/>
      <c r="F288" s="965"/>
      <c r="G288" s="965"/>
      <c r="H288" s="965"/>
      <c r="I288" s="965"/>
      <c r="J288" s="965"/>
      <c r="K288" s="965"/>
      <c r="L288" s="965"/>
      <c r="M288" s="965"/>
      <c r="N288" s="965"/>
      <c r="O288" s="965"/>
      <c r="P288" s="965"/>
      <c r="Q288" s="965"/>
      <c r="R288" s="965"/>
      <c r="S288" s="965"/>
      <c r="T288" s="965"/>
      <c r="U288" s="965"/>
      <c r="V288" s="965"/>
      <c r="W288" s="965"/>
      <c r="X288" s="965"/>
      <c r="Y288" s="965"/>
      <c r="Z288" s="965"/>
    </row>
    <row r="289">
      <c r="A289" s="965"/>
      <c r="B289" s="965"/>
      <c r="C289" s="965"/>
      <c r="D289" s="965"/>
      <c r="E289" s="965"/>
      <c r="F289" s="965"/>
      <c r="G289" s="965"/>
      <c r="H289" s="965"/>
      <c r="I289" s="965"/>
      <c r="J289" s="965"/>
      <c r="K289" s="965"/>
      <c r="L289" s="965"/>
      <c r="M289" s="965"/>
      <c r="N289" s="965"/>
      <c r="O289" s="965"/>
      <c r="P289" s="965"/>
      <c r="Q289" s="965"/>
      <c r="R289" s="965"/>
      <c r="S289" s="965"/>
      <c r="T289" s="965"/>
      <c r="U289" s="965"/>
      <c r="V289" s="965"/>
      <c r="W289" s="965"/>
      <c r="X289" s="965"/>
      <c r="Y289" s="965"/>
      <c r="Z289" s="965"/>
    </row>
    <row r="290">
      <c r="A290" s="965"/>
      <c r="B290" s="965"/>
      <c r="C290" s="965"/>
      <c r="D290" s="965"/>
      <c r="E290" s="965"/>
      <c r="F290" s="965"/>
      <c r="G290" s="965"/>
      <c r="H290" s="965"/>
      <c r="I290" s="965"/>
      <c r="J290" s="965"/>
      <c r="K290" s="965"/>
      <c r="L290" s="965"/>
      <c r="M290" s="965"/>
      <c r="N290" s="965"/>
      <c r="O290" s="965"/>
      <c r="P290" s="965"/>
      <c r="Q290" s="965"/>
      <c r="R290" s="965"/>
      <c r="S290" s="965"/>
      <c r="T290" s="965"/>
      <c r="U290" s="965"/>
      <c r="V290" s="965"/>
      <c r="W290" s="965"/>
      <c r="X290" s="965"/>
      <c r="Y290" s="965"/>
      <c r="Z290" s="965"/>
    </row>
    <row r="291">
      <c r="A291" s="965"/>
      <c r="B291" s="965"/>
      <c r="C291" s="965"/>
      <c r="D291" s="965"/>
      <c r="E291" s="965"/>
      <c r="F291" s="965"/>
      <c r="G291" s="965"/>
      <c r="H291" s="965"/>
      <c r="I291" s="965"/>
      <c r="J291" s="965"/>
      <c r="K291" s="965"/>
      <c r="L291" s="965"/>
      <c r="M291" s="965"/>
      <c r="N291" s="965"/>
      <c r="O291" s="965"/>
      <c r="P291" s="965"/>
      <c r="Q291" s="965"/>
      <c r="R291" s="965"/>
      <c r="S291" s="965"/>
      <c r="T291" s="965"/>
      <c r="U291" s="965"/>
      <c r="V291" s="965"/>
      <c r="W291" s="965"/>
      <c r="X291" s="965"/>
      <c r="Y291" s="965"/>
      <c r="Z291" s="965"/>
    </row>
    <row r="292">
      <c r="A292" s="965"/>
      <c r="B292" s="965"/>
      <c r="C292" s="965"/>
      <c r="D292" s="965"/>
      <c r="E292" s="965"/>
      <c r="F292" s="965"/>
      <c r="G292" s="965"/>
      <c r="H292" s="965"/>
      <c r="I292" s="965"/>
      <c r="J292" s="965"/>
      <c r="K292" s="965"/>
      <c r="L292" s="965"/>
      <c r="M292" s="965"/>
      <c r="N292" s="965"/>
      <c r="O292" s="965"/>
      <c r="P292" s="965"/>
      <c r="Q292" s="965"/>
      <c r="R292" s="965"/>
      <c r="S292" s="965"/>
      <c r="T292" s="965"/>
      <c r="U292" s="965"/>
      <c r="V292" s="965"/>
      <c r="W292" s="965"/>
      <c r="X292" s="965"/>
      <c r="Y292" s="965"/>
      <c r="Z292" s="965"/>
    </row>
    <row r="293">
      <c r="A293" s="965"/>
      <c r="B293" s="965"/>
      <c r="C293" s="965"/>
      <c r="D293" s="965"/>
      <c r="E293" s="965"/>
      <c r="F293" s="965"/>
      <c r="G293" s="965"/>
      <c r="H293" s="965"/>
      <c r="I293" s="965"/>
      <c r="J293" s="965"/>
      <c r="K293" s="965"/>
      <c r="L293" s="965"/>
      <c r="M293" s="965"/>
      <c r="N293" s="965"/>
      <c r="O293" s="965"/>
      <c r="P293" s="965"/>
      <c r="Q293" s="965"/>
      <c r="R293" s="965"/>
      <c r="S293" s="965"/>
      <c r="T293" s="965"/>
      <c r="U293" s="965"/>
      <c r="V293" s="965"/>
      <c r="W293" s="965"/>
      <c r="X293" s="965"/>
      <c r="Y293" s="965"/>
      <c r="Z293" s="965"/>
    </row>
    <row r="294">
      <c r="A294" s="965"/>
      <c r="B294" s="965"/>
      <c r="C294" s="965"/>
      <c r="D294" s="965"/>
      <c r="E294" s="965"/>
      <c r="F294" s="965"/>
      <c r="G294" s="965"/>
      <c r="H294" s="965"/>
      <c r="I294" s="965"/>
      <c r="J294" s="965"/>
      <c r="K294" s="965"/>
      <c r="L294" s="965"/>
      <c r="M294" s="965"/>
      <c r="N294" s="965"/>
      <c r="O294" s="965"/>
      <c r="P294" s="965"/>
      <c r="Q294" s="965"/>
      <c r="R294" s="965"/>
      <c r="S294" s="965"/>
      <c r="T294" s="965"/>
      <c r="U294" s="965"/>
      <c r="V294" s="965"/>
      <c r="W294" s="965"/>
      <c r="X294" s="965"/>
      <c r="Y294" s="965"/>
      <c r="Z294" s="965"/>
    </row>
    <row r="295">
      <c r="A295" s="965"/>
      <c r="B295" s="965"/>
      <c r="C295" s="965"/>
      <c r="D295" s="965"/>
      <c r="E295" s="965"/>
      <c r="F295" s="965"/>
      <c r="G295" s="965"/>
      <c r="H295" s="965"/>
      <c r="I295" s="965"/>
      <c r="J295" s="965"/>
      <c r="K295" s="965"/>
      <c r="L295" s="965"/>
      <c r="M295" s="965"/>
      <c r="N295" s="965"/>
      <c r="O295" s="965"/>
      <c r="P295" s="965"/>
      <c r="Q295" s="965"/>
      <c r="R295" s="965"/>
      <c r="S295" s="965"/>
      <c r="T295" s="965"/>
      <c r="U295" s="965"/>
      <c r="V295" s="965"/>
      <c r="W295" s="965"/>
      <c r="X295" s="965"/>
      <c r="Y295" s="965"/>
      <c r="Z295" s="965"/>
    </row>
    <row r="296">
      <c r="A296" s="965"/>
      <c r="B296" s="965"/>
      <c r="C296" s="965"/>
      <c r="D296" s="965"/>
      <c r="E296" s="965"/>
      <c r="F296" s="965"/>
      <c r="G296" s="965"/>
      <c r="H296" s="965"/>
      <c r="I296" s="965"/>
      <c r="J296" s="965"/>
      <c r="K296" s="965"/>
      <c r="L296" s="965"/>
      <c r="M296" s="965"/>
      <c r="N296" s="965"/>
      <c r="O296" s="965"/>
      <c r="P296" s="965"/>
      <c r="Q296" s="965"/>
      <c r="R296" s="965"/>
      <c r="S296" s="965"/>
      <c r="T296" s="965"/>
      <c r="U296" s="965"/>
      <c r="V296" s="965"/>
      <c r="W296" s="965"/>
      <c r="X296" s="965"/>
      <c r="Y296" s="965"/>
      <c r="Z296" s="965"/>
    </row>
    <row r="297">
      <c r="A297" s="965"/>
      <c r="B297" s="965"/>
      <c r="C297" s="965"/>
      <c r="D297" s="965"/>
      <c r="E297" s="965"/>
      <c r="F297" s="965"/>
      <c r="G297" s="965"/>
      <c r="H297" s="965"/>
      <c r="I297" s="965"/>
      <c r="J297" s="965"/>
      <c r="K297" s="965"/>
      <c r="L297" s="965"/>
      <c r="M297" s="965"/>
      <c r="N297" s="965"/>
      <c r="O297" s="965"/>
      <c r="P297" s="965"/>
      <c r="Q297" s="965"/>
      <c r="R297" s="965"/>
      <c r="S297" s="965"/>
      <c r="T297" s="965"/>
      <c r="U297" s="965"/>
      <c r="V297" s="965"/>
      <c r="W297" s="965"/>
      <c r="X297" s="965"/>
      <c r="Y297" s="965"/>
      <c r="Z297" s="965"/>
    </row>
    <row r="298">
      <c r="A298" s="965"/>
      <c r="B298" s="965"/>
      <c r="C298" s="965"/>
      <c r="D298" s="965"/>
      <c r="E298" s="965"/>
      <c r="F298" s="965"/>
      <c r="G298" s="965"/>
      <c r="H298" s="965"/>
      <c r="I298" s="965"/>
      <c r="J298" s="965"/>
      <c r="K298" s="965"/>
      <c r="L298" s="965"/>
      <c r="M298" s="965"/>
      <c r="N298" s="965"/>
      <c r="O298" s="965"/>
      <c r="P298" s="965"/>
      <c r="Q298" s="965"/>
      <c r="R298" s="965"/>
      <c r="S298" s="965"/>
      <c r="T298" s="965"/>
      <c r="U298" s="965"/>
      <c r="V298" s="965"/>
      <c r="W298" s="965"/>
      <c r="X298" s="965"/>
      <c r="Y298" s="965"/>
      <c r="Z298" s="965"/>
    </row>
    <row r="299">
      <c r="A299" s="965"/>
      <c r="B299" s="965"/>
      <c r="C299" s="965"/>
      <c r="D299" s="965"/>
      <c r="E299" s="965"/>
      <c r="F299" s="965"/>
      <c r="G299" s="965"/>
      <c r="H299" s="965"/>
      <c r="I299" s="965"/>
      <c r="J299" s="965"/>
      <c r="K299" s="965"/>
      <c r="L299" s="965"/>
      <c r="M299" s="965"/>
      <c r="N299" s="965"/>
      <c r="O299" s="965"/>
      <c r="P299" s="965"/>
      <c r="Q299" s="965"/>
      <c r="R299" s="965"/>
      <c r="S299" s="965"/>
      <c r="T299" s="965"/>
      <c r="U299" s="965"/>
      <c r="V299" s="965"/>
      <c r="W299" s="965"/>
      <c r="X299" s="965"/>
      <c r="Y299" s="965"/>
      <c r="Z299" s="965"/>
    </row>
    <row r="300">
      <c r="A300" s="965"/>
      <c r="B300" s="965"/>
      <c r="C300" s="965"/>
      <c r="D300" s="965"/>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row>
    <row r="301">
      <c r="A301" s="965"/>
      <c r="B301" s="965"/>
      <c r="C301" s="965"/>
      <c r="D301" s="965"/>
      <c r="E301" s="965"/>
      <c r="F301" s="965"/>
      <c r="G301" s="965"/>
      <c r="H301" s="965"/>
      <c r="I301" s="965"/>
      <c r="J301" s="965"/>
      <c r="K301" s="965"/>
      <c r="L301" s="965"/>
      <c r="M301" s="965"/>
      <c r="N301" s="965"/>
      <c r="O301" s="965"/>
      <c r="P301" s="965"/>
      <c r="Q301" s="965"/>
      <c r="R301" s="965"/>
      <c r="S301" s="965"/>
      <c r="T301" s="965"/>
      <c r="U301" s="965"/>
      <c r="V301" s="965"/>
      <c r="W301" s="965"/>
      <c r="X301" s="965"/>
      <c r="Y301" s="965"/>
      <c r="Z301" s="965"/>
    </row>
    <row r="302">
      <c r="A302" s="965"/>
      <c r="B302" s="965"/>
      <c r="C302" s="965"/>
      <c r="D302" s="965"/>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row>
    <row r="303">
      <c r="A303" s="965"/>
      <c r="B303" s="965"/>
      <c r="C303" s="965"/>
      <c r="D303" s="965"/>
      <c r="E303" s="965"/>
      <c r="F303" s="965"/>
      <c r="G303" s="965"/>
      <c r="H303" s="965"/>
      <c r="I303" s="965"/>
      <c r="J303" s="965"/>
      <c r="K303" s="965"/>
      <c r="L303" s="965"/>
      <c r="M303" s="965"/>
      <c r="N303" s="965"/>
      <c r="O303" s="965"/>
      <c r="P303" s="965"/>
      <c r="Q303" s="965"/>
      <c r="R303" s="965"/>
      <c r="S303" s="965"/>
      <c r="T303" s="965"/>
      <c r="U303" s="965"/>
      <c r="V303" s="965"/>
      <c r="W303" s="965"/>
      <c r="X303" s="965"/>
      <c r="Y303" s="965"/>
      <c r="Z303" s="965"/>
    </row>
    <row r="304">
      <c r="A304" s="965"/>
      <c r="B304" s="965"/>
      <c r="C304" s="965"/>
      <c r="D304" s="965"/>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row>
    <row r="305">
      <c r="A305" s="965"/>
      <c r="B305" s="965"/>
      <c r="C305" s="965"/>
      <c r="D305" s="965"/>
      <c r="E305" s="965"/>
      <c r="F305" s="965"/>
      <c r="G305" s="965"/>
      <c r="H305" s="965"/>
      <c r="I305" s="965"/>
      <c r="J305" s="965"/>
      <c r="K305" s="965"/>
      <c r="L305" s="965"/>
      <c r="M305" s="965"/>
      <c r="N305" s="965"/>
      <c r="O305" s="965"/>
      <c r="P305" s="965"/>
      <c r="Q305" s="965"/>
      <c r="R305" s="965"/>
      <c r="S305" s="965"/>
      <c r="T305" s="965"/>
      <c r="U305" s="965"/>
      <c r="V305" s="965"/>
      <c r="W305" s="965"/>
      <c r="X305" s="965"/>
      <c r="Y305" s="965"/>
      <c r="Z305" s="965"/>
    </row>
    <row r="306">
      <c r="A306" s="965"/>
      <c r="B306" s="965"/>
      <c r="C306" s="965"/>
      <c r="D306" s="965"/>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row>
    <row r="307">
      <c r="A307" s="965"/>
      <c r="B307" s="965"/>
      <c r="C307" s="965"/>
      <c r="D307" s="965"/>
      <c r="E307" s="965"/>
      <c r="F307" s="965"/>
      <c r="G307" s="965"/>
      <c r="H307" s="965"/>
      <c r="I307" s="965"/>
      <c r="J307" s="965"/>
      <c r="K307" s="965"/>
      <c r="L307" s="965"/>
      <c r="M307" s="965"/>
      <c r="N307" s="965"/>
      <c r="O307" s="965"/>
      <c r="P307" s="965"/>
      <c r="Q307" s="965"/>
      <c r="R307" s="965"/>
      <c r="S307" s="965"/>
      <c r="T307" s="965"/>
      <c r="U307" s="965"/>
      <c r="V307" s="965"/>
      <c r="W307" s="965"/>
      <c r="X307" s="965"/>
      <c r="Y307" s="965"/>
      <c r="Z307" s="965"/>
    </row>
    <row r="308">
      <c r="A308" s="965"/>
      <c r="B308" s="965"/>
      <c r="C308" s="965"/>
      <c r="D308" s="965"/>
      <c r="E308" s="965"/>
      <c r="F308" s="965"/>
      <c r="G308" s="965"/>
      <c r="H308" s="965"/>
      <c r="I308" s="965"/>
      <c r="J308" s="965"/>
      <c r="K308" s="965"/>
      <c r="L308" s="965"/>
      <c r="M308" s="965"/>
      <c r="N308" s="965"/>
      <c r="O308" s="965"/>
      <c r="P308" s="965"/>
      <c r="Q308" s="965"/>
      <c r="R308" s="965"/>
      <c r="S308" s="965"/>
      <c r="T308" s="965"/>
      <c r="U308" s="965"/>
      <c r="V308" s="965"/>
      <c r="W308" s="965"/>
      <c r="X308" s="965"/>
      <c r="Y308" s="965"/>
      <c r="Z308" s="965"/>
    </row>
    <row r="309">
      <c r="A309" s="965"/>
      <c r="B309" s="965"/>
      <c r="C309" s="965"/>
      <c r="D309" s="965"/>
      <c r="E309" s="965"/>
      <c r="F309" s="965"/>
      <c r="G309" s="965"/>
      <c r="H309" s="965"/>
      <c r="I309" s="965"/>
      <c r="J309" s="965"/>
      <c r="K309" s="965"/>
      <c r="L309" s="965"/>
      <c r="M309" s="965"/>
      <c r="N309" s="965"/>
      <c r="O309" s="965"/>
      <c r="P309" s="965"/>
      <c r="Q309" s="965"/>
      <c r="R309" s="965"/>
      <c r="S309" s="965"/>
      <c r="T309" s="965"/>
      <c r="U309" s="965"/>
      <c r="V309" s="965"/>
      <c r="W309" s="965"/>
      <c r="X309" s="965"/>
      <c r="Y309" s="965"/>
      <c r="Z309" s="965"/>
    </row>
    <row r="310">
      <c r="A310" s="965"/>
      <c r="B310" s="965"/>
      <c r="C310" s="965"/>
      <c r="D310" s="965"/>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row>
    <row r="311">
      <c r="A311" s="965"/>
      <c r="B311" s="965"/>
      <c r="C311" s="965"/>
      <c r="D311" s="965"/>
      <c r="E311" s="965"/>
      <c r="F311" s="965"/>
      <c r="G311" s="965"/>
      <c r="H311" s="965"/>
      <c r="I311" s="965"/>
      <c r="J311" s="965"/>
      <c r="K311" s="965"/>
      <c r="L311" s="965"/>
      <c r="M311" s="965"/>
      <c r="N311" s="965"/>
      <c r="O311" s="965"/>
      <c r="P311" s="965"/>
      <c r="Q311" s="965"/>
      <c r="R311" s="965"/>
      <c r="S311" s="965"/>
      <c r="T311" s="965"/>
      <c r="U311" s="965"/>
      <c r="V311" s="965"/>
      <c r="W311" s="965"/>
      <c r="X311" s="965"/>
      <c r="Y311" s="965"/>
      <c r="Z311" s="965"/>
    </row>
    <row r="312">
      <c r="A312" s="965"/>
      <c r="B312" s="965"/>
      <c r="C312" s="965"/>
      <c r="D312" s="965"/>
      <c r="E312" s="965"/>
      <c r="F312" s="965"/>
      <c r="G312" s="965"/>
      <c r="H312" s="965"/>
      <c r="I312" s="965"/>
      <c r="J312" s="965"/>
      <c r="K312" s="965"/>
      <c r="L312" s="965"/>
      <c r="M312" s="965"/>
      <c r="N312" s="965"/>
      <c r="O312" s="965"/>
      <c r="P312" s="965"/>
      <c r="Q312" s="965"/>
      <c r="R312" s="965"/>
      <c r="S312" s="965"/>
      <c r="T312" s="965"/>
      <c r="U312" s="965"/>
      <c r="V312" s="965"/>
      <c r="W312" s="965"/>
      <c r="X312" s="965"/>
      <c r="Y312" s="965"/>
      <c r="Z312" s="965"/>
    </row>
    <row r="313">
      <c r="A313" s="965"/>
      <c r="B313" s="965"/>
      <c r="C313" s="965"/>
      <c r="D313" s="965"/>
      <c r="E313" s="965"/>
      <c r="F313" s="965"/>
      <c r="G313" s="965"/>
      <c r="H313" s="965"/>
      <c r="I313" s="965"/>
      <c r="J313" s="965"/>
      <c r="K313" s="965"/>
      <c r="L313" s="965"/>
      <c r="M313" s="965"/>
      <c r="N313" s="965"/>
      <c r="O313" s="965"/>
      <c r="P313" s="965"/>
      <c r="Q313" s="965"/>
      <c r="R313" s="965"/>
      <c r="S313" s="965"/>
      <c r="T313" s="965"/>
      <c r="U313" s="965"/>
      <c r="V313" s="965"/>
      <c r="W313" s="965"/>
      <c r="X313" s="965"/>
      <c r="Y313" s="965"/>
      <c r="Z313" s="965"/>
    </row>
    <row r="314">
      <c r="A314" s="965"/>
      <c r="B314" s="965"/>
      <c r="C314" s="965"/>
      <c r="D314" s="965"/>
      <c r="E314" s="965"/>
      <c r="F314" s="965"/>
      <c r="G314" s="965"/>
      <c r="H314" s="965"/>
      <c r="I314" s="965"/>
      <c r="J314" s="965"/>
      <c r="K314" s="965"/>
      <c r="L314" s="965"/>
      <c r="M314" s="965"/>
      <c r="N314" s="965"/>
      <c r="O314" s="965"/>
      <c r="P314" s="965"/>
      <c r="Q314" s="965"/>
      <c r="R314" s="965"/>
      <c r="S314" s="965"/>
      <c r="T314" s="965"/>
      <c r="U314" s="965"/>
      <c r="V314" s="965"/>
      <c r="W314" s="965"/>
      <c r="X314" s="965"/>
      <c r="Y314" s="965"/>
      <c r="Z314" s="965"/>
    </row>
    <row r="315">
      <c r="A315" s="965"/>
      <c r="B315" s="965"/>
      <c r="C315" s="965"/>
      <c r="D315" s="965"/>
      <c r="E315" s="965"/>
      <c r="F315" s="965"/>
      <c r="G315" s="965"/>
      <c r="H315" s="965"/>
      <c r="I315" s="965"/>
      <c r="J315" s="965"/>
      <c r="K315" s="965"/>
      <c r="L315" s="965"/>
      <c r="M315" s="965"/>
      <c r="N315" s="965"/>
      <c r="O315" s="965"/>
      <c r="P315" s="965"/>
      <c r="Q315" s="965"/>
      <c r="R315" s="965"/>
      <c r="S315" s="965"/>
      <c r="T315" s="965"/>
      <c r="U315" s="965"/>
      <c r="V315" s="965"/>
      <c r="W315" s="965"/>
      <c r="X315" s="965"/>
      <c r="Y315" s="965"/>
      <c r="Z315" s="965"/>
    </row>
    <row r="316">
      <c r="A316" s="965"/>
      <c r="B316" s="965"/>
      <c r="C316" s="965"/>
      <c r="D316" s="965"/>
      <c r="E316" s="965"/>
      <c r="F316" s="965"/>
      <c r="G316" s="965"/>
      <c r="H316" s="965"/>
      <c r="I316" s="965"/>
      <c r="J316" s="965"/>
      <c r="K316" s="965"/>
      <c r="L316" s="965"/>
      <c r="M316" s="965"/>
      <c r="N316" s="965"/>
      <c r="O316" s="965"/>
      <c r="P316" s="965"/>
      <c r="Q316" s="965"/>
      <c r="R316" s="965"/>
      <c r="S316" s="965"/>
      <c r="T316" s="965"/>
      <c r="U316" s="965"/>
      <c r="V316" s="965"/>
      <c r="W316" s="965"/>
      <c r="X316" s="965"/>
      <c r="Y316" s="965"/>
      <c r="Z316" s="965"/>
    </row>
    <row r="317">
      <c r="A317" s="965"/>
      <c r="B317" s="965"/>
      <c r="C317" s="965"/>
      <c r="D317" s="965"/>
      <c r="E317" s="965"/>
      <c r="F317" s="965"/>
      <c r="G317" s="965"/>
      <c r="H317" s="965"/>
      <c r="I317" s="965"/>
      <c r="J317" s="965"/>
      <c r="K317" s="965"/>
      <c r="L317" s="965"/>
      <c r="M317" s="965"/>
      <c r="N317" s="965"/>
      <c r="O317" s="965"/>
      <c r="P317" s="965"/>
      <c r="Q317" s="965"/>
      <c r="R317" s="965"/>
      <c r="S317" s="965"/>
      <c r="T317" s="965"/>
      <c r="U317" s="965"/>
      <c r="V317" s="965"/>
      <c r="W317" s="965"/>
      <c r="X317" s="965"/>
      <c r="Y317" s="965"/>
      <c r="Z317" s="965"/>
    </row>
    <row r="318">
      <c r="A318" s="965"/>
      <c r="B318" s="965"/>
      <c r="C318" s="965"/>
      <c r="D318" s="965"/>
      <c r="E318" s="965"/>
      <c r="F318" s="965"/>
      <c r="G318" s="965"/>
      <c r="H318" s="965"/>
      <c r="I318" s="965"/>
      <c r="J318" s="965"/>
      <c r="K318" s="965"/>
      <c r="L318" s="965"/>
      <c r="M318" s="965"/>
      <c r="N318" s="965"/>
      <c r="O318" s="965"/>
      <c r="P318" s="965"/>
      <c r="Q318" s="965"/>
      <c r="R318" s="965"/>
      <c r="S318" s="965"/>
      <c r="T318" s="965"/>
      <c r="U318" s="965"/>
      <c r="V318" s="965"/>
      <c r="W318" s="965"/>
      <c r="X318" s="965"/>
      <c r="Y318" s="965"/>
      <c r="Z318" s="965"/>
    </row>
    <row r="319">
      <c r="A319" s="965"/>
      <c r="B319" s="965"/>
      <c r="C319" s="965"/>
      <c r="D319" s="965"/>
      <c r="E319" s="965"/>
      <c r="F319" s="965"/>
      <c r="G319" s="965"/>
      <c r="H319" s="965"/>
      <c r="I319" s="965"/>
      <c r="J319" s="965"/>
      <c r="K319" s="965"/>
      <c r="L319" s="965"/>
      <c r="M319" s="965"/>
      <c r="N319" s="965"/>
      <c r="O319" s="965"/>
      <c r="P319" s="965"/>
      <c r="Q319" s="965"/>
      <c r="R319" s="965"/>
      <c r="S319" s="965"/>
      <c r="T319" s="965"/>
      <c r="U319" s="965"/>
      <c r="V319" s="965"/>
      <c r="W319" s="965"/>
      <c r="X319" s="965"/>
      <c r="Y319" s="965"/>
      <c r="Z319" s="965"/>
    </row>
    <row r="320">
      <c r="A320" s="965"/>
      <c r="B320" s="965"/>
      <c r="C320" s="965"/>
      <c r="D320" s="965"/>
      <c r="E320" s="965"/>
      <c r="F320" s="965"/>
      <c r="G320" s="965"/>
      <c r="H320" s="965"/>
      <c r="I320" s="965"/>
      <c r="J320" s="965"/>
      <c r="K320" s="965"/>
      <c r="L320" s="965"/>
      <c r="M320" s="965"/>
      <c r="N320" s="965"/>
      <c r="O320" s="965"/>
      <c r="P320" s="965"/>
      <c r="Q320" s="965"/>
      <c r="R320" s="965"/>
      <c r="S320" s="965"/>
      <c r="T320" s="965"/>
      <c r="U320" s="965"/>
      <c r="V320" s="965"/>
      <c r="W320" s="965"/>
      <c r="X320" s="965"/>
      <c r="Y320" s="965"/>
      <c r="Z320" s="965"/>
    </row>
    <row r="321">
      <c r="A321" s="965"/>
      <c r="B321" s="965"/>
      <c r="C321" s="965"/>
      <c r="D321" s="965"/>
      <c r="E321" s="965"/>
      <c r="F321" s="965"/>
      <c r="G321" s="965"/>
      <c r="H321" s="965"/>
      <c r="I321" s="965"/>
      <c r="J321" s="965"/>
      <c r="K321" s="965"/>
      <c r="L321" s="965"/>
      <c r="M321" s="965"/>
      <c r="N321" s="965"/>
      <c r="O321" s="965"/>
      <c r="P321" s="965"/>
      <c r="Q321" s="965"/>
      <c r="R321" s="965"/>
      <c r="S321" s="965"/>
      <c r="T321" s="965"/>
      <c r="U321" s="965"/>
      <c r="V321" s="965"/>
      <c r="W321" s="965"/>
      <c r="X321" s="965"/>
      <c r="Y321" s="965"/>
      <c r="Z321" s="965"/>
    </row>
    <row r="322">
      <c r="A322" s="965"/>
      <c r="B322" s="965"/>
      <c r="C322" s="965"/>
      <c r="D322" s="965"/>
      <c r="E322" s="965"/>
      <c r="F322" s="965"/>
      <c r="G322" s="965"/>
      <c r="H322" s="965"/>
      <c r="I322" s="965"/>
      <c r="J322" s="965"/>
      <c r="K322" s="965"/>
      <c r="L322" s="965"/>
      <c r="M322" s="965"/>
      <c r="N322" s="965"/>
      <c r="O322" s="965"/>
      <c r="P322" s="965"/>
      <c r="Q322" s="965"/>
      <c r="R322" s="965"/>
      <c r="S322" s="965"/>
      <c r="T322" s="965"/>
      <c r="U322" s="965"/>
      <c r="V322" s="965"/>
      <c r="W322" s="965"/>
      <c r="X322" s="965"/>
      <c r="Y322" s="965"/>
      <c r="Z322" s="965"/>
    </row>
    <row r="323">
      <c r="A323" s="965"/>
      <c r="B323" s="965"/>
      <c r="C323" s="965"/>
      <c r="D323" s="965"/>
      <c r="E323" s="965"/>
      <c r="F323" s="965"/>
      <c r="G323" s="965"/>
      <c r="H323" s="965"/>
      <c r="I323" s="965"/>
      <c r="J323" s="965"/>
      <c r="K323" s="965"/>
      <c r="L323" s="965"/>
      <c r="M323" s="965"/>
      <c r="N323" s="965"/>
      <c r="O323" s="965"/>
      <c r="P323" s="965"/>
      <c r="Q323" s="965"/>
      <c r="R323" s="965"/>
      <c r="S323" s="965"/>
      <c r="T323" s="965"/>
      <c r="U323" s="965"/>
      <c r="V323" s="965"/>
      <c r="W323" s="965"/>
      <c r="X323" s="965"/>
      <c r="Y323" s="965"/>
      <c r="Z323" s="965"/>
    </row>
    <row r="324">
      <c r="A324" s="965"/>
      <c r="B324" s="965"/>
      <c r="C324" s="965"/>
      <c r="D324" s="965"/>
      <c r="E324" s="965"/>
      <c r="F324" s="965"/>
      <c r="G324" s="965"/>
      <c r="H324" s="965"/>
      <c r="I324" s="965"/>
      <c r="J324" s="965"/>
      <c r="K324" s="965"/>
      <c r="L324" s="965"/>
      <c r="M324" s="965"/>
      <c r="N324" s="965"/>
      <c r="O324" s="965"/>
      <c r="P324" s="965"/>
      <c r="Q324" s="965"/>
      <c r="R324" s="965"/>
      <c r="S324" s="965"/>
      <c r="T324" s="965"/>
      <c r="U324" s="965"/>
      <c r="V324" s="965"/>
      <c r="W324" s="965"/>
      <c r="X324" s="965"/>
      <c r="Y324" s="965"/>
      <c r="Z324" s="965"/>
    </row>
    <row r="325">
      <c r="A325" s="965"/>
      <c r="B325" s="965"/>
      <c r="C325" s="965"/>
      <c r="D325" s="965"/>
      <c r="E325" s="965"/>
      <c r="F325" s="965"/>
      <c r="G325" s="965"/>
      <c r="H325" s="965"/>
      <c r="I325" s="965"/>
      <c r="J325" s="965"/>
      <c r="K325" s="965"/>
      <c r="L325" s="965"/>
      <c r="M325" s="965"/>
      <c r="N325" s="965"/>
      <c r="O325" s="965"/>
      <c r="P325" s="965"/>
      <c r="Q325" s="965"/>
      <c r="R325" s="965"/>
      <c r="S325" s="965"/>
      <c r="T325" s="965"/>
      <c r="U325" s="965"/>
      <c r="V325" s="965"/>
      <c r="W325" s="965"/>
      <c r="X325" s="965"/>
      <c r="Y325" s="965"/>
      <c r="Z325" s="965"/>
    </row>
    <row r="326">
      <c r="A326" s="965"/>
      <c r="B326" s="965"/>
      <c r="C326" s="965"/>
      <c r="D326" s="965"/>
      <c r="E326" s="965"/>
      <c r="F326" s="965"/>
      <c r="G326" s="965"/>
      <c r="H326" s="965"/>
      <c r="I326" s="965"/>
      <c r="J326" s="965"/>
      <c r="K326" s="965"/>
      <c r="L326" s="965"/>
      <c r="M326" s="965"/>
      <c r="N326" s="965"/>
      <c r="O326" s="965"/>
      <c r="P326" s="965"/>
      <c r="Q326" s="965"/>
      <c r="R326" s="965"/>
      <c r="S326" s="965"/>
      <c r="T326" s="965"/>
      <c r="U326" s="965"/>
      <c r="V326" s="965"/>
      <c r="W326" s="965"/>
      <c r="X326" s="965"/>
      <c r="Y326" s="965"/>
      <c r="Z326" s="965"/>
    </row>
    <row r="327">
      <c r="A327" s="965"/>
      <c r="B327" s="965"/>
      <c r="C327" s="965"/>
      <c r="D327" s="965"/>
      <c r="E327" s="965"/>
      <c r="F327" s="965"/>
      <c r="G327" s="965"/>
      <c r="H327" s="965"/>
      <c r="I327" s="965"/>
      <c r="J327" s="965"/>
      <c r="K327" s="965"/>
      <c r="L327" s="965"/>
      <c r="M327" s="965"/>
      <c r="N327" s="965"/>
      <c r="O327" s="965"/>
      <c r="P327" s="965"/>
      <c r="Q327" s="965"/>
      <c r="R327" s="965"/>
      <c r="S327" s="965"/>
      <c r="T327" s="965"/>
      <c r="U327" s="965"/>
      <c r="V327" s="965"/>
      <c r="W327" s="965"/>
      <c r="X327" s="965"/>
      <c r="Y327" s="965"/>
      <c r="Z327" s="965"/>
    </row>
    <row r="328">
      <c r="A328" s="965"/>
      <c r="B328" s="965"/>
      <c r="C328" s="965"/>
      <c r="D328" s="965"/>
      <c r="E328" s="965"/>
      <c r="F328" s="965"/>
      <c r="G328" s="965"/>
      <c r="H328" s="965"/>
      <c r="I328" s="965"/>
      <c r="J328" s="965"/>
      <c r="K328" s="965"/>
      <c r="L328" s="965"/>
      <c r="M328" s="965"/>
      <c r="N328" s="965"/>
      <c r="O328" s="965"/>
      <c r="P328" s="965"/>
      <c r="Q328" s="965"/>
      <c r="R328" s="965"/>
      <c r="S328" s="965"/>
      <c r="T328" s="965"/>
      <c r="U328" s="965"/>
      <c r="V328" s="965"/>
      <c r="W328" s="965"/>
      <c r="X328" s="965"/>
      <c r="Y328" s="965"/>
      <c r="Z328" s="965"/>
    </row>
    <row r="329">
      <c r="A329" s="965"/>
      <c r="B329" s="965"/>
      <c r="C329" s="965"/>
      <c r="D329" s="965"/>
      <c r="E329" s="965"/>
      <c r="F329" s="965"/>
      <c r="G329" s="965"/>
      <c r="H329" s="965"/>
      <c r="I329" s="965"/>
      <c r="J329" s="965"/>
      <c r="K329" s="965"/>
      <c r="L329" s="965"/>
      <c r="M329" s="965"/>
      <c r="N329" s="965"/>
      <c r="O329" s="965"/>
      <c r="P329" s="965"/>
      <c r="Q329" s="965"/>
      <c r="R329" s="965"/>
      <c r="S329" s="965"/>
      <c r="T329" s="965"/>
      <c r="U329" s="965"/>
      <c r="V329" s="965"/>
      <c r="W329" s="965"/>
      <c r="X329" s="965"/>
      <c r="Y329" s="965"/>
      <c r="Z329" s="965"/>
    </row>
    <row r="330">
      <c r="A330" s="965"/>
      <c r="B330" s="965"/>
      <c r="C330" s="965"/>
      <c r="D330" s="965"/>
      <c r="E330" s="965"/>
      <c r="F330" s="965"/>
      <c r="G330" s="965"/>
      <c r="H330" s="965"/>
      <c r="I330" s="965"/>
      <c r="J330" s="965"/>
      <c r="K330" s="965"/>
      <c r="L330" s="965"/>
      <c r="M330" s="965"/>
      <c r="N330" s="965"/>
      <c r="O330" s="965"/>
      <c r="P330" s="965"/>
      <c r="Q330" s="965"/>
      <c r="R330" s="965"/>
      <c r="S330" s="965"/>
      <c r="T330" s="965"/>
      <c r="U330" s="965"/>
      <c r="V330" s="965"/>
      <c r="W330" s="965"/>
      <c r="X330" s="965"/>
      <c r="Y330" s="965"/>
      <c r="Z330" s="965"/>
    </row>
    <row r="331">
      <c r="A331" s="965"/>
      <c r="B331" s="965"/>
      <c r="C331" s="965"/>
      <c r="D331" s="965"/>
      <c r="E331" s="965"/>
      <c r="F331" s="965"/>
      <c r="G331" s="965"/>
      <c r="H331" s="965"/>
      <c r="I331" s="965"/>
      <c r="J331" s="965"/>
      <c r="K331" s="965"/>
      <c r="L331" s="965"/>
      <c r="M331" s="965"/>
      <c r="N331" s="965"/>
      <c r="O331" s="965"/>
      <c r="P331" s="965"/>
      <c r="Q331" s="965"/>
      <c r="R331" s="965"/>
      <c r="S331" s="965"/>
      <c r="T331" s="965"/>
      <c r="U331" s="965"/>
      <c r="V331" s="965"/>
      <c r="W331" s="965"/>
      <c r="X331" s="965"/>
      <c r="Y331" s="965"/>
      <c r="Z331" s="965"/>
    </row>
    <row r="332">
      <c r="A332" s="965"/>
      <c r="B332" s="965"/>
      <c r="C332" s="965"/>
      <c r="D332" s="965"/>
      <c r="E332" s="965"/>
      <c r="F332" s="965"/>
      <c r="G332" s="965"/>
      <c r="H332" s="965"/>
      <c r="I332" s="965"/>
      <c r="J332" s="965"/>
      <c r="K332" s="965"/>
      <c r="L332" s="965"/>
      <c r="M332" s="965"/>
      <c r="N332" s="965"/>
      <c r="O332" s="965"/>
      <c r="P332" s="965"/>
      <c r="Q332" s="965"/>
      <c r="R332" s="965"/>
      <c r="S332" s="965"/>
      <c r="T332" s="965"/>
      <c r="U332" s="965"/>
      <c r="V332" s="965"/>
      <c r="W332" s="965"/>
      <c r="X332" s="965"/>
      <c r="Y332" s="965"/>
      <c r="Z332" s="965"/>
    </row>
    <row r="333">
      <c r="A333" s="965"/>
      <c r="B333" s="965"/>
      <c r="C333" s="965"/>
      <c r="D333" s="965"/>
      <c r="E333" s="965"/>
      <c r="F333" s="965"/>
      <c r="G333" s="965"/>
      <c r="H333" s="965"/>
      <c r="I333" s="965"/>
      <c r="J333" s="965"/>
      <c r="K333" s="965"/>
      <c r="L333" s="965"/>
      <c r="M333" s="965"/>
      <c r="N333" s="965"/>
      <c r="O333" s="965"/>
      <c r="P333" s="965"/>
      <c r="Q333" s="965"/>
      <c r="R333" s="965"/>
      <c r="S333" s="965"/>
      <c r="T333" s="965"/>
      <c r="U333" s="965"/>
      <c r="V333" s="965"/>
      <c r="W333" s="965"/>
      <c r="X333" s="965"/>
      <c r="Y333" s="965"/>
      <c r="Z333" s="965"/>
    </row>
    <row r="334">
      <c r="A334" s="965"/>
      <c r="B334" s="965"/>
      <c r="C334" s="965"/>
      <c r="D334" s="965"/>
      <c r="E334" s="965"/>
      <c r="F334" s="965"/>
      <c r="G334" s="965"/>
      <c r="H334" s="965"/>
      <c r="I334" s="965"/>
      <c r="J334" s="965"/>
      <c r="K334" s="965"/>
      <c r="L334" s="965"/>
      <c r="M334" s="965"/>
      <c r="N334" s="965"/>
      <c r="O334" s="965"/>
      <c r="P334" s="965"/>
      <c r="Q334" s="965"/>
      <c r="R334" s="965"/>
      <c r="S334" s="965"/>
      <c r="T334" s="965"/>
      <c r="U334" s="965"/>
      <c r="V334" s="965"/>
      <c r="W334" s="965"/>
      <c r="X334" s="965"/>
      <c r="Y334" s="965"/>
      <c r="Z334" s="965"/>
    </row>
    <row r="335">
      <c r="A335" s="965"/>
      <c r="B335" s="965"/>
      <c r="C335" s="965"/>
      <c r="D335" s="965"/>
      <c r="E335" s="965"/>
      <c r="F335" s="965"/>
      <c r="G335" s="965"/>
      <c r="H335" s="965"/>
      <c r="I335" s="965"/>
      <c r="J335" s="965"/>
      <c r="K335" s="965"/>
      <c r="L335" s="965"/>
      <c r="M335" s="965"/>
      <c r="N335" s="965"/>
      <c r="O335" s="965"/>
      <c r="P335" s="965"/>
      <c r="Q335" s="965"/>
      <c r="R335" s="965"/>
      <c r="S335" s="965"/>
      <c r="T335" s="965"/>
      <c r="U335" s="965"/>
      <c r="V335" s="965"/>
      <c r="W335" s="965"/>
      <c r="X335" s="965"/>
      <c r="Y335" s="965"/>
      <c r="Z335" s="965"/>
    </row>
    <row r="336">
      <c r="A336" s="965"/>
      <c r="B336" s="965"/>
      <c r="C336" s="965"/>
      <c r="D336" s="965"/>
      <c r="E336" s="965"/>
      <c r="F336" s="965"/>
      <c r="G336" s="965"/>
      <c r="H336" s="965"/>
      <c r="I336" s="965"/>
      <c r="J336" s="965"/>
      <c r="K336" s="965"/>
      <c r="L336" s="965"/>
      <c r="M336" s="965"/>
      <c r="N336" s="965"/>
      <c r="O336" s="965"/>
      <c r="P336" s="965"/>
      <c r="Q336" s="965"/>
      <c r="R336" s="965"/>
      <c r="S336" s="965"/>
      <c r="T336" s="965"/>
      <c r="U336" s="965"/>
      <c r="V336" s="965"/>
      <c r="W336" s="965"/>
      <c r="X336" s="965"/>
      <c r="Y336" s="965"/>
      <c r="Z336" s="965"/>
    </row>
    <row r="337">
      <c r="A337" s="965"/>
      <c r="B337" s="965"/>
      <c r="C337" s="965"/>
      <c r="D337" s="965"/>
      <c r="E337" s="965"/>
      <c r="F337" s="965"/>
      <c r="G337" s="965"/>
      <c r="H337" s="965"/>
      <c r="I337" s="965"/>
      <c r="J337" s="965"/>
      <c r="K337" s="965"/>
      <c r="L337" s="965"/>
      <c r="M337" s="965"/>
      <c r="N337" s="965"/>
      <c r="O337" s="965"/>
      <c r="P337" s="965"/>
      <c r="Q337" s="965"/>
      <c r="R337" s="965"/>
      <c r="S337" s="965"/>
      <c r="T337" s="965"/>
      <c r="U337" s="965"/>
      <c r="V337" s="965"/>
      <c r="W337" s="965"/>
      <c r="X337" s="965"/>
      <c r="Y337" s="965"/>
      <c r="Z337" s="965"/>
    </row>
    <row r="338">
      <c r="A338" s="965"/>
      <c r="B338" s="965"/>
      <c r="C338" s="965"/>
      <c r="D338" s="965"/>
      <c r="E338" s="965"/>
      <c r="F338" s="965"/>
      <c r="G338" s="965"/>
      <c r="H338" s="965"/>
      <c r="I338" s="965"/>
      <c r="J338" s="965"/>
      <c r="K338" s="965"/>
      <c r="L338" s="965"/>
      <c r="M338" s="965"/>
      <c r="N338" s="965"/>
      <c r="O338" s="965"/>
      <c r="P338" s="965"/>
      <c r="Q338" s="965"/>
      <c r="R338" s="965"/>
      <c r="S338" s="965"/>
      <c r="T338" s="965"/>
      <c r="U338" s="965"/>
      <c r="V338" s="965"/>
      <c r="W338" s="965"/>
      <c r="X338" s="965"/>
      <c r="Y338" s="965"/>
      <c r="Z338" s="965"/>
    </row>
    <row r="339">
      <c r="A339" s="965"/>
      <c r="B339" s="965"/>
      <c r="C339" s="965"/>
      <c r="D339" s="965"/>
      <c r="E339" s="965"/>
      <c r="F339" s="965"/>
      <c r="G339" s="965"/>
      <c r="H339" s="965"/>
      <c r="I339" s="965"/>
      <c r="J339" s="965"/>
      <c r="K339" s="965"/>
      <c r="L339" s="965"/>
      <c r="M339" s="965"/>
      <c r="N339" s="965"/>
      <c r="O339" s="965"/>
      <c r="P339" s="965"/>
      <c r="Q339" s="965"/>
      <c r="R339" s="965"/>
      <c r="S339" s="965"/>
      <c r="T339" s="965"/>
      <c r="U339" s="965"/>
      <c r="V339" s="965"/>
      <c r="W339" s="965"/>
      <c r="X339" s="965"/>
      <c r="Y339" s="965"/>
      <c r="Z339" s="965"/>
    </row>
    <row r="340">
      <c r="A340" s="965"/>
      <c r="B340" s="965"/>
      <c r="C340" s="965"/>
      <c r="D340" s="965"/>
      <c r="E340" s="965"/>
      <c r="F340" s="965"/>
      <c r="G340" s="965"/>
      <c r="H340" s="965"/>
      <c r="I340" s="965"/>
      <c r="J340" s="965"/>
      <c r="K340" s="965"/>
      <c r="L340" s="965"/>
      <c r="M340" s="965"/>
      <c r="N340" s="965"/>
      <c r="O340" s="965"/>
      <c r="P340" s="965"/>
      <c r="Q340" s="965"/>
      <c r="R340" s="965"/>
      <c r="S340" s="965"/>
      <c r="T340" s="965"/>
      <c r="U340" s="965"/>
      <c r="V340" s="965"/>
      <c r="W340" s="965"/>
      <c r="X340" s="965"/>
      <c r="Y340" s="965"/>
      <c r="Z340" s="965"/>
    </row>
    <row r="341">
      <c r="A341" s="965"/>
      <c r="B341" s="965"/>
      <c r="C341" s="965"/>
      <c r="D341" s="965"/>
      <c r="E341" s="965"/>
      <c r="F341" s="965"/>
      <c r="G341" s="965"/>
      <c r="H341" s="965"/>
      <c r="I341" s="965"/>
      <c r="J341" s="965"/>
      <c r="K341" s="965"/>
      <c r="L341" s="965"/>
      <c r="M341" s="965"/>
      <c r="N341" s="965"/>
      <c r="O341" s="965"/>
      <c r="P341" s="965"/>
      <c r="Q341" s="965"/>
      <c r="R341" s="965"/>
      <c r="S341" s="965"/>
      <c r="T341" s="965"/>
      <c r="U341" s="965"/>
      <c r="V341" s="965"/>
      <c r="W341" s="965"/>
      <c r="X341" s="965"/>
      <c r="Y341" s="965"/>
      <c r="Z341" s="965"/>
    </row>
    <row r="342">
      <c r="A342" s="965"/>
      <c r="B342" s="965"/>
      <c r="C342" s="965"/>
      <c r="D342" s="965"/>
      <c r="E342" s="965"/>
      <c r="F342" s="965"/>
      <c r="G342" s="965"/>
      <c r="H342" s="965"/>
      <c r="I342" s="965"/>
      <c r="J342" s="965"/>
      <c r="K342" s="965"/>
      <c r="L342" s="965"/>
      <c r="M342" s="965"/>
      <c r="N342" s="965"/>
      <c r="O342" s="965"/>
      <c r="P342" s="965"/>
      <c r="Q342" s="965"/>
      <c r="R342" s="965"/>
      <c r="S342" s="965"/>
      <c r="T342" s="965"/>
      <c r="U342" s="965"/>
      <c r="V342" s="965"/>
      <c r="W342" s="965"/>
      <c r="X342" s="965"/>
      <c r="Y342" s="965"/>
      <c r="Z342" s="965"/>
    </row>
    <row r="343">
      <c r="A343" s="965"/>
      <c r="B343" s="965"/>
      <c r="C343" s="965"/>
      <c r="D343" s="965"/>
      <c r="E343" s="965"/>
      <c r="F343" s="965"/>
      <c r="G343" s="965"/>
      <c r="H343" s="965"/>
      <c r="I343" s="965"/>
      <c r="J343" s="965"/>
      <c r="K343" s="965"/>
      <c r="L343" s="965"/>
      <c r="M343" s="965"/>
      <c r="N343" s="965"/>
      <c r="O343" s="965"/>
      <c r="P343" s="965"/>
      <c r="Q343" s="965"/>
      <c r="R343" s="965"/>
      <c r="S343" s="965"/>
      <c r="T343" s="965"/>
      <c r="U343" s="965"/>
      <c r="V343" s="965"/>
      <c r="W343" s="965"/>
      <c r="X343" s="965"/>
      <c r="Y343" s="965"/>
      <c r="Z343" s="965"/>
    </row>
    <row r="344">
      <c r="A344" s="965"/>
      <c r="B344" s="965"/>
      <c r="C344" s="965"/>
      <c r="D344" s="965"/>
      <c r="E344" s="965"/>
      <c r="F344" s="965"/>
      <c r="G344" s="965"/>
      <c r="H344" s="965"/>
      <c r="I344" s="965"/>
      <c r="J344" s="965"/>
      <c r="K344" s="965"/>
      <c r="L344" s="965"/>
      <c r="M344" s="965"/>
      <c r="N344" s="965"/>
      <c r="O344" s="965"/>
      <c r="P344" s="965"/>
      <c r="Q344" s="965"/>
      <c r="R344" s="965"/>
      <c r="S344" s="965"/>
      <c r="T344" s="965"/>
      <c r="U344" s="965"/>
      <c r="V344" s="965"/>
      <c r="W344" s="965"/>
      <c r="X344" s="965"/>
      <c r="Y344" s="965"/>
      <c r="Z344" s="965"/>
    </row>
    <row r="345">
      <c r="A345" s="965"/>
      <c r="B345" s="965"/>
      <c r="C345" s="965"/>
      <c r="D345" s="965"/>
      <c r="E345" s="965"/>
      <c r="F345" s="965"/>
      <c r="G345" s="965"/>
      <c r="H345" s="965"/>
      <c r="I345" s="965"/>
      <c r="J345" s="965"/>
      <c r="K345" s="965"/>
      <c r="L345" s="965"/>
      <c r="M345" s="965"/>
      <c r="N345" s="965"/>
      <c r="O345" s="965"/>
      <c r="P345" s="965"/>
      <c r="Q345" s="965"/>
      <c r="R345" s="965"/>
      <c r="S345" s="965"/>
      <c r="T345" s="965"/>
      <c r="U345" s="965"/>
      <c r="V345" s="965"/>
      <c r="W345" s="965"/>
      <c r="X345" s="965"/>
      <c r="Y345" s="965"/>
      <c r="Z345" s="965"/>
    </row>
    <row r="346">
      <c r="A346" s="965"/>
      <c r="B346" s="965"/>
      <c r="C346" s="965"/>
      <c r="D346" s="965"/>
      <c r="E346" s="965"/>
      <c r="F346" s="965"/>
      <c r="G346" s="965"/>
      <c r="H346" s="965"/>
      <c r="I346" s="965"/>
      <c r="J346" s="965"/>
      <c r="K346" s="965"/>
      <c r="L346" s="965"/>
      <c r="M346" s="965"/>
      <c r="N346" s="965"/>
      <c r="O346" s="965"/>
      <c r="P346" s="965"/>
      <c r="Q346" s="965"/>
      <c r="R346" s="965"/>
      <c r="S346" s="965"/>
      <c r="T346" s="965"/>
      <c r="U346" s="965"/>
      <c r="V346" s="965"/>
      <c r="W346" s="965"/>
      <c r="X346" s="965"/>
      <c r="Y346" s="965"/>
      <c r="Z346" s="965"/>
    </row>
    <row r="347">
      <c r="A347" s="965"/>
      <c r="B347" s="965"/>
      <c r="C347" s="965"/>
      <c r="D347" s="965"/>
      <c r="E347" s="965"/>
      <c r="F347" s="965"/>
      <c r="G347" s="965"/>
      <c r="H347" s="965"/>
      <c r="I347" s="965"/>
      <c r="J347" s="965"/>
      <c r="K347" s="965"/>
      <c r="L347" s="965"/>
      <c r="M347" s="965"/>
      <c r="N347" s="965"/>
      <c r="O347" s="965"/>
      <c r="P347" s="965"/>
      <c r="Q347" s="965"/>
      <c r="R347" s="965"/>
      <c r="S347" s="965"/>
      <c r="T347" s="965"/>
      <c r="U347" s="965"/>
      <c r="V347" s="965"/>
      <c r="W347" s="965"/>
      <c r="X347" s="965"/>
      <c r="Y347" s="965"/>
      <c r="Z347" s="965"/>
    </row>
    <row r="348">
      <c r="A348" s="965"/>
      <c r="B348" s="965"/>
      <c r="C348" s="965"/>
      <c r="D348" s="965"/>
      <c r="E348" s="965"/>
      <c r="F348" s="965"/>
      <c r="G348" s="965"/>
      <c r="H348" s="965"/>
      <c r="I348" s="965"/>
      <c r="J348" s="965"/>
      <c r="K348" s="965"/>
      <c r="L348" s="965"/>
      <c r="M348" s="965"/>
      <c r="N348" s="965"/>
      <c r="O348" s="965"/>
      <c r="P348" s="965"/>
      <c r="Q348" s="965"/>
      <c r="R348" s="965"/>
      <c r="S348" s="965"/>
      <c r="T348" s="965"/>
      <c r="U348" s="965"/>
      <c r="V348" s="965"/>
      <c r="W348" s="965"/>
      <c r="X348" s="965"/>
      <c r="Y348" s="965"/>
      <c r="Z348" s="965"/>
    </row>
    <row r="349">
      <c r="A349" s="965"/>
      <c r="B349" s="965"/>
      <c r="C349" s="965"/>
      <c r="D349" s="965"/>
      <c r="E349" s="965"/>
      <c r="F349" s="965"/>
      <c r="G349" s="965"/>
      <c r="H349" s="965"/>
      <c r="I349" s="965"/>
      <c r="J349" s="965"/>
      <c r="K349" s="965"/>
      <c r="L349" s="965"/>
      <c r="M349" s="965"/>
      <c r="N349" s="965"/>
      <c r="O349" s="965"/>
      <c r="P349" s="965"/>
      <c r="Q349" s="965"/>
      <c r="R349" s="965"/>
      <c r="S349" s="965"/>
      <c r="T349" s="965"/>
      <c r="U349" s="965"/>
      <c r="V349" s="965"/>
      <c r="W349" s="965"/>
      <c r="X349" s="965"/>
      <c r="Y349" s="965"/>
      <c r="Z349" s="965"/>
    </row>
    <row r="350">
      <c r="A350" s="965"/>
      <c r="B350" s="965"/>
      <c r="C350" s="965"/>
      <c r="D350" s="965"/>
      <c r="E350" s="965"/>
      <c r="F350" s="965"/>
      <c r="G350" s="965"/>
      <c r="H350" s="965"/>
      <c r="I350" s="965"/>
      <c r="J350" s="965"/>
      <c r="K350" s="965"/>
      <c r="L350" s="965"/>
      <c r="M350" s="965"/>
      <c r="N350" s="965"/>
      <c r="O350" s="965"/>
      <c r="P350" s="965"/>
      <c r="Q350" s="965"/>
      <c r="R350" s="965"/>
      <c r="S350" s="965"/>
      <c r="T350" s="965"/>
      <c r="U350" s="965"/>
      <c r="V350" s="965"/>
      <c r="W350" s="965"/>
      <c r="X350" s="965"/>
      <c r="Y350" s="965"/>
      <c r="Z350" s="965"/>
    </row>
    <row r="351">
      <c r="A351" s="965"/>
      <c r="B351" s="965"/>
      <c r="C351" s="965"/>
      <c r="D351" s="965"/>
      <c r="E351" s="965"/>
      <c r="F351" s="965"/>
      <c r="G351" s="965"/>
      <c r="H351" s="965"/>
      <c r="I351" s="965"/>
      <c r="J351" s="965"/>
      <c r="K351" s="965"/>
      <c r="L351" s="965"/>
      <c r="M351" s="965"/>
      <c r="N351" s="965"/>
      <c r="O351" s="965"/>
      <c r="P351" s="965"/>
      <c r="Q351" s="965"/>
      <c r="R351" s="965"/>
      <c r="S351" s="965"/>
      <c r="T351" s="965"/>
      <c r="U351" s="965"/>
      <c r="V351" s="965"/>
      <c r="W351" s="965"/>
      <c r="X351" s="965"/>
      <c r="Y351" s="965"/>
      <c r="Z351" s="965"/>
    </row>
    <row r="352">
      <c r="A352" s="965"/>
      <c r="B352" s="965"/>
      <c r="C352" s="965"/>
      <c r="D352" s="965"/>
      <c r="E352" s="965"/>
      <c r="F352" s="965"/>
      <c r="G352" s="965"/>
      <c r="H352" s="965"/>
      <c r="I352" s="965"/>
      <c r="J352" s="965"/>
      <c r="K352" s="965"/>
      <c r="L352" s="965"/>
      <c r="M352" s="965"/>
      <c r="N352" s="965"/>
      <c r="O352" s="965"/>
      <c r="P352" s="965"/>
      <c r="Q352" s="965"/>
      <c r="R352" s="965"/>
      <c r="S352" s="965"/>
      <c r="T352" s="965"/>
      <c r="U352" s="965"/>
      <c r="V352" s="965"/>
      <c r="W352" s="965"/>
      <c r="X352" s="965"/>
      <c r="Y352" s="965"/>
      <c r="Z352" s="965"/>
    </row>
    <row r="353">
      <c r="A353" s="965"/>
      <c r="B353" s="965"/>
      <c r="C353" s="965"/>
      <c r="D353" s="965"/>
      <c r="E353" s="965"/>
      <c r="F353" s="965"/>
      <c r="G353" s="965"/>
      <c r="H353" s="965"/>
      <c r="I353" s="965"/>
      <c r="J353" s="965"/>
      <c r="K353" s="965"/>
      <c r="L353" s="965"/>
      <c r="M353" s="965"/>
      <c r="N353" s="965"/>
      <c r="O353" s="965"/>
      <c r="P353" s="965"/>
      <c r="Q353" s="965"/>
      <c r="R353" s="965"/>
      <c r="S353" s="965"/>
      <c r="T353" s="965"/>
      <c r="U353" s="965"/>
      <c r="V353" s="965"/>
      <c r="W353" s="965"/>
      <c r="X353" s="965"/>
      <c r="Y353" s="965"/>
      <c r="Z353" s="965"/>
    </row>
    <row r="354">
      <c r="A354" s="965"/>
      <c r="B354" s="965"/>
      <c r="C354" s="965"/>
      <c r="D354" s="965"/>
      <c r="E354" s="965"/>
      <c r="F354" s="965"/>
      <c r="G354" s="965"/>
      <c r="H354" s="965"/>
      <c r="I354" s="965"/>
      <c r="J354" s="965"/>
      <c r="K354" s="965"/>
      <c r="L354" s="965"/>
      <c r="M354" s="965"/>
      <c r="N354" s="965"/>
      <c r="O354" s="965"/>
      <c r="P354" s="965"/>
      <c r="Q354" s="965"/>
      <c r="R354" s="965"/>
      <c r="S354" s="965"/>
      <c r="T354" s="965"/>
      <c r="U354" s="965"/>
      <c r="V354" s="965"/>
      <c r="W354" s="965"/>
      <c r="X354" s="965"/>
      <c r="Y354" s="965"/>
      <c r="Z354" s="965"/>
    </row>
    <row r="355">
      <c r="A355" s="965"/>
      <c r="B355" s="965"/>
      <c r="C355" s="965"/>
      <c r="D355" s="965"/>
      <c r="E355" s="965"/>
      <c r="F355" s="965"/>
      <c r="G355" s="965"/>
      <c r="H355" s="965"/>
      <c r="I355" s="965"/>
      <c r="J355" s="965"/>
      <c r="K355" s="965"/>
      <c r="L355" s="965"/>
      <c r="M355" s="965"/>
      <c r="N355" s="965"/>
      <c r="O355" s="965"/>
      <c r="P355" s="965"/>
      <c r="Q355" s="965"/>
      <c r="R355" s="965"/>
      <c r="S355" s="965"/>
      <c r="T355" s="965"/>
      <c r="U355" s="965"/>
      <c r="V355" s="965"/>
      <c r="W355" s="965"/>
      <c r="X355" s="965"/>
      <c r="Y355" s="965"/>
      <c r="Z355" s="965"/>
    </row>
    <row r="356">
      <c r="A356" s="965"/>
      <c r="B356" s="965"/>
      <c r="C356" s="965"/>
      <c r="D356" s="965"/>
      <c r="E356" s="965"/>
      <c r="F356" s="965"/>
      <c r="G356" s="965"/>
      <c r="H356" s="965"/>
      <c r="I356" s="965"/>
      <c r="J356" s="965"/>
      <c r="K356" s="965"/>
      <c r="L356" s="965"/>
      <c r="M356" s="965"/>
      <c r="N356" s="965"/>
      <c r="O356" s="965"/>
      <c r="P356" s="965"/>
      <c r="Q356" s="965"/>
      <c r="R356" s="965"/>
      <c r="S356" s="965"/>
      <c r="T356" s="965"/>
      <c r="U356" s="965"/>
      <c r="V356" s="965"/>
      <c r="W356" s="965"/>
      <c r="X356" s="965"/>
      <c r="Y356" s="965"/>
      <c r="Z356" s="965"/>
    </row>
    <row r="357">
      <c r="A357" s="965"/>
      <c r="B357" s="965"/>
      <c r="C357" s="965"/>
      <c r="D357" s="965"/>
      <c r="E357" s="965"/>
      <c r="F357" s="965"/>
      <c r="G357" s="965"/>
      <c r="H357" s="965"/>
      <c r="I357" s="965"/>
      <c r="J357" s="965"/>
      <c r="K357" s="965"/>
      <c r="L357" s="965"/>
      <c r="M357" s="965"/>
      <c r="N357" s="965"/>
      <c r="O357" s="965"/>
      <c r="P357" s="965"/>
      <c r="Q357" s="965"/>
      <c r="R357" s="965"/>
      <c r="S357" s="965"/>
      <c r="T357" s="965"/>
      <c r="U357" s="965"/>
      <c r="V357" s="965"/>
      <c r="W357" s="965"/>
      <c r="X357" s="965"/>
      <c r="Y357" s="965"/>
      <c r="Z357" s="965"/>
    </row>
    <row r="358">
      <c r="A358" s="965"/>
      <c r="B358" s="965"/>
      <c r="C358" s="965"/>
      <c r="D358" s="965"/>
      <c r="E358" s="965"/>
      <c r="F358" s="965"/>
      <c r="G358" s="965"/>
      <c r="H358" s="965"/>
      <c r="I358" s="965"/>
      <c r="J358" s="965"/>
      <c r="K358" s="965"/>
      <c r="L358" s="965"/>
      <c r="M358" s="965"/>
      <c r="N358" s="965"/>
      <c r="O358" s="965"/>
      <c r="P358" s="965"/>
      <c r="Q358" s="965"/>
      <c r="R358" s="965"/>
      <c r="S358" s="965"/>
      <c r="T358" s="965"/>
      <c r="U358" s="965"/>
      <c r="V358" s="965"/>
      <c r="W358" s="965"/>
      <c r="X358" s="965"/>
      <c r="Y358" s="965"/>
      <c r="Z358" s="965"/>
    </row>
    <row r="359">
      <c r="A359" s="965"/>
      <c r="B359" s="965"/>
      <c r="C359" s="965"/>
      <c r="D359" s="965"/>
      <c r="E359" s="965"/>
      <c r="F359" s="965"/>
      <c r="G359" s="965"/>
      <c r="H359" s="965"/>
      <c r="I359" s="965"/>
      <c r="J359" s="965"/>
      <c r="K359" s="965"/>
      <c r="L359" s="965"/>
      <c r="M359" s="965"/>
      <c r="N359" s="965"/>
      <c r="O359" s="965"/>
      <c r="P359" s="965"/>
      <c r="Q359" s="965"/>
      <c r="R359" s="965"/>
      <c r="S359" s="965"/>
      <c r="T359" s="965"/>
      <c r="U359" s="965"/>
      <c r="V359" s="965"/>
      <c r="W359" s="965"/>
      <c r="X359" s="965"/>
      <c r="Y359" s="965"/>
      <c r="Z359" s="965"/>
    </row>
    <row r="360">
      <c r="A360" s="965"/>
      <c r="B360" s="965"/>
      <c r="C360" s="965"/>
      <c r="D360" s="965"/>
      <c r="E360" s="965"/>
      <c r="F360" s="965"/>
      <c r="G360" s="965"/>
      <c r="H360" s="965"/>
      <c r="I360" s="965"/>
      <c r="J360" s="965"/>
      <c r="K360" s="965"/>
      <c r="L360" s="965"/>
      <c r="M360" s="965"/>
      <c r="N360" s="965"/>
      <c r="O360" s="965"/>
      <c r="P360" s="965"/>
      <c r="Q360" s="965"/>
      <c r="R360" s="965"/>
      <c r="S360" s="965"/>
      <c r="T360" s="965"/>
      <c r="U360" s="965"/>
      <c r="V360" s="965"/>
      <c r="W360" s="965"/>
      <c r="X360" s="965"/>
      <c r="Y360" s="965"/>
      <c r="Z360" s="965"/>
    </row>
    <row r="361">
      <c r="A361" s="965"/>
      <c r="B361" s="965"/>
      <c r="C361" s="965"/>
      <c r="D361" s="965"/>
      <c r="E361" s="965"/>
      <c r="F361" s="965"/>
      <c r="G361" s="965"/>
      <c r="H361" s="965"/>
      <c r="I361" s="965"/>
      <c r="J361" s="965"/>
      <c r="K361" s="965"/>
      <c r="L361" s="965"/>
      <c r="M361" s="965"/>
      <c r="N361" s="965"/>
      <c r="O361" s="965"/>
      <c r="P361" s="965"/>
      <c r="Q361" s="965"/>
      <c r="R361" s="965"/>
      <c r="S361" s="965"/>
      <c r="T361" s="965"/>
      <c r="U361" s="965"/>
      <c r="V361" s="965"/>
      <c r="W361" s="965"/>
      <c r="X361" s="965"/>
      <c r="Y361" s="965"/>
      <c r="Z361" s="965"/>
    </row>
    <row r="362">
      <c r="A362" s="965"/>
      <c r="B362" s="965"/>
      <c r="C362" s="965"/>
      <c r="D362" s="965"/>
      <c r="E362" s="965"/>
      <c r="F362" s="965"/>
      <c r="G362" s="965"/>
      <c r="H362" s="965"/>
      <c r="I362" s="965"/>
      <c r="J362" s="965"/>
      <c r="K362" s="965"/>
      <c r="L362" s="965"/>
      <c r="M362" s="965"/>
      <c r="N362" s="965"/>
      <c r="O362" s="965"/>
      <c r="P362" s="965"/>
      <c r="Q362" s="965"/>
      <c r="R362" s="965"/>
      <c r="S362" s="965"/>
      <c r="T362" s="965"/>
      <c r="U362" s="965"/>
      <c r="V362" s="965"/>
      <c r="W362" s="965"/>
      <c r="X362" s="965"/>
      <c r="Y362" s="965"/>
      <c r="Z362" s="965"/>
    </row>
    <row r="363">
      <c r="A363" s="965"/>
      <c r="B363" s="965"/>
      <c r="C363" s="965"/>
      <c r="D363" s="965"/>
      <c r="E363" s="965"/>
      <c r="F363" s="965"/>
      <c r="G363" s="965"/>
      <c r="H363" s="965"/>
      <c r="I363" s="965"/>
      <c r="J363" s="965"/>
      <c r="K363" s="965"/>
      <c r="L363" s="965"/>
      <c r="M363" s="965"/>
      <c r="N363" s="965"/>
      <c r="O363" s="965"/>
      <c r="P363" s="965"/>
      <c r="Q363" s="965"/>
      <c r="R363" s="965"/>
      <c r="S363" s="965"/>
      <c r="T363" s="965"/>
      <c r="U363" s="965"/>
      <c r="V363" s="965"/>
      <c r="W363" s="965"/>
      <c r="X363" s="965"/>
      <c r="Y363" s="965"/>
      <c r="Z363" s="965"/>
    </row>
    <row r="364">
      <c r="A364" s="965"/>
      <c r="B364" s="965"/>
      <c r="C364" s="965"/>
      <c r="D364" s="965"/>
      <c r="E364" s="965"/>
      <c r="F364" s="965"/>
      <c r="G364" s="965"/>
      <c r="H364" s="965"/>
      <c r="I364" s="965"/>
      <c r="J364" s="965"/>
      <c r="K364" s="965"/>
      <c r="L364" s="965"/>
      <c r="M364" s="965"/>
      <c r="N364" s="965"/>
      <c r="O364" s="965"/>
      <c r="P364" s="965"/>
      <c r="Q364" s="965"/>
      <c r="R364" s="965"/>
      <c r="S364" s="965"/>
      <c r="T364" s="965"/>
      <c r="U364" s="965"/>
      <c r="V364" s="965"/>
      <c r="W364" s="965"/>
      <c r="X364" s="965"/>
      <c r="Y364" s="965"/>
      <c r="Z364" s="965"/>
    </row>
    <row r="365">
      <c r="A365" s="965"/>
      <c r="B365" s="965"/>
      <c r="C365" s="965"/>
      <c r="D365" s="965"/>
      <c r="E365" s="965"/>
      <c r="F365" s="965"/>
      <c r="G365" s="965"/>
      <c r="H365" s="965"/>
      <c r="I365" s="965"/>
      <c r="J365" s="965"/>
      <c r="K365" s="965"/>
      <c r="L365" s="965"/>
      <c r="M365" s="965"/>
      <c r="N365" s="965"/>
      <c r="O365" s="965"/>
      <c r="P365" s="965"/>
      <c r="Q365" s="965"/>
      <c r="R365" s="965"/>
      <c r="S365" s="965"/>
      <c r="T365" s="965"/>
      <c r="U365" s="965"/>
      <c r="V365" s="965"/>
      <c r="W365" s="965"/>
      <c r="X365" s="965"/>
      <c r="Y365" s="965"/>
      <c r="Z365" s="965"/>
    </row>
    <row r="366">
      <c r="A366" s="965"/>
      <c r="B366" s="965"/>
      <c r="C366" s="965"/>
      <c r="D366" s="965"/>
      <c r="E366" s="965"/>
      <c r="F366" s="965"/>
      <c r="G366" s="965"/>
      <c r="H366" s="965"/>
      <c r="I366" s="965"/>
      <c r="J366" s="965"/>
      <c r="K366" s="965"/>
      <c r="L366" s="965"/>
      <c r="M366" s="965"/>
      <c r="N366" s="965"/>
      <c r="O366" s="965"/>
      <c r="P366" s="965"/>
      <c r="Q366" s="965"/>
      <c r="R366" s="965"/>
      <c r="S366" s="965"/>
      <c r="T366" s="965"/>
      <c r="U366" s="965"/>
      <c r="V366" s="965"/>
      <c r="W366" s="965"/>
      <c r="X366" s="965"/>
      <c r="Y366" s="965"/>
      <c r="Z366" s="965"/>
    </row>
    <row r="367">
      <c r="A367" s="965"/>
      <c r="B367" s="965"/>
      <c r="C367" s="965"/>
      <c r="D367" s="965"/>
      <c r="E367" s="965"/>
      <c r="F367" s="965"/>
      <c r="G367" s="965"/>
      <c r="H367" s="965"/>
      <c r="I367" s="965"/>
      <c r="J367" s="965"/>
      <c r="K367" s="965"/>
      <c r="L367" s="965"/>
      <c r="M367" s="965"/>
      <c r="N367" s="965"/>
      <c r="O367" s="965"/>
      <c r="P367" s="965"/>
      <c r="Q367" s="965"/>
      <c r="R367" s="965"/>
      <c r="S367" s="965"/>
      <c r="T367" s="965"/>
      <c r="U367" s="965"/>
      <c r="V367" s="965"/>
      <c r="W367" s="965"/>
      <c r="X367" s="965"/>
      <c r="Y367" s="965"/>
      <c r="Z367" s="965"/>
    </row>
    <row r="368">
      <c r="A368" s="965"/>
      <c r="B368" s="965"/>
      <c r="C368" s="965"/>
      <c r="D368" s="965"/>
      <c r="E368" s="965"/>
      <c r="F368" s="965"/>
      <c r="G368" s="965"/>
      <c r="H368" s="965"/>
      <c r="I368" s="965"/>
      <c r="J368" s="965"/>
      <c r="K368" s="965"/>
      <c r="L368" s="965"/>
      <c r="M368" s="965"/>
      <c r="N368" s="965"/>
      <c r="O368" s="965"/>
      <c r="P368" s="965"/>
      <c r="Q368" s="965"/>
      <c r="R368" s="965"/>
      <c r="S368" s="965"/>
      <c r="T368" s="965"/>
      <c r="U368" s="965"/>
      <c r="V368" s="965"/>
      <c r="W368" s="965"/>
      <c r="X368" s="965"/>
      <c r="Y368" s="965"/>
      <c r="Z368" s="965"/>
    </row>
    <row r="369">
      <c r="A369" s="965"/>
      <c r="B369" s="965"/>
      <c r="C369" s="965"/>
      <c r="D369" s="965"/>
      <c r="E369" s="965"/>
      <c r="F369" s="965"/>
      <c r="G369" s="965"/>
      <c r="H369" s="965"/>
      <c r="I369" s="965"/>
      <c r="J369" s="965"/>
      <c r="K369" s="965"/>
      <c r="L369" s="965"/>
      <c r="M369" s="965"/>
      <c r="N369" s="965"/>
      <c r="O369" s="965"/>
      <c r="P369" s="965"/>
      <c r="Q369" s="965"/>
      <c r="R369" s="965"/>
      <c r="S369" s="965"/>
      <c r="T369" s="965"/>
      <c r="U369" s="965"/>
      <c r="V369" s="965"/>
      <c r="W369" s="965"/>
      <c r="X369" s="965"/>
      <c r="Y369" s="965"/>
      <c r="Z369" s="965"/>
    </row>
    <row r="370">
      <c r="A370" s="965"/>
      <c r="B370" s="965"/>
      <c r="C370" s="965"/>
      <c r="D370" s="965"/>
      <c r="E370" s="965"/>
      <c r="F370" s="965"/>
      <c r="G370" s="965"/>
      <c r="H370" s="965"/>
      <c r="I370" s="965"/>
      <c r="J370" s="965"/>
      <c r="K370" s="965"/>
      <c r="L370" s="965"/>
      <c r="M370" s="965"/>
      <c r="N370" s="965"/>
      <c r="O370" s="965"/>
      <c r="P370" s="965"/>
      <c r="Q370" s="965"/>
      <c r="R370" s="965"/>
      <c r="S370" s="965"/>
      <c r="T370" s="965"/>
      <c r="U370" s="965"/>
      <c r="V370" s="965"/>
      <c r="W370" s="965"/>
      <c r="X370" s="965"/>
      <c r="Y370" s="965"/>
      <c r="Z370" s="965"/>
    </row>
    <row r="371">
      <c r="A371" s="965"/>
      <c r="B371" s="965"/>
      <c r="C371" s="965"/>
      <c r="D371" s="965"/>
      <c r="E371" s="965"/>
      <c r="F371" s="965"/>
      <c r="G371" s="965"/>
      <c r="H371" s="965"/>
      <c r="I371" s="965"/>
      <c r="J371" s="965"/>
      <c r="K371" s="965"/>
      <c r="L371" s="965"/>
      <c r="M371" s="965"/>
      <c r="N371" s="965"/>
      <c r="O371" s="965"/>
      <c r="P371" s="965"/>
      <c r="Q371" s="965"/>
      <c r="R371" s="965"/>
      <c r="S371" s="965"/>
      <c r="T371" s="965"/>
      <c r="U371" s="965"/>
      <c r="V371" s="965"/>
      <c r="W371" s="965"/>
      <c r="X371" s="965"/>
      <c r="Y371" s="965"/>
      <c r="Z371" s="965"/>
    </row>
    <row r="372">
      <c r="A372" s="965"/>
      <c r="B372" s="965"/>
      <c r="C372" s="965"/>
      <c r="D372" s="965"/>
      <c r="E372" s="965"/>
      <c r="F372" s="965"/>
      <c r="G372" s="965"/>
      <c r="H372" s="965"/>
      <c r="I372" s="965"/>
      <c r="J372" s="965"/>
      <c r="K372" s="965"/>
      <c r="L372" s="965"/>
      <c r="M372" s="965"/>
      <c r="N372" s="965"/>
      <c r="O372" s="965"/>
      <c r="P372" s="965"/>
      <c r="Q372" s="965"/>
      <c r="R372" s="965"/>
      <c r="S372" s="965"/>
      <c r="T372" s="965"/>
      <c r="U372" s="965"/>
      <c r="V372" s="965"/>
      <c r="W372" s="965"/>
      <c r="X372" s="965"/>
      <c r="Y372" s="965"/>
      <c r="Z372" s="965"/>
    </row>
    <row r="373">
      <c r="A373" s="965"/>
      <c r="B373" s="965"/>
      <c r="C373" s="965"/>
      <c r="D373" s="965"/>
      <c r="E373" s="965"/>
      <c r="F373" s="965"/>
      <c r="G373" s="965"/>
      <c r="H373" s="965"/>
      <c r="I373" s="965"/>
      <c r="J373" s="965"/>
      <c r="K373" s="965"/>
      <c r="L373" s="965"/>
      <c r="M373" s="965"/>
      <c r="N373" s="965"/>
      <c r="O373" s="965"/>
      <c r="P373" s="965"/>
      <c r="Q373" s="965"/>
      <c r="R373" s="965"/>
      <c r="S373" s="965"/>
      <c r="T373" s="965"/>
      <c r="U373" s="965"/>
      <c r="V373" s="965"/>
      <c r="W373" s="965"/>
      <c r="X373" s="965"/>
      <c r="Y373" s="965"/>
      <c r="Z373" s="965"/>
    </row>
    <row r="374">
      <c r="A374" s="965"/>
      <c r="B374" s="965"/>
      <c r="C374" s="965"/>
      <c r="D374" s="965"/>
      <c r="E374" s="965"/>
      <c r="F374" s="965"/>
      <c r="G374" s="965"/>
      <c r="H374" s="965"/>
      <c r="I374" s="965"/>
      <c r="J374" s="965"/>
      <c r="K374" s="965"/>
      <c r="L374" s="965"/>
      <c r="M374" s="965"/>
      <c r="N374" s="965"/>
      <c r="O374" s="965"/>
      <c r="P374" s="965"/>
      <c r="Q374" s="965"/>
      <c r="R374" s="965"/>
      <c r="S374" s="965"/>
      <c r="T374" s="965"/>
      <c r="U374" s="965"/>
      <c r="V374" s="965"/>
      <c r="W374" s="965"/>
      <c r="X374" s="965"/>
      <c r="Y374" s="965"/>
      <c r="Z374" s="965"/>
    </row>
    <row r="375">
      <c r="A375" s="965"/>
      <c r="B375" s="965"/>
      <c r="C375" s="965"/>
      <c r="D375" s="965"/>
      <c r="E375" s="965"/>
      <c r="F375" s="965"/>
      <c r="G375" s="965"/>
      <c r="H375" s="965"/>
      <c r="I375" s="965"/>
      <c r="J375" s="965"/>
      <c r="K375" s="965"/>
      <c r="L375" s="965"/>
      <c r="M375" s="965"/>
      <c r="N375" s="965"/>
      <c r="O375" s="965"/>
      <c r="P375" s="965"/>
      <c r="Q375" s="965"/>
      <c r="R375" s="965"/>
      <c r="S375" s="965"/>
      <c r="T375" s="965"/>
      <c r="U375" s="965"/>
      <c r="V375" s="965"/>
      <c r="W375" s="965"/>
      <c r="X375" s="965"/>
      <c r="Y375" s="965"/>
      <c r="Z375" s="965"/>
    </row>
    <row r="376">
      <c r="A376" s="965"/>
      <c r="B376" s="965"/>
      <c r="C376" s="965"/>
      <c r="D376" s="965"/>
      <c r="E376" s="965"/>
      <c r="F376" s="965"/>
      <c r="G376" s="965"/>
      <c r="H376" s="965"/>
      <c r="I376" s="965"/>
      <c r="J376" s="965"/>
      <c r="K376" s="965"/>
      <c r="L376" s="965"/>
      <c r="M376" s="965"/>
      <c r="N376" s="965"/>
      <c r="O376" s="965"/>
      <c r="P376" s="965"/>
      <c r="Q376" s="965"/>
      <c r="R376" s="965"/>
      <c r="S376" s="965"/>
      <c r="T376" s="965"/>
      <c r="U376" s="965"/>
      <c r="V376" s="965"/>
      <c r="W376" s="965"/>
      <c r="X376" s="965"/>
      <c r="Y376" s="965"/>
      <c r="Z376" s="965"/>
    </row>
    <row r="377">
      <c r="A377" s="965"/>
      <c r="B377" s="965"/>
      <c r="C377" s="965"/>
      <c r="D377" s="965"/>
      <c r="E377" s="965"/>
      <c r="F377" s="965"/>
      <c r="G377" s="965"/>
      <c r="H377" s="965"/>
      <c r="I377" s="965"/>
      <c r="J377" s="965"/>
      <c r="K377" s="965"/>
      <c r="L377" s="965"/>
      <c r="M377" s="965"/>
      <c r="N377" s="965"/>
      <c r="O377" s="965"/>
      <c r="P377" s="965"/>
      <c r="Q377" s="965"/>
      <c r="R377" s="965"/>
      <c r="S377" s="965"/>
      <c r="T377" s="965"/>
      <c r="U377" s="965"/>
      <c r="V377" s="965"/>
      <c r="W377" s="965"/>
      <c r="X377" s="965"/>
      <c r="Y377" s="965"/>
      <c r="Z377" s="965"/>
    </row>
    <row r="378">
      <c r="A378" s="965"/>
      <c r="B378" s="965"/>
      <c r="C378" s="965"/>
      <c r="D378" s="965"/>
      <c r="E378" s="965"/>
      <c r="F378" s="965"/>
      <c r="G378" s="965"/>
      <c r="H378" s="965"/>
      <c r="I378" s="965"/>
      <c r="J378" s="965"/>
      <c r="K378" s="965"/>
      <c r="L378" s="965"/>
      <c r="M378" s="965"/>
      <c r="N378" s="965"/>
      <c r="O378" s="965"/>
      <c r="P378" s="965"/>
      <c r="Q378" s="965"/>
      <c r="R378" s="965"/>
      <c r="S378" s="965"/>
      <c r="T378" s="965"/>
      <c r="U378" s="965"/>
      <c r="V378" s="965"/>
      <c r="W378" s="965"/>
      <c r="X378" s="965"/>
      <c r="Y378" s="965"/>
      <c r="Z378" s="965"/>
    </row>
    <row r="379">
      <c r="A379" s="965"/>
      <c r="B379" s="965"/>
      <c r="C379" s="965"/>
      <c r="D379" s="965"/>
      <c r="E379" s="965"/>
      <c r="F379" s="965"/>
      <c r="G379" s="965"/>
      <c r="H379" s="965"/>
      <c r="I379" s="965"/>
      <c r="J379" s="965"/>
      <c r="K379" s="965"/>
      <c r="L379" s="965"/>
      <c r="M379" s="965"/>
      <c r="N379" s="965"/>
      <c r="O379" s="965"/>
      <c r="P379" s="965"/>
      <c r="Q379" s="965"/>
      <c r="R379" s="965"/>
      <c r="S379" s="965"/>
      <c r="T379" s="965"/>
      <c r="U379" s="965"/>
      <c r="V379" s="965"/>
      <c r="W379" s="965"/>
      <c r="X379" s="965"/>
      <c r="Y379" s="965"/>
      <c r="Z379" s="965"/>
    </row>
    <row r="380">
      <c r="A380" s="965"/>
      <c r="B380" s="965"/>
      <c r="C380" s="965"/>
      <c r="D380" s="965"/>
      <c r="E380" s="965"/>
      <c r="F380" s="965"/>
      <c r="G380" s="965"/>
      <c r="H380" s="965"/>
      <c r="I380" s="965"/>
      <c r="J380" s="965"/>
      <c r="K380" s="965"/>
      <c r="L380" s="965"/>
      <c r="M380" s="965"/>
      <c r="N380" s="965"/>
      <c r="O380" s="965"/>
      <c r="P380" s="965"/>
      <c r="Q380" s="965"/>
      <c r="R380" s="965"/>
      <c r="S380" s="965"/>
      <c r="T380" s="965"/>
      <c r="U380" s="965"/>
      <c r="V380" s="965"/>
      <c r="W380" s="965"/>
      <c r="X380" s="965"/>
      <c r="Y380" s="965"/>
      <c r="Z380" s="965"/>
    </row>
    <row r="381">
      <c r="A381" s="965"/>
      <c r="B381" s="965"/>
      <c r="C381" s="965"/>
      <c r="D381" s="965"/>
      <c r="E381" s="965"/>
      <c r="F381" s="965"/>
      <c r="G381" s="965"/>
      <c r="H381" s="965"/>
      <c r="I381" s="965"/>
      <c r="J381" s="965"/>
      <c r="K381" s="965"/>
      <c r="L381" s="965"/>
      <c r="M381" s="965"/>
      <c r="N381" s="965"/>
      <c r="O381" s="965"/>
      <c r="P381" s="965"/>
      <c r="Q381" s="965"/>
      <c r="R381" s="965"/>
      <c r="S381" s="965"/>
      <c r="T381" s="965"/>
      <c r="U381" s="965"/>
      <c r="V381" s="965"/>
      <c r="W381" s="965"/>
      <c r="X381" s="965"/>
      <c r="Y381" s="965"/>
      <c r="Z381" s="965"/>
    </row>
    <row r="382">
      <c r="A382" s="965"/>
      <c r="B382" s="965"/>
      <c r="C382" s="965"/>
      <c r="D382" s="965"/>
      <c r="E382" s="965"/>
      <c r="F382" s="965"/>
      <c r="G382" s="965"/>
      <c r="H382" s="965"/>
      <c r="I382" s="965"/>
      <c r="J382" s="965"/>
      <c r="K382" s="965"/>
      <c r="L382" s="965"/>
      <c r="M382" s="965"/>
      <c r="N382" s="965"/>
      <c r="O382" s="965"/>
      <c r="P382" s="965"/>
      <c r="Q382" s="965"/>
      <c r="R382" s="965"/>
      <c r="S382" s="965"/>
      <c r="T382" s="965"/>
      <c r="U382" s="965"/>
      <c r="V382" s="965"/>
      <c r="W382" s="965"/>
      <c r="X382" s="965"/>
      <c r="Y382" s="965"/>
      <c r="Z382" s="965"/>
    </row>
    <row r="383">
      <c r="A383" s="965"/>
      <c r="B383" s="965"/>
      <c r="C383" s="965"/>
      <c r="D383" s="965"/>
      <c r="E383" s="965"/>
      <c r="F383" s="965"/>
      <c r="G383" s="965"/>
      <c r="H383" s="965"/>
      <c r="I383" s="965"/>
      <c r="J383" s="965"/>
      <c r="K383" s="965"/>
      <c r="L383" s="965"/>
      <c r="M383" s="965"/>
      <c r="N383" s="965"/>
      <c r="O383" s="965"/>
      <c r="P383" s="965"/>
      <c r="Q383" s="965"/>
      <c r="R383" s="965"/>
      <c r="S383" s="965"/>
      <c r="T383" s="965"/>
      <c r="U383" s="965"/>
      <c r="V383" s="965"/>
      <c r="W383" s="965"/>
      <c r="X383" s="965"/>
      <c r="Y383" s="965"/>
      <c r="Z383" s="965"/>
    </row>
    <row r="384">
      <c r="A384" s="965"/>
      <c r="B384" s="965"/>
      <c r="C384" s="965"/>
      <c r="D384" s="965"/>
      <c r="E384" s="965"/>
      <c r="F384" s="965"/>
      <c r="G384" s="965"/>
      <c r="H384" s="965"/>
      <c r="I384" s="965"/>
      <c r="J384" s="965"/>
      <c r="K384" s="965"/>
      <c r="L384" s="965"/>
      <c r="M384" s="965"/>
      <c r="N384" s="965"/>
      <c r="O384" s="965"/>
      <c r="P384" s="965"/>
      <c r="Q384" s="965"/>
      <c r="R384" s="965"/>
      <c r="S384" s="965"/>
      <c r="T384" s="965"/>
      <c r="U384" s="965"/>
      <c r="V384" s="965"/>
      <c r="W384" s="965"/>
      <c r="X384" s="965"/>
      <c r="Y384" s="965"/>
      <c r="Z384" s="965"/>
    </row>
    <row r="385">
      <c r="A385" s="965"/>
      <c r="B385" s="965"/>
      <c r="C385" s="965"/>
      <c r="D385" s="965"/>
      <c r="E385" s="965"/>
      <c r="F385" s="965"/>
      <c r="G385" s="965"/>
      <c r="H385" s="965"/>
      <c r="I385" s="965"/>
      <c r="J385" s="965"/>
      <c r="K385" s="965"/>
      <c r="L385" s="965"/>
      <c r="M385" s="965"/>
      <c r="N385" s="965"/>
      <c r="O385" s="965"/>
      <c r="P385" s="965"/>
      <c r="Q385" s="965"/>
      <c r="R385" s="965"/>
      <c r="S385" s="965"/>
      <c r="T385" s="965"/>
      <c r="U385" s="965"/>
      <c r="V385" s="965"/>
      <c r="W385" s="965"/>
      <c r="X385" s="965"/>
      <c r="Y385" s="965"/>
      <c r="Z385" s="965"/>
    </row>
    <row r="386">
      <c r="A386" s="965"/>
      <c r="B386" s="965"/>
      <c r="C386" s="965"/>
      <c r="D386" s="965"/>
      <c r="E386" s="965"/>
      <c r="F386" s="965"/>
      <c r="G386" s="965"/>
      <c r="H386" s="965"/>
      <c r="I386" s="965"/>
      <c r="J386" s="965"/>
      <c r="K386" s="965"/>
      <c r="L386" s="965"/>
      <c r="M386" s="965"/>
      <c r="N386" s="965"/>
      <c r="O386" s="965"/>
      <c r="P386" s="965"/>
      <c r="Q386" s="965"/>
      <c r="R386" s="965"/>
      <c r="S386" s="965"/>
      <c r="T386" s="965"/>
      <c r="U386" s="965"/>
      <c r="V386" s="965"/>
      <c r="W386" s="965"/>
      <c r="X386" s="965"/>
      <c r="Y386" s="965"/>
      <c r="Z386" s="965"/>
    </row>
    <row r="387">
      <c r="A387" s="965"/>
      <c r="B387" s="965"/>
      <c r="C387" s="965"/>
      <c r="D387" s="965"/>
      <c r="E387" s="965"/>
      <c r="F387" s="965"/>
      <c r="G387" s="965"/>
      <c r="H387" s="965"/>
      <c r="I387" s="965"/>
      <c r="J387" s="965"/>
      <c r="K387" s="965"/>
      <c r="L387" s="965"/>
      <c r="M387" s="965"/>
      <c r="N387" s="965"/>
      <c r="O387" s="965"/>
      <c r="P387" s="965"/>
      <c r="Q387" s="965"/>
      <c r="R387" s="965"/>
      <c r="S387" s="965"/>
      <c r="T387" s="965"/>
      <c r="U387" s="965"/>
      <c r="V387" s="965"/>
      <c r="W387" s="965"/>
      <c r="X387" s="965"/>
      <c r="Y387" s="965"/>
      <c r="Z387" s="965"/>
    </row>
    <row r="388">
      <c r="A388" s="965"/>
      <c r="B388" s="965"/>
      <c r="C388" s="965"/>
      <c r="D388" s="965"/>
      <c r="E388" s="965"/>
      <c r="F388" s="965"/>
      <c r="G388" s="965"/>
      <c r="H388" s="965"/>
      <c r="I388" s="965"/>
      <c r="J388" s="965"/>
      <c r="K388" s="965"/>
      <c r="L388" s="965"/>
      <c r="M388" s="965"/>
      <c r="N388" s="965"/>
      <c r="O388" s="965"/>
      <c r="P388" s="965"/>
      <c r="Q388" s="965"/>
      <c r="R388" s="965"/>
      <c r="S388" s="965"/>
      <c r="T388" s="965"/>
      <c r="U388" s="965"/>
      <c r="V388" s="965"/>
      <c r="W388" s="965"/>
      <c r="X388" s="965"/>
      <c r="Y388" s="965"/>
      <c r="Z388" s="965"/>
    </row>
    <row r="389">
      <c r="A389" s="965"/>
      <c r="B389" s="965"/>
      <c r="C389" s="965"/>
      <c r="D389" s="965"/>
      <c r="E389" s="965"/>
      <c r="F389" s="965"/>
      <c r="G389" s="965"/>
      <c r="H389" s="965"/>
      <c r="I389" s="965"/>
      <c r="J389" s="965"/>
      <c r="K389" s="965"/>
      <c r="L389" s="965"/>
      <c r="M389" s="965"/>
      <c r="N389" s="965"/>
      <c r="O389" s="965"/>
      <c r="P389" s="965"/>
      <c r="Q389" s="965"/>
      <c r="R389" s="965"/>
      <c r="S389" s="965"/>
      <c r="T389" s="965"/>
      <c r="U389" s="965"/>
      <c r="V389" s="965"/>
      <c r="W389" s="965"/>
      <c r="X389" s="965"/>
      <c r="Y389" s="965"/>
      <c r="Z389" s="965"/>
    </row>
    <row r="390">
      <c r="A390" s="965"/>
      <c r="B390" s="965"/>
      <c r="C390" s="965"/>
      <c r="D390" s="965"/>
      <c r="E390" s="965"/>
      <c r="F390" s="965"/>
      <c r="G390" s="965"/>
      <c r="H390" s="965"/>
      <c r="I390" s="965"/>
      <c r="J390" s="965"/>
      <c r="K390" s="965"/>
      <c r="L390" s="965"/>
      <c r="M390" s="965"/>
      <c r="N390" s="965"/>
      <c r="O390" s="965"/>
      <c r="P390" s="965"/>
      <c r="Q390" s="965"/>
      <c r="R390" s="965"/>
      <c r="S390" s="965"/>
      <c r="T390" s="965"/>
      <c r="U390" s="965"/>
      <c r="V390" s="965"/>
      <c r="W390" s="965"/>
      <c r="X390" s="965"/>
      <c r="Y390" s="965"/>
      <c r="Z390" s="965"/>
    </row>
    <row r="391">
      <c r="A391" s="965"/>
      <c r="B391" s="965"/>
      <c r="C391" s="965"/>
      <c r="D391" s="965"/>
      <c r="E391" s="965"/>
      <c r="F391" s="965"/>
      <c r="G391" s="965"/>
      <c r="H391" s="965"/>
      <c r="I391" s="965"/>
      <c r="J391" s="965"/>
      <c r="K391" s="965"/>
      <c r="L391" s="965"/>
      <c r="M391" s="965"/>
      <c r="N391" s="965"/>
      <c r="O391" s="965"/>
      <c r="P391" s="965"/>
      <c r="Q391" s="965"/>
      <c r="R391" s="965"/>
      <c r="S391" s="965"/>
      <c r="T391" s="965"/>
      <c r="U391" s="965"/>
      <c r="V391" s="965"/>
      <c r="W391" s="965"/>
      <c r="X391" s="965"/>
      <c r="Y391" s="965"/>
      <c r="Z391" s="965"/>
    </row>
    <row r="392">
      <c r="A392" s="965"/>
      <c r="B392" s="965"/>
      <c r="C392" s="965"/>
      <c r="D392" s="965"/>
      <c r="E392" s="965"/>
      <c r="F392" s="965"/>
      <c r="G392" s="965"/>
      <c r="H392" s="965"/>
      <c r="I392" s="965"/>
      <c r="J392" s="965"/>
      <c r="K392" s="965"/>
      <c r="L392" s="965"/>
      <c r="M392" s="965"/>
      <c r="N392" s="965"/>
      <c r="O392" s="965"/>
      <c r="P392" s="965"/>
      <c r="Q392" s="965"/>
      <c r="R392" s="965"/>
      <c r="S392" s="965"/>
      <c r="T392" s="965"/>
      <c r="U392" s="965"/>
      <c r="V392" s="965"/>
      <c r="W392" s="965"/>
      <c r="X392" s="965"/>
      <c r="Y392" s="965"/>
      <c r="Z392" s="965"/>
    </row>
    <row r="393">
      <c r="A393" s="965"/>
      <c r="B393" s="965"/>
      <c r="C393" s="965"/>
      <c r="D393" s="965"/>
      <c r="E393" s="965"/>
      <c r="F393" s="965"/>
      <c r="G393" s="965"/>
      <c r="H393" s="965"/>
      <c r="I393" s="965"/>
      <c r="J393" s="965"/>
      <c r="K393" s="965"/>
      <c r="L393" s="965"/>
      <c r="M393" s="965"/>
      <c r="N393" s="965"/>
      <c r="O393" s="965"/>
      <c r="P393" s="965"/>
      <c r="Q393" s="965"/>
      <c r="R393" s="965"/>
      <c r="S393" s="965"/>
      <c r="T393" s="965"/>
      <c r="U393" s="965"/>
      <c r="V393" s="965"/>
      <c r="W393" s="965"/>
      <c r="X393" s="965"/>
      <c r="Y393" s="965"/>
      <c r="Z393" s="965"/>
    </row>
    <row r="394">
      <c r="A394" s="965"/>
      <c r="B394" s="965"/>
      <c r="C394" s="965"/>
      <c r="D394" s="965"/>
      <c r="E394" s="965"/>
      <c r="F394" s="965"/>
      <c r="G394" s="965"/>
      <c r="H394" s="965"/>
      <c r="I394" s="965"/>
      <c r="J394" s="965"/>
      <c r="K394" s="965"/>
      <c r="L394" s="965"/>
      <c r="M394" s="965"/>
      <c r="N394" s="965"/>
      <c r="O394" s="965"/>
      <c r="P394" s="965"/>
      <c r="Q394" s="965"/>
      <c r="R394" s="965"/>
      <c r="S394" s="965"/>
      <c r="T394" s="965"/>
      <c r="U394" s="965"/>
      <c r="V394" s="965"/>
      <c r="W394" s="965"/>
      <c r="X394" s="965"/>
      <c r="Y394" s="965"/>
      <c r="Z394" s="965"/>
    </row>
    <row r="395">
      <c r="A395" s="965"/>
      <c r="B395" s="965"/>
      <c r="C395" s="965"/>
      <c r="D395" s="965"/>
      <c r="E395" s="965"/>
      <c r="F395" s="965"/>
      <c r="G395" s="965"/>
      <c r="H395" s="965"/>
      <c r="I395" s="965"/>
      <c r="J395" s="965"/>
      <c r="K395" s="965"/>
      <c r="L395" s="965"/>
      <c r="M395" s="965"/>
      <c r="N395" s="965"/>
      <c r="O395" s="965"/>
      <c r="P395" s="965"/>
      <c r="Q395" s="965"/>
      <c r="R395" s="965"/>
      <c r="S395" s="965"/>
      <c r="T395" s="965"/>
      <c r="U395" s="965"/>
      <c r="V395" s="965"/>
      <c r="W395" s="965"/>
      <c r="X395" s="965"/>
      <c r="Y395" s="965"/>
      <c r="Z395" s="965"/>
    </row>
    <row r="396">
      <c r="A396" s="965"/>
      <c r="B396" s="965"/>
      <c r="C396" s="965"/>
      <c r="D396" s="965"/>
      <c r="E396" s="965"/>
      <c r="F396" s="965"/>
      <c r="G396" s="965"/>
      <c r="H396" s="965"/>
      <c r="I396" s="965"/>
      <c r="J396" s="965"/>
      <c r="K396" s="965"/>
      <c r="L396" s="965"/>
      <c r="M396" s="965"/>
      <c r="N396" s="965"/>
      <c r="O396" s="965"/>
      <c r="P396" s="965"/>
      <c r="Q396" s="965"/>
      <c r="R396" s="965"/>
      <c r="S396" s="965"/>
      <c r="T396" s="965"/>
      <c r="U396" s="965"/>
      <c r="V396" s="965"/>
      <c r="W396" s="965"/>
      <c r="X396" s="965"/>
      <c r="Y396" s="965"/>
      <c r="Z396" s="965"/>
    </row>
    <row r="397">
      <c r="A397" s="965"/>
      <c r="B397" s="965"/>
      <c r="C397" s="965"/>
      <c r="D397" s="965"/>
      <c r="E397" s="965"/>
      <c r="F397" s="965"/>
      <c r="G397" s="965"/>
      <c r="H397" s="965"/>
      <c r="I397" s="965"/>
      <c r="J397" s="965"/>
      <c r="K397" s="965"/>
      <c r="L397" s="965"/>
      <c r="M397" s="965"/>
      <c r="N397" s="965"/>
      <c r="O397" s="965"/>
      <c r="P397" s="965"/>
      <c r="Q397" s="965"/>
      <c r="R397" s="965"/>
      <c r="S397" s="965"/>
      <c r="T397" s="965"/>
      <c r="U397" s="965"/>
      <c r="V397" s="965"/>
      <c r="W397" s="965"/>
      <c r="X397" s="965"/>
      <c r="Y397" s="965"/>
      <c r="Z397" s="965"/>
    </row>
    <row r="398">
      <c r="A398" s="965"/>
      <c r="B398" s="965"/>
      <c r="C398" s="965"/>
      <c r="D398" s="965"/>
      <c r="E398" s="965"/>
      <c r="F398" s="965"/>
      <c r="G398" s="965"/>
      <c r="H398" s="965"/>
      <c r="I398" s="965"/>
      <c r="J398" s="965"/>
      <c r="K398" s="965"/>
      <c r="L398" s="965"/>
      <c r="M398" s="965"/>
      <c r="N398" s="965"/>
      <c r="O398" s="965"/>
      <c r="P398" s="965"/>
      <c r="Q398" s="965"/>
      <c r="R398" s="965"/>
      <c r="S398" s="965"/>
      <c r="T398" s="965"/>
      <c r="U398" s="965"/>
      <c r="V398" s="965"/>
      <c r="W398" s="965"/>
      <c r="X398" s="965"/>
      <c r="Y398" s="965"/>
      <c r="Z398" s="965"/>
    </row>
    <row r="399">
      <c r="A399" s="965"/>
      <c r="B399" s="965"/>
      <c r="C399" s="965"/>
      <c r="D399" s="965"/>
      <c r="E399" s="965"/>
      <c r="F399" s="965"/>
      <c r="G399" s="965"/>
      <c r="H399" s="965"/>
      <c r="I399" s="965"/>
      <c r="J399" s="965"/>
      <c r="K399" s="965"/>
      <c r="L399" s="965"/>
      <c r="M399" s="965"/>
      <c r="N399" s="965"/>
      <c r="O399" s="965"/>
      <c r="P399" s="965"/>
      <c r="Q399" s="965"/>
      <c r="R399" s="965"/>
      <c r="S399" s="965"/>
      <c r="T399" s="965"/>
      <c r="U399" s="965"/>
      <c r="V399" s="965"/>
      <c r="W399" s="965"/>
      <c r="X399" s="965"/>
      <c r="Y399" s="965"/>
      <c r="Z399" s="965"/>
    </row>
    <row r="400">
      <c r="A400" s="965"/>
      <c r="B400" s="965"/>
      <c r="C400" s="965"/>
      <c r="D400" s="965"/>
      <c r="E400" s="965"/>
      <c r="F400" s="965"/>
      <c r="G400" s="965"/>
      <c r="H400" s="965"/>
      <c r="I400" s="965"/>
      <c r="J400" s="965"/>
      <c r="K400" s="965"/>
      <c r="L400" s="965"/>
      <c r="M400" s="965"/>
      <c r="N400" s="965"/>
      <c r="O400" s="965"/>
      <c r="P400" s="965"/>
      <c r="Q400" s="965"/>
      <c r="R400" s="965"/>
      <c r="S400" s="965"/>
      <c r="T400" s="965"/>
      <c r="U400" s="965"/>
      <c r="V400" s="965"/>
      <c r="W400" s="965"/>
      <c r="X400" s="965"/>
      <c r="Y400" s="965"/>
      <c r="Z400" s="965"/>
    </row>
    <row r="401">
      <c r="A401" s="965"/>
      <c r="B401" s="965"/>
      <c r="C401" s="965"/>
      <c r="D401" s="965"/>
      <c r="E401" s="965"/>
      <c r="F401" s="965"/>
      <c r="G401" s="965"/>
      <c r="H401" s="965"/>
      <c r="I401" s="965"/>
      <c r="J401" s="965"/>
      <c r="K401" s="965"/>
      <c r="L401" s="965"/>
      <c r="M401" s="965"/>
      <c r="N401" s="965"/>
      <c r="O401" s="965"/>
      <c r="P401" s="965"/>
      <c r="Q401" s="965"/>
      <c r="R401" s="965"/>
      <c r="S401" s="965"/>
      <c r="T401" s="965"/>
      <c r="U401" s="965"/>
      <c r="V401" s="965"/>
      <c r="W401" s="965"/>
      <c r="X401" s="965"/>
      <c r="Y401" s="965"/>
      <c r="Z401" s="965"/>
    </row>
    <row r="402">
      <c r="A402" s="965"/>
      <c r="B402" s="965"/>
      <c r="C402" s="965"/>
      <c r="D402" s="965"/>
      <c r="E402" s="965"/>
      <c r="F402" s="965"/>
      <c r="G402" s="965"/>
      <c r="H402" s="965"/>
      <c r="I402" s="965"/>
      <c r="J402" s="965"/>
      <c r="K402" s="965"/>
      <c r="L402" s="965"/>
      <c r="M402" s="965"/>
      <c r="N402" s="965"/>
      <c r="O402" s="965"/>
      <c r="P402" s="965"/>
      <c r="Q402" s="965"/>
      <c r="R402" s="965"/>
      <c r="S402" s="965"/>
      <c r="T402" s="965"/>
      <c r="U402" s="965"/>
      <c r="V402" s="965"/>
      <c r="W402" s="965"/>
      <c r="X402" s="965"/>
      <c r="Y402" s="965"/>
      <c r="Z402" s="965"/>
    </row>
    <row r="403">
      <c r="A403" s="965"/>
      <c r="B403" s="965"/>
      <c r="C403" s="965"/>
      <c r="D403" s="965"/>
      <c r="E403" s="965"/>
      <c r="F403" s="965"/>
      <c r="G403" s="965"/>
      <c r="H403" s="965"/>
      <c r="I403" s="965"/>
      <c r="J403" s="965"/>
      <c r="K403" s="965"/>
      <c r="L403" s="965"/>
      <c r="M403" s="965"/>
      <c r="N403" s="965"/>
      <c r="O403" s="965"/>
      <c r="P403" s="965"/>
      <c r="Q403" s="965"/>
      <c r="R403" s="965"/>
      <c r="S403" s="965"/>
      <c r="T403" s="965"/>
      <c r="U403" s="965"/>
      <c r="V403" s="965"/>
      <c r="W403" s="965"/>
      <c r="X403" s="965"/>
      <c r="Y403" s="965"/>
      <c r="Z403" s="965"/>
    </row>
    <row r="404">
      <c r="A404" s="965"/>
      <c r="B404" s="965"/>
      <c r="C404" s="965"/>
      <c r="D404" s="965"/>
      <c r="E404" s="965"/>
      <c r="F404" s="965"/>
      <c r="G404" s="965"/>
      <c r="H404" s="965"/>
      <c r="I404" s="965"/>
      <c r="J404" s="965"/>
      <c r="K404" s="965"/>
      <c r="L404" s="965"/>
      <c r="M404" s="965"/>
      <c r="N404" s="965"/>
      <c r="O404" s="965"/>
      <c r="P404" s="965"/>
      <c r="Q404" s="965"/>
      <c r="R404" s="965"/>
      <c r="S404" s="965"/>
      <c r="T404" s="965"/>
      <c r="U404" s="965"/>
      <c r="V404" s="965"/>
      <c r="W404" s="965"/>
      <c r="X404" s="965"/>
      <c r="Y404" s="965"/>
      <c r="Z404" s="965"/>
    </row>
    <row r="405">
      <c r="A405" s="965"/>
      <c r="B405" s="965"/>
      <c r="C405" s="965"/>
      <c r="D405" s="965"/>
      <c r="E405" s="965"/>
      <c r="F405" s="965"/>
      <c r="G405" s="965"/>
      <c r="H405" s="965"/>
      <c r="I405" s="965"/>
      <c r="J405" s="965"/>
      <c r="K405" s="965"/>
      <c r="L405" s="965"/>
      <c r="M405" s="965"/>
      <c r="N405" s="965"/>
      <c r="O405" s="965"/>
      <c r="P405" s="965"/>
      <c r="Q405" s="965"/>
      <c r="R405" s="965"/>
      <c r="S405" s="965"/>
      <c r="T405" s="965"/>
      <c r="U405" s="965"/>
      <c r="V405" s="965"/>
      <c r="W405" s="965"/>
      <c r="X405" s="965"/>
      <c r="Y405" s="965"/>
      <c r="Z405" s="965"/>
    </row>
    <row r="406">
      <c r="A406" s="965"/>
      <c r="B406" s="965"/>
      <c r="C406" s="965"/>
      <c r="D406" s="965"/>
      <c r="E406" s="965"/>
      <c r="F406" s="965"/>
      <c r="G406" s="965"/>
      <c r="H406" s="965"/>
      <c r="I406" s="965"/>
      <c r="J406" s="965"/>
      <c r="K406" s="965"/>
      <c r="L406" s="965"/>
      <c r="M406" s="965"/>
      <c r="N406" s="965"/>
      <c r="O406" s="965"/>
      <c r="P406" s="965"/>
      <c r="Q406" s="965"/>
      <c r="R406" s="965"/>
      <c r="S406" s="965"/>
      <c r="T406" s="965"/>
      <c r="U406" s="965"/>
      <c r="V406" s="965"/>
      <c r="W406" s="965"/>
      <c r="X406" s="965"/>
      <c r="Y406" s="965"/>
      <c r="Z406" s="965"/>
    </row>
    <row r="407">
      <c r="A407" s="965"/>
      <c r="B407" s="965"/>
      <c r="C407" s="965"/>
      <c r="D407" s="965"/>
      <c r="E407" s="965"/>
      <c r="F407" s="965"/>
      <c r="G407" s="965"/>
      <c r="H407" s="965"/>
      <c r="I407" s="965"/>
      <c r="J407" s="965"/>
      <c r="K407" s="965"/>
      <c r="L407" s="965"/>
      <c r="M407" s="965"/>
      <c r="N407" s="965"/>
      <c r="O407" s="965"/>
      <c r="P407" s="965"/>
      <c r="Q407" s="965"/>
      <c r="R407" s="965"/>
      <c r="S407" s="965"/>
      <c r="T407" s="965"/>
      <c r="U407" s="965"/>
      <c r="V407" s="965"/>
      <c r="W407" s="965"/>
      <c r="X407" s="965"/>
      <c r="Y407" s="965"/>
      <c r="Z407" s="965"/>
    </row>
    <row r="408">
      <c r="A408" s="965"/>
      <c r="B408" s="965"/>
      <c r="C408" s="965"/>
      <c r="D408" s="965"/>
      <c r="E408" s="965"/>
      <c r="F408" s="965"/>
      <c r="G408" s="965"/>
      <c r="H408" s="965"/>
      <c r="I408" s="965"/>
      <c r="J408" s="965"/>
      <c r="K408" s="965"/>
      <c r="L408" s="965"/>
      <c r="M408" s="965"/>
      <c r="N408" s="965"/>
      <c r="O408" s="965"/>
      <c r="P408" s="965"/>
      <c r="Q408" s="965"/>
      <c r="R408" s="965"/>
      <c r="S408" s="965"/>
      <c r="T408" s="965"/>
      <c r="U408" s="965"/>
      <c r="V408" s="965"/>
      <c r="W408" s="965"/>
      <c r="X408" s="965"/>
      <c r="Y408" s="965"/>
      <c r="Z408" s="965"/>
    </row>
    <row r="409">
      <c r="A409" s="965"/>
      <c r="B409" s="965"/>
      <c r="C409" s="965"/>
      <c r="D409" s="965"/>
      <c r="E409" s="965"/>
      <c r="F409" s="965"/>
      <c r="G409" s="965"/>
      <c r="H409" s="965"/>
      <c r="I409" s="965"/>
      <c r="J409" s="965"/>
      <c r="K409" s="965"/>
      <c r="L409" s="965"/>
      <c r="M409" s="965"/>
      <c r="N409" s="965"/>
      <c r="O409" s="965"/>
      <c r="P409" s="965"/>
      <c r="Q409" s="965"/>
      <c r="R409" s="965"/>
      <c r="S409" s="965"/>
      <c r="T409" s="965"/>
      <c r="U409" s="965"/>
      <c r="V409" s="965"/>
      <c r="W409" s="965"/>
      <c r="X409" s="965"/>
      <c r="Y409" s="965"/>
      <c r="Z409" s="965"/>
    </row>
    <row r="410">
      <c r="A410" s="965"/>
      <c r="B410" s="965"/>
      <c r="C410" s="965"/>
      <c r="D410" s="965"/>
      <c r="E410" s="965"/>
      <c r="F410" s="965"/>
      <c r="G410" s="965"/>
      <c r="H410" s="965"/>
      <c r="I410" s="965"/>
      <c r="J410" s="965"/>
      <c r="K410" s="965"/>
      <c r="L410" s="965"/>
      <c r="M410" s="965"/>
      <c r="N410" s="965"/>
      <c r="O410" s="965"/>
      <c r="P410" s="965"/>
      <c r="Q410" s="965"/>
      <c r="R410" s="965"/>
      <c r="S410" s="965"/>
      <c r="T410" s="965"/>
      <c r="U410" s="965"/>
      <c r="V410" s="965"/>
      <c r="W410" s="965"/>
      <c r="X410" s="965"/>
      <c r="Y410" s="965"/>
      <c r="Z410" s="965"/>
    </row>
    <row r="411">
      <c r="A411" s="965"/>
      <c r="B411" s="965"/>
      <c r="C411" s="965"/>
      <c r="D411" s="965"/>
      <c r="E411" s="965"/>
      <c r="F411" s="965"/>
      <c r="G411" s="965"/>
      <c r="H411" s="965"/>
      <c r="I411" s="965"/>
      <c r="J411" s="965"/>
      <c r="K411" s="965"/>
      <c r="L411" s="965"/>
      <c r="M411" s="965"/>
      <c r="N411" s="965"/>
      <c r="O411" s="965"/>
      <c r="P411" s="965"/>
      <c r="Q411" s="965"/>
      <c r="R411" s="965"/>
      <c r="S411" s="965"/>
      <c r="T411" s="965"/>
      <c r="U411" s="965"/>
      <c r="V411" s="965"/>
      <c r="W411" s="965"/>
      <c r="X411" s="965"/>
      <c r="Y411" s="965"/>
      <c r="Z411" s="965"/>
    </row>
    <row r="412">
      <c r="A412" s="965"/>
      <c r="B412" s="965"/>
      <c r="C412" s="965"/>
      <c r="D412" s="965"/>
      <c r="E412" s="965"/>
      <c r="F412" s="965"/>
      <c r="G412" s="965"/>
      <c r="H412" s="965"/>
      <c r="I412" s="965"/>
      <c r="J412" s="965"/>
      <c r="K412" s="965"/>
      <c r="L412" s="965"/>
      <c r="M412" s="965"/>
      <c r="N412" s="965"/>
      <c r="O412" s="965"/>
      <c r="P412" s="965"/>
      <c r="Q412" s="965"/>
      <c r="R412" s="965"/>
      <c r="S412" s="965"/>
      <c r="T412" s="965"/>
      <c r="U412" s="965"/>
      <c r="V412" s="965"/>
      <c r="W412" s="965"/>
      <c r="X412" s="965"/>
      <c r="Y412" s="965"/>
      <c r="Z412" s="965"/>
    </row>
    <row r="413">
      <c r="A413" s="965"/>
      <c r="B413" s="965"/>
      <c r="C413" s="965"/>
      <c r="D413" s="965"/>
      <c r="E413" s="965"/>
      <c r="F413" s="965"/>
      <c r="G413" s="965"/>
      <c r="H413" s="965"/>
      <c r="I413" s="965"/>
      <c r="J413" s="965"/>
      <c r="K413" s="965"/>
      <c r="L413" s="965"/>
      <c r="M413" s="965"/>
      <c r="N413" s="965"/>
      <c r="O413" s="965"/>
      <c r="P413" s="965"/>
      <c r="Q413" s="965"/>
      <c r="R413" s="965"/>
      <c r="S413" s="965"/>
      <c r="T413" s="965"/>
      <c r="U413" s="965"/>
      <c r="V413" s="965"/>
      <c r="W413" s="965"/>
      <c r="X413" s="965"/>
      <c r="Y413" s="965"/>
      <c r="Z413" s="965"/>
    </row>
    <row r="414">
      <c r="A414" s="965"/>
      <c r="B414" s="965"/>
      <c r="C414" s="965"/>
      <c r="D414" s="965"/>
      <c r="E414" s="965"/>
      <c r="F414" s="965"/>
      <c r="G414" s="965"/>
      <c r="H414" s="965"/>
      <c r="I414" s="965"/>
      <c r="J414" s="965"/>
      <c r="K414" s="965"/>
      <c r="L414" s="965"/>
      <c r="M414" s="965"/>
      <c r="N414" s="965"/>
      <c r="O414" s="965"/>
      <c r="P414" s="965"/>
      <c r="Q414" s="965"/>
      <c r="R414" s="965"/>
      <c r="S414" s="965"/>
      <c r="T414" s="965"/>
      <c r="U414" s="965"/>
      <c r="V414" s="965"/>
      <c r="W414" s="965"/>
      <c r="X414" s="965"/>
      <c r="Y414" s="965"/>
      <c r="Z414" s="965"/>
    </row>
    <row r="415">
      <c r="A415" s="965"/>
      <c r="B415" s="965"/>
      <c r="C415" s="965"/>
      <c r="D415" s="965"/>
      <c r="E415" s="965"/>
      <c r="F415" s="965"/>
      <c r="G415" s="965"/>
      <c r="H415" s="965"/>
      <c r="I415" s="965"/>
      <c r="J415" s="965"/>
      <c r="K415" s="965"/>
      <c r="L415" s="965"/>
      <c r="M415" s="965"/>
      <c r="N415" s="965"/>
      <c r="O415" s="965"/>
      <c r="P415" s="965"/>
      <c r="Q415" s="965"/>
      <c r="R415" s="965"/>
      <c r="S415" s="965"/>
      <c r="T415" s="965"/>
      <c r="U415" s="965"/>
      <c r="V415" s="965"/>
      <c r="W415" s="965"/>
      <c r="X415" s="965"/>
      <c r="Y415" s="965"/>
      <c r="Z415" s="965"/>
    </row>
    <row r="416">
      <c r="A416" s="965"/>
      <c r="B416" s="965"/>
      <c r="C416" s="965"/>
      <c r="D416" s="965"/>
      <c r="E416" s="965"/>
      <c r="F416" s="965"/>
      <c r="G416" s="965"/>
      <c r="H416" s="965"/>
      <c r="I416" s="965"/>
      <c r="J416" s="965"/>
      <c r="K416" s="965"/>
      <c r="L416" s="965"/>
      <c r="M416" s="965"/>
      <c r="N416" s="965"/>
      <c r="O416" s="965"/>
      <c r="P416" s="965"/>
      <c r="Q416" s="965"/>
      <c r="R416" s="965"/>
      <c r="S416" s="965"/>
      <c r="T416" s="965"/>
      <c r="U416" s="965"/>
      <c r="V416" s="965"/>
      <c r="W416" s="965"/>
      <c r="X416" s="965"/>
      <c r="Y416" s="965"/>
      <c r="Z416" s="965"/>
    </row>
    <row r="417">
      <c r="A417" s="965"/>
      <c r="B417" s="965"/>
      <c r="C417" s="965"/>
      <c r="D417" s="965"/>
      <c r="E417" s="965"/>
      <c r="F417" s="965"/>
      <c r="G417" s="965"/>
      <c r="H417" s="965"/>
      <c r="I417" s="965"/>
      <c r="J417" s="965"/>
      <c r="K417" s="965"/>
      <c r="L417" s="965"/>
      <c r="M417" s="965"/>
      <c r="N417" s="965"/>
      <c r="O417" s="965"/>
      <c r="P417" s="965"/>
      <c r="Q417" s="965"/>
      <c r="R417" s="965"/>
      <c r="S417" s="965"/>
      <c r="T417" s="965"/>
      <c r="U417" s="965"/>
      <c r="V417" s="965"/>
      <c r="W417" s="965"/>
      <c r="X417" s="965"/>
      <c r="Y417" s="965"/>
      <c r="Z417" s="965"/>
    </row>
    <row r="418">
      <c r="A418" s="965"/>
      <c r="B418" s="965"/>
      <c r="C418" s="965"/>
      <c r="D418" s="965"/>
      <c r="E418" s="965"/>
      <c r="F418" s="965"/>
      <c r="G418" s="965"/>
      <c r="H418" s="965"/>
      <c r="I418" s="965"/>
      <c r="J418" s="965"/>
      <c r="K418" s="965"/>
      <c r="L418" s="965"/>
      <c r="M418" s="965"/>
      <c r="N418" s="965"/>
      <c r="O418" s="965"/>
      <c r="P418" s="965"/>
      <c r="Q418" s="965"/>
      <c r="R418" s="965"/>
      <c r="S418" s="965"/>
      <c r="T418" s="965"/>
      <c r="U418" s="965"/>
      <c r="V418" s="965"/>
      <c r="W418" s="965"/>
      <c r="X418" s="965"/>
      <c r="Y418" s="965"/>
      <c r="Z418" s="965"/>
    </row>
    <row r="419">
      <c r="A419" s="965"/>
      <c r="B419" s="965"/>
      <c r="C419" s="965"/>
      <c r="D419" s="965"/>
      <c r="E419" s="965"/>
      <c r="F419" s="965"/>
      <c r="G419" s="965"/>
      <c r="H419" s="965"/>
      <c r="I419" s="965"/>
      <c r="J419" s="965"/>
      <c r="K419" s="965"/>
      <c r="L419" s="965"/>
      <c r="M419" s="965"/>
      <c r="N419" s="965"/>
      <c r="O419" s="965"/>
      <c r="P419" s="965"/>
      <c r="Q419" s="965"/>
      <c r="R419" s="965"/>
      <c r="S419" s="965"/>
      <c r="T419" s="965"/>
      <c r="U419" s="965"/>
      <c r="V419" s="965"/>
      <c r="W419" s="965"/>
      <c r="X419" s="965"/>
      <c r="Y419" s="965"/>
      <c r="Z419" s="965"/>
    </row>
    <row r="420">
      <c r="A420" s="965"/>
      <c r="B420" s="965"/>
      <c r="C420" s="965"/>
      <c r="D420" s="965"/>
      <c r="E420" s="965"/>
      <c r="F420" s="965"/>
      <c r="G420" s="965"/>
      <c r="H420" s="965"/>
      <c r="I420" s="965"/>
      <c r="J420" s="965"/>
      <c r="K420" s="965"/>
      <c r="L420" s="965"/>
      <c r="M420" s="965"/>
      <c r="N420" s="965"/>
      <c r="O420" s="965"/>
      <c r="P420" s="965"/>
      <c r="Q420" s="965"/>
      <c r="R420" s="965"/>
      <c r="S420" s="965"/>
      <c r="T420" s="965"/>
      <c r="U420" s="965"/>
      <c r="V420" s="965"/>
      <c r="W420" s="965"/>
      <c r="X420" s="965"/>
      <c r="Y420" s="965"/>
      <c r="Z420" s="965"/>
    </row>
    <row r="421">
      <c r="A421" s="965"/>
      <c r="B421" s="965"/>
      <c r="C421" s="965"/>
      <c r="D421" s="965"/>
      <c r="E421" s="965"/>
      <c r="F421" s="965"/>
      <c r="G421" s="965"/>
      <c r="H421" s="965"/>
      <c r="I421" s="965"/>
      <c r="J421" s="965"/>
      <c r="K421" s="965"/>
      <c r="L421" s="965"/>
      <c r="M421" s="965"/>
      <c r="N421" s="965"/>
      <c r="O421" s="965"/>
      <c r="P421" s="965"/>
      <c r="Q421" s="965"/>
      <c r="R421" s="965"/>
      <c r="S421" s="965"/>
      <c r="T421" s="965"/>
      <c r="U421" s="965"/>
      <c r="V421" s="965"/>
      <c r="W421" s="965"/>
      <c r="X421" s="965"/>
      <c r="Y421" s="965"/>
      <c r="Z421" s="965"/>
    </row>
    <row r="422">
      <c r="A422" s="965"/>
      <c r="B422" s="965"/>
      <c r="C422" s="965"/>
      <c r="D422" s="965"/>
      <c r="E422" s="965"/>
      <c r="F422" s="965"/>
      <c r="G422" s="965"/>
      <c r="H422" s="965"/>
      <c r="I422" s="965"/>
      <c r="J422" s="965"/>
      <c r="K422" s="965"/>
      <c r="L422" s="965"/>
      <c r="M422" s="965"/>
      <c r="N422" s="965"/>
      <c r="O422" s="965"/>
      <c r="P422" s="965"/>
      <c r="Q422" s="965"/>
      <c r="R422" s="965"/>
      <c r="S422" s="965"/>
      <c r="T422" s="965"/>
      <c r="U422" s="965"/>
      <c r="V422" s="965"/>
      <c r="W422" s="965"/>
      <c r="X422" s="965"/>
      <c r="Y422" s="965"/>
      <c r="Z422" s="965"/>
    </row>
    <row r="423">
      <c r="A423" s="965"/>
      <c r="B423" s="965"/>
      <c r="C423" s="965"/>
      <c r="D423" s="965"/>
      <c r="E423" s="965"/>
      <c r="F423" s="965"/>
      <c r="G423" s="965"/>
      <c r="H423" s="965"/>
      <c r="I423" s="965"/>
      <c r="J423" s="965"/>
      <c r="K423" s="965"/>
      <c r="L423" s="965"/>
      <c r="M423" s="965"/>
      <c r="N423" s="965"/>
      <c r="O423" s="965"/>
      <c r="P423" s="965"/>
      <c r="Q423" s="965"/>
      <c r="R423" s="965"/>
      <c r="S423" s="965"/>
      <c r="T423" s="965"/>
      <c r="U423" s="965"/>
      <c r="V423" s="965"/>
      <c r="W423" s="965"/>
      <c r="X423" s="965"/>
      <c r="Y423" s="965"/>
      <c r="Z423" s="965"/>
    </row>
    <row r="424">
      <c r="A424" s="965"/>
      <c r="B424" s="965"/>
      <c r="C424" s="965"/>
      <c r="D424" s="965"/>
      <c r="E424" s="965"/>
      <c r="F424" s="965"/>
      <c r="G424" s="965"/>
      <c r="H424" s="965"/>
      <c r="I424" s="965"/>
      <c r="J424" s="965"/>
      <c r="K424" s="965"/>
      <c r="L424" s="965"/>
      <c r="M424" s="965"/>
      <c r="N424" s="965"/>
      <c r="O424" s="965"/>
      <c r="P424" s="965"/>
      <c r="Q424" s="965"/>
      <c r="R424" s="965"/>
      <c r="S424" s="965"/>
      <c r="T424" s="965"/>
      <c r="U424" s="965"/>
      <c r="V424" s="965"/>
      <c r="W424" s="965"/>
      <c r="X424" s="965"/>
      <c r="Y424" s="965"/>
      <c r="Z424" s="965"/>
    </row>
    <row r="425">
      <c r="A425" s="965"/>
      <c r="B425" s="965"/>
      <c r="C425" s="965"/>
      <c r="D425" s="965"/>
      <c r="E425" s="965"/>
      <c r="F425" s="965"/>
      <c r="G425" s="965"/>
      <c r="H425" s="965"/>
      <c r="I425" s="965"/>
      <c r="J425" s="965"/>
      <c r="K425" s="965"/>
      <c r="L425" s="965"/>
      <c r="M425" s="965"/>
      <c r="N425" s="965"/>
      <c r="O425" s="965"/>
      <c r="P425" s="965"/>
      <c r="Q425" s="965"/>
      <c r="R425" s="965"/>
      <c r="S425" s="965"/>
      <c r="T425" s="965"/>
      <c r="U425" s="965"/>
      <c r="V425" s="965"/>
      <c r="W425" s="965"/>
      <c r="X425" s="965"/>
      <c r="Y425" s="965"/>
      <c r="Z425" s="965"/>
    </row>
    <row r="426">
      <c r="A426" s="965"/>
      <c r="B426" s="965"/>
      <c r="C426" s="965"/>
      <c r="D426" s="965"/>
      <c r="E426" s="965"/>
      <c r="F426" s="965"/>
      <c r="G426" s="965"/>
      <c r="H426" s="965"/>
      <c r="I426" s="965"/>
      <c r="J426" s="965"/>
      <c r="K426" s="965"/>
      <c r="L426" s="965"/>
      <c r="M426" s="965"/>
      <c r="N426" s="965"/>
      <c r="O426" s="965"/>
      <c r="P426" s="965"/>
      <c r="Q426" s="965"/>
      <c r="R426" s="965"/>
      <c r="S426" s="965"/>
      <c r="T426" s="965"/>
      <c r="U426" s="965"/>
      <c r="V426" s="965"/>
      <c r="W426" s="965"/>
      <c r="X426" s="965"/>
      <c r="Y426" s="965"/>
      <c r="Z426" s="965"/>
    </row>
    <row r="427">
      <c r="A427" s="965"/>
      <c r="B427" s="965"/>
      <c r="C427" s="965"/>
      <c r="D427" s="965"/>
      <c r="E427" s="965"/>
      <c r="F427" s="965"/>
      <c r="G427" s="965"/>
      <c r="H427" s="965"/>
      <c r="I427" s="965"/>
      <c r="J427" s="965"/>
      <c r="K427" s="965"/>
      <c r="L427" s="965"/>
      <c r="M427" s="965"/>
      <c r="N427" s="965"/>
      <c r="O427" s="965"/>
      <c r="P427" s="965"/>
      <c r="Q427" s="965"/>
      <c r="R427" s="965"/>
      <c r="S427" s="965"/>
      <c r="T427" s="965"/>
      <c r="U427" s="965"/>
      <c r="V427" s="965"/>
      <c r="W427" s="965"/>
      <c r="X427" s="965"/>
      <c r="Y427" s="965"/>
      <c r="Z427" s="965"/>
    </row>
    <row r="428">
      <c r="A428" s="965"/>
      <c r="B428" s="965"/>
      <c r="C428" s="965"/>
      <c r="D428" s="965"/>
      <c r="E428" s="965"/>
      <c r="F428" s="965"/>
      <c r="G428" s="965"/>
      <c r="H428" s="965"/>
      <c r="I428" s="965"/>
      <c r="J428" s="965"/>
      <c r="K428" s="965"/>
      <c r="L428" s="965"/>
      <c r="M428" s="965"/>
      <c r="N428" s="965"/>
      <c r="O428" s="965"/>
      <c r="P428" s="965"/>
      <c r="Q428" s="965"/>
      <c r="R428" s="965"/>
      <c r="S428" s="965"/>
      <c r="T428" s="965"/>
      <c r="U428" s="965"/>
      <c r="V428" s="965"/>
      <c r="W428" s="965"/>
      <c r="X428" s="965"/>
      <c r="Y428" s="965"/>
      <c r="Z428" s="965"/>
    </row>
    <row r="429">
      <c r="A429" s="965"/>
      <c r="B429" s="965"/>
      <c r="C429" s="965"/>
      <c r="D429" s="965"/>
      <c r="E429" s="965"/>
      <c r="F429" s="965"/>
      <c r="G429" s="965"/>
      <c r="H429" s="965"/>
      <c r="I429" s="965"/>
      <c r="J429" s="965"/>
      <c r="K429" s="965"/>
      <c r="L429" s="965"/>
      <c r="M429" s="965"/>
      <c r="N429" s="965"/>
      <c r="O429" s="965"/>
      <c r="P429" s="965"/>
      <c r="Q429" s="965"/>
      <c r="R429" s="965"/>
      <c r="S429" s="965"/>
      <c r="T429" s="965"/>
      <c r="U429" s="965"/>
      <c r="V429" s="965"/>
      <c r="W429" s="965"/>
      <c r="X429" s="965"/>
      <c r="Y429" s="965"/>
      <c r="Z429" s="965"/>
    </row>
    <row r="430">
      <c r="A430" s="965"/>
      <c r="B430" s="965"/>
      <c r="C430" s="965"/>
      <c r="D430" s="965"/>
      <c r="E430" s="965"/>
      <c r="F430" s="965"/>
      <c r="G430" s="965"/>
      <c r="H430" s="965"/>
      <c r="I430" s="965"/>
      <c r="J430" s="965"/>
      <c r="K430" s="965"/>
      <c r="L430" s="965"/>
      <c r="M430" s="965"/>
      <c r="N430" s="965"/>
      <c r="O430" s="965"/>
      <c r="P430" s="965"/>
      <c r="Q430" s="965"/>
      <c r="R430" s="965"/>
      <c r="S430" s="965"/>
      <c r="T430" s="965"/>
      <c r="U430" s="965"/>
      <c r="V430" s="965"/>
      <c r="W430" s="965"/>
      <c r="X430" s="965"/>
      <c r="Y430" s="965"/>
      <c r="Z430" s="965"/>
    </row>
    <row r="431">
      <c r="A431" s="965"/>
      <c r="B431" s="965"/>
      <c r="C431" s="965"/>
      <c r="D431" s="965"/>
      <c r="E431" s="965"/>
      <c r="F431" s="965"/>
      <c r="G431" s="965"/>
      <c r="H431" s="965"/>
      <c r="I431" s="965"/>
      <c r="J431" s="965"/>
      <c r="K431" s="965"/>
      <c r="L431" s="965"/>
      <c r="M431" s="965"/>
      <c r="N431" s="965"/>
      <c r="O431" s="965"/>
      <c r="P431" s="965"/>
      <c r="Q431" s="965"/>
      <c r="R431" s="965"/>
      <c r="S431" s="965"/>
      <c r="T431" s="965"/>
      <c r="U431" s="965"/>
      <c r="V431" s="965"/>
      <c r="W431" s="965"/>
      <c r="X431" s="965"/>
      <c r="Y431" s="965"/>
      <c r="Z431" s="965"/>
    </row>
    <row r="432">
      <c r="A432" s="965"/>
      <c r="B432" s="965"/>
      <c r="C432" s="965"/>
      <c r="D432" s="965"/>
      <c r="E432" s="965"/>
      <c r="F432" s="965"/>
      <c r="G432" s="965"/>
      <c r="H432" s="965"/>
      <c r="I432" s="965"/>
      <c r="J432" s="965"/>
      <c r="K432" s="965"/>
      <c r="L432" s="965"/>
      <c r="M432" s="965"/>
      <c r="N432" s="965"/>
      <c r="O432" s="965"/>
      <c r="P432" s="965"/>
      <c r="Q432" s="965"/>
      <c r="R432" s="965"/>
      <c r="S432" s="965"/>
      <c r="T432" s="965"/>
      <c r="U432" s="965"/>
      <c r="V432" s="965"/>
      <c r="W432" s="965"/>
      <c r="X432" s="965"/>
      <c r="Y432" s="965"/>
      <c r="Z432" s="965"/>
    </row>
    <row r="433">
      <c r="A433" s="965"/>
      <c r="B433" s="965"/>
      <c r="C433" s="965"/>
      <c r="D433" s="965"/>
      <c r="E433" s="965"/>
      <c r="F433" s="965"/>
      <c r="G433" s="965"/>
      <c r="H433" s="965"/>
      <c r="I433" s="965"/>
      <c r="J433" s="965"/>
      <c r="K433" s="965"/>
      <c r="L433" s="965"/>
      <c r="M433" s="965"/>
      <c r="N433" s="965"/>
      <c r="O433" s="965"/>
      <c r="P433" s="965"/>
      <c r="Q433" s="965"/>
      <c r="R433" s="965"/>
      <c r="S433" s="965"/>
      <c r="T433" s="965"/>
      <c r="U433" s="965"/>
      <c r="V433" s="965"/>
      <c r="W433" s="965"/>
      <c r="X433" s="965"/>
      <c r="Y433" s="965"/>
      <c r="Z433" s="965"/>
    </row>
    <row r="434">
      <c r="A434" s="965"/>
      <c r="B434" s="965"/>
      <c r="C434" s="965"/>
      <c r="D434" s="965"/>
      <c r="E434" s="965"/>
      <c r="F434" s="965"/>
      <c r="G434" s="965"/>
      <c r="H434" s="965"/>
      <c r="I434" s="965"/>
      <c r="J434" s="965"/>
      <c r="K434" s="965"/>
      <c r="L434" s="965"/>
      <c r="M434" s="965"/>
      <c r="N434" s="965"/>
      <c r="O434" s="965"/>
      <c r="P434" s="965"/>
      <c r="Q434" s="965"/>
      <c r="R434" s="965"/>
      <c r="S434" s="965"/>
      <c r="T434" s="965"/>
      <c r="U434" s="965"/>
      <c r="V434" s="965"/>
      <c r="W434" s="965"/>
      <c r="X434" s="965"/>
      <c r="Y434" s="965"/>
      <c r="Z434" s="965"/>
    </row>
    <row r="435">
      <c r="A435" s="965"/>
      <c r="B435" s="965"/>
      <c r="C435" s="965"/>
      <c r="D435" s="965"/>
      <c r="E435" s="965"/>
      <c r="F435" s="965"/>
      <c r="G435" s="965"/>
      <c r="H435" s="965"/>
      <c r="I435" s="965"/>
      <c r="J435" s="965"/>
      <c r="K435" s="965"/>
      <c r="L435" s="965"/>
      <c r="M435" s="965"/>
      <c r="N435" s="965"/>
      <c r="O435" s="965"/>
      <c r="P435" s="965"/>
      <c r="Q435" s="965"/>
      <c r="R435" s="965"/>
      <c r="S435" s="965"/>
      <c r="T435" s="965"/>
      <c r="U435" s="965"/>
      <c r="V435" s="965"/>
      <c r="W435" s="965"/>
      <c r="X435" s="965"/>
      <c r="Y435" s="965"/>
      <c r="Z435" s="965"/>
    </row>
    <row r="436">
      <c r="A436" s="965"/>
      <c r="B436" s="965"/>
      <c r="C436" s="965"/>
      <c r="D436" s="965"/>
      <c r="E436" s="965"/>
      <c r="F436" s="965"/>
      <c r="G436" s="965"/>
      <c r="H436" s="965"/>
      <c r="I436" s="965"/>
      <c r="J436" s="965"/>
      <c r="K436" s="965"/>
      <c r="L436" s="965"/>
      <c r="M436" s="965"/>
      <c r="N436" s="965"/>
      <c r="O436" s="965"/>
      <c r="P436" s="965"/>
      <c r="Q436" s="965"/>
      <c r="R436" s="965"/>
      <c r="S436" s="965"/>
      <c r="T436" s="965"/>
      <c r="U436" s="965"/>
      <c r="V436" s="965"/>
      <c r="W436" s="965"/>
      <c r="X436" s="965"/>
      <c r="Y436" s="965"/>
      <c r="Z436" s="965"/>
    </row>
    <row r="437">
      <c r="A437" s="965"/>
      <c r="B437" s="965"/>
      <c r="C437" s="965"/>
      <c r="D437" s="965"/>
      <c r="E437" s="965"/>
      <c r="F437" s="965"/>
      <c r="G437" s="965"/>
      <c r="H437" s="965"/>
      <c r="I437" s="965"/>
      <c r="J437" s="965"/>
      <c r="K437" s="965"/>
      <c r="L437" s="965"/>
      <c r="M437" s="965"/>
      <c r="N437" s="965"/>
      <c r="O437" s="965"/>
      <c r="P437" s="965"/>
      <c r="Q437" s="965"/>
      <c r="R437" s="965"/>
      <c r="S437" s="965"/>
      <c r="T437" s="965"/>
      <c r="U437" s="965"/>
      <c r="V437" s="965"/>
      <c r="W437" s="965"/>
      <c r="X437" s="965"/>
      <c r="Y437" s="965"/>
      <c r="Z437" s="965"/>
    </row>
    <row r="438">
      <c r="A438" s="965"/>
      <c r="B438" s="965"/>
      <c r="C438" s="965"/>
      <c r="D438" s="965"/>
      <c r="E438" s="965"/>
      <c r="F438" s="965"/>
      <c r="G438" s="965"/>
      <c r="H438" s="965"/>
      <c r="I438" s="965"/>
      <c r="J438" s="965"/>
      <c r="K438" s="965"/>
      <c r="L438" s="965"/>
      <c r="M438" s="965"/>
      <c r="N438" s="965"/>
      <c r="O438" s="965"/>
      <c r="P438" s="965"/>
      <c r="Q438" s="965"/>
      <c r="R438" s="965"/>
      <c r="S438" s="965"/>
      <c r="T438" s="965"/>
      <c r="U438" s="965"/>
      <c r="V438" s="965"/>
      <c r="W438" s="965"/>
      <c r="X438" s="965"/>
      <c r="Y438" s="965"/>
      <c r="Z438" s="965"/>
    </row>
    <row r="439">
      <c r="A439" s="965"/>
      <c r="B439" s="965"/>
      <c r="C439" s="965"/>
      <c r="D439" s="965"/>
      <c r="E439" s="965"/>
      <c r="F439" s="965"/>
      <c r="G439" s="965"/>
      <c r="H439" s="965"/>
      <c r="I439" s="965"/>
      <c r="J439" s="965"/>
      <c r="K439" s="965"/>
      <c r="L439" s="965"/>
      <c r="M439" s="965"/>
      <c r="N439" s="965"/>
      <c r="O439" s="965"/>
      <c r="P439" s="965"/>
      <c r="Q439" s="965"/>
      <c r="R439" s="965"/>
      <c r="S439" s="965"/>
      <c r="T439" s="965"/>
      <c r="U439" s="965"/>
      <c r="V439" s="965"/>
      <c r="W439" s="965"/>
      <c r="X439" s="965"/>
      <c r="Y439" s="965"/>
      <c r="Z439" s="965"/>
    </row>
    <row r="440">
      <c r="A440" s="965"/>
      <c r="B440" s="965"/>
      <c r="C440" s="965"/>
      <c r="D440" s="965"/>
      <c r="E440" s="965"/>
      <c r="F440" s="965"/>
      <c r="G440" s="965"/>
      <c r="H440" s="965"/>
      <c r="I440" s="965"/>
      <c r="J440" s="965"/>
      <c r="K440" s="965"/>
      <c r="L440" s="965"/>
      <c r="M440" s="965"/>
      <c r="N440" s="965"/>
      <c r="O440" s="965"/>
      <c r="P440" s="965"/>
      <c r="Q440" s="965"/>
      <c r="R440" s="965"/>
      <c r="S440" s="965"/>
      <c r="T440" s="965"/>
      <c r="U440" s="965"/>
      <c r="V440" s="965"/>
      <c r="W440" s="965"/>
      <c r="X440" s="965"/>
      <c r="Y440" s="965"/>
      <c r="Z440" s="965"/>
    </row>
    <row r="441">
      <c r="A441" s="965"/>
      <c r="B441" s="965"/>
      <c r="C441" s="965"/>
      <c r="D441" s="965"/>
      <c r="E441" s="965"/>
      <c r="F441" s="965"/>
      <c r="G441" s="965"/>
      <c r="H441" s="965"/>
      <c r="I441" s="965"/>
      <c r="J441" s="965"/>
      <c r="K441" s="965"/>
      <c r="L441" s="965"/>
      <c r="M441" s="965"/>
      <c r="N441" s="965"/>
      <c r="O441" s="965"/>
      <c r="P441" s="965"/>
      <c r="Q441" s="965"/>
      <c r="R441" s="965"/>
      <c r="S441" s="965"/>
      <c r="T441" s="965"/>
      <c r="U441" s="965"/>
      <c r="V441" s="965"/>
      <c r="W441" s="965"/>
      <c r="X441" s="965"/>
      <c r="Y441" s="965"/>
      <c r="Z441" s="965"/>
    </row>
    <row r="442">
      <c r="A442" s="965"/>
      <c r="B442" s="965"/>
      <c r="C442" s="965"/>
      <c r="D442" s="965"/>
      <c r="E442" s="965"/>
      <c r="F442" s="965"/>
      <c r="G442" s="965"/>
      <c r="H442" s="965"/>
      <c r="I442" s="965"/>
      <c r="J442" s="965"/>
      <c r="K442" s="965"/>
      <c r="L442" s="965"/>
      <c r="M442" s="965"/>
      <c r="N442" s="965"/>
      <c r="O442" s="965"/>
      <c r="P442" s="965"/>
      <c r="Q442" s="965"/>
      <c r="R442" s="965"/>
      <c r="S442" s="965"/>
      <c r="T442" s="965"/>
      <c r="U442" s="965"/>
      <c r="V442" s="965"/>
      <c r="W442" s="965"/>
      <c r="X442" s="965"/>
      <c r="Y442" s="965"/>
      <c r="Z442" s="965"/>
    </row>
    <row r="443">
      <c r="A443" s="965"/>
      <c r="B443" s="965"/>
      <c r="C443" s="965"/>
      <c r="D443" s="965"/>
      <c r="E443" s="965"/>
      <c r="F443" s="965"/>
      <c r="G443" s="965"/>
      <c r="H443" s="965"/>
      <c r="I443" s="965"/>
      <c r="J443" s="965"/>
      <c r="K443" s="965"/>
      <c r="L443" s="965"/>
      <c r="M443" s="965"/>
      <c r="N443" s="965"/>
      <c r="O443" s="965"/>
      <c r="P443" s="965"/>
      <c r="Q443" s="965"/>
      <c r="R443" s="965"/>
      <c r="S443" s="965"/>
      <c r="T443" s="965"/>
      <c r="U443" s="965"/>
      <c r="V443" s="965"/>
      <c r="W443" s="965"/>
      <c r="X443" s="965"/>
      <c r="Y443" s="965"/>
      <c r="Z443" s="965"/>
    </row>
    <row r="444">
      <c r="A444" s="965"/>
      <c r="B444" s="965"/>
      <c r="C444" s="965"/>
      <c r="D444" s="965"/>
      <c r="E444" s="965"/>
      <c r="F444" s="965"/>
      <c r="G444" s="965"/>
      <c r="H444" s="965"/>
      <c r="I444" s="965"/>
      <c r="J444" s="965"/>
      <c r="K444" s="965"/>
      <c r="L444" s="965"/>
      <c r="M444" s="965"/>
      <c r="N444" s="965"/>
      <c r="O444" s="965"/>
      <c r="P444" s="965"/>
      <c r="Q444" s="965"/>
      <c r="R444" s="965"/>
      <c r="S444" s="965"/>
      <c r="T444" s="965"/>
      <c r="U444" s="965"/>
      <c r="V444" s="965"/>
      <c r="W444" s="965"/>
      <c r="X444" s="965"/>
      <c r="Y444" s="965"/>
      <c r="Z444" s="965"/>
    </row>
    <row r="445">
      <c r="A445" s="965"/>
      <c r="B445" s="965"/>
      <c r="C445" s="965"/>
      <c r="D445" s="965"/>
      <c r="E445" s="965"/>
      <c r="F445" s="965"/>
      <c r="G445" s="965"/>
      <c r="H445" s="965"/>
      <c r="I445" s="965"/>
      <c r="J445" s="965"/>
      <c r="K445" s="965"/>
      <c r="L445" s="965"/>
      <c r="M445" s="965"/>
      <c r="N445" s="965"/>
      <c r="O445" s="965"/>
      <c r="P445" s="965"/>
      <c r="Q445" s="965"/>
      <c r="R445" s="965"/>
      <c r="S445" s="965"/>
      <c r="T445" s="965"/>
      <c r="U445" s="965"/>
      <c r="V445" s="965"/>
      <c r="W445" s="965"/>
      <c r="X445" s="965"/>
      <c r="Y445" s="965"/>
      <c r="Z445" s="965"/>
    </row>
    <row r="446">
      <c r="A446" s="965"/>
      <c r="B446" s="965"/>
      <c r="C446" s="965"/>
      <c r="D446" s="965"/>
      <c r="E446" s="965"/>
      <c r="F446" s="965"/>
      <c r="G446" s="965"/>
      <c r="H446" s="965"/>
      <c r="I446" s="965"/>
      <c r="J446" s="965"/>
      <c r="K446" s="965"/>
      <c r="L446" s="965"/>
      <c r="M446" s="965"/>
      <c r="N446" s="965"/>
      <c r="O446" s="965"/>
      <c r="P446" s="965"/>
      <c r="Q446" s="965"/>
      <c r="R446" s="965"/>
      <c r="S446" s="965"/>
      <c r="T446" s="965"/>
      <c r="U446" s="965"/>
      <c r="V446" s="965"/>
      <c r="W446" s="965"/>
      <c r="X446" s="965"/>
      <c r="Y446" s="965"/>
      <c r="Z446" s="965"/>
    </row>
    <row r="447">
      <c r="A447" s="965"/>
      <c r="B447" s="965"/>
      <c r="C447" s="965"/>
      <c r="D447" s="965"/>
      <c r="E447" s="965"/>
      <c r="F447" s="965"/>
      <c r="G447" s="965"/>
      <c r="H447" s="965"/>
      <c r="I447" s="965"/>
      <c r="J447" s="965"/>
      <c r="K447" s="965"/>
      <c r="L447" s="965"/>
      <c r="M447" s="965"/>
      <c r="N447" s="965"/>
      <c r="O447" s="965"/>
      <c r="P447" s="965"/>
      <c r="Q447" s="965"/>
      <c r="R447" s="965"/>
      <c r="S447" s="965"/>
      <c r="T447" s="965"/>
      <c r="U447" s="965"/>
      <c r="V447" s="965"/>
      <c r="W447" s="965"/>
      <c r="X447" s="965"/>
      <c r="Y447" s="965"/>
      <c r="Z447" s="965"/>
    </row>
    <row r="448">
      <c r="A448" s="965"/>
      <c r="B448" s="965"/>
      <c r="C448" s="965"/>
      <c r="D448" s="965"/>
      <c r="E448" s="965"/>
      <c r="F448" s="965"/>
      <c r="G448" s="965"/>
      <c r="H448" s="965"/>
      <c r="I448" s="965"/>
      <c r="J448" s="965"/>
      <c r="K448" s="965"/>
      <c r="L448" s="965"/>
      <c r="M448" s="965"/>
      <c r="N448" s="965"/>
      <c r="O448" s="965"/>
      <c r="P448" s="965"/>
      <c r="Q448" s="965"/>
      <c r="R448" s="965"/>
      <c r="S448" s="965"/>
      <c r="T448" s="965"/>
      <c r="U448" s="965"/>
      <c r="V448" s="965"/>
      <c r="W448" s="965"/>
      <c r="X448" s="965"/>
      <c r="Y448" s="965"/>
      <c r="Z448" s="965"/>
    </row>
    <row r="449">
      <c r="A449" s="965"/>
      <c r="B449" s="965"/>
      <c r="C449" s="965"/>
      <c r="D449" s="965"/>
      <c r="E449" s="965"/>
      <c r="F449" s="965"/>
      <c r="G449" s="965"/>
      <c r="H449" s="965"/>
      <c r="I449" s="965"/>
      <c r="J449" s="965"/>
      <c r="K449" s="965"/>
      <c r="L449" s="965"/>
      <c r="M449" s="965"/>
      <c r="N449" s="965"/>
      <c r="O449" s="965"/>
      <c r="P449" s="965"/>
      <c r="Q449" s="965"/>
      <c r="R449" s="965"/>
      <c r="S449" s="965"/>
      <c r="T449" s="965"/>
      <c r="U449" s="965"/>
      <c r="V449" s="965"/>
      <c r="W449" s="965"/>
      <c r="X449" s="965"/>
      <c r="Y449" s="965"/>
      <c r="Z449" s="965"/>
    </row>
    <row r="450">
      <c r="A450" s="965"/>
      <c r="B450" s="965"/>
      <c r="C450" s="965"/>
      <c r="D450" s="965"/>
      <c r="E450" s="965"/>
      <c r="F450" s="965"/>
      <c r="G450" s="965"/>
      <c r="H450" s="965"/>
      <c r="I450" s="965"/>
      <c r="J450" s="965"/>
      <c r="K450" s="965"/>
      <c r="L450" s="965"/>
      <c r="M450" s="965"/>
      <c r="N450" s="965"/>
      <c r="O450" s="965"/>
      <c r="P450" s="965"/>
      <c r="Q450" s="965"/>
      <c r="R450" s="965"/>
      <c r="S450" s="965"/>
      <c r="T450" s="965"/>
      <c r="U450" s="965"/>
      <c r="V450" s="965"/>
      <c r="W450" s="965"/>
      <c r="X450" s="965"/>
      <c r="Y450" s="965"/>
      <c r="Z450" s="965"/>
    </row>
    <row r="451">
      <c r="A451" s="965"/>
      <c r="B451" s="965"/>
      <c r="C451" s="965"/>
      <c r="D451" s="965"/>
      <c r="E451" s="965"/>
      <c r="F451" s="965"/>
      <c r="G451" s="965"/>
      <c r="H451" s="965"/>
      <c r="I451" s="965"/>
      <c r="J451" s="965"/>
      <c r="K451" s="965"/>
      <c r="L451" s="965"/>
      <c r="M451" s="965"/>
      <c r="N451" s="965"/>
      <c r="O451" s="965"/>
      <c r="P451" s="965"/>
      <c r="Q451" s="965"/>
      <c r="R451" s="965"/>
      <c r="S451" s="965"/>
      <c r="T451" s="965"/>
      <c r="U451" s="965"/>
      <c r="V451" s="965"/>
      <c r="W451" s="965"/>
      <c r="X451" s="965"/>
      <c r="Y451" s="965"/>
      <c r="Z451" s="965"/>
    </row>
    <row r="452">
      <c r="A452" s="965"/>
      <c r="B452" s="965"/>
      <c r="C452" s="965"/>
      <c r="D452" s="965"/>
      <c r="E452" s="965"/>
      <c r="F452" s="965"/>
      <c r="G452" s="965"/>
      <c r="H452" s="965"/>
      <c r="I452" s="965"/>
      <c r="J452" s="965"/>
      <c r="K452" s="965"/>
      <c r="L452" s="965"/>
      <c r="M452" s="965"/>
      <c r="N452" s="965"/>
      <c r="O452" s="965"/>
      <c r="P452" s="965"/>
      <c r="Q452" s="965"/>
      <c r="R452" s="965"/>
      <c r="S452" s="965"/>
      <c r="T452" s="965"/>
      <c r="U452" s="965"/>
      <c r="V452" s="965"/>
      <c r="W452" s="965"/>
      <c r="X452" s="965"/>
      <c r="Y452" s="965"/>
      <c r="Z452" s="965"/>
    </row>
    <row r="453">
      <c r="A453" s="965"/>
      <c r="B453" s="965"/>
      <c r="C453" s="965"/>
      <c r="D453" s="965"/>
      <c r="E453" s="965"/>
      <c r="F453" s="965"/>
      <c r="G453" s="965"/>
      <c r="H453" s="965"/>
      <c r="I453" s="965"/>
      <c r="J453" s="965"/>
      <c r="K453" s="965"/>
      <c r="L453" s="965"/>
      <c r="M453" s="965"/>
      <c r="N453" s="965"/>
      <c r="O453" s="965"/>
      <c r="P453" s="965"/>
      <c r="Q453" s="965"/>
      <c r="R453" s="965"/>
      <c r="S453" s="965"/>
      <c r="T453" s="965"/>
      <c r="U453" s="965"/>
      <c r="V453" s="965"/>
      <c r="W453" s="965"/>
      <c r="X453" s="965"/>
      <c r="Y453" s="965"/>
      <c r="Z453" s="965"/>
    </row>
    <row r="454">
      <c r="A454" s="965"/>
      <c r="B454" s="965"/>
      <c r="C454" s="965"/>
      <c r="D454" s="965"/>
      <c r="E454" s="965"/>
      <c r="F454" s="965"/>
      <c r="G454" s="965"/>
      <c r="H454" s="965"/>
      <c r="I454" s="965"/>
      <c r="J454" s="965"/>
      <c r="K454" s="965"/>
      <c r="L454" s="965"/>
      <c r="M454" s="965"/>
      <c r="N454" s="965"/>
      <c r="O454" s="965"/>
      <c r="P454" s="965"/>
      <c r="Q454" s="965"/>
      <c r="R454" s="965"/>
      <c r="S454" s="965"/>
      <c r="T454" s="965"/>
      <c r="U454" s="965"/>
      <c r="V454" s="965"/>
      <c r="W454" s="965"/>
      <c r="X454" s="965"/>
      <c r="Y454" s="965"/>
      <c r="Z454" s="965"/>
    </row>
    <row r="455">
      <c r="A455" s="965"/>
      <c r="B455" s="965"/>
      <c r="C455" s="965"/>
      <c r="D455" s="965"/>
      <c r="E455" s="965"/>
      <c r="F455" s="965"/>
      <c r="G455" s="965"/>
      <c r="H455" s="965"/>
      <c r="I455" s="965"/>
      <c r="J455" s="965"/>
      <c r="K455" s="965"/>
      <c r="L455" s="965"/>
      <c r="M455" s="965"/>
      <c r="N455" s="965"/>
      <c r="O455" s="965"/>
      <c r="P455" s="965"/>
      <c r="Q455" s="965"/>
      <c r="R455" s="965"/>
      <c r="S455" s="965"/>
      <c r="T455" s="965"/>
      <c r="U455" s="965"/>
      <c r="V455" s="965"/>
      <c r="W455" s="965"/>
      <c r="X455" s="965"/>
      <c r="Y455" s="965"/>
      <c r="Z455" s="965"/>
    </row>
    <row r="456">
      <c r="A456" s="965"/>
      <c r="B456" s="965"/>
      <c r="C456" s="965"/>
      <c r="D456" s="965"/>
      <c r="E456" s="965"/>
      <c r="F456" s="965"/>
      <c r="G456" s="965"/>
      <c r="H456" s="965"/>
      <c r="I456" s="965"/>
      <c r="J456" s="965"/>
      <c r="K456" s="965"/>
      <c r="L456" s="965"/>
      <c r="M456" s="965"/>
      <c r="N456" s="965"/>
      <c r="O456" s="965"/>
      <c r="P456" s="965"/>
      <c r="Q456" s="965"/>
      <c r="R456" s="965"/>
      <c r="S456" s="965"/>
      <c r="T456" s="965"/>
      <c r="U456" s="965"/>
      <c r="V456" s="965"/>
      <c r="W456" s="965"/>
      <c r="X456" s="965"/>
      <c r="Y456" s="965"/>
      <c r="Z456" s="965"/>
    </row>
    <row r="457">
      <c r="A457" s="965"/>
      <c r="B457" s="965"/>
      <c r="C457" s="965"/>
      <c r="D457" s="965"/>
      <c r="E457" s="965"/>
      <c r="F457" s="965"/>
      <c r="G457" s="965"/>
      <c r="H457" s="965"/>
      <c r="I457" s="965"/>
      <c r="J457" s="965"/>
      <c r="K457" s="965"/>
      <c r="L457" s="965"/>
      <c r="M457" s="965"/>
      <c r="N457" s="965"/>
      <c r="O457" s="965"/>
      <c r="P457" s="965"/>
      <c r="Q457" s="965"/>
      <c r="R457" s="965"/>
      <c r="S457" s="965"/>
      <c r="T457" s="965"/>
      <c r="U457" s="965"/>
      <c r="V457" s="965"/>
      <c r="W457" s="965"/>
      <c r="X457" s="965"/>
      <c r="Y457" s="965"/>
      <c r="Z457" s="965"/>
    </row>
    <row r="458">
      <c r="A458" s="965"/>
      <c r="B458" s="965"/>
      <c r="C458" s="965"/>
      <c r="D458" s="965"/>
      <c r="E458" s="965"/>
      <c r="F458" s="965"/>
      <c r="G458" s="965"/>
      <c r="H458" s="965"/>
      <c r="I458" s="965"/>
      <c r="J458" s="965"/>
      <c r="K458" s="965"/>
      <c r="L458" s="965"/>
      <c r="M458" s="965"/>
      <c r="N458" s="965"/>
      <c r="O458" s="965"/>
      <c r="P458" s="965"/>
      <c r="Q458" s="965"/>
      <c r="R458" s="965"/>
      <c r="S458" s="965"/>
      <c r="T458" s="965"/>
      <c r="U458" s="965"/>
      <c r="V458" s="965"/>
      <c r="W458" s="965"/>
      <c r="X458" s="965"/>
      <c r="Y458" s="965"/>
      <c r="Z458" s="965"/>
    </row>
    <row r="459">
      <c r="A459" s="965"/>
      <c r="B459" s="965"/>
      <c r="C459" s="965"/>
      <c r="D459" s="965"/>
      <c r="E459" s="965"/>
      <c r="F459" s="965"/>
      <c r="G459" s="965"/>
      <c r="H459" s="965"/>
      <c r="I459" s="965"/>
      <c r="J459" s="965"/>
      <c r="K459" s="965"/>
      <c r="L459" s="965"/>
      <c r="M459" s="965"/>
      <c r="N459" s="965"/>
      <c r="O459" s="965"/>
      <c r="P459" s="965"/>
      <c r="Q459" s="965"/>
      <c r="R459" s="965"/>
      <c r="S459" s="965"/>
      <c r="T459" s="965"/>
      <c r="U459" s="965"/>
      <c r="V459" s="965"/>
      <c r="W459" s="965"/>
      <c r="X459" s="965"/>
      <c r="Y459" s="965"/>
      <c r="Z459" s="965"/>
    </row>
    <row r="460">
      <c r="A460" s="965"/>
      <c r="B460" s="965"/>
      <c r="C460" s="965"/>
      <c r="D460" s="965"/>
      <c r="E460" s="965"/>
      <c r="F460" s="965"/>
      <c r="G460" s="965"/>
      <c r="H460" s="965"/>
      <c r="I460" s="965"/>
      <c r="J460" s="965"/>
      <c r="K460" s="965"/>
      <c r="L460" s="965"/>
      <c r="M460" s="965"/>
      <c r="N460" s="965"/>
      <c r="O460" s="965"/>
      <c r="P460" s="965"/>
      <c r="Q460" s="965"/>
      <c r="R460" s="965"/>
      <c r="S460" s="965"/>
      <c r="T460" s="965"/>
      <c r="U460" s="965"/>
      <c r="V460" s="965"/>
      <c r="W460" s="965"/>
      <c r="X460" s="965"/>
      <c r="Y460" s="965"/>
      <c r="Z460" s="965"/>
    </row>
    <row r="461">
      <c r="A461" s="965"/>
      <c r="B461" s="965"/>
      <c r="C461" s="965"/>
      <c r="D461" s="965"/>
      <c r="E461" s="965"/>
      <c r="F461" s="965"/>
      <c r="G461" s="965"/>
      <c r="H461" s="965"/>
      <c r="I461" s="965"/>
      <c r="J461" s="965"/>
      <c r="K461" s="965"/>
      <c r="L461" s="965"/>
      <c r="M461" s="965"/>
      <c r="N461" s="965"/>
      <c r="O461" s="965"/>
      <c r="P461" s="965"/>
      <c r="Q461" s="965"/>
      <c r="R461" s="965"/>
      <c r="S461" s="965"/>
      <c r="T461" s="965"/>
      <c r="U461" s="965"/>
      <c r="V461" s="965"/>
      <c r="W461" s="965"/>
      <c r="X461" s="965"/>
      <c r="Y461" s="965"/>
      <c r="Z461" s="965"/>
    </row>
    <row r="462">
      <c r="A462" s="965"/>
      <c r="B462" s="965"/>
      <c r="C462" s="965"/>
      <c r="D462" s="965"/>
      <c r="E462" s="965"/>
      <c r="F462" s="965"/>
      <c r="G462" s="965"/>
      <c r="H462" s="965"/>
      <c r="I462" s="965"/>
      <c r="J462" s="965"/>
      <c r="K462" s="965"/>
      <c r="L462" s="965"/>
      <c r="M462" s="965"/>
      <c r="N462" s="965"/>
      <c r="O462" s="965"/>
      <c r="P462" s="965"/>
      <c r="Q462" s="965"/>
      <c r="R462" s="965"/>
      <c r="S462" s="965"/>
      <c r="T462" s="965"/>
      <c r="U462" s="965"/>
      <c r="V462" s="965"/>
      <c r="W462" s="965"/>
      <c r="X462" s="965"/>
      <c r="Y462" s="965"/>
      <c r="Z462" s="965"/>
    </row>
    <row r="463">
      <c r="A463" s="965"/>
      <c r="B463" s="965"/>
      <c r="C463" s="965"/>
      <c r="D463" s="965"/>
      <c r="E463" s="965"/>
      <c r="F463" s="965"/>
      <c r="G463" s="965"/>
      <c r="H463" s="965"/>
      <c r="I463" s="965"/>
      <c r="J463" s="965"/>
      <c r="K463" s="965"/>
      <c r="L463" s="965"/>
      <c r="M463" s="965"/>
      <c r="N463" s="965"/>
      <c r="O463" s="965"/>
      <c r="P463" s="965"/>
      <c r="Q463" s="965"/>
      <c r="R463" s="965"/>
      <c r="S463" s="965"/>
      <c r="T463" s="965"/>
      <c r="U463" s="965"/>
      <c r="V463" s="965"/>
      <c r="W463" s="965"/>
      <c r="X463" s="965"/>
      <c r="Y463" s="965"/>
      <c r="Z463" s="965"/>
    </row>
    <row r="464">
      <c r="A464" s="965"/>
      <c r="B464" s="965"/>
      <c r="C464" s="965"/>
      <c r="D464" s="965"/>
      <c r="E464" s="965"/>
      <c r="F464" s="965"/>
      <c r="G464" s="965"/>
      <c r="H464" s="965"/>
      <c r="I464" s="965"/>
      <c r="J464" s="965"/>
      <c r="K464" s="965"/>
      <c r="L464" s="965"/>
      <c r="M464" s="965"/>
      <c r="N464" s="965"/>
      <c r="O464" s="965"/>
      <c r="P464" s="965"/>
      <c r="Q464" s="965"/>
      <c r="R464" s="965"/>
      <c r="S464" s="965"/>
      <c r="T464" s="965"/>
      <c r="U464" s="965"/>
      <c r="V464" s="965"/>
      <c r="W464" s="965"/>
      <c r="X464" s="965"/>
      <c r="Y464" s="965"/>
      <c r="Z464" s="965"/>
    </row>
    <row r="465">
      <c r="A465" s="965"/>
      <c r="B465" s="965"/>
      <c r="C465" s="965"/>
      <c r="D465" s="965"/>
      <c r="E465" s="965"/>
      <c r="F465" s="965"/>
      <c r="G465" s="965"/>
      <c r="H465" s="965"/>
      <c r="I465" s="965"/>
      <c r="J465" s="965"/>
      <c r="K465" s="965"/>
      <c r="L465" s="965"/>
      <c r="M465" s="965"/>
      <c r="N465" s="965"/>
      <c r="O465" s="965"/>
      <c r="P465" s="965"/>
      <c r="Q465" s="965"/>
      <c r="R465" s="965"/>
      <c r="S465" s="965"/>
      <c r="T465" s="965"/>
      <c r="U465" s="965"/>
      <c r="V465" s="965"/>
      <c r="W465" s="965"/>
      <c r="X465" s="965"/>
      <c r="Y465" s="965"/>
      <c r="Z465" s="965"/>
    </row>
    <row r="466">
      <c r="A466" s="965"/>
      <c r="B466" s="965"/>
      <c r="C466" s="965"/>
      <c r="D466" s="965"/>
      <c r="E466" s="965"/>
      <c r="F466" s="965"/>
      <c r="G466" s="965"/>
      <c r="H466" s="965"/>
      <c r="I466" s="965"/>
      <c r="J466" s="965"/>
      <c r="K466" s="965"/>
      <c r="L466" s="965"/>
      <c r="M466" s="965"/>
      <c r="N466" s="965"/>
      <c r="O466" s="965"/>
      <c r="P466" s="965"/>
      <c r="Q466" s="965"/>
      <c r="R466" s="965"/>
      <c r="S466" s="965"/>
      <c r="T466" s="965"/>
      <c r="U466" s="965"/>
      <c r="V466" s="965"/>
      <c r="W466" s="965"/>
      <c r="X466" s="965"/>
      <c r="Y466" s="965"/>
      <c r="Z466" s="965"/>
    </row>
    <row r="467">
      <c r="A467" s="965"/>
      <c r="B467" s="965"/>
      <c r="C467" s="965"/>
      <c r="D467" s="965"/>
      <c r="E467" s="965"/>
      <c r="F467" s="965"/>
      <c r="G467" s="965"/>
      <c r="H467" s="965"/>
      <c r="I467" s="965"/>
      <c r="J467" s="965"/>
      <c r="K467" s="965"/>
      <c r="L467" s="965"/>
      <c r="M467" s="965"/>
      <c r="N467" s="965"/>
      <c r="O467" s="965"/>
      <c r="P467" s="965"/>
      <c r="Q467" s="965"/>
      <c r="R467" s="965"/>
      <c r="S467" s="965"/>
      <c r="T467" s="965"/>
      <c r="U467" s="965"/>
      <c r="V467" s="965"/>
      <c r="W467" s="965"/>
      <c r="X467" s="965"/>
      <c r="Y467" s="965"/>
      <c r="Z467" s="965"/>
    </row>
    <row r="468">
      <c r="A468" s="965"/>
      <c r="B468" s="965"/>
      <c r="C468" s="965"/>
      <c r="D468" s="965"/>
      <c r="E468" s="965"/>
      <c r="F468" s="965"/>
      <c r="G468" s="965"/>
      <c r="H468" s="965"/>
      <c r="I468" s="965"/>
      <c r="J468" s="965"/>
      <c r="K468" s="965"/>
      <c r="L468" s="965"/>
      <c r="M468" s="965"/>
      <c r="N468" s="965"/>
      <c r="O468" s="965"/>
      <c r="P468" s="965"/>
      <c r="Q468" s="965"/>
      <c r="R468" s="965"/>
      <c r="S468" s="965"/>
      <c r="T468" s="965"/>
      <c r="U468" s="965"/>
      <c r="V468" s="965"/>
      <c r="W468" s="965"/>
      <c r="X468" s="965"/>
      <c r="Y468" s="965"/>
      <c r="Z468" s="965"/>
    </row>
    <row r="469">
      <c r="A469" s="965"/>
      <c r="B469" s="965"/>
      <c r="C469" s="965"/>
      <c r="D469" s="965"/>
      <c r="E469" s="965"/>
      <c r="F469" s="965"/>
      <c r="G469" s="965"/>
      <c r="H469" s="965"/>
      <c r="I469" s="965"/>
      <c r="J469" s="965"/>
      <c r="K469" s="965"/>
      <c r="L469" s="965"/>
      <c r="M469" s="965"/>
      <c r="N469" s="965"/>
      <c r="O469" s="965"/>
      <c r="P469" s="965"/>
      <c r="Q469" s="965"/>
      <c r="R469" s="965"/>
      <c r="S469" s="965"/>
      <c r="T469" s="965"/>
      <c r="U469" s="965"/>
      <c r="V469" s="965"/>
      <c r="W469" s="965"/>
      <c r="X469" s="965"/>
      <c r="Y469" s="965"/>
      <c r="Z469" s="965"/>
    </row>
    <row r="470">
      <c r="A470" s="965"/>
      <c r="B470" s="965"/>
      <c r="C470" s="965"/>
      <c r="D470" s="965"/>
      <c r="E470" s="965"/>
      <c r="F470" s="965"/>
      <c r="G470" s="965"/>
      <c r="H470" s="965"/>
      <c r="I470" s="965"/>
      <c r="J470" s="965"/>
      <c r="K470" s="965"/>
      <c r="L470" s="965"/>
      <c r="M470" s="965"/>
      <c r="N470" s="965"/>
      <c r="O470" s="965"/>
      <c r="P470" s="965"/>
      <c r="Q470" s="965"/>
      <c r="R470" s="965"/>
      <c r="S470" s="965"/>
      <c r="T470" s="965"/>
      <c r="U470" s="965"/>
      <c r="V470" s="965"/>
      <c r="W470" s="965"/>
      <c r="X470" s="965"/>
      <c r="Y470" s="965"/>
      <c r="Z470" s="965"/>
    </row>
    <row r="471">
      <c r="A471" s="965"/>
      <c r="B471" s="965"/>
      <c r="C471" s="965"/>
      <c r="D471" s="965"/>
      <c r="E471" s="965"/>
      <c r="F471" s="965"/>
      <c r="G471" s="965"/>
      <c r="H471" s="965"/>
      <c r="I471" s="965"/>
      <c r="J471" s="965"/>
      <c r="K471" s="965"/>
      <c r="L471" s="965"/>
      <c r="M471" s="965"/>
      <c r="N471" s="965"/>
      <c r="O471" s="965"/>
      <c r="P471" s="965"/>
      <c r="Q471" s="965"/>
      <c r="R471" s="965"/>
      <c r="S471" s="965"/>
      <c r="T471" s="965"/>
      <c r="U471" s="965"/>
      <c r="V471" s="965"/>
      <c r="W471" s="965"/>
      <c r="X471" s="965"/>
      <c r="Y471" s="965"/>
      <c r="Z471" s="965"/>
    </row>
    <row r="472">
      <c r="A472" s="965"/>
      <c r="B472" s="965"/>
      <c r="C472" s="965"/>
      <c r="D472" s="965"/>
      <c r="E472" s="965"/>
      <c r="F472" s="965"/>
      <c r="G472" s="965"/>
      <c r="H472" s="965"/>
      <c r="I472" s="965"/>
      <c r="J472" s="965"/>
      <c r="K472" s="965"/>
      <c r="L472" s="965"/>
      <c r="M472" s="965"/>
      <c r="N472" s="965"/>
      <c r="O472" s="965"/>
      <c r="P472" s="965"/>
      <c r="Q472" s="965"/>
      <c r="R472" s="965"/>
      <c r="S472" s="965"/>
      <c r="T472" s="965"/>
      <c r="U472" s="965"/>
      <c r="V472" s="965"/>
      <c r="W472" s="965"/>
      <c r="X472" s="965"/>
      <c r="Y472" s="965"/>
      <c r="Z472" s="965"/>
    </row>
    <row r="473">
      <c r="A473" s="965"/>
      <c r="B473" s="965"/>
      <c r="C473" s="965"/>
      <c r="D473" s="965"/>
      <c r="E473" s="965"/>
      <c r="F473" s="965"/>
      <c r="G473" s="965"/>
      <c r="H473" s="965"/>
      <c r="I473" s="965"/>
      <c r="J473" s="965"/>
      <c r="K473" s="965"/>
      <c r="L473" s="965"/>
      <c r="M473" s="965"/>
      <c r="N473" s="965"/>
      <c r="O473" s="965"/>
      <c r="P473" s="965"/>
      <c r="Q473" s="965"/>
      <c r="R473" s="965"/>
      <c r="S473" s="965"/>
      <c r="T473" s="965"/>
      <c r="U473" s="965"/>
      <c r="V473" s="965"/>
      <c r="W473" s="965"/>
      <c r="X473" s="965"/>
      <c r="Y473" s="965"/>
      <c r="Z473" s="965"/>
    </row>
    <row r="474">
      <c r="A474" s="965"/>
      <c r="B474" s="965"/>
      <c r="C474" s="965"/>
      <c r="D474" s="965"/>
      <c r="E474" s="965"/>
      <c r="F474" s="965"/>
      <c r="G474" s="965"/>
      <c r="H474" s="965"/>
      <c r="I474" s="965"/>
      <c r="J474" s="965"/>
      <c r="K474" s="965"/>
      <c r="L474" s="965"/>
      <c r="M474" s="965"/>
      <c r="N474" s="965"/>
      <c r="O474" s="965"/>
      <c r="P474" s="965"/>
      <c r="Q474" s="965"/>
      <c r="R474" s="965"/>
      <c r="S474" s="965"/>
      <c r="T474" s="965"/>
      <c r="U474" s="965"/>
      <c r="V474" s="965"/>
      <c r="W474" s="965"/>
      <c r="X474" s="965"/>
      <c r="Y474" s="965"/>
      <c r="Z474" s="965"/>
    </row>
    <row r="475">
      <c r="A475" s="965"/>
      <c r="B475" s="965"/>
      <c r="C475" s="965"/>
      <c r="D475" s="965"/>
      <c r="E475" s="965"/>
      <c r="F475" s="965"/>
      <c r="G475" s="965"/>
      <c r="H475" s="965"/>
      <c r="I475" s="965"/>
      <c r="J475" s="965"/>
      <c r="K475" s="965"/>
      <c r="L475" s="965"/>
      <c r="M475" s="965"/>
      <c r="N475" s="965"/>
      <c r="O475" s="965"/>
      <c r="P475" s="965"/>
      <c r="Q475" s="965"/>
      <c r="R475" s="965"/>
      <c r="S475" s="965"/>
      <c r="T475" s="965"/>
      <c r="U475" s="965"/>
      <c r="V475" s="965"/>
      <c r="W475" s="965"/>
      <c r="X475" s="965"/>
      <c r="Y475" s="965"/>
      <c r="Z475" s="965"/>
    </row>
    <row r="476">
      <c r="A476" s="965"/>
      <c r="B476" s="965"/>
      <c r="C476" s="965"/>
      <c r="D476" s="965"/>
      <c r="E476" s="965"/>
      <c r="F476" s="965"/>
      <c r="G476" s="965"/>
      <c r="H476" s="965"/>
      <c r="I476" s="965"/>
      <c r="J476" s="965"/>
      <c r="K476" s="965"/>
      <c r="L476" s="965"/>
      <c r="M476" s="965"/>
      <c r="N476" s="965"/>
      <c r="O476" s="965"/>
      <c r="P476" s="965"/>
      <c r="Q476" s="965"/>
      <c r="R476" s="965"/>
      <c r="S476" s="965"/>
      <c r="T476" s="965"/>
      <c r="U476" s="965"/>
      <c r="V476" s="965"/>
      <c r="W476" s="965"/>
      <c r="X476" s="965"/>
      <c r="Y476" s="965"/>
      <c r="Z476" s="965"/>
    </row>
    <row r="477">
      <c r="A477" s="965"/>
      <c r="B477" s="965"/>
      <c r="C477" s="965"/>
      <c r="D477" s="965"/>
      <c r="E477" s="965"/>
      <c r="F477" s="965"/>
      <c r="G477" s="965"/>
      <c r="H477" s="965"/>
      <c r="I477" s="965"/>
      <c r="J477" s="965"/>
      <c r="K477" s="965"/>
      <c r="L477" s="965"/>
      <c r="M477" s="965"/>
      <c r="N477" s="965"/>
      <c r="O477" s="965"/>
      <c r="P477" s="965"/>
      <c r="Q477" s="965"/>
      <c r="R477" s="965"/>
      <c r="S477" s="965"/>
      <c r="T477" s="965"/>
      <c r="U477" s="965"/>
      <c r="V477" s="965"/>
      <c r="W477" s="965"/>
      <c r="X477" s="965"/>
      <c r="Y477" s="965"/>
      <c r="Z477" s="965"/>
    </row>
    <row r="478">
      <c r="A478" s="965"/>
      <c r="B478" s="965"/>
      <c r="C478" s="965"/>
      <c r="D478" s="965"/>
      <c r="E478" s="965"/>
      <c r="F478" s="965"/>
      <c r="G478" s="965"/>
      <c r="H478" s="965"/>
      <c r="I478" s="965"/>
      <c r="J478" s="965"/>
      <c r="K478" s="965"/>
      <c r="L478" s="965"/>
      <c r="M478" s="965"/>
      <c r="N478" s="965"/>
      <c r="O478" s="965"/>
      <c r="P478" s="965"/>
      <c r="Q478" s="965"/>
      <c r="R478" s="965"/>
      <c r="S478" s="965"/>
      <c r="T478" s="965"/>
      <c r="U478" s="965"/>
      <c r="V478" s="965"/>
      <c r="W478" s="965"/>
      <c r="X478" s="965"/>
      <c r="Y478" s="965"/>
      <c r="Z478" s="965"/>
    </row>
    <row r="479">
      <c r="A479" s="965"/>
      <c r="B479" s="965"/>
      <c r="C479" s="965"/>
      <c r="D479" s="965"/>
      <c r="E479" s="965"/>
      <c r="F479" s="965"/>
      <c r="G479" s="965"/>
      <c r="H479" s="965"/>
      <c r="I479" s="965"/>
      <c r="J479" s="965"/>
      <c r="K479" s="965"/>
      <c r="L479" s="965"/>
      <c r="M479" s="965"/>
      <c r="N479" s="965"/>
      <c r="O479" s="965"/>
      <c r="P479" s="965"/>
      <c r="Q479" s="965"/>
      <c r="R479" s="965"/>
      <c r="S479" s="965"/>
      <c r="T479" s="965"/>
      <c r="U479" s="965"/>
      <c r="V479" s="965"/>
      <c r="W479" s="965"/>
      <c r="X479" s="965"/>
      <c r="Y479" s="965"/>
      <c r="Z479" s="965"/>
    </row>
    <row r="480">
      <c r="A480" s="965"/>
      <c r="B480" s="965"/>
      <c r="C480" s="965"/>
      <c r="D480" s="965"/>
      <c r="E480" s="965"/>
      <c r="F480" s="965"/>
      <c r="G480" s="965"/>
      <c r="H480" s="965"/>
      <c r="I480" s="965"/>
      <c r="J480" s="965"/>
      <c r="K480" s="965"/>
      <c r="L480" s="965"/>
      <c r="M480" s="965"/>
      <c r="N480" s="965"/>
      <c r="O480" s="965"/>
      <c r="P480" s="965"/>
      <c r="Q480" s="965"/>
      <c r="R480" s="965"/>
      <c r="S480" s="965"/>
      <c r="T480" s="965"/>
      <c r="U480" s="965"/>
      <c r="V480" s="965"/>
      <c r="W480" s="965"/>
      <c r="X480" s="965"/>
      <c r="Y480" s="965"/>
      <c r="Z480" s="965"/>
    </row>
    <row r="481">
      <c r="A481" s="965"/>
      <c r="B481" s="965"/>
      <c r="C481" s="965"/>
      <c r="D481" s="965"/>
      <c r="E481" s="965"/>
      <c r="F481" s="965"/>
      <c r="G481" s="965"/>
      <c r="H481" s="965"/>
      <c r="I481" s="965"/>
      <c r="J481" s="965"/>
      <c r="K481" s="965"/>
      <c r="L481" s="965"/>
      <c r="M481" s="965"/>
      <c r="N481" s="965"/>
      <c r="O481" s="965"/>
      <c r="P481" s="965"/>
      <c r="Q481" s="965"/>
      <c r="R481" s="965"/>
      <c r="S481" s="965"/>
      <c r="T481" s="965"/>
      <c r="U481" s="965"/>
      <c r="V481" s="965"/>
      <c r="W481" s="965"/>
      <c r="X481" s="965"/>
      <c r="Y481" s="965"/>
      <c r="Z481" s="965"/>
    </row>
    <row r="482">
      <c r="A482" s="965"/>
      <c r="B482" s="965"/>
      <c r="C482" s="965"/>
      <c r="D482" s="965"/>
      <c r="E482" s="965"/>
      <c r="F482" s="965"/>
      <c r="G482" s="965"/>
      <c r="H482" s="965"/>
      <c r="I482" s="965"/>
      <c r="J482" s="965"/>
      <c r="K482" s="965"/>
      <c r="L482" s="965"/>
      <c r="M482" s="965"/>
      <c r="N482" s="965"/>
      <c r="O482" s="965"/>
      <c r="P482" s="965"/>
      <c r="Q482" s="965"/>
      <c r="R482" s="965"/>
      <c r="S482" s="965"/>
      <c r="T482" s="965"/>
      <c r="U482" s="965"/>
      <c r="V482" s="965"/>
      <c r="W482" s="965"/>
      <c r="X482" s="965"/>
      <c r="Y482" s="965"/>
      <c r="Z482" s="965"/>
    </row>
    <row r="483">
      <c r="A483" s="965"/>
      <c r="B483" s="965"/>
      <c r="C483" s="965"/>
      <c r="D483" s="965"/>
      <c r="E483" s="965"/>
      <c r="F483" s="965"/>
      <c r="G483" s="965"/>
      <c r="H483" s="965"/>
      <c r="I483" s="965"/>
      <c r="J483" s="965"/>
      <c r="K483" s="965"/>
      <c r="L483" s="965"/>
      <c r="M483" s="965"/>
      <c r="N483" s="965"/>
      <c r="O483" s="965"/>
      <c r="P483" s="965"/>
      <c r="Q483" s="965"/>
      <c r="R483" s="965"/>
      <c r="S483" s="965"/>
      <c r="T483" s="965"/>
      <c r="U483" s="965"/>
      <c r="V483" s="965"/>
      <c r="W483" s="965"/>
      <c r="X483" s="965"/>
      <c r="Y483" s="965"/>
      <c r="Z483" s="965"/>
    </row>
    <row r="484">
      <c r="A484" s="965"/>
      <c r="B484" s="965"/>
      <c r="C484" s="965"/>
      <c r="D484" s="965"/>
      <c r="E484" s="965"/>
      <c r="F484" s="965"/>
      <c r="G484" s="965"/>
      <c r="H484" s="965"/>
      <c r="I484" s="965"/>
      <c r="J484" s="965"/>
      <c r="K484" s="965"/>
      <c r="L484" s="965"/>
      <c r="M484" s="965"/>
      <c r="N484" s="965"/>
      <c r="O484" s="965"/>
      <c r="P484" s="965"/>
      <c r="Q484" s="965"/>
      <c r="R484" s="965"/>
      <c r="S484" s="965"/>
      <c r="T484" s="965"/>
      <c r="U484" s="965"/>
      <c r="V484" s="965"/>
      <c r="W484" s="965"/>
      <c r="X484" s="965"/>
      <c r="Y484" s="965"/>
      <c r="Z484" s="965"/>
    </row>
    <row r="485">
      <c r="A485" s="965"/>
      <c r="B485" s="965"/>
      <c r="C485" s="965"/>
      <c r="D485" s="965"/>
      <c r="E485" s="965"/>
      <c r="F485" s="965"/>
      <c r="G485" s="965"/>
      <c r="H485" s="965"/>
      <c r="I485" s="965"/>
      <c r="J485" s="965"/>
      <c r="K485" s="965"/>
      <c r="L485" s="965"/>
      <c r="M485" s="965"/>
      <c r="N485" s="965"/>
      <c r="O485" s="965"/>
      <c r="P485" s="965"/>
      <c r="Q485" s="965"/>
      <c r="R485" s="965"/>
      <c r="S485" s="965"/>
      <c r="T485" s="965"/>
      <c r="U485" s="965"/>
      <c r="V485" s="965"/>
      <c r="W485" s="965"/>
      <c r="X485" s="965"/>
      <c r="Y485" s="965"/>
      <c r="Z485" s="965"/>
    </row>
    <row r="486">
      <c r="A486" s="965"/>
      <c r="B486" s="965"/>
      <c r="C486" s="965"/>
      <c r="D486" s="965"/>
      <c r="E486" s="965"/>
      <c r="F486" s="965"/>
      <c r="G486" s="965"/>
      <c r="H486" s="965"/>
      <c r="I486" s="965"/>
      <c r="J486" s="965"/>
      <c r="K486" s="965"/>
      <c r="L486" s="965"/>
      <c r="M486" s="965"/>
      <c r="N486" s="965"/>
      <c r="O486" s="965"/>
      <c r="P486" s="965"/>
      <c r="Q486" s="965"/>
      <c r="R486" s="965"/>
      <c r="S486" s="965"/>
      <c r="T486" s="965"/>
      <c r="U486" s="965"/>
      <c r="V486" s="965"/>
      <c r="W486" s="965"/>
      <c r="X486" s="965"/>
      <c r="Y486" s="965"/>
      <c r="Z486" s="965"/>
    </row>
    <row r="487">
      <c r="A487" s="965"/>
      <c r="B487" s="965"/>
      <c r="C487" s="965"/>
      <c r="D487" s="965"/>
      <c r="E487" s="965"/>
      <c r="F487" s="965"/>
      <c r="G487" s="965"/>
      <c r="H487" s="965"/>
      <c r="I487" s="965"/>
      <c r="J487" s="965"/>
      <c r="K487" s="965"/>
      <c r="L487" s="965"/>
      <c r="M487" s="965"/>
      <c r="N487" s="965"/>
      <c r="O487" s="965"/>
      <c r="P487" s="965"/>
      <c r="Q487" s="965"/>
      <c r="R487" s="965"/>
      <c r="S487" s="965"/>
      <c r="T487" s="965"/>
      <c r="U487" s="965"/>
      <c r="V487" s="965"/>
      <c r="W487" s="965"/>
      <c r="X487" s="965"/>
      <c r="Y487" s="965"/>
      <c r="Z487" s="965"/>
    </row>
    <row r="488">
      <c r="A488" s="965"/>
      <c r="B488" s="965"/>
      <c r="C488" s="965"/>
      <c r="D488" s="965"/>
      <c r="E488" s="965"/>
      <c r="F488" s="965"/>
      <c r="G488" s="965"/>
      <c r="H488" s="965"/>
      <c r="I488" s="965"/>
      <c r="J488" s="965"/>
      <c r="K488" s="965"/>
      <c r="L488" s="965"/>
      <c r="M488" s="965"/>
      <c r="N488" s="965"/>
      <c r="O488" s="965"/>
      <c r="P488" s="965"/>
      <c r="Q488" s="965"/>
      <c r="R488" s="965"/>
      <c r="S488" s="965"/>
      <c r="T488" s="965"/>
      <c r="U488" s="965"/>
      <c r="V488" s="965"/>
      <c r="W488" s="965"/>
      <c r="X488" s="965"/>
      <c r="Y488" s="965"/>
      <c r="Z488" s="965"/>
    </row>
    <row r="489">
      <c r="A489" s="965"/>
      <c r="B489" s="965"/>
      <c r="C489" s="965"/>
      <c r="D489" s="965"/>
      <c r="E489" s="965"/>
      <c r="F489" s="965"/>
      <c r="G489" s="965"/>
      <c r="H489" s="965"/>
      <c r="I489" s="965"/>
      <c r="J489" s="965"/>
      <c r="K489" s="965"/>
      <c r="L489" s="965"/>
      <c r="M489" s="965"/>
      <c r="N489" s="965"/>
      <c r="O489" s="965"/>
      <c r="P489" s="965"/>
      <c r="Q489" s="965"/>
      <c r="R489" s="965"/>
      <c r="S489" s="965"/>
      <c r="T489" s="965"/>
      <c r="U489" s="965"/>
      <c r="V489" s="965"/>
      <c r="W489" s="965"/>
      <c r="X489" s="965"/>
      <c r="Y489" s="965"/>
      <c r="Z489" s="965"/>
    </row>
    <row r="490">
      <c r="A490" s="965"/>
      <c r="B490" s="965"/>
      <c r="C490" s="965"/>
      <c r="D490" s="965"/>
      <c r="E490" s="965"/>
      <c r="F490" s="965"/>
      <c r="G490" s="965"/>
      <c r="H490" s="965"/>
      <c r="I490" s="965"/>
      <c r="J490" s="965"/>
      <c r="K490" s="965"/>
      <c r="L490" s="965"/>
      <c r="M490" s="965"/>
      <c r="N490" s="965"/>
      <c r="O490" s="965"/>
      <c r="P490" s="965"/>
      <c r="Q490" s="965"/>
      <c r="R490" s="965"/>
      <c r="S490" s="965"/>
      <c r="T490" s="965"/>
      <c r="U490" s="965"/>
      <c r="V490" s="965"/>
      <c r="W490" s="965"/>
      <c r="X490" s="965"/>
      <c r="Y490" s="965"/>
      <c r="Z490" s="965"/>
    </row>
    <row r="491">
      <c r="A491" s="965"/>
      <c r="B491" s="965"/>
      <c r="C491" s="965"/>
      <c r="D491" s="965"/>
      <c r="E491" s="965"/>
      <c r="F491" s="965"/>
      <c r="G491" s="965"/>
      <c r="H491" s="965"/>
      <c r="I491" s="965"/>
      <c r="J491" s="965"/>
      <c r="K491" s="965"/>
      <c r="L491" s="965"/>
      <c r="M491" s="965"/>
      <c r="N491" s="965"/>
      <c r="O491" s="965"/>
      <c r="P491" s="965"/>
      <c r="Q491" s="965"/>
      <c r="R491" s="965"/>
      <c r="S491" s="965"/>
      <c r="T491" s="965"/>
      <c r="U491" s="965"/>
      <c r="V491" s="965"/>
      <c r="W491" s="965"/>
      <c r="X491" s="965"/>
      <c r="Y491" s="965"/>
      <c r="Z491" s="965"/>
    </row>
    <row r="492">
      <c r="A492" s="965"/>
      <c r="B492" s="965"/>
      <c r="C492" s="965"/>
      <c r="D492" s="965"/>
      <c r="E492" s="965"/>
      <c r="F492" s="965"/>
      <c r="G492" s="965"/>
      <c r="H492" s="965"/>
      <c r="I492" s="965"/>
      <c r="J492" s="965"/>
      <c r="K492" s="965"/>
      <c r="L492" s="965"/>
      <c r="M492" s="965"/>
      <c r="N492" s="965"/>
      <c r="O492" s="965"/>
      <c r="P492" s="965"/>
      <c r="Q492" s="965"/>
      <c r="R492" s="965"/>
      <c r="S492" s="965"/>
      <c r="T492" s="965"/>
      <c r="U492" s="965"/>
      <c r="V492" s="965"/>
      <c r="W492" s="965"/>
      <c r="X492" s="965"/>
      <c r="Y492" s="965"/>
      <c r="Z492" s="965"/>
    </row>
    <row r="493">
      <c r="A493" s="965"/>
      <c r="B493" s="965"/>
      <c r="C493" s="965"/>
      <c r="D493" s="965"/>
      <c r="E493" s="965"/>
      <c r="F493" s="965"/>
      <c r="G493" s="965"/>
      <c r="H493" s="965"/>
      <c r="I493" s="965"/>
      <c r="J493" s="965"/>
      <c r="K493" s="965"/>
      <c r="L493" s="965"/>
      <c r="M493" s="965"/>
      <c r="N493" s="965"/>
      <c r="O493" s="965"/>
      <c r="P493" s="965"/>
      <c r="Q493" s="965"/>
      <c r="R493" s="965"/>
      <c r="S493" s="965"/>
      <c r="T493" s="965"/>
      <c r="U493" s="965"/>
      <c r="V493" s="965"/>
      <c r="W493" s="965"/>
      <c r="X493" s="965"/>
      <c r="Y493" s="965"/>
      <c r="Z493" s="965"/>
    </row>
    <row r="494">
      <c r="A494" s="965"/>
      <c r="B494" s="965"/>
      <c r="C494" s="965"/>
      <c r="D494" s="965"/>
      <c r="E494" s="965"/>
      <c r="F494" s="965"/>
      <c r="G494" s="965"/>
      <c r="H494" s="965"/>
      <c r="I494" s="965"/>
      <c r="J494" s="965"/>
      <c r="K494" s="965"/>
      <c r="L494" s="965"/>
      <c r="M494" s="965"/>
      <c r="N494" s="965"/>
      <c r="O494" s="965"/>
      <c r="P494" s="965"/>
      <c r="Q494" s="965"/>
      <c r="R494" s="965"/>
      <c r="S494" s="965"/>
      <c r="T494" s="965"/>
      <c r="U494" s="965"/>
      <c r="V494" s="965"/>
      <c r="W494" s="965"/>
      <c r="X494" s="965"/>
      <c r="Y494" s="965"/>
      <c r="Z494" s="965"/>
    </row>
    <row r="495">
      <c r="A495" s="965"/>
      <c r="B495" s="965"/>
      <c r="C495" s="965"/>
      <c r="D495" s="965"/>
      <c r="E495" s="965"/>
      <c r="F495" s="965"/>
      <c r="G495" s="965"/>
      <c r="H495" s="965"/>
      <c r="I495" s="965"/>
      <c r="J495" s="965"/>
      <c r="K495" s="965"/>
      <c r="L495" s="965"/>
      <c r="M495" s="965"/>
      <c r="N495" s="965"/>
      <c r="O495" s="965"/>
      <c r="P495" s="965"/>
      <c r="Q495" s="965"/>
      <c r="R495" s="965"/>
      <c r="S495" s="965"/>
      <c r="T495" s="965"/>
      <c r="U495" s="965"/>
      <c r="V495" s="965"/>
      <c r="W495" s="965"/>
      <c r="X495" s="965"/>
      <c r="Y495" s="965"/>
      <c r="Z495" s="965"/>
    </row>
    <row r="496">
      <c r="A496" s="965"/>
      <c r="B496" s="965"/>
      <c r="C496" s="965"/>
      <c r="D496" s="965"/>
      <c r="E496" s="965"/>
      <c r="F496" s="965"/>
      <c r="G496" s="965"/>
      <c r="H496" s="965"/>
      <c r="I496" s="965"/>
      <c r="J496" s="965"/>
      <c r="K496" s="965"/>
      <c r="L496" s="965"/>
      <c r="M496" s="965"/>
      <c r="N496" s="965"/>
      <c r="O496" s="965"/>
      <c r="P496" s="965"/>
      <c r="Q496" s="965"/>
      <c r="R496" s="965"/>
      <c r="S496" s="965"/>
      <c r="T496" s="965"/>
      <c r="U496" s="965"/>
      <c r="V496" s="965"/>
      <c r="W496" s="965"/>
      <c r="X496" s="965"/>
      <c r="Y496" s="965"/>
      <c r="Z496" s="965"/>
    </row>
    <row r="497">
      <c r="A497" s="965"/>
      <c r="B497" s="965"/>
      <c r="C497" s="965"/>
      <c r="D497" s="965"/>
      <c r="E497" s="965"/>
      <c r="F497" s="965"/>
      <c r="G497" s="965"/>
      <c r="H497" s="965"/>
      <c r="I497" s="965"/>
      <c r="J497" s="965"/>
      <c r="K497" s="965"/>
      <c r="L497" s="965"/>
      <c r="M497" s="965"/>
      <c r="N497" s="965"/>
      <c r="O497" s="965"/>
      <c r="P497" s="965"/>
      <c r="Q497" s="965"/>
      <c r="R497" s="965"/>
      <c r="S497" s="965"/>
      <c r="T497" s="965"/>
      <c r="U497" s="965"/>
      <c r="V497" s="965"/>
      <c r="W497" s="965"/>
      <c r="X497" s="965"/>
      <c r="Y497" s="965"/>
      <c r="Z497" s="965"/>
    </row>
    <row r="498">
      <c r="A498" s="965"/>
      <c r="B498" s="965"/>
      <c r="C498" s="965"/>
      <c r="D498" s="965"/>
      <c r="E498" s="965"/>
      <c r="F498" s="965"/>
      <c r="G498" s="965"/>
      <c r="H498" s="965"/>
      <c r="I498" s="965"/>
      <c r="J498" s="965"/>
      <c r="K498" s="965"/>
      <c r="L498" s="965"/>
      <c r="M498" s="965"/>
      <c r="N498" s="965"/>
      <c r="O498" s="965"/>
      <c r="P498" s="965"/>
      <c r="Q498" s="965"/>
      <c r="R498" s="965"/>
      <c r="S498" s="965"/>
      <c r="T498" s="965"/>
      <c r="U498" s="965"/>
      <c r="V498" s="965"/>
      <c r="W498" s="965"/>
      <c r="X498" s="965"/>
      <c r="Y498" s="965"/>
      <c r="Z498" s="965"/>
    </row>
    <row r="499">
      <c r="A499" s="965"/>
      <c r="B499" s="965"/>
      <c r="C499" s="965"/>
      <c r="D499" s="965"/>
      <c r="E499" s="965"/>
      <c r="F499" s="965"/>
      <c r="G499" s="965"/>
      <c r="H499" s="965"/>
      <c r="I499" s="965"/>
      <c r="J499" s="965"/>
      <c r="K499" s="965"/>
      <c r="L499" s="965"/>
      <c r="M499" s="965"/>
      <c r="N499" s="965"/>
      <c r="O499" s="965"/>
      <c r="P499" s="965"/>
      <c r="Q499" s="965"/>
      <c r="R499" s="965"/>
      <c r="S499" s="965"/>
      <c r="T499" s="965"/>
      <c r="U499" s="965"/>
      <c r="V499" s="965"/>
      <c r="W499" s="965"/>
      <c r="X499" s="965"/>
      <c r="Y499" s="965"/>
      <c r="Z499" s="965"/>
    </row>
    <row r="500">
      <c r="A500" s="965"/>
      <c r="B500" s="965"/>
      <c r="C500" s="965"/>
      <c r="D500" s="965"/>
      <c r="E500" s="965"/>
      <c r="F500" s="965"/>
      <c r="G500" s="965"/>
      <c r="H500" s="965"/>
      <c r="I500" s="965"/>
      <c r="J500" s="965"/>
      <c r="K500" s="965"/>
      <c r="L500" s="965"/>
      <c r="M500" s="965"/>
      <c r="N500" s="965"/>
      <c r="O500" s="965"/>
      <c r="P500" s="965"/>
      <c r="Q500" s="965"/>
      <c r="R500" s="965"/>
      <c r="S500" s="965"/>
      <c r="T500" s="965"/>
      <c r="U500" s="965"/>
      <c r="V500" s="965"/>
      <c r="W500" s="965"/>
      <c r="X500" s="965"/>
      <c r="Y500" s="965"/>
      <c r="Z500" s="965"/>
    </row>
    <row r="501">
      <c r="A501" s="965"/>
      <c r="B501" s="965"/>
      <c r="C501" s="965"/>
      <c r="D501" s="965"/>
      <c r="E501" s="965"/>
      <c r="F501" s="965"/>
      <c r="G501" s="965"/>
      <c r="H501" s="965"/>
      <c r="I501" s="965"/>
      <c r="J501" s="965"/>
      <c r="K501" s="965"/>
      <c r="L501" s="965"/>
      <c r="M501" s="965"/>
      <c r="N501" s="965"/>
      <c r="O501" s="965"/>
      <c r="P501" s="965"/>
      <c r="Q501" s="965"/>
      <c r="R501" s="965"/>
      <c r="S501" s="965"/>
      <c r="T501" s="965"/>
      <c r="U501" s="965"/>
      <c r="V501" s="965"/>
      <c r="W501" s="965"/>
      <c r="X501" s="965"/>
      <c r="Y501" s="965"/>
      <c r="Z501" s="965"/>
    </row>
    <row r="502">
      <c r="A502" s="965"/>
      <c r="B502" s="965"/>
      <c r="C502" s="965"/>
      <c r="D502" s="965"/>
      <c r="E502" s="965"/>
      <c r="F502" s="965"/>
      <c r="G502" s="965"/>
      <c r="H502" s="965"/>
      <c r="I502" s="965"/>
      <c r="J502" s="965"/>
      <c r="K502" s="965"/>
      <c r="L502" s="965"/>
      <c r="M502" s="965"/>
      <c r="N502" s="965"/>
      <c r="O502" s="965"/>
      <c r="P502" s="965"/>
      <c r="Q502" s="965"/>
      <c r="R502" s="965"/>
      <c r="S502" s="965"/>
      <c r="T502" s="965"/>
      <c r="U502" s="965"/>
      <c r="V502" s="965"/>
      <c r="W502" s="965"/>
      <c r="X502" s="965"/>
      <c r="Y502" s="965"/>
      <c r="Z502" s="965"/>
    </row>
    <row r="503">
      <c r="A503" s="965"/>
      <c r="B503" s="965"/>
      <c r="C503" s="965"/>
      <c r="D503" s="965"/>
      <c r="E503" s="965"/>
      <c r="F503" s="965"/>
      <c r="G503" s="965"/>
      <c r="H503" s="965"/>
      <c r="I503" s="965"/>
      <c r="J503" s="965"/>
      <c r="K503" s="965"/>
      <c r="L503" s="965"/>
      <c r="M503" s="965"/>
      <c r="N503" s="965"/>
      <c r="O503" s="965"/>
      <c r="P503" s="965"/>
      <c r="Q503" s="965"/>
      <c r="R503" s="965"/>
      <c r="S503" s="965"/>
      <c r="T503" s="965"/>
      <c r="U503" s="965"/>
      <c r="V503" s="965"/>
      <c r="W503" s="965"/>
      <c r="X503" s="965"/>
      <c r="Y503" s="965"/>
      <c r="Z503" s="965"/>
    </row>
    <row r="504">
      <c r="A504" s="965"/>
      <c r="B504" s="965"/>
      <c r="C504" s="965"/>
      <c r="D504" s="965"/>
      <c r="E504" s="965"/>
      <c r="F504" s="965"/>
      <c r="G504" s="965"/>
      <c r="H504" s="965"/>
      <c r="I504" s="965"/>
      <c r="J504" s="965"/>
      <c r="K504" s="965"/>
      <c r="L504" s="965"/>
      <c r="M504" s="965"/>
      <c r="N504" s="965"/>
      <c r="O504" s="965"/>
      <c r="P504" s="965"/>
      <c r="Q504" s="965"/>
      <c r="R504" s="965"/>
      <c r="S504" s="965"/>
      <c r="T504" s="965"/>
      <c r="U504" s="965"/>
      <c r="V504" s="965"/>
      <c r="W504" s="965"/>
      <c r="X504" s="965"/>
      <c r="Y504" s="965"/>
      <c r="Z504" s="965"/>
    </row>
    <row r="505">
      <c r="A505" s="965"/>
      <c r="B505" s="965"/>
      <c r="C505" s="965"/>
      <c r="D505" s="965"/>
      <c r="E505" s="965"/>
      <c r="F505" s="965"/>
      <c r="G505" s="965"/>
      <c r="H505" s="965"/>
      <c r="I505" s="965"/>
      <c r="J505" s="965"/>
      <c r="K505" s="965"/>
      <c r="L505" s="965"/>
      <c r="M505" s="965"/>
      <c r="N505" s="965"/>
      <c r="O505" s="965"/>
      <c r="P505" s="965"/>
      <c r="Q505" s="965"/>
      <c r="R505" s="965"/>
      <c r="S505" s="965"/>
      <c r="T505" s="965"/>
      <c r="U505" s="965"/>
      <c r="V505" s="965"/>
      <c r="W505" s="965"/>
      <c r="X505" s="965"/>
      <c r="Y505" s="965"/>
      <c r="Z505" s="965"/>
    </row>
    <row r="506">
      <c r="A506" s="965"/>
      <c r="B506" s="965"/>
      <c r="C506" s="965"/>
      <c r="D506" s="965"/>
      <c r="E506" s="965"/>
      <c r="F506" s="965"/>
      <c r="G506" s="965"/>
      <c r="H506" s="965"/>
      <c r="I506" s="965"/>
      <c r="J506" s="965"/>
      <c r="K506" s="965"/>
      <c r="L506" s="965"/>
      <c r="M506" s="965"/>
      <c r="N506" s="965"/>
      <c r="O506" s="965"/>
      <c r="P506" s="965"/>
      <c r="Q506" s="965"/>
      <c r="R506" s="965"/>
      <c r="S506" s="965"/>
      <c r="T506" s="965"/>
      <c r="U506" s="965"/>
      <c r="V506" s="965"/>
      <c r="W506" s="965"/>
      <c r="X506" s="965"/>
      <c r="Y506" s="965"/>
      <c r="Z506" s="965"/>
    </row>
    <row r="507">
      <c r="A507" s="965"/>
      <c r="B507" s="965"/>
      <c r="C507" s="965"/>
      <c r="D507" s="965"/>
      <c r="E507" s="965"/>
      <c r="F507" s="965"/>
      <c r="G507" s="965"/>
      <c r="H507" s="965"/>
      <c r="I507" s="965"/>
      <c r="J507" s="965"/>
      <c r="K507" s="965"/>
      <c r="L507" s="965"/>
      <c r="M507" s="965"/>
      <c r="N507" s="965"/>
      <c r="O507" s="965"/>
      <c r="P507" s="965"/>
      <c r="Q507" s="965"/>
      <c r="R507" s="965"/>
      <c r="S507" s="965"/>
      <c r="T507" s="965"/>
      <c r="U507" s="965"/>
      <c r="V507" s="965"/>
      <c r="W507" s="965"/>
      <c r="X507" s="965"/>
      <c r="Y507" s="965"/>
      <c r="Z507" s="965"/>
    </row>
    <row r="508">
      <c r="A508" s="965"/>
      <c r="B508" s="965"/>
      <c r="C508" s="965"/>
      <c r="D508" s="965"/>
      <c r="E508" s="965"/>
      <c r="F508" s="965"/>
      <c r="G508" s="965"/>
      <c r="H508" s="965"/>
      <c r="I508" s="965"/>
      <c r="J508" s="965"/>
      <c r="K508" s="965"/>
      <c r="L508" s="965"/>
      <c r="M508" s="965"/>
      <c r="N508" s="965"/>
      <c r="O508" s="965"/>
      <c r="P508" s="965"/>
      <c r="Q508" s="965"/>
      <c r="R508" s="965"/>
      <c r="S508" s="965"/>
      <c r="T508" s="965"/>
      <c r="U508" s="965"/>
      <c r="V508" s="965"/>
      <c r="W508" s="965"/>
      <c r="X508" s="965"/>
      <c r="Y508" s="965"/>
      <c r="Z508" s="965"/>
    </row>
    <row r="509">
      <c r="A509" s="965"/>
      <c r="B509" s="965"/>
      <c r="C509" s="965"/>
      <c r="D509" s="965"/>
      <c r="E509" s="965"/>
      <c r="F509" s="965"/>
      <c r="G509" s="965"/>
      <c r="H509" s="965"/>
      <c r="I509" s="965"/>
      <c r="J509" s="965"/>
      <c r="K509" s="965"/>
      <c r="L509" s="965"/>
      <c r="M509" s="965"/>
      <c r="N509" s="965"/>
      <c r="O509" s="965"/>
      <c r="P509" s="965"/>
      <c r="Q509" s="965"/>
      <c r="R509" s="965"/>
      <c r="S509" s="965"/>
      <c r="T509" s="965"/>
      <c r="U509" s="965"/>
      <c r="V509" s="965"/>
      <c r="W509" s="965"/>
      <c r="X509" s="965"/>
      <c r="Y509" s="965"/>
      <c r="Z509" s="965"/>
    </row>
    <row r="510">
      <c r="A510" s="965"/>
      <c r="B510" s="965"/>
      <c r="C510" s="965"/>
      <c r="D510" s="965"/>
      <c r="E510" s="965"/>
      <c r="F510" s="965"/>
      <c r="G510" s="965"/>
      <c r="H510" s="965"/>
      <c r="I510" s="965"/>
      <c r="J510" s="965"/>
      <c r="K510" s="965"/>
      <c r="L510" s="965"/>
      <c r="M510" s="965"/>
      <c r="N510" s="965"/>
      <c r="O510" s="965"/>
      <c r="P510" s="965"/>
      <c r="Q510" s="965"/>
      <c r="R510" s="965"/>
      <c r="S510" s="965"/>
      <c r="T510" s="965"/>
      <c r="U510" s="965"/>
      <c r="V510" s="965"/>
      <c r="W510" s="965"/>
      <c r="X510" s="965"/>
      <c r="Y510" s="965"/>
      <c r="Z510" s="965"/>
    </row>
    <row r="511">
      <c r="A511" s="965"/>
      <c r="B511" s="965"/>
      <c r="C511" s="965"/>
      <c r="D511" s="965"/>
      <c r="E511" s="965"/>
      <c r="F511" s="965"/>
      <c r="G511" s="965"/>
      <c r="H511" s="965"/>
      <c r="I511" s="965"/>
      <c r="J511" s="965"/>
      <c r="K511" s="965"/>
      <c r="L511" s="965"/>
      <c r="M511" s="965"/>
      <c r="N511" s="965"/>
      <c r="O511" s="965"/>
      <c r="P511" s="965"/>
      <c r="Q511" s="965"/>
      <c r="R511" s="965"/>
      <c r="S511" s="965"/>
      <c r="T511" s="965"/>
      <c r="U511" s="965"/>
      <c r="V511" s="965"/>
      <c r="W511" s="965"/>
      <c r="X511" s="965"/>
      <c r="Y511" s="965"/>
      <c r="Z511" s="965"/>
    </row>
    <row r="512">
      <c r="A512" s="965"/>
      <c r="B512" s="965"/>
      <c r="C512" s="965"/>
      <c r="D512" s="965"/>
      <c r="E512" s="965"/>
      <c r="F512" s="965"/>
      <c r="G512" s="965"/>
      <c r="H512" s="965"/>
      <c r="I512" s="965"/>
      <c r="J512" s="965"/>
      <c r="K512" s="965"/>
      <c r="L512" s="965"/>
      <c r="M512" s="965"/>
      <c r="N512" s="965"/>
      <c r="O512" s="965"/>
      <c r="P512" s="965"/>
      <c r="Q512" s="965"/>
      <c r="R512" s="965"/>
      <c r="S512" s="965"/>
      <c r="T512" s="965"/>
      <c r="U512" s="965"/>
      <c r="V512" s="965"/>
      <c r="W512" s="965"/>
      <c r="X512" s="965"/>
      <c r="Y512" s="965"/>
      <c r="Z512" s="965"/>
    </row>
    <row r="513">
      <c r="A513" s="965"/>
      <c r="B513" s="965"/>
      <c r="C513" s="965"/>
      <c r="D513" s="965"/>
      <c r="E513" s="965"/>
      <c r="F513" s="965"/>
      <c r="G513" s="965"/>
      <c r="H513" s="965"/>
      <c r="I513" s="965"/>
      <c r="J513" s="965"/>
      <c r="K513" s="965"/>
      <c r="L513" s="965"/>
      <c r="M513" s="965"/>
      <c r="N513" s="965"/>
      <c r="O513" s="965"/>
      <c r="P513" s="965"/>
      <c r="Q513" s="965"/>
      <c r="R513" s="965"/>
      <c r="S513" s="965"/>
      <c r="T513" s="965"/>
      <c r="U513" s="965"/>
      <c r="V513" s="965"/>
      <c r="W513" s="965"/>
      <c r="X513" s="965"/>
      <c r="Y513" s="965"/>
      <c r="Z513" s="965"/>
    </row>
    <row r="514">
      <c r="A514" s="965"/>
      <c r="B514" s="965"/>
      <c r="C514" s="965"/>
      <c r="D514" s="965"/>
      <c r="E514" s="965"/>
      <c r="F514" s="965"/>
      <c r="G514" s="965"/>
      <c r="H514" s="965"/>
      <c r="I514" s="965"/>
      <c r="J514" s="965"/>
      <c r="K514" s="965"/>
      <c r="L514" s="965"/>
      <c r="M514" s="965"/>
      <c r="N514" s="965"/>
      <c r="O514" s="965"/>
      <c r="P514" s="965"/>
      <c r="Q514" s="965"/>
      <c r="R514" s="965"/>
      <c r="S514" s="965"/>
      <c r="T514" s="965"/>
      <c r="U514" s="965"/>
      <c r="V514" s="965"/>
      <c r="W514" s="965"/>
      <c r="X514" s="965"/>
      <c r="Y514" s="965"/>
      <c r="Z514" s="965"/>
    </row>
    <row r="515">
      <c r="A515" s="965"/>
      <c r="B515" s="965"/>
      <c r="C515" s="965"/>
      <c r="D515" s="965"/>
      <c r="E515" s="965"/>
      <c r="F515" s="965"/>
      <c r="G515" s="965"/>
      <c r="H515" s="965"/>
      <c r="I515" s="965"/>
      <c r="J515" s="965"/>
      <c r="K515" s="965"/>
      <c r="L515" s="965"/>
      <c r="M515" s="965"/>
      <c r="N515" s="965"/>
      <c r="O515" s="965"/>
      <c r="P515" s="965"/>
      <c r="Q515" s="965"/>
      <c r="R515" s="965"/>
      <c r="S515" s="965"/>
      <c r="T515" s="965"/>
      <c r="U515" s="965"/>
      <c r="V515" s="965"/>
      <c r="W515" s="965"/>
      <c r="X515" s="965"/>
      <c r="Y515" s="965"/>
      <c r="Z515" s="965"/>
    </row>
    <row r="516">
      <c r="A516" s="965"/>
      <c r="B516" s="965"/>
      <c r="C516" s="965"/>
      <c r="D516" s="965"/>
      <c r="E516" s="965"/>
      <c r="F516" s="965"/>
      <c r="G516" s="965"/>
      <c r="H516" s="965"/>
      <c r="I516" s="965"/>
      <c r="J516" s="965"/>
      <c r="K516" s="965"/>
      <c r="L516" s="965"/>
      <c r="M516" s="965"/>
      <c r="N516" s="965"/>
      <c r="O516" s="965"/>
      <c r="P516" s="965"/>
      <c r="Q516" s="965"/>
      <c r="R516" s="965"/>
      <c r="S516" s="965"/>
      <c r="T516" s="965"/>
      <c r="U516" s="965"/>
      <c r="V516" s="965"/>
      <c r="W516" s="965"/>
      <c r="X516" s="965"/>
      <c r="Y516" s="965"/>
      <c r="Z516" s="965"/>
    </row>
    <row r="517">
      <c r="A517" s="965"/>
      <c r="B517" s="965"/>
      <c r="C517" s="965"/>
      <c r="D517" s="965"/>
      <c r="E517" s="965"/>
      <c r="F517" s="965"/>
      <c r="G517" s="965"/>
      <c r="H517" s="965"/>
      <c r="I517" s="965"/>
      <c r="J517" s="965"/>
      <c r="K517" s="965"/>
      <c r="L517" s="965"/>
      <c r="M517" s="965"/>
      <c r="N517" s="965"/>
      <c r="O517" s="965"/>
      <c r="P517" s="965"/>
      <c r="Q517" s="965"/>
      <c r="R517" s="965"/>
      <c r="S517" s="965"/>
      <c r="T517" s="965"/>
      <c r="U517" s="965"/>
      <c r="V517" s="965"/>
      <c r="W517" s="965"/>
      <c r="X517" s="965"/>
      <c r="Y517" s="965"/>
      <c r="Z517" s="965"/>
    </row>
    <row r="518">
      <c r="A518" s="965"/>
      <c r="B518" s="965"/>
      <c r="C518" s="965"/>
      <c r="D518" s="965"/>
      <c r="E518" s="965"/>
      <c r="F518" s="965"/>
      <c r="G518" s="965"/>
      <c r="H518" s="965"/>
      <c r="I518" s="965"/>
      <c r="J518" s="965"/>
      <c r="K518" s="965"/>
      <c r="L518" s="965"/>
      <c r="M518" s="965"/>
      <c r="N518" s="965"/>
      <c r="O518" s="965"/>
      <c r="P518" s="965"/>
      <c r="Q518" s="965"/>
      <c r="R518" s="965"/>
      <c r="S518" s="965"/>
      <c r="T518" s="965"/>
      <c r="U518" s="965"/>
      <c r="V518" s="965"/>
      <c r="W518" s="965"/>
      <c r="X518" s="965"/>
      <c r="Y518" s="965"/>
      <c r="Z518" s="965"/>
    </row>
    <row r="519">
      <c r="A519" s="965"/>
      <c r="B519" s="965"/>
      <c r="C519" s="965"/>
      <c r="D519" s="965"/>
      <c r="E519" s="965"/>
      <c r="F519" s="965"/>
      <c r="G519" s="965"/>
      <c r="H519" s="965"/>
      <c r="I519" s="965"/>
      <c r="J519" s="965"/>
      <c r="K519" s="965"/>
      <c r="L519" s="965"/>
      <c r="M519" s="965"/>
      <c r="N519" s="965"/>
      <c r="O519" s="965"/>
      <c r="P519" s="965"/>
      <c r="Q519" s="965"/>
      <c r="R519" s="965"/>
      <c r="S519" s="965"/>
      <c r="T519" s="965"/>
      <c r="U519" s="965"/>
      <c r="V519" s="965"/>
      <c r="W519" s="965"/>
      <c r="X519" s="965"/>
      <c r="Y519" s="965"/>
      <c r="Z519" s="965"/>
    </row>
    <row r="520">
      <c r="A520" s="965"/>
      <c r="B520" s="965"/>
      <c r="C520" s="965"/>
      <c r="D520" s="965"/>
      <c r="E520" s="965"/>
      <c r="F520" s="965"/>
      <c r="G520" s="965"/>
      <c r="H520" s="965"/>
      <c r="I520" s="965"/>
      <c r="J520" s="965"/>
      <c r="K520" s="965"/>
      <c r="L520" s="965"/>
      <c r="M520" s="965"/>
      <c r="N520" s="965"/>
      <c r="O520" s="965"/>
      <c r="P520" s="965"/>
      <c r="Q520" s="965"/>
      <c r="R520" s="965"/>
      <c r="S520" s="965"/>
      <c r="T520" s="965"/>
      <c r="U520" s="965"/>
      <c r="V520" s="965"/>
      <c r="W520" s="965"/>
      <c r="X520" s="965"/>
      <c r="Y520" s="965"/>
      <c r="Z520" s="965"/>
    </row>
    <row r="521">
      <c r="A521" s="965"/>
      <c r="B521" s="965"/>
      <c r="C521" s="965"/>
      <c r="D521" s="965"/>
      <c r="E521" s="965"/>
      <c r="F521" s="965"/>
      <c r="G521" s="965"/>
      <c r="H521" s="965"/>
      <c r="I521" s="965"/>
      <c r="J521" s="965"/>
      <c r="K521" s="965"/>
      <c r="L521" s="965"/>
      <c r="M521" s="965"/>
      <c r="N521" s="965"/>
      <c r="O521" s="965"/>
      <c r="P521" s="965"/>
      <c r="Q521" s="965"/>
      <c r="R521" s="965"/>
      <c r="S521" s="965"/>
      <c r="T521" s="965"/>
      <c r="U521" s="965"/>
      <c r="V521" s="965"/>
      <c r="W521" s="965"/>
      <c r="X521" s="965"/>
      <c r="Y521" s="965"/>
      <c r="Z521" s="965"/>
    </row>
    <row r="522">
      <c r="A522" s="965"/>
      <c r="B522" s="965"/>
      <c r="C522" s="965"/>
      <c r="D522" s="965"/>
      <c r="E522" s="965"/>
      <c r="F522" s="965"/>
      <c r="G522" s="965"/>
      <c r="H522" s="965"/>
      <c r="I522" s="965"/>
      <c r="J522" s="965"/>
      <c r="K522" s="965"/>
      <c r="L522" s="965"/>
      <c r="M522" s="965"/>
      <c r="N522" s="965"/>
      <c r="O522" s="965"/>
      <c r="P522" s="965"/>
      <c r="Q522" s="965"/>
      <c r="R522" s="965"/>
      <c r="S522" s="965"/>
      <c r="T522" s="965"/>
      <c r="U522" s="965"/>
      <c r="V522" s="965"/>
      <c r="W522" s="965"/>
      <c r="X522" s="965"/>
      <c r="Y522" s="965"/>
      <c r="Z522" s="965"/>
    </row>
    <row r="523">
      <c r="A523" s="965"/>
      <c r="B523" s="965"/>
      <c r="C523" s="965"/>
      <c r="D523" s="965"/>
      <c r="E523" s="965"/>
      <c r="F523" s="965"/>
      <c r="G523" s="965"/>
      <c r="H523" s="965"/>
      <c r="I523" s="965"/>
      <c r="J523" s="965"/>
      <c r="K523" s="965"/>
      <c r="L523" s="965"/>
      <c r="M523" s="965"/>
      <c r="N523" s="965"/>
      <c r="O523" s="965"/>
      <c r="P523" s="965"/>
      <c r="Q523" s="965"/>
      <c r="R523" s="965"/>
      <c r="S523" s="965"/>
      <c r="T523" s="965"/>
      <c r="U523" s="965"/>
      <c r="V523" s="965"/>
      <c r="W523" s="965"/>
      <c r="X523" s="965"/>
      <c r="Y523" s="965"/>
      <c r="Z523" s="965"/>
    </row>
    <row r="524">
      <c r="A524" s="965"/>
      <c r="B524" s="965"/>
      <c r="C524" s="965"/>
      <c r="D524" s="965"/>
      <c r="E524" s="965"/>
      <c r="F524" s="965"/>
      <c r="G524" s="965"/>
      <c r="H524" s="965"/>
      <c r="I524" s="965"/>
      <c r="J524" s="965"/>
      <c r="K524" s="965"/>
      <c r="L524" s="965"/>
      <c r="M524" s="965"/>
      <c r="N524" s="965"/>
      <c r="O524" s="965"/>
      <c r="P524" s="965"/>
      <c r="Q524" s="965"/>
      <c r="R524" s="965"/>
      <c r="S524" s="965"/>
      <c r="T524" s="965"/>
      <c r="U524" s="965"/>
      <c r="V524" s="965"/>
      <c r="W524" s="965"/>
      <c r="X524" s="965"/>
      <c r="Y524" s="965"/>
      <c r="Z524" s="965"/>
    </row>
    <row r="525">
      <c r="A525" s="965"/>
      <c r="B525" s="965"/>
      <c r="C525" s="965"/>
      <c r="D525" s="965"/>
      <c r="E525" s="965"/>
      <c r="F525" s="965"/>
      <c r="G525" s="965"/>
      <c r="H525" s="965"/>
      <c r="I525" s="965"/>
      <c r="J525" s="965"/>
      <c r="K525" s="965"/>
      <c r="L525" s="965"/>
      <c r="M525" s="965"/>
      <c r="N525" s="965"/>
      <c r="O525" s="965"/>
      <c r="P525" s="965"/>
      <c r="Q525" s="965"/>
      <c r="R525" s="965"/>
      <c r="S525" s="965"/>
      <c r="T525" s="965"/>
      <c r="U525" s="965"/>
      <c r="V525" s="965"/>
      <c r="W525" s="965"/>
      <c r="X525" s="965"/>
      <c r="Y525" s="965"/>
      <c r="Z525" s="965"/>
    </row>
    <row r="526">
      <c r="A526" s="965"/>
      <c r="B526" s="965"/>
      <c r="C526" s="965"/>
      <c r="D526" s="965"/>
      <c r="E526" s="965"/>
      <c r="F526" s="965"/>
      <c r="G526" s="965"/>
      <c r="H526" s="965"/>
      <c r="I526" s="965"/>
      <c r="J526" s="965"/>
      <c r="K526" s="965"/>
      <c r="L526" s="965"/>
      <c r="M526" s="965"/>
      <c r="N526" s="965"/>
      <c r="O526" s="965"/>
      <c r="P526" s="965"/>
      <c r="Q526" s="965"/>
      <c r="R526" s="965"/>
      <c r="S526" s="965"/>
      <c r="T526" s="965"/>
      <c r="U526" s="965"/>
      <c r="V526" s="965"/>
      <c r="W526" s="965"/>
      <c r="X526" s="965"/>
      <c r="Y526" s="965"/>
      <c r="Z526" s="965"/>
    </row>
    <row r="527">
      <c r="A527" s="965"/>
      <c r="B527" s="965"/>
      <c r="C527" s="965"/>
      <c r="D527" s="965"/>
      <c r="E527" s="965"/>
      <c r="F527" s="965"/>
      <c r="G527" s="965"/>
      <c r="H527" s="965"/>
      <c r="I527" s="965"/>
      <c r="J527" s="965"/>
      <c r="K527" s="965"/>
      <c r="L527" s="965"/>
      <c r="M527" s="965"/>
      <c r="N527" s="965"/>
      <c r="O527" s="965"/>
      <c r="P527" s="965"/>
      <c r="Q527" s="965"/>
      <c r="R527" s="965"/>
      <c r="S527" s="965"/>
      <c r="T527" s="965"/>
      <c r="U527" s="965"/>
      <c r="V527" s="965"/>
      <c r="W527" s="965"/>
      <c r="X527" s="965"/>
      <c r="Y527" s="965"/>
      <c r="Z527" s="965"/>
    </row>
    <row r="528">
      <c r="A528" s="965"/>
      <c r="B528" s="965"/>
      <c r="C528" s="965"/>
      <c r="D528" s="965"/>
      <c r="E528" s="965"/>
      <c r="F528" s="965"/>
      <c r="G528" s="965"/>
      <c r="H528" s="965"/>
      <c r="I528" s="965"/>
      <c r="J528" s="965"/>
      <c r="K528" s="965"/>
      <c r="L528" s="965"/>
      <c r="M528" s="965"/>
      <c r="N528" s="965"/>
      <c r="O528" s="965"/>
      <c r="P528" s="965"/>
      <c r="Q528" s="965"/>
      <c r="R528" s="965"/>
      <c r="S528" s="965"/>
      <c r="T528" s="965"/>
      <c r="U528" s="965"/>
      <c r="V528" s="965"/>
      <c r="W528" s="965"/>
      <c r="X528" s="965"/>
      <c r="Y528" s="965"/>
      <c r="Z528" s="965"/>
    </row>
    <row r="529">
      <c r="A529" s="965"/>
      <c r="B529" s="965"/>
      <c r="C529" s="965"/>
      <c r="D529" s="965"/>
      <c r="E529" s="965"/>
      <c r="F529" s="965"/>
      <c r="G529" s="965"/>
      <c r="H529" s="965"/>
      <c r="I529" s="965"/>
      <c r="J529" s="965"/>
      <c r="K529" s="965"/>
      <c r="L529" s="965"/>
      <c r="M529" s="965"/>
      <c r="N529" s="965"/>
      <c r="O529" s="965"/>
      <c r="P529" s="965"/>
      <c r="Q529" s="965"/>
      <c r="R529" s="965"/>
      <c r="S529" s="965"/>
      <c r="T529" s="965"/>
      <c r="U529" s="965"/>
      <c r="V529" s="965"/>
      <c r="W529" s="965"/>
      <c r="X529" s="965"/>
      <c r="Y529" s="965"/>
      <c r="Z529" s="965"/>
    </row>
    <row r="530">
      <c r="A530" s="965"/>
      <c r="B530" s="965"/>
      <c r="C530" s="965"/>
      <c r="D530" s="965"/>
      <c r="E530" s="965"/>
      <c r="F530" s="965"/>
      <c r="G530" s="965"/>
      <c r="H530" s="965"/>
      <c r="I530" s="965"/>
      <c r="J530" s="965"/>
      <c r="K530" s="965"/>
      <c r="L530" s="965"/>
      <c r="M530" s="965"/>
      <c r="N530" s="965"/>
      <c r="O530" s="965"/>
      <c r="P530" s="965"/>
      <c r="Q530" s="965"/>
      <c r="R530" s="965"/>
      <c r="S530" s="965"/>
      <c r="T530" s="965"/>
      <c r="U530" s="965"/>
      <c r="V530" s="965"/>
      <c r="W530" s="965"/>
      <c r="X530" s="965"/>
      <c r="Y530" s="965"/>
      <c r="Z530" s="965"/>
    </row>
    <row r="531">
      <c r="A531" s="965"/>
      <c r="B531" s="965"/>
      <c r="C531" s="965"/>
      <c r="D531" s="965"/>
      <c r="E531" s="965"/>
      <c r="F531" s="965"/>
      <c r="G531" s="965"/>
      <c r="H531" s="965"/>
      <c r="I531" s="965"/>
      <c r="J531" s="965"/>
      <c r="K531" s="965"/>
      <c r="L531" s="965"/>
      <c r="M531" s="965"/>
      <c r="N531" s="965"/>
      <c r="O531" s="965"/>
      <c r="P531" s="965"/>
      <c r="Q531" s="965"/>
      <c r="R531" s="965"/>
      <c r="S531" s="965"/>
      <c r="T531" s="965"/>
      <c r="U531" s="965"/>
      <c r="V531" s="965"/>
      <c r="W531" s="965"/>
      <c r="X531" s="965"/>
      <c r="Y531" s="965"/>
      <c r="Z531" s="965"/>
    </row>
    <row r="532">
      <c r="A532" s="965"/>
      <c r="B532" s="965"/>
      <c r="C532" s="965"/>
      <c r="D532" s="965"/>
      <c r="E532" s="965"/>
      <c r="F532" s="965"/>
      <c r="G532" s="965"/>
      <c r="H532" s="965"/>
      <c r="I532" s="965"/>
      <c r="J532" s="965"/>
      <c r="K532" s="965"/>
      <c r="L532" s="965"/>
      <c r="M532" s="965"/>
      <c r="N532" s="965"/>
      <c r="O532" s="965"/>
      <c r="P532" s="965"/>
      <c r="Q532" s="965"/>
      <c r="R532" s="965"/>
      <c r="S532" s="965"/>
      <c r="T532" s="965"/>
      <c r="U532" s="965"/>
      <c r="V532" s="965"/>
      <c r="W532" s="965"/>
      <c r="X532" s="965"/>
      <c r="Y532" s="965"/>
      <c r="Z532" s="965"/>
    </row>
    <row r="533">
      <c r="A533" s="965"/>
      <c r="B533" s="965"/>
      <c r="C533" s="965"/>
      <c r="D533" s="965"/>
      <c r="E533" s="965"/>
      <c r="F533" s="965"/>
      <c r="G533" s="965"/>
      <c r="H533" s="965"/>
      <c r="I533" s="965"/>
      <c r="J533" s="965"/>
      <c r="K533" s="965"/>
      <c r="L533" s="965"/>
      <c r="M533" s="965"/>
      <c r="N533" s="965"/>
      <c r="O533" s="965"/>
      <c r="P533" s="965"/>
      <c r="Q533" s="965"/>
      <c r="R533" s="965"/>
      <c r="S533" s="965"/>
      <c r="T533" s="965"/>
      <c r="U533" s="965"/>
      <c r="V533" s="965"/>
      <c r="W533" s="965"/>
      <c r="X533" s="965"/>
      <c r="Y533" s="965"/>
      <c r="Z533" s="965"/>
    </row>
    <row r="534">
      <c r="A534" s="965"/>
      <c r="B534" s="965"/>
      <c r="C534" s="965"/>
      <c r="D534" s="965"/>
      <c r="E534" s="965"/>
      <c r="F534" s="965"/>
      <c r="G534" s="965"/>
      <c r="H534" s="965"/>
      <c r="I534" s="965"/>
      <c r="J534" s="965"/>
      <c r="K534" s="965"/>
      <c r="L534" s="965"/>
      <c r="M534" s="965"/>
      <c r="N534" s="965"/>
      <c r="O534" s="965"/>
      <c r="P534" s="965"/>
      <c r="Q534" s="965"/>
      <c r="R534" s="965"/>
      <c r="S534" s="965"/>
      <c r="T534" s="965"/>
      <c r="U534" s="965"/>
      <c r="V534" s="965"/>
      <c r="W534" s="965"/>
      <c r="X534" s="965"/>
      <c r="Y534" s="965"/>
      <c r="Z534" s="965"/>
    </row>
    <row r="535">
      <c r="A535" s="965"/>
      <c r="B535" s="965"/>
      <c r="C535" s="965"/>
      <c r="D535" s="965"/>
      <c r="E535" s="965"/>
      <c r="F535" s="965"/>
      <c r="G535" s="965"/>
      <c r="H535" s="965"/>
      <c r="I535" s="965"/>
      <c r="J535" s="965"/>
      <c r="K535" s="965"/>
      <c r="L535" s="965"/>
      <c r="M535" s="965"/>
      <c r="N535" s="965"/>
      <c r="O535" s="965"/>
      <c r="P535" s="965"/>
      <c r="Q535" s="965"/>
      <c r="R535" s="965"/>
      <c r="S535" s="965"/>
      <c r="T535" s="965"/>
      <c r="U535" s="965"/>
      <c r="V535" s="965"/>
      <c r="W535" s="965"/>
      <c r="X535" s="965"/>
      <c r="Y535" s="965"/>
      <c r="Z535" s="965"/>
    </row>
    <row r="536">
      <c r="A536" s="965"/>
      <c r="B536" s="965"/>
      <c r="C536" s="965"/>
      <c r="D536" s="965"/>
      <c r="E536" s="965"/>
      <c r="F536" s="965"/>
      <c r="G536" s="965"/>
      <c r="H536" s="965"/>
      <c r="I536" s="965"/>
      <c r="J536" s="965"/>
      <c r="K536" s="965"/>
      <c r="L536" s="965"/>
      <c r="M536" s="965"/>
      <c r="N536" s="965"/>
      <c r="O536" s="965"/>
      <c r="P536" s="965"/>
      <c r="Q536" s="965"/>
      <c r="R536" s="965"/>
      <c r="S536" s="965"/>
      <c r="T536" s="965"/>
      <c r="U536" s="965"/>
      <c r="V536" s="965"/>
      <c r="W536" s="965"/>
      <c r="X536" s="965"/>
      <c r="Y536" s="965"/>
      <c r="Z536" s="965"/>
    </row>
    <row r="537">
      <c r="A537" s="965"/>
      <c r="B537" s="965"/>
      <c r="C537" s="965"/>
      <c r="D537" s="965"/>
      <c r="E537" s="965"/>
      <c r="F537" s="965"/>
      <c r="G537" s="965"/>
      <c r="H537" s="965"/>
      <c r="I537" s="965"/>
      <c r="J537" s="965"/>
      <c r="K537" s="965"/>
      <c r="L537" s="965"/>
      <c r="M537" s="965"/>
      <c r="N537" s="965"/>
      <c r="O537" s="965"/>
      <c r="P537" s="965"/>
      <c r="Q537" s="965"/>
      <c r="R537" s="965"/>
      <c r="S537" s="965"/>
      <c r="T537" s="965"/>
      <c r="U537" s="965"/>
      <c r="V537" s="965"/>
      <c r="W537" s="965"/>
      <c r="X537" s="965"/>
      <c r="Y537" s="965"/>
      <c r="Z537" s="965"/>
    </row>
    <row r="538">
      <c r="A538" s="965"/>
      <c r="B538" s="965"/>
      <c r="C538" s="965"/>
      <c r="D538" s="965"/>
      <c r="E538" s="965"/>
      <c r="F538" s="965"/>
      <c r="G538" s="965"/>
      <c r="H538" s="965"/>
      <c r="I538" s="965"/>
      <c r="J538" s="965"/>
      <c r="K538" s="965"/>
      <c r="L538" s="965"/>
      <c r="M538" s="965"/>
      <c r="N538" s="965"/>
      <c r="O538" s="965"/>
      <c r="P538" s="965"/>
      <c r="Q538" s="965"/>
      <c r="R538" s="965"/>
      <c r="S538" s="965"/>
      <c r="T538" s="965"/>
      <c r="U538" s="965"/>
      <c r="V538" s="965"/>
      <c r="W538" s="965"/>
      <c r="X538" s="965"/>
      <c r="Y538" s="965"/>
      <c r="Z538" s="965"/>
    </row>
    <row r="539">
      <c r="A539" s="965"/>
      <c r="B539" s="965"/>
      <c r="C539" s="965"/>
      <c r="D539" s="965"/>
      <c r="E539" s="965"/>
      <c r="F539" s="965"/>
      <c r="G539" s="965"/>
      <c r="H539" s="965"/>
      <c r="I539" s="965"/>
      <c r="J539" s="965"/>
      <c r="K539" s="965"/>
      <c r="L539" s="965"/>
      <c r="M539" s="965"/>
      <c r="N539" s="965"/>
      <c r="O539" s="965"/>
      <c r="P539" s="965"/>
      <c r="Q539" s="965"/>
      <c r="R539" s="965"/>
      <c r="S539" s="965"/>
      <c r="T539" s="965"/>
      <c r="U539" s="965"/>
      <c r="V539" s="965"/>
      <c r="W539" s="965"/>
      <c r="X539" s="965"/>
      <c r="Y539" s="965"/>
      <c r="Z539" s="965"/>
    </row>
    <row r="540">
      <c r="A540" s="965"/>
      <c r="B540" s="965"/>
      <c r="C540" s="965"/>
      <c r="D540" s="965"/>
      <c r="E540" s="965"/>
      <c r="F540" s="965"/>
      <c r="G540" s="965"/>
      <c r="H540" s="965"/>
      <c r="I540" s="965"/>
      <c r="J540" s="965"/>
      <c r="K540" s="965"/>
      <c r="L540" s="965"/>
      <c r="M540" s="965"/>
      <c r="N540" s="965"/>
      <c r="O540" s="965"/>
      <c r="P540" s="965"/>
      <c r="Q540" s="965"/>
      <c r="R540" s="965"/>
      <c r="S540" s="965"/>
      <c r="T540" s="965"/>
      <c r="U540" s="965"/>
      <c r="V540" s="965"/>
      <c r="W540" s="965"/>
      <c r="X540" s="965"/>
      <c r="Y540" s="965"/>
      <c r="Z540" s="965"/>
    </row>
    <row r="541">
      <c r="A541" s="965"/>
      <c r="B541" s="965"/>
      <c r="C541" s="965"/>
      <c r="D541" s="965"/>
      <c r="E541" s="965"/>
      <c r="F541" s="965"/>
      <c r="G541" s="965"/>
      <c r="H541" s="965"/>
      <c r="I541" s="965"/>
      <c r="J541" s="965"/>
      <c r="K541" s="965"/>
      <c r="L541" s="965"/>
      <c r="M541" s="965"/>
      <c r="N541" s="965"/>
      <c r="O541" s="965"/>
      <c r="P541" s="965"/>
      <c r="Q541" s="965"/>
      <c r="R541" s="965"/>
      <c r="S541" s="965"/>
      <c r="T541" s="965"/>
      <c r="U541" s="965"/>
      <c r="V541" s="965"/>
      <c r="W541" s="965"/>
      <c r="X541" s="965"/>
      <c r="Y541" s="965"/>
      <c r="Z541" s="965"/>
    </row>
    <row r="542">
      <c r="A542" s="965"/>
      <c r="B542" s="965"/>
      <c r="C542" s="965"/>
      <c r="D542" s="965"/>
      <c r="E542" s="965"/>
      <c r="F542" s="965"/>
      <c r="G542" s="965"/>
      <c r="H542" s="965"/>
      <c r="I542" s="965"/>
      <c r="J542" s="965"/>
      <c r="K542" s="965"/>
      <c r="L542" s="965"/>
      <c r="M542" s="965"/>
      <c r="N542" s="965"/>
      <c r="O542" s="965"/>
      <c r="P542" s="965"/>
      <c r="Q542" s="965"/>
      <c r="R542" s="965"/>
      <c r="S542" s="965"/>
      <c r="T542" s="965"/>
      <c r="U542" s="965"/>
      <c r="V542" s="965"/>
      <c r="W542" s="965"/>
      <c r="X542" s="965"/>
      <c r="Y542" s="965"/>
      <c r="Z542" s="965"/>
    </row>
    <row r="543">
      <c r="A543" s="965"/>
      <c r="B543" s="965"/>
      <c r="C543" s="965"/>
      <c r="D543" s="965"/>
      <c r="E543" s="965"/>
      <c r="F543" s="965"/>
      <c r="G543" s="965"/>
      <c r="H543" s="965"/>
      <c r="I543" s="965"/>
      <c r="J543" s="965"/>
      <c r="K543" s="965"/>
      <c r="L543" s="965"/>
      <c r="M543" s="965"/>
      <c r="N543" s="965"/>
      <c r="O543" s="965"/>
      <c r="P543" s="965"/>
      <c r="Q543" s="965"/>
      <c r="R543" s="965"/>
      <c r="S543" s="965"/>
      <c r="T543" s="965"/>
      <c r="U543" s="965"/>
      <c r="V543" s="965"/>
      <c r="W543" s="965"/>
      <c r="X543" s="965"/>
      <c r="Y543" s="965"/>
      <c r="Z543" s="965"/>
    </row>
    <row r="544">
      <c r="A544" s="965"/>
      <c r="B544" s="965"/>
      <c r="C544" s="965"/>
      <c r="D544" s="965"/>
      <c r="E544" s="965"/>
      <c r="F544" s="965"/>
      <c r="G544" s="965"/>
      <c r="H544" s="965"/>
      <c r="I544" s="965"/>
      <c r="J544" s="965"/>
      <c r="K544" s="965"/>
      <c r="L544" s="965"/>
      <c r="M544" s="965"/>
      <c r="N544" s="965"/>
      <c r="O544" s="965"/>
      <c r="P544" s="965"/>
      <c r="Q544" s="965"/>
      <c r="R544" s="965"/>
      <c r="S544" s="965"/>
      <c r="T544" s="965"/>
      <c r="U544" s="965"/>
      <c r="V544" s="965"/>
      <c r="W544" s="965"/>
      <c r="X544" s="965"/>
      <c r="Y544" s="965"/>
      <c r="Z544" s="965"/>
    </row>
    <row r="545">
      <c r="A545" s="965"/>
      <c r="B545" s="965"/>
      <c r="C545" s="965"/>
      <c r="D545" s="965"/>
      <c r="E545" s="965"/>
      <c r="F545" s="965"/>
      <c r="G545" s="965"/>
      <c r="H545" s="965"/>
      <c r="I545" s="965"/>
      <c r="J545" s="965"/>
      <c r="K545" s="965"/>
      <c r="L545" s="965"/>
      <c r="M545" s="965"/>
      <c r="N545" s="965"/>
      <c r="O545" s="965"/>
      <c r="P545" s="965"/>
      <c r="Q545" s="965"/>
      <c r="R545" s="965"/>
      <c r="S545" s="965"/>
      <c r="T545" s="965"/>
      <c r="U545" s="965"/>
      <c r="V545" s="965"/>
      <c r="W545" s="965"/>
      <c r="X545" s="965"/>
      <c r="Y545" s="965"/>
      <c r="Z545" s="965"/>
    </row>
    <row r="546">
      <c r="A546" s="965"/>
      <c r="B546" s="965"/>
      <c r="C546" s="965"/>
      <c r="D546" s="965"/>
      <c r="E546" s="965"/>
      <c r="F546" s="965"/>
      <c r="G546" s="965"/>
      <c r="H546" s="965"/>
      <c r="I546" s="965"/>
      <c r="J546" s="965"/>
      <c r="K546" s="965"/>
      <c r="L546" s="965"/>
      <c r="M546" s="965"/>
      <c r="N546" s="965"/>
      <c r="O546" s="965"/>
      <c r="P546" s="965"/>
      <c r="Q546" s="965"/>
      <c r="R546" s="965"/>
      <c r="S546" s="965"/>
      <c r="T546" s="965"/>
      <c r="U546" s="965"/>
      <c r="V546" s="965"/>
      <c r="W546" s="965"/>
      <c r="X546" s="965"/>
      <c r="Y546" s="965"/>
      <c r="Z546" s="965"/>
    </row>
    <row r="547">
      <c r="A547" s="965"/>
      <c r="B547" s="965"/>
      <c r="C547" s="965"/>
      <c r="D547" s="965"/>
      <c r="E547" s="965"/>
      <c r="F547" s="965"/>
      <c r="G547" s="965"/>
      <c r="H547" s="965"/>
      <c r="I547" s="965"/>
      <c r="J547" s="965"/>
      <c r="K547" s="965"/>
      <c r="L547" s="965"/>
      <c r="M547" s="965"/>
      <c r="N547" s="965"/>
      <c r="O547" s="965"/>
      <c r="P547" s="965"/>
      <c r="Q547" s="965"/>
      <c r="R547" s="965"/>
      <c r="S547" s="965"/>
      <c r="T547" s="965"/>
      <c r="U547" s="965"/>
      <c r="V547" s="965"/>
      <c r="W547" s="965"/>
      <c r="X547" s="965"/>
      <c r="Y547" s="965"/>
      <c r="Z547" s="965"/>
    </row>
    <row r="548">
      <c r="A548" s="965"/>
      <c r="B548" s="965"/>
      <c r="C548" s="965"/>
      <c r="D548" s="965"/>
      <c r="E548" s="965"/>
      <c r="F548" s="965"/>
      <c r="G548" s="965"/>
      <c r="H548" s="965"/>
      <c r="I548" s="965"/>
      <c r="J548" s="965"/>
      <c r="K548" s="965"/>
      <c r="L548" s="965"/>
      <c r="M548" s="965"/>
      <c r="N548" s="965"/>
      <c r="O548" s="965"/>
      <c r="P548" s="965"/>
      <c r="Q548" s="965"/>
      <c r="R548" s="965"/>
      <c r="S548" s="965"/>
      <c r="T548" s="965"/>
      <c r="U548" s="965"/>
      <c r="V548" s="965"/>
      <c r="W548" s="965"/>
      <c r="X548" s="965"/>
      <c r="Y548" s="965"/>
      <c r="Z548" s="965"/>
    </row>
    <row r="549">
      <c r="A549" s="965"/>
      <c r="B549" s="965"/>
      <c r="C549" s="965"/>
      <c r="D549" s="965"/>
      <c r="E549" s="965"/>
      <c r="F549" s="965"/>
      <c r="G549" s="965"/>
      <c r="H549" s="965"/>
      <c r="I549" s="965"/>
      <c r="J549" s="965"/>
      <c r="K549" s="965"/>
      <c r="L549" s="965"/>
      <c r="M549" s="965"/>
      <c r="N549" s="965"/>
      <c r="O549" s="965"/>
      <c r="P549" s="965"/>
      <c r="Q549" s="965"/>
      <c r="R549" s="965"/>
      <c r="S549" s="965"/>
      <c r="T549" s="965"/>
      <c r="U549" s="965"/>
      <c r="V549" s="965"/>
      <c r="W549" s="965"/>
      <c r="X549" s="965"/>
      <c r="Y549" s="965"/>
      <c r="Z549" s="965"/>
    </row>
    <row r="550">
      <c r="A550" s="965"/>
      <c r="B550" s="965"/>
      <c r="C550" s="965"/>
      <c r="D550" s="965"/>
      <c r="E550" s="965"/>
      <c r="F550" s="965"/>
      <c r="G550" s="965"/>
      <c r="H550" s="965"/>
      <c r="I550" s="965"/>
      <c r="J550" s="965"/>
      <c r="K550" s="965"/>
      <c r="L550" s="965"/>
      <c r="M550" s="965"/>
      <c r="N550" s="965"/>
      <c r="O550" s="965"/>
      <c r="P550" s="965"/>
      <c r="Q550" s="965"/>
      <c r="R550" s="965"/>
      <c r="S550" s="965"/>
      <c r="T550" s="965"/>
      <c r="U550" s="965"/>
      <c r="V550" s="965"/>
      <c r="W550" s="965"/>
      <c r="X550" s="965"/>
      <c r="Y550" s="965"/>
      <c r="Z550" s="965"/>
    </row>
    <row r="551">
      <c r="A551" s="965"/>
      <c r="B551" s="965"/>
      <c r="C551" s="965"/>
      <c r="D551" s="965"/>
      <c r="E551" s="965"/>
      <c r="F551" s="965"/>
      <c r="G551" s="965"/>
      <c r="H551" s="965"/>
      <c r="I551" s="965"/>
      <c r="J551" s="965"/>
      <c r="K551" s="965"/>
      <c r="L551" s="965"/>
      <c r="M551" s="965"/>
      <c r="N551" s="965"/>
      <c r="O551" s="965"/>
      <c r="P551" s="965"/>
      <c r="Q551" s="965"/>
      <c r="R551" s="965"/>
      <c r="S551" s="965"/>
      <c r="T551" s="965"/>
      <c r="U551" s="965"/>
      <c r="V551" s="965"/>
      <c r="W551" s="965"/>
      <c r="X551" s="965"/>
      <c r="Y551" s="965"/>
      <c r="Z551" s="965"/>
    </row>
    <row r="552">
      <c r="A552" s="965"/>
      <c r="B552" s="965"/>
      <c r="C552" s="965"/>
      <c r="D552" s="965"/>
      <c r="E552" s="965"/>
      <c r="F552" s="965"/>
      <c r="G552" s="965"/>
      <c r="H552" s="965"/>
      <c r="I552" s="965"/>
      <c r="J552" s="965"/>
      <c r="K552" s="965"/>
      <c r="L552" s="965"/>
      <c r="M552" s="965"/>
      <c r="N552" s="965"/>
      <c r="O552" s="965"/>
      <c r="P552" s="965"/>
      <c r="Q552" s="965"/>
      <c r="R552" s="965"/>
      <c r="S552" s="965"/>
      <c r="T552" s="965"/>
      <c r="U552" s="965"/>
      <c r="V552" s="965"/>
      <c r="W552" s="965"/>
      <c r="X552" s="965"/>
      <c r="Y552" s="965"/>
      <c r="Z552" s="965"/>
    </row>
    <row r="553">
      <c r="A553" s="965"/>
      <c r="B553" s="965"/>
      <c r="C553" s="965"/>
      <c r="D553" s="965"/>
      <c r="E553" s="965"/>
      <c r="F553" s="965"/>
      <c r="G553" s="965"/>
      <c r="H553" s="965"/>
      <c r="I553" s="965"/>
      <c r="J553" s="965"/>
      <c r="K553" s="965"/>
      <c r="L553" s="965"/>
      <c r="M553" s="965"/>
      <c r="N553" s="965"/>
      <c r="O553" s="965"/>
      <c r="P553" s="965"/>
      <c r="Q553" s="965"/>
      <c r="R553" s="965"/>
      <c r="S553" s="965"/>
      <c r="T553" s="965"/>
      <c r="U553" s="965"/>
      <c r="V553" s="965"/>
      <c r="W553" s="965"/>
      <c r="X553" s="965"/>
      <c r="Y553" s="965"/>
      <c r="Z553" s="965"/>
    </row>
    <row r="554">
      <c r="A554" s="965"/>
      <c r="B554" s="965"/>
      <c r="C554" s="965"/>
      <c r="D554" s="965"/>
      <c r="E554" s="965"/>
      <c r="F554" s="965"/>
      <c r="G554" s="965"/>
      <c r="H554" s="965"/>
      <c r="I554" s="965"/>
      <c r="J554" s="965"/>
      <c r="K554" s="965"/>
      <c r="L554" s="965"/>
      <c r="M554" s="965"/>
      <c r="N554" s="965"/>
      <c r="O554" s="965"/>
      <c r="P554" s="965"/>
      <c r="Q554" s="965"/>
      <c r="R554" s="965"/>
      <c r="S554" s="965"/>
      <c r="T554" s="965"/>
      <c r="U554" s="965"/>
      <c r="V554" s="965"/>
      <c r="W554" s="965"/>
      <c r="X554" s="965"/>
      <c r="Y554" s="965"/>
      <c r="Z554" s="965"/>
    </row>
    <row r="555">
      <c r="A555" s="965"/>
      <c r="B555" s="965"/>
      <c r="C555" s="965"/>
      <c r="D555" s="965"/>
      <c r="E555" s="965"/>
      <c r="F555" s="965"/>
      <c r="G555" s="965"/>
      <c r="H555" s="965"/>
      <c r="I555" s="965"/>
      <c r="J555" s="965"/>
      <c r="K555" s="965"/>
      <c r="L555" s="965"/>
      <c r="M555" s="965"/>
      <c r="N555" s="965"/>
      <c r="O555" s="965"/>
      <c r="P555" s="965"/>
      <c r="Q555" s="965"/>
      <c r="R555" s="965"/>
      <c r="S555" s="965"/>
      <c r="T555" s="965"/>
      <c r="U555" s="965"/>
      <c r="V555" s="965"/>
      <c r="W555" s="965"/>
      <c r="X555" s="965"/>
      <c r="Y555" s="965"/>
      <c r="Z555" s="965"/>
    </row>
    <row r="556">
      <c r="A556" s="965"/>
      <c r="B556" s="965"/>
      <c r="C556" s="965"/>
      <c r="D556" s="965"/>
      <c r="E556" s="965"/>
      <c r="F556" s="965"/>
      <c r="G556" s="965"/>
      <c r="H556" s="965"/>
      <c r="I556" s="965"/>
      <c r="J556" s="965"/>
      <c r="K556" s="965"/>
      <c r="L556" s="965"/>
      <c r="M556" s="965"/>
      <c r="N556" s="965"/>
      <c r="O556" s="965"/>
      <c r="P556" s="965"/>
      <c r="Q556" s="965"/>
      <c r="R556" s="965"/>
      <c r="S556" s="965"/>
      <c r="T556" s="965"/>
      <c r="U556" s="965"/>
      <c r="V556" s="965"/>
      <c r="W556" s="965"/>
      <c r="X556" s="965"/>
      <c r="Y556" s="965"/>
      <c r="Z556" s="965"/>
    </row>
    <row r="557">
      <c r="A557" s="965"/>
      <c r="B557" s="965"/>
      <c r="C557" s="965"/>
      <c r="D557" s="965"/>
      <c r="E557" s="965"/>
      <c r="F557" s="965"/>
      <c r="G557" s="965"/>
      <c r="H557" s="965"/>
      <c r="I557" s="965"/>
      <c r="J557" s="965"/>
      <c r="K557" s="965"/>
      <c r="L557" s="965"/>
      <c r="M557" s="965"/>
      <c r="N557" s="965"/>
      <c r="O557" s="965"/>
      <c r="P557" s="965"/>
      <c r="Q557" s="965"/>
      <c r="R557" s="965"/>
      <c r="S557" s="965"/>
      <c r="T557" s="965"/>
      <c r="U557" s="965"/>
      <c r="V557" s="965"/>
      <c r="W557" s="965"/>
      <c r="X557" s="965"/>
      <c r="Y557" s="965"/>
      <c r="Z557" s="965"/>
    </row>
    <row r="558">
      <c r="A558" s="965"/>
      <c r="B558" s="965"/>
      <c r="C558" s="965"/>
      <c r="D558" s="965"/>
      <c r="E558" s="965"/>
      <c r="F558" s="965"/>
      <c r="G558" s="965"/>
      <c r="H558" s="965"/>
      <c r="I558" s="965"/>
      <c r="J558" s="965"/>
      <c r="K558" s="965"/>
      <c r="L558" s="965"/>
      <c r="M558" s="965"/>
      <c r="N558" s="965"/>
      <c r="O558" s="965"/>
      <c r="P558" s="965"/>
      <c r="Q558" s="965"/>
      <c r="R558" s="965"/>
      <c r="S558" s="965"/>
      <c r="T558" s="965"/>
      <c r="U558" s="965"/>
      <c r="V558" s="965"/>
      <c r="W558" s="965"/>
      <c r="X558" s="965"/>
      <c r="Y558" s="965"/>
      <c r="Z558" s="965"/>
    </row>
    <row r="559">
      <c r="A559" s="965"/>
      <c r="B559" s="965"/>
      <c r="C559" s="965"/>
      <c r="D559" s="965"/>
      <c r="E559" s="965"/>
      <c r="F559" s="965"/>
      <c r="G559" s="965"/>
      <c r="H559" s="965"/>
      <c r="I559" s="965"/>
      <c r="J559" s="965"/>
      <c r="K559" s="965"/>
      <c r="L559" s="965"/>
      <c r="M559" s="965"/>
      <c r="N559" s="965"/>
      <c r="O559" s="965"/>
      <c r="P559" s="965"/>
      <c r="Q559" s="965"/>
      <c r="R559" s="965"/>
      <c r="S559" s="965"/>
      <c r="T559" s="965"/>
      <c r="U559" s="965"/>
      <c r="V559" s="965"/>
      <c r="W559" s="965"/>
      <c r="X559" s="965"/>
      <c r="Y559" s="965"/>
      <c r="Z559" s="965"/>
    </row>
    <row r="560">
      <c r="A560" s="965"/>
      <c r="B560" s="965"/>
      <c r="C560" s="965"/>
      <c r="D560" s="965"/>
      <c r="E560" s="965"/>
      <c r="F560" s="965"/>
      <c r="G560" s="965"/>
      <c r="H560" s="965"/>
      <c r="I560" s="965"/>
      <c r="J560" s="965"/>
      <c r="K560" s="965"/>
      <c r="L560" s="965"/>
      <c r="M560" s="965"/>
      <c r="N560" s="965"/>
      <c r="O560" s="965"/>
      <c r="P560" s="965"/>
      <c r="Q560" s="965"/>
      <c r="R560" s="965"/>
      <c r="S560" s="965"/>
      <c r="T560" s="965"/>
      <c r="U560" s="965"/>
      <c r="V560" s="965"/>
      <c r="W560" s="965"/>
      <c r="X560" s="965"/>
      <c r="Y560" s="965"/>
      <c r="Z560" s="965"/>
    </row>
    <row r="561">
      <c r="A561" s="965"/>
      <c r="B561" s="965"/>
      <c r="C561" s="965"/>
      <c r="D561" s="965"/>
      <c r="E561" s="965"/>
      <c r="F561" s="965"/>
      <c r="G561" s="965"/>
      <c r="H561" s="965"/>
      <c r="I561" s="965"/>
      <c r="J561" s="965"/>
      <c r="K561" s="965"/>
      <c r="L561" s="965"/>
      <c r="M561" s="965"/>
      <c r="N561" s="965"/>
      <c r="O561" s="965"/>
      <c r="P561" s="965"/>
      <c r="Q561" s="965"/>
      <c r="R561" s="965"/>
      <c r="S561" s="965"/>
      <c r="T561" s="965"/>
      <c r="U561" s="965"/>
      <c r="V561" s="965"/>
      <c r="W561" s="965"/>
      <c r="X561" s="965"/>
      <c r="Y561" s="965"/>
      <c r="Z561" s="965"/>
    </row>
    <row r="562">
      <c r="A562" s="965"/>
      <c r="B562" s="965"/>
      <c r="C562" s="965"/>
      <c r="D562" s="965"/>
      <c r="E562" s="965"/>
      <c r="F562" s="965"/>
      <c r="G562" s="965"/>
      <c r="H562" s="965"/>
      <c r="I562" s="965"/>
      <c r="J562" s="965"/>
      <c r="K562" s="965"/>
      <c r="L562" s="965"/>
      <c r="M562" s="965"/>
      <c r="N562" s="965"/>
      <c r="O562" s="965"/>
      <c r="P562" s="965"/>
      <c r="Q562" s="965"/>
      <c r="R562" s="965"/>
      <c r="S562" s="965"/>
      <c r="T562" s="965"/>
      <c r="U562" s="965"/>
      <c r="V562" s="965"/>
      <c r="W562" s="965"/>
      <c r="X562" s="965"/>
      <c r="Y562" s="965"/>
      <c r="Z562" s="965"/>
    </row>
    <row r="563">
      <c r="A563" s="965"/>
      <c r="B563" s="965"/>
      <c r="C563" s="965"/>
      <c r="D563" s="965"/>
      <c r="E563" s="965"/>
      <c r="F563" s="965"/>
      <c r="G563" s="965"/>
      <c r="H563" s="965"/>
      <c r="I563" s="965"/>
      <c r="J563" s="965"/>
      <c r="K563" s="965"/>
      <c r="L563" s="965"/>
      <c r="M563" s="965"/>
      <c r="N563" s="965"/>
      <c r="O563" s="965"/>
      <c r="P563" s="965"/>
      <c r="Q563" s="965"/>
      <c r="R563" s="965"/>
      <c r="S563" s="965"/>
      <c r="T563" s="965"/>
      <c r="U563" s="965"/>
      <c r="V563" s="965"/>
      <c r="W563" s="965"/>
      <c r="X563" s="965"/>
      <c r="Y563" s="965"/>
      <c r="Z563" s="965"/>
    </row>
    <row r="564">
      <c r="A564" s="965"/>
      <c r="B564" s="965"/>
      <c r="C564" s="965"/>
      <c r="D564" s="965"/>
      <c r="E564" s="965"/>
      <c r="F564" s="965"/>
      <c r="G564" s="965"/>
      <c r="H564" s="965"/>
      <c r="I564" s="965"/>
      <c r="J564" s="965"/>
      <c r="K564" s="965"/>
      <c r="L564" s="965"/>
      <c r="M564" s="965"/>
      <c r="N564" s="965"/>
      <c r="O564" s="965"/>
      <c r="P564" s="965"/>
      <c r="Q564" s="965"/>
      <c r="R564" s="965"/>
      <c r="S564" s="965"/>
      <c r="T564" s="965"/>
      <c r="U564" s="965"/>
      <c r="V564" s="965"/>
      <c r="W564" s="965"/>
      <c r="X564" s="965"/>
      <c r="Y564" s="965"/>
      <c r="Z564" s="965"/>
    </row>
    <row r="565">
      <c r="A565" s="965"/>
      <c r="B565" s="965"/>
      <c r="C565" s="965"/>
      <c r="D565" s="965"/>
      <c r="E565" s="965"/>
      <c r="F565" s="965"/>
      <c r="G565" s="965"/>
      <c r="H565" s="965"/>
      <c r="I565" s="965"/>
      <c r="J565" s="965"/>
      <c r="K565" s="965"/>
      <c r="L565" s="965"/>
      <c r="M565" s="965"/>
      <c r="N565" s="965"/>
      <c r="O565" s="965"/>
      <c r="P565" s="965"/>
      <c r="Q565" s="965"/>
      <c r="R565" s="965"/>
      <c r="S565" s="965"/>
      <c r="T565" s="965"/>
      <c r="U565" s="965"/>
      <c r="V565" s="965"/>
      <c r="W565" s="965"/>
      <c r="X565" s="965"/>
      <c r="Y565" s="965"/>
      <c r="Z565" s="965"/>
    </row>
    <row r="566">
      <c r="A566" s="965"/>
      <c r="B566" s="965"/>
      <c r="C566" s="965"/>
      <c r="D566" s="965"/>
      <c r="E566" s="965"/>
      <c r="F566" s="965"/>
      <c r="G566" s="965"/>
      <c r="H566" s="965"/>
      <c r="I566" s="965"/>
      <c r="J566" s="965"/>
      <c r="K566" s="965"/>
      <c r="L566" s="965"/>
      <c r="M566" s="965"/>
      <c r="N566" s="965"/>
      <c r="O566" s="965"/>
      <c r="P566" s="965"/>
      <c r="Q566" s="965"/>
      <c r="R566" s="965"/>
      <c r="S566" s="965"/>
      <c r="T566" s="965"/>
      <c r="U566" s="965"/>
      <c r="V566" s="965"/>
      <c r="W566" s="965"/>
      <c r="X566" s="965"/>
      <c r="Y566" s="965"/>
      <c r="Z566" s="965"/>
    </row>
    <row r="567">
      <c r="A567" s="965"/>
      <c r="B567" s="965"/>
      <c r="C567" s="965"/>
      <c r="D567" s="965"/>
      <c r="E567" s="965"/>
      <c r="F567" s="965"/>
      <c r="G567" s="965"/>
      <c r="H567" s="965"/>
      <c r="I567" s="965"/>
      <c r="J567" s="965"/>
      <c r="K567" s="965"/>
      <c r="L567" s="965"/>
      <c r="M567" s="965"/>
      <c r="N567" s="965"/>
      <c r="O567" s="965"/>
      <c r="P567" s="965"/>
      <c r="Q567" s="965"/>
      <c r="R567" s="965"/>
      <c r="S567" s="965"/>
      <c r="T567" s="965"/>
      <c r="U567" s="965"/>
      <c r="V567" s="965"/>
      <c r="W567" s="965"/>
      <c r="X567" s="965"/>
      <c r="Y567" s="965"/>
      <c r="Z567" s="965"/>
    </row>
    <row r="568">
      <c r="A568" s="965"/>
      <c r="B568" s="965"/>
      <c r="C568" s="965"/>
      <c r="D568" s="965"/>
      <c r="E568" s="965"/>
      <c r="F568" s="965"/>
      <c r="G568" s="965"/>
      <c r="H568" s="965"/>
      <c r="I568" s="965"/>
      <c r="J568" s="965"/>
      <c r="K568" s="965"/>
      <c r="L568" s="965"/>
      <c r="M568" s="965"/>
      <c r="N568" s="965"/>
      <c r="O568" s="965"/>
      <c r="P568" s="965"/>
      <c r="Q568" s="965"/>
      <c r="R568" s="965"/>
      <c r="S568" s="965"/>
      <c r="T568" s="965"/>
      <c r="U568" s="965"/>
      <c r="V568" s="965"/>
      <c r="W568" s="965"/>
      <c r="X568" s="965"/>
      <c r="Y568" s="965"/>
      <c r="Z568" s="965"/>
    </row>
    <row r="569">
      <c r="A569" s="965"/>
      <c r="B569" s="965"/>
      <c r="C569" s="965"/>
      <c r="D569" s="965"/>
      <c r="E569" s="965"/>
      <c r="F569" s="965"/>
      <c r="G569" s="965"/>
      <c r="H569" s="965"/>
      <c r="I569" s="965"/>
      <c r="J569" s="965"/>
      <c r="K569" s="965"/>
      <c r="L569" s="965"/>
      <c r="M569" s="965"/>
      <c r="N569" s="965"/>
      <c r="O569" s="965"/>
      <c r="P569" s="965"/>
      <c r="Q569" s="965"/>
      <c r="R569" s="965"/>
      <c r="S569" s="965"/>
      <c r="T569" s="965"/>
      <c r="U569" s="965"/>
      <c r="V569" s="965"/>
      <c r="W569" s="965"/>
      <c r="X569" s="965"/>
      <c r="Y569" s="965"/>
      <c r="Z569" s="965"/>
    </row>
    <row r="570">
      <c r="A570" s="965"/>
      <c r="B570" s="965"/>
      <c r="C570" s="965"/>
      <c r="D570" s="965"/>
      <c r="E570" s="965"/>
      <c r="F570" s="965"/>
      <c r="G570" s="965"/>
      <c r="H570" s="965"/>
      <c r="I570" s="965"/>
      <c r="J570" s="965"/>
      <c r="K570" s="965"/>
      <c r="L570" s="965"/>
      <c r="M570" s="965"/>
      <c r="N570" s="965"/>
      <c r="O570" s="965"/>
      <c r="P570" s="965"/>
      <c r="Q570" s="965"/>
      <c r="R570" s="965"/>
      <c r="S570" s="965"/>
      <c r="T570" s="965"/>
      <c r="U570" s="965"/>
      <c r="V570" s="965"/>
      <c r="W570" s="965"/>
      <c r="X570" s="965"/>
      <c r="Y570" s="965"/>
      <c r="Z570" s="965"/>
    </row>
    <row r="571">
      <c r="A571" s="965"/>
      <c r="B571" s="965"/>
      <c r="C571" s="965"/>
      <c r="D571" s="965"/>
      <c r="E571" s="965"/>
      <c r="F571" s="965"/>
      <c r="G571" s="965"/>
      <c r="H571" s="965"/>
      <c r="I571" s="965"/>
      <c r="J571" s="965"/>
      <c r="K571" s="965"/>
      <c r="L571" s="965"/>
      <c r="M571" s="965"/>
      <c r="N571" s="965"/>
      <c r="O571" s="965"/>
      <c r="P571" s="965"/>
      <c r="Q571" s="965"/>
      <c r="R571" s="965"/>
      <c r="S571" s="965"/>
      <c r="T571" s="965"/>
      <c r="U571" s="965"/>
      <c r="V571" s="965"/>
      <c r="W571" s="965"/>
      <c r="X571" s="965"/>
      <c r="Y571" s="965"/>
      <c r="Z571" s="965"/>
    </row>
    <row r="572">
      <c r="A572" s="965"/>
      <c r="B572" s="965"/>
      <c r="C572" s="965"/>
      <c r="D572" s="965"/>
      <c r="E572" s="965"/>
      <c r="F572" s="965"/>
      <c r="G572" s="965"/>
      <c r="H572" s="965"/>
      <c r="I572" s="965"/>
      <c r="J572" s="965"/>
      <c r="K572" s="965"/>
      <c r="L572" s="965"/>
      <c r="M572" s="965"/>
      <c r="N572" s="965"/>
      <c r="O572" s="965"/>
      <c r="P572" s="965"/>
      <c r="Q572" s="965"/>
      <c r="R572" s="965"/>
      <c r="S572" s="965"/>
      <c r="T572" s="965"/>
      <c r="U572" s="965"/>
      <c r="V572" s="965"/>
      <c r="W572" s="965"/>
      <c r="X572" s="965"/>
      <c r="Y572" s="965"/>
      <c r="Z572" s="965"/>
    </row>
    <row r="573">
      <c r="A573" s="965"/>
      <c r="B573" s="965"/>
      <c r="C573" s="965"/>
      <c r="D573" s="965"/>
      <c r="E573" s="965"/>
      <c r="F573" s="965"/>
      <c r="G573" s="965"/>
      <c r="H573" s="965"/>
      <c r="I573" s="965"/>
      <c r="J573" s="965"/>
      <c r="K573" s="965"/>
      <c r="L573" s="965"/>
      <c r="M573" s="965"/>
      <c r="N573" s="965"/>
      <c r="O573" s="965"/>
      <c r="P573" s="965"/>
      <c r="Q573" s="965"/>
      <c r="R573" s="965"/>
      <c r="S573" s="965"/>
      <c r="T573" s="965"/>
      <c r="U573" s="965"/>
      <c r="V573" s="965"/>
      <c r="W573" s="965"/>
      <c r="X573" s="965"/>
      <c r="Y573" s="965"/>
      <c r="Z573" s="965"/>
    </row>
    <row r="574">
      <c r="A574" s="965"/>
      <c r="B574" s="965"/>
      <c r="C574" s="965"/>
      <c r="D574" s="965"/>
      <c r="E574" s="965"/>
      <c r="F574" s="965"/>
      <c r="G574" s="965"/>
      <c r="H574" s="965"/>
      <c r="I574" s="965"/>
      <c r="J574" s="965"/>
      <c r="K574" s="965"/>
      <c r="L574" s="965"/>
      <c r="M574" s="965"/>
      <c r="N574" s="965"/>
      <c r="O574" s="965"/>
      <c r="P574" s="965"/>
      <c r="Q574" s="965"/>
      <c r="R574" s="965"/>
      <c r="S574" s="965"/>
      <c r="T574" s="965"/>
      <c r="U574" s="965"/>
      <c r="V574" s="965"/>
      <c r="W574" s="965"/>
      <c r="X574" s="965"/>
      <c r="Y574" s="965"/>
      <c r="Z574" s="965"/>
    </row>
    <row r="575">
      <c r="A575" s="965"/>
      <c r="B575" s="965"/>
      <c r="C575" s="965"/>
      <c r="D575" s="965"/>
      <c r="E575" s="965"/>
      <c r="F575" s="965"/>
      <c r="G575" s="965"/>
      <c r="H575" s="965"/>
      <c r="I575" s="965"/>
      <c r="J575" s="965"/>
      <c r="K575" s="965"/>
      <c r="L575" s="965"/>
      <c r="M575" s="965"/>
      <c r="N575" s="965"/>
      <c r="O575" s="965"/>
      <c r="P575" s="965"/>
      <c r="Q575" s="965"/>
      <c r="R575" s="965"/>
      <c r="S575" s="965"/>
      <c r="T575" s="965"/>
      <c r="U575" s="965"/>
      <c r="V575" s="965"/>
      <c r="W575" s="965"/>
      <c r="X575" s="965"/>
      <c r="Y575" s="965"/>
      <c r="Z575" s="965"/>
    </row>
    <row r="576">
      <c r="A576" s="965"/>
      <c r="B576" s="965"/>
      <c r="C576" s="965"/>
      <c r="D576" s="965"/>
      <c r="E576" s="965"/>
      <c r="F576" s="965"/>
      <c r="G576" s="965"/>
      <c r="H576" s="965"/>
      <c r="I576" s="965"/>
      <c r="J576" s="965"/>
      <c r="K576" s="965"/>
      <c r="L576" s="965"/>
      <c r="M576" s="965"/>
      <c r="N576" s="965"/>
      <c r="O576" s="965"/>
      <c r="P576" s="965"/>
      <c r="Q576" s="965"/>
      <c r="R576" s="965"/>
      <c r="S576" s="965"/>
      <c r="T576" s="965"/>
      <c r="U576" s="965"/>
      <c r="V576" s="965"/>
      <c r="W576" s="965"/>
      <c r="X576" s="965"/>
      <c r="Y576" s="965"/>
      <c r="Z576" s="965"/>
    </row>
    <row r="577">
      <c r="A577" s="965"/>
      <c r="B577" s="965"/>
      <c r="C577" s="965"/>
      <c r="D577" s="965"/>
      <c r="E577" s="965"/>
      <c r="F577" s="965"/>
      <c r="G577" s="965"/>
      <c r="H577" s="965"/>
      <c r="I577" s="965"/>
      <c r="J577" s="965"/>
      <c r="K577" s="965"/>
      <c r="L577" s="965"/>
      <c r="M577" s="965"/>
      <c r="N577" s="965"/>
      <c r="O577" s="965"/>
      <c r="P577" s="965"/>
      <c r="Q577" s="965"/>
      <c r="R577" s="965"/>
      <c r="S577" s="965"/>
      <c r="T577" s="965"/>
      <c r="U577" s="965"/>
      <c r="V577" s="965"/>
      <c r="W577" s="965"/>
      <c r="X577" s="965"/>
      <c r="Y577" s="965"/>
      <c r="Z577" s="965"/>
    </row>
    <row r="578">
      <c r="A578" s="965"/>
      <c r="B578" s="965"/>
      <c r="C578" s="965"/>
      <c r="D578" s="965"/>
      <c r="E578" s="965"/>
      <c r="F578" s="965"/>
      <c r="G578" s="965"/>
      <c r="H578" s="965"/>
      <c r="I578" s="965"/>
      <c r="J578" s="965"/>
      <c r="K578" s="965"/>
      <c r="L578" s="965"/>
      <c r="M578" s="965"/>
      <c r="N578" s="965"/>
      <c r="O578" s="965"/>
      <c r="P578" s="965"/>
      <c r="Q578" s="965"/>
      <c r="R578" s="965"/>
      <c r="S578" s="965"/>
      <c r="T578" s="965"/>
      <c r="U578" s="965"/>
      <c r="V578" s="965"/>
      <c r="W578" s="965"/>
      <c r="X578" s="965"/>
      <c r="Y578" s="965"/>
      <c r="Z578" s="965"/>
    </row>
    <row r="579">
      <c r="A579" s="965"/>
      <c r="B579" s="965"/>
      <c r="C579" s="965"/>
      <c r="D579" s="965"/>
      <c r="E579" s="965"/>
      <c r="F579" s="965"/>
      <c r="G579" s="965"/>
      <c r="H579" s="965"/>
      <c r="I579" s="965"/>
      <c r="J579" s="965"/>
      <c r="K579" s="965"/>
      <c r="L579" s="965"/>
      <c r="M579" s="965"/>
      <c r="N579" s="965"/>
      <c r="O579" s="965"/>
      <c r="P579" s="965"/>
      <c r="Q579" s="965"/>
      <c r="R579" s="965"/>
      <c r="S579" s="965"/>
      <c r="T579" s="965"/>
      <c r="U579" s="965"/>
      <c r="V579" s="965"/>
      <c r="W579" s="965"/>
      <c r="X579" s="965"/>
      <c r="Y579" s="965"/>
      <c r="Z579" s="965"/>
    </row>
    <row r="580">
      <c r="A580" s="965"/>
      <c r="B580" s="965"/>
      <c r="C580" s="965"/>
      <c r="D580" s="965"/>
      <c r="E580" s="965"/>
      <c r="F580" s="965"/>
      <c r="G580" s="965"/>
      <c r="H580" s="965"/>
      <c r="I580" s="965"/>
      <c r="J580" s="965"/>
      <c r="K580" s="965"/>
      <c r="L580" s="965"/>
      <c r="M580" s="965"/>
      <c r="N580" s="965"/>
      <c r="O580" s="965"/>
      <c r="P580" s="965"/>
      <c r="Q580" s="965"/>
      <c r="R580" s="965"/>
      <c r="S580" s="965"/>
      <c r="T580" s="965"/>
      <c r="U580" s="965"/>
      <c r="V580" s="965"/>
      <c r="W580" s="965"/>
      <c r="X580" s="965"/>
      <c r="Y580" s="965"/>
      <c r="Z580" s="965"/>
    </row>
    <row r="581">
      <c r="A581" s="965"/>
      <c r="B581" s="965"/>
      <c r="C581" s="965"/>
      <c r="D581" s="965"/>
      <c r="E581" s="965"/>
      <c r="F581" s="965"/>
      <c r="G581" s="965"/>
      <c r="H581" s="965"/>
      <c r="I581" s="965"/>
      <c r="J581" s="965"/>
      <c r="K581" s="965"/>
      <c r="L581" s="965"/>
      <c r="M581" s="965"/>
      <c r="N581" s="965"/>
      <c r="O581" s="965"/>
      <c r="P581" s="965"/>
      <c r="Q581" s="965"/>
      <c r="R581" s="965"/>
      <c r="S581" s="965"/>
      <c r="T581" s="965"/>
      <c r="U581" s="965"/>
      <c r="V581" s="965"/>
      <c r="W581" s="965"/>
      <c r="X581" s="965"/>
      <c r="Y581" s="965"/>
      <c r="Z581" s="965"/>
    </row>
    <row r="582">
      <c r="A582" s="965"/>
      <c r="B582" s="965"/>
      <c r="C582" s="965"/>
      <c r="D582" s="965"/>
      <c r="E582" s="965"/>
      <c r="F582" s="965"/>
      <c r="G582" s="965"/>
      <c r="H582" s="965"/>
      <c r="I582" s="965"/>
      <c r="J582" s="965"/>
      <c r="K582" s="965"/>
      <c r="L582" s="965"/>
      <c r="M582" s="965"/>
      <c r="N582" s="965"/>
      <c r="O582" s="965"/>
      <c r="P582" s="965"/>
      <c r="Q582" s="965"/>
      <c r="R582" s="965"/>
      <c r="S582" s="965"/>
      <c r="T582" s="965"/>
      <c r="U582" s="965"/>
      <c r="V582" s="965"/>
      <c r="W582" s="965"/>
      <c r="X582" s="965"/>
      <c r="Y582" s="965"/>
      <c r="Z582" s="965"/>
    </row>
    <row r="583">
      <c r="A583" s="965"/>
      <c r="B583" s="965"/>
      <c r="C583" s="965"/>
      <c r="D583" s="965"/>
      <c r="E583" s="965"/>
      <c r="F583" s="965"/>
      <c r="G583" s="965"/>
      <c r="H583" s="965"/>
      <c r="I583" s="965"/>
      <c r="J583" s="965"/>
      <c r="K583" s="965"/>
      <c r="L583" s="965"/>
      <c r="M583" s="965"/>
      <c r="N583" s="965"/>
      <c r="O583" s="965"/>
      <c r="P583" s="965"/>
      <c r="Q583" s="965"/>
      <c r="R583" s="965"/>
      <c r="S583" s="965"/>
      <c r="T583" s="965"/>
      <c r="U583" s="965"/>
      <c r="V583" s="965"/>
      <c r="W583" s="965"/>
      <c r="X583" s="965"/>
      <c r="Y583" s="965"/>
      <c r="Z583" s="965"/>
    </row>
    <row r="584">
      <c r="A584" s="965"/>
      <c r="B584" s="965"/>
      <c r="C584" s="965"/>
      <c r="D584" s="965"/>
      <c r="E584" s="965"/>
      <c r="F584" s="965"/>
      <c r="G584" s="965"/>
      <c r="H584" s="965"/>
      <c r="I584" s="965"/>
      <c r="J584" s="965"/>
      <c r="K584" s="965"/>
      <c r="L584" s="965"/>
      <c r="M584" s="965"/>
      <c r="N584" s="965"/>
      <c r="O584" s="965"/>
      <c r="P584" s="965"/>
      <c r="Q584" s="965"/>
      <c r="R584" s="965"/>
      <c r="S584" s="965"/>
      <c r="T584" s="965"/>
      <c r="U584" s="965"/>
      <c r="V584" s="965"/>
      <c r="W584" s="965"/>
      <c r="X584" s="965"/>
      <c r="Y584" s="965"/>
      <c r="Z584" s="965"/>
    </row>
    <row r="585">
      <c r="A585" s="965"/>
      <c r="B585" s="965"/>
      <c r="C585" s="965"/>
      <c r="D585" s="965"/>
      <c r="E585" s="965"/>
      <c r="F585" s="965"/>
      <c r="G585" s="965"/>
      <c r="H585" s="965"/>
      <c r="I585" s="965"/>
      <c r="J585" s="965"/>
      <c r="K585" s="965"/>
      <c r="L585" s="965"/>
      <c r="M585" s="965"/>
      <c r="N585" s="965"/>
      <c r="O585" s="965"/>
      <c r="P585" s="965"/>
      <c r="Q585" s="965"/>
      <c r="R585" s="965"/>
      <c r="S585" s="965"/>
      <c r="T585" s="965"/>
      <c r="U585" s="965"/>
      <c r="V585" s="965"/>
      <c r="W585" s="965"/>
      <c r="X585" s="965"/>
      <c r="Y585" s="965"/>
      <c r="Z585" s="965"/>
    </row>
    <row r="586">
      <c r="A586" s="965"/>
      <c r="B586" s="965"/>
      <c r="C586" s="965"/>
      <c r="D586" s="965"/>
      <c r="E586" s="965"/>
      <c r="F586" s="965"/>
      <c r="G586" s="965"/>
      <c r="H586" s="965"/>
      <c r="I586" s="965"/>
      <c r="J586" s="965"/>
      <c r="K586" s="965"/>
      <c r="L586" s="965"/>
      <c r="M586" s="965"/>
      <c r="N586" s="965"/>
      <c r="O586" s="965"/>
      <c r="P586" s="965"/>
      <c r="Q586" s="965"/>
      <c r="R586" s="965"/>
      <c r="S586" s="965"/>
      <c r="T586" s="965"/>
      <c r="U586" s="965"/>
      <c r="V586" s="965"/>
      <c r="W586" s="965"/>
      <c r="X586" s="965"/>
      <c r="Y586" s="965"/>
      <c r="Z586" s="965"/>
    </row>
    <row r="587">
      <c r="A587" s="965"/>
      <c r="B587" s="965"/>
      <c r="C587" s="965"/>
      <c r="D587" s="965"/>
      <c r="E587" s="965"/>
      <c r="F587" s="965"/>
      <c r="G587" s="965"/>
      <c r="H587" s="965"/>
      <c r="I587" s="965"/>
      <c r="J587" s="965"/>
      <c r="K587" s="965"/>
      <c r="L587" s="965"/>
      <c r="M587" s="965"/>
      <c r="N587" s="965"/>
      <c r="O587" s="965"/>
      <c r="P587" s="965"/>
      <c r="Q587" s="965"/>
      <c r="R587" s="965"/>
      <c r="S587" s="965"/>
      <c r="T587" s="965"/>
      <c r="U587" s="965"/>
      <c r="V587" s="965"/>
      <c r="W587" s="965"/>
      <c r="X587" s="965"/>
      <c r="Y587" s="965"/>
      <c r="Z587" s="965"/>
    </row>
    <row r="588">
      <c r="A588" s="965"/>
      <c r="B588" s="965"/>
      <c r="C588" s="965"/>
      <c r="D588" s="965"/>
      <c r="E588" s="965"/>
      <c r="F588" s="965"/>
      <c r="G588" s="965"/>
      <c r="H588" s="965"/>
      <c r="I588" s="965"/>
      <c r="J588" s="965"/>
      <c r="K588" s="965"/>
      <c r="L588" s="965"/>
      <c r="M588" s="965"/>
      <c r="N588" s="965"/>
      <c r="O588" s="965"/>
      <c r="P588" s="965"/>
      <c r="Q588" s="965"/>
      <c r="R588" s="965"/>
      <c r="S588" s="965"/>
      <c r="T588" s="965"/>
      <c r="U588" s="965"/>
      <c r="V588" s="965"/>
      <c r="W588" s="965"/>
      <c r="X588" s="965"/>
      <c r="Y588" s="965"/>
      <c r="Z588" s="965"/>
    </row>
    <row r="589">
      <c r="A589" s="965"/>
      <c r="B589" s="965"/>
      <c r="C589" s="965"/>
      <c r="D589" s="965"/>
      <c r="E589" s="965"/>
      <c r="F589" s="965"/>
      <c r="G589" s="965"/>
      <c r="H589" s="965"/>
      <c r="I589" s="965"/>
      <c r="J589" s="965"/>
      <c r="K589" s="965"/>
      <c r="L589" s="965"/>
      <c r="M589" s="965"/>
      <c r="N589" s="965"/>
      <c r="O589" s="965"/>
      <c r="P589" s="965"/>
      <c r="Q589" s="965"/>
      <c r="R589" s="965"/>
      <c r="S589" s="965"/>
      <c r="T589" s="965"/>
      <c r="U589" s="965"/>
      <c r="V589" s="965"/>
      <c r="W589" s="965"/>
      <c r="X589" s="965"/>
      <c r="Y589" s="965"/>
      <c r="Z589" s="965"/>
    </row>
    <row r="590">
      <c r="A590" s="965"/>
      <c r="B590" s="965"/>
      <c r="C590" s="965"/>
      <c r="D590" s="965"/>
      <c r="E590" s="965"/>
      <c r="F590" s="965"/>
      <c r="G590" s="965"/>
      <c r="H590" s="965"/>
      <c r="I590" s="965"/>
      <c r="J590" s="965"/>
      <c r="K590" s="965"/>
      <c r="L590" s="965"/>
      <c r="M590" s="965"/>
      <c r="N590" s="965"/>
      <c r="O590" s="965"/>
      <c r="P590" s="965"/>
      <c r="Q590" s="965"/>
      <c r="R590" s="965"/>
      <c r="S590" s="965"/>
      <c r="T590" s="965"/>
      <c r="U590" s="965"/>
      <c r="V590" s="965"/>
      <c r="W590" s="965"/>
      <c r="X590" s="965"/>
      <c r="Y590" s="965"/>
      <c r="Z590" s="965"/>
    </row>
    <row r="591">
      <c r="A591" s="965"/>
      <c r="B591" s="965"/>
      <c r="C591" s="965"/>
      <c r="D591" s="965"/>
      <c r="E591" s="965"/>
      <c r="F591" s="965"/>
      <c r="G591" s="965"/>
      <c r="H591" s="965"/>
      <c r="I591" s="965"/>
      <c r="J591" s="965"/>
      <c r="K591" s="965"/>
      <c r="L591" s="965"/>
      <c r="M591" s="965"/>
      <c r="N591" s="965"/>
      <c r="O591" s="965"/>
      <c r="P591" s="965"/>
      <c r="Q591" s="965"/>
      <c r="R591" s="965"/>
      <c r="S591" s="965"/>
      <c r="T591" s="965"/>
      <c r="U591" s="965"/>
      <c r="V591" s="965"/>
      <c r="W591" s="965"/>
      <c r="X591" s="965"/>
      <c r="Y591" s="965"/>
      <c r="Z591" s="965"/>
    </row>
    <row r="592">
      <c r="A592" s="965"/>
      <c r="B592" s="965"/>
      <c r="C592" s="965"/>
      <c r="D592" s="965"/>
      <c r="E592" s="965"/>
      <c r="F592" s="965"/>
      <c r="G592" s="965"/>
      <c r="H592" s="965"/>
      <c r="I592" s="965"/>
      <c r="J592" s="965"/>
      <c r="K592" s="965"/>
      <c r="L592" s="965"/>
      <c r="M592" s="965"/>
      <c r="N592" s="965"/>
      <c r="O592" s="965"/>
      <c r="P592" s="965"/>
      <c r="Q592" s="965"/>
      <c r="R592" s="965"/>
      <c r="S592" s="965"/>
      <c r="T592" s="965"/>
      <c r="U592" s="965"/>
      <c r="V592" s="965"/>
      <c r="W592" s="965"/>
      <c r="X592" s="965"/>
      <c r="Y592" s="965"/>
      <c r="Z592" s="965"/>
    </row>
    <row r="593">
      <c r="A593" s="965"/>
      <c r="B593" s="965"/>
      <c r="C593" s="965"/>
      <c r="D593" s="965"/>
      <c r="E593" s="965"/>
      <c r="F593" s="965"/>
      <c r="G593" s="965"/>
      <c r="H593" s="965"/>
      <c r="I593" s="965"/>
      <c r="J593" s="965"/>
      <c r="K593" s="965"/>
      <c r="L593" s="965"/>
      <c r="M593" s="965"/>
      <c r="N593" s="965"/>
      <c r="O593" s="965"/>
      <c r="P593" s="965"/>
      <c r="Q593" s="965"/>
      <c r="R593" s="965"/>
      <c r="S593" s="965"/>
      <c r="T593" s="965"/>
      <c r="U593" s="965"/>
      <c r="V593" s="965"/>
      <c r="W593" s="965"/>
      <c r="X593" s="965"/>
      <c r="Y593" s="965"/>
      <c r="Z593" s="965"/>
    </row>
    <row r="594">
      <c r="A594" s="965"/>
      <c r="B594" s="965"/>
      <c r="C594" s="965"/>
      <c r="D594" s="965"/>
      <c r="E594" s="965"/>
      <c r="F594" s="965"/>
      <c r="G594" s="965"/>
      <c r="H594" s="965"/>
      <c r="I594" s="965"/>
      <c r="J594" s="965"/>
      <c r="K594" s="965"/>
      <c r="L594" s="965"/>
      <c r="M594" s="965"/>
      <c r="N594" s="965"/>
      <c r="O594" s="965"/>
      <c r="P594" s="965"/>
      <c r="Q594" s="965"/>
      <c r="R594" s="965"/>
      <c r="S594" s="965"/>
      <c r="T594" s="965"/>
      <c r="U594" s="965"/>
      <c r="V594" s="965"/>
      <c r="W594" s="965"/>
      <c r="X594" s="965"/>
      <c r="Y594" s="965"/>
      <c r="Z594" s="965"/>
    </row>
    <row r="595">
      <c r="A595" s="965"/>
      <c r="B595" s="965"/>
      <c r="C595" s="965"/>
      <c r="D595" s="965"/>
      <c r="E595" s="965"/>
      <c r="F595" s="965"/>
      <c r="G595" s="965"/>
      <c r="H595" s="965"/>
      <c r="I595" s="965"/>
      <c r="J595" s="965"/>
      <c r="K595" s="965"/>
      <c r="L595" s="965"/>
      <c r="M595" s="965"/>
      <c r="N595" s="965"/>
      <c r="O595" s="965"/>
      <c r="P595" s="965"/>
      <c r="Q595" s="965"/>
      <c r="R595" s="965"/>
      <c r="S595" s="965"/>
      <c r="T595" s="965"/>
      <c r="U595" s="965"/>
      <c r="V595" s="965"/>
      <c r="W595" s="965"/>
      <c r="X595" s="965"/>
      <c r="Y595" s="965"/>
      <c r="Z595" s="965"/>
    </row>
    <row r="596">
      <c r="A596" s="965"/>
      <c r="B596" s="965"/>
      <c r="C596" s="965"/>
      <c r="D596" s="965"/>
      <c r="E596" s="965"/>
      <c r="F596" s="965"/>
      <c r="G596" s="965"/>
      <c r="H596" s="965"/>
      <c r="I596" s="965"/>
      <c r="J596" s="965"/>
      <c r="K596" s="965"/>
      <c r="L596" s="965"/>
      <c r="M596" s="965"/>
      <c r="N596" s="965"/>
      <c r="O596" s="965"/>
      <c r="P596" s="965"/>
      <c r="Q596" s="965"/>
      <c r="R596" s="965"/>
      <c r="S596" s="965"/>
      <c r="T596" s="965"/>
      <c r="U596" s="965"/>
      <c r="V596" s="965"/>
      <c r="W596" s="965"/>
      <c r="X596" s="965"/>
      <c r="Y596" s="965"/>
      <c r="Z596" s="965"/>
    </row>
    <row r="597">
      <c r="A597" s="965"/>
      <c r="B597" s="965"/>
      <c r="C597" s="965"/>
      <c r="D597" s="965"/>
      <c r="E597" s="965"/>
      <c r="F597" s="965"/>
      <c r="G597" s="965"/>
      <c r="H597" s="965"/>
      <c r="I597" s="965"/>
      <c r="J597" s="965"/>
      <c r="K597" s="965"/>
      <c r="L597" s="965"/>
      <c r="M597" s="965"/>
      <c r="N597" s="965"/>
      <c r="O597" s="965"/>
      <c r="P597" s="965"/>
      <c r="Q597" s="965"/>
      <c r="R597" s="965"/>
      <c r="S597" s="965"/>
      <c r="T597" s="965"/>
      <c r="U597" s="965"/>
      <c r="V597" s="965"/>
      <c r="W597" s="965"/>
      <c r="X597" s="965"/>
      <c r="Y597" s="965"/>
      <c r="Z597" s="965"/>
    </row>
    <row r="598">
      <c r="A598" s="965"/>
      <c r="B598" s="965"/>
      <c r="C598" s="965"/>
      <c r="D598" s="965"/>
      <c r="E598" s="965"/>
      <c r="F598" s="965"/>
      <c r="G598" s="965"/>
      <c r="H598" s="965"/>
      <c r="I598" s="965"/>
      <c r="J598" s="965"/>
      <c r="K598" s="965"/>
      <c r="L598" s="965"/>
      <c r="M598" s="965"/>
      <c r="N598" s="965"/>
      <c r="O598" s="965"/>
      <c r="P598" s="965"/>
      <c r="Q598" s="965"/>
      <c r="R598" s="965"/>
      <c r="S598" s="965"/>
      <c r="T598" s="965"/>
      <c r="U598" s="965"/>
      <c r="V598" s="965"/>
      <c r="W598" s="965"/>
      <c r="X598" s="965"/>
      <c r="Y598" s="965"/>
      <c r="Z598" s="965"/>
    </row>
    <row r="599">
      <c r="A599" s="965"/>
      <c r="B599" s="965"/>
      <c r="C599" s="965"/>
      <c r="D599" s="965"/>
      <c r="E599" s="965"/>
      <c r="F599" s="965"/>
      <c r="G599" s="965"/>
      <c r="H599" s="965"/>
      <c r="I599" s="965"/>
      <c r="J599" s="965"/>
      <c r="K599" s="965"/>
      <c r="L599" s="965"/>
      <c r="M599" s="965"/>
      <c r="N599" s="965"/>
      <c r="O599" s="965"/>
      <c r="P599" s="965"/>
      <c r="Q599" s="965"/>
      <c r="R599" s="965"/>
      <c r="S599" s="965"/>
      <c r="T599" s="965"/>
      <c r="U599" s="965"/>
      <c r="V599" s="965"/>
      <c r="W599" s="965"/>
      <c r="X599" s="965"/>
      <c r="Y599" s="965"/>
      <c r="Z599" s="965"/>
    </row>
    <row r="600">
      <c r="A600" s="965"/>
      <c r="B600" s="965"/>
      <c r="C600" s="965"/>
      <c r="D600" s="965"/>
      <c r="E600" s="965"/>
      <c r="F600" s="965"/>
      <c r="G600" s="965"/>
      <c r="H600" s="965"/>
      <c r="I600" s="965"/>
      <c r="J600" s="965"/>
      <c r="K600" s="965"/>
      <c r="L600" s="965"/>
      <c r="M600" s="965"/>
      <c r="N600" s="965"/>
      <c r="O600" s="965"/>
      <c r="P600" s="965"/>
      <c r="Q600" s="965"/>
      <c r="R600" s="965"/>
      <c r="S600" s="965"/>
      <c r="T600" s="965"/>
      <c r="U600" s="965"/>
      <c r="V600" s="965"/>
      <c r="W600" s="965"/>
      <c r="X600" s="965"/>
      <c r="Y600" s="965"/>
      <c r="Z600" s="965"/>
    </row>
    <row r="601">
      <c r="A601" s="965"/>
      <c r="B601" s="965"/>
      <c r="C601" s="965"/>
      <c r="D601" s="965"/>
      <c r="E601" s="965"/>
      <c r="F601" s="965"/>
      <c r="G601" s="965"/>
      <c r="H601" s="965"/>
      <c r="I601" s="965"/>
      <c r="J601" s="965"/>
      <c r="K601" s="965"/>
      <c r="L601" s="965"/>
      <c r="M601" s="965"/>
      <c r="N601" s="965"/>
      <c r="O601" s="965"/>
      <c r="P601" s="965"/>
      <c r="Q601" s="965"/>
      <c r="R601" s="965"/>
      <c r="S601" s="965"/>
      <c r="T601" s="965"/>
      <c r="U601" s="965"/>
      <c r="V601" s="965"/>
      <c r="W601" s="965"/>
      <c r="X601" s="965"/>
      <c r="Y601" s="965"/>
      <c r="Z601" s="965"/>
    </row>
    <row r="602">
      <c r="A602" s="965"/>
      <c r="B602" s="965"/>
      <c r="C602" s="965"/>
      <c r="D602" s="965"/>
      <c r="E602" s="965"/>
      <c r="F602" s="965"/>
      <c r="G602" s="965"/>
      <c r="H602" s="965"/>
      <c r="I602" s="965"/>
      <c r="J602" s="965"/>
      <c r="K602" s="965"/>
      <c r="L602" s="965"/>
      <c r="M602" s="965"/>
      <c r="N602" s="965"/>
      <c r="O602" s="965"/>
      <c r="P602" s="965"/>
      <c r="Q602" s="965"/>
      <c r="R602" s="965"/>
      <c r="S602" s="965"/>
      <c r="T602" s="965"/>
      <c r="U602" s="965"/>
      <c r="V602" s="965"/>
      <c r="W602" s="965"/>
      <c r="X602" s="965"/>
      <c r="Y602" s="965"/>
      <c r="Z602" s="965"/>
    </row>
    <row r="603">
      <c r="A603" s="965"/>
      <c r="B603" s="965"/>
      <c r="C603" s="965"/>
      <c r="D603" s="965"/>
      <c r="E603" s="965"/>
      <c r="F603" s="965"/>
      <c r="G603" s="965"/>
      <c r="H603" s="965"/>
      <c r="I603" s="965"/>
      <c r="J603" s="965"/>
      <c r="K603" s="965"/>
      <c r="L603" s="965"/>
      <c r="M603" s="965"/>
      <c r="N603" s="965"/>
      <c r="O603" s="965"/>
      <c r="P603" s="965"/>
      <c r="Q603" s="965"/>
      <c r="R603" s="965"/>
      <c r="S603" s="965"/>
      <c r="T603" s="965"/>
      <c r="U603" s="965"/>
      <c r="V603" s="965"/>
      <c r="W603" s="965"/>
      <c r="X603" s="965"/>
      <c r="Y603" s="965"/>
      <c r="Z603" s="965"/>
    </row>
    <row r="604">
      <c r="A604" s="965"/>
      <c r="B604" s="965"/>
      <c r="C604" s="965"/>
      <c r="D604" s="965"/>
      <c r="E604" s="965"/>
      <c r="F604" s="965"/>
      <c r="G604" s="965"/>
      <c r="H604" s="965"/>
      <c r="I604" s="965"/>
      <c r="J604" s="965"/>
      <c r="K604" s="965"/>
      <c r="L604" s="965"/>
      <c r="M604" s="965"/>
      <c r="N604" s="965"/>
      <c r="O604" s="965"/>
      <c r="P604" s="965"/>
      <c r="Q604" s="965"/>
      <c r="R604" s="965"/>
      <c r="S604" s="965"/>
      <c r="T604" s="965"/>
      <c r="U604" s="965"/>
      <c r="V604" s="965"/>
      <c r="W604" s="965"/>
      <c r="X604" s="965"/>
      <c r="Y604" s="965"/>
      <c r="Z604" s="965"/>
    </row>
    <row r="605">
      <c r="A605" s="965"/>
      <c r="B605" s="965"/>
      <c r="C605" s="965"/>
      <c r="D605" s="965"/>
      <c r="E605" s="965"/>
      <c r="F605" s="965"/>
      <c r="G605" s="965"/>
      <c r="H605" s="965"/>
      <c r="I605" s="965"/>
      <c r="J605" s="965"/>
      <c r="K605" s="965"/>
      <c r="L605" s="965"/>
      <c r="M605" s="965"/>
      <c r="N605" s="965"/>
      <c r="O605" s="965"/>
      <c r="P605" s="965"/>
      <c r="Q605" s="965"/>
      <c r="R605" s="965"/>
      <c r="S605" s="965"/>
      <c r="T605" s="965"/>
      <c r="U605" s="965"/>
      <c r="V605" s="965"/>
      <c r="W605" s="965"/>
      <c r="X605" s="965"/>
      <c r="Y605" s="965"/>
      <c r="Z605" s="965"/>
    </row>
    <row r="606">
      <c r="A606" s="965"/>
      <c r="B606" s="965"/>
      <c r="C606" s="965"/>
      <c r="D606" s="965"/>
      <c r="E606" s="965"/>
      <c r="F606" s="965"/>
      <c r="G606" s="965"/>
      <c r="H606" s="965"/>
      <c r="I606" s="965"/>
      <c r="J606" s="965"/>
      <c r="K606" s="965"/>
      <c r="L606" s="965"/>
      <c r="M606" s="965"/>
      <c r="N606" s="965"/>
      <c r="O606" s="965"/>
      <c r="P606" s="965"/>
      <c r="Q606" s="965"/>
      <c r="R606" s="965"/>
      <c r="S606" s="965"/>
      <c r="T606" s="965"/>
      <c r="U606" s="965"/>
      <c r="V606" s="965"/>
      <c r="W606" s="965"/>
      <c r="X606" s="965"/>
      <c r="Y606" s="965"/>
      <c r="Z606" s="965"/>
    </row>
    <row r="607">
      <c r="A607" s="965"/>
      <c r="B607" s="965"/>
      <c r="C607" s="965"/>
      <c r="D607" s="965"/>
      <c r="E607" s="965"/>
      <c r="F607" s="965"/>
      <c r="G607" s="965"/>
      <c r="H607" s="965"/>
      <c r="I607" s="965"/>
      <c r="J607" s="965"/>
      <c r="K607" s="965"/>
      <c r="L607" s="965"/>
      <c r="M607" s="965"/>
      <c r="N607" s="965"/>
      <c r="O607" s="965"/>
      <c r="P607" s="965"/>
      <c r="Q607" s="965"/>
      <c r="R607" s="965"/>
      <c r="S607" s="965"/>
      <c r="T607" s="965"/>
      <c r="U607" s="965"/>
      <c r="V607" s="965"/>
      <c r="W607" s="965"/>
      <c r="X607" s="965"/>
      <c r="Y607" s="965"/>
      <c r="Z607" s="965"/>
    </row>
    <row r="608">
      <c r="A608" s="965"/>
      <c r="B608" s="965"/>
      <c r="C608" s="965"/>
      <c r="D608" s="965"/>
      <c r="E608" s="965"/>
      <c r="F608" s="965"/>
      <c r="G608" s="965"/>
      <c r="H608" s="965"/>
      <c r="I608" s="965"/>
      <c r="J608" s="965"/>
      <c r="K608" s="965"/>
      <c r="L608" s="965"/>
      <c r="M608" s="965"/>
      <c r="N608" s="965"/>
      <c r="O608" s="965"/>
      <c r="P608" s="965"/>
      <c r="Q608" s="965"/>
      <c r="R608" s="965"/>
      <c r="S608" s="965"/>
      <c r="T608" s="965"/>
      <c r="U608" s="965"/>
      <c r="V608" s="965"/>
      <c r="W608" s="965"/>
      <c r="X608" s="965"/>
      <c r="Y608" s="965"/>
      <c r="Z608" s="965"/>
    </row>
    <row r="609">
      <c r="A609" s="965"/>
      <c r="B609" s="965"/>
      <c r="C609" s="965"/>
      <c r="D609" s="965"/>
      <c r="E609" s="965"/>
      <c r="F609" s="965"/>
      <c r="G609" s="965"/>
      <c r="H609" s="965"/>
      <c r="I609" s="965"/>
      <c r="J609" s="965"/>
      <c r="K609" s="965"/>
      <c r="L609" s="965"/>
      <c r="M609" s="965"/>
      <c r="N609" s="965"/>
      <c r="O609" s="965"/>
      <c r="P609" s="965"/>
      <c r="Q609" s="965"/>
      <c r="R609" s="965"/>
      <c r="S609" s="965"/>
      <c r="T609" s="965"/>
      <c r="U609" s="965"/>
      <c r="V609" s="965"/>
      <c r="W609" s="965"/>
      <c r="X609" s="965"/>
      <c r="Y609" s="965"/>
      <c r="Z609" s="965"/>
    </row>
    <row r="610">
      <c r="A610" s="965"/>
      <c r="B610" s="965"/>
      <c r="C610" s="965"/>
      <c r="D610" s="965"/>
      <c r="E610" s="965"/>
      <c r="F610" s="965"/>
      <c r="G610" s="965"/>
      <c r="H610" s="965"/>
      <c r="I610" s="965"/>
      <c r="J610" s="965"/>
      <c r="K610" s="965"/>
      <c r="L610" s="965"/>
      <c r="M610" s="965"/>
      <c r="N610" s="965"/>
      <c r="O610" s="965"/>
      <c r="P610" s="965"/>
      <c r="Q610" s="965"/>
      <c r="R610" s="965"/>
      <c r="S610" s="965"/>
      <c r="T610" s="965"/>
      <c r="U610" s="965"/>
      <c r="V610" s="965"/>
      <c r="W610" s="965"/>
      <c r="X610" s="965"/>
      <c r="Y610" s="965"/>
      <c r="Z610" s="965"/>
    </row>
    <row r="611">
      <c r="A611" s="965"/>
      <c r="B611" s="965"/>
      <c r="C611" s="965"/>
      <c r="D611" s="965"/>
      <c r="E611" s="965"/>
      <c r="F611" s="965"/>
      <c r="G611" s="965"/>
      <c r="H611" s="965"/>
      <c r="I611" s="965"/>
      <c r="J611" s="965"/>
      <c r="K611" s="965"/>
      <c r="L611" s="965"/>
      <c r="M611" s="965"/>
      <c r="N611" s="965"/>
      <c r="O611" s="965"/>
      <c r="P611" s="965"/>
      <c r="Q611" s="965"/>
      <c r="R611" s="965"/>
      <c r="S611" s="965"/>
      <c r="T611" s="965"/>
      <c r="U611" s="965"/>
      <c r="V611" s="965"/>
      <c r="W611" s="965"/>
      <c r="X611" s="965"/>
      <c r="Y611" s="965"/>
      <c r="Z611" s="965"/>
    </row>
    <row r="612">
      <c r="A612" s="965"/>
      <c r="B612" s="965"/>
      <c r="C612" s="965"/>
      <c r="D612" s="965"/>
      <c r="E612" s="965"/>
      <c r="F612" s="965"/>
      <c r="G612" s="965"/>
      <c r="H612" s="965"/>
      <c r="I612" s="965"/>
      <c r="J612" s="965"/>
      <c r="K612" s="965"/>
      <c r="L612" s="965"/>
      <c r="M612" s="965"/>
      <c r="N612" s="965"/>
      <c r="O612" s="965"/>
      <c r="P612" s="965"/>
      <c r="Q612" s="965"/>
      <c r="R612" s="965"/>
      <c r="S612" s="965"/>
      <c r="T612" s="965"/>
      <c r="U612" s="965"/>
      <c r="V612" s="965"/>
      <c r="W612" s="965"/>
      <c r="X612" s="965"/>
      <c r="Y612" s="965"/>
      <c r="Z612" s="965"/>
    </row>
    <row r="613">
      <c r="A613" s="965"/>
      <c r="B613" s="965"/>
      <c r="C613" s="965"/>
      <c r="D613" s="965"/>
      <c r="E613" s="965"/>
      <c r="F613" s="965"/>
      <c r="G613" s="965"/>
      <c r="H613" s="965"/>
      <c r="I613" s="965"/>
      <c r="J613" s="965"/>
      <c r="K613" s="965"/>
      <c r="L613" s="965"/>
      <c r="M613" s="965"/>
      <c r="N613" s="965"/>
      <c r="O613" s="965"/>
      <c r="P613" s="965"/>
      <c r="Q613" s="965"/>
      <c r="R613" s="965"/>
      <c r="S613" s="965"/>
      <c r="T613" s="965"/>
      <c r="U613" s="965"/>
      <c r="V613" s="965"/>
      <c r="W613" s="965"/>
      <c r="X613" s="965"/>
      <c r="Y613" s="965"/>
      <c r="Z613" s="965"/>
    </row>
    <row r="614">
      <c r="A614" s="965"/>
      <c r="B614" s="965"/>
      <c r="C614" s="965"/>
      <c r="D614" s="965"/>
      <c r="E614" s="965"/>
      <c r="F614" s="965"/>
      <c r="G614" s="965"/>
      <c r="H614" s="965"/>
      <c r="I614" s="965"/>
      <c r="J614" s="965"/>
      <c r="K614" s="965"/>
      <c r="L614" s="965"/>
      <c r="M614" s="965"/>
      <c r="N614" s="965"/>
      <c r="O614" s="965"/>
      <c r="P614" s="965"/>
      <c r="Q614" s="965"/>
      <c r="R614" s="965"/>
      <c r="S614" s="965"/>
      <c r="T614" s="965"/>
      <c r="U614" s="965"/>
      <c r="V614" s="965"/>
      <c r="W614" s="965"/>
      <c r="X614" s="965"/>
      <c r="Y614" s="965"/>
      <c r="Z614" s="965"/>
    </row>
    <row r="615">
      <c r="A615" s="965"/>
      <c r="B615" s="965"/>
      <c r="C615" s="965"/>
      <c r="D615" s="965"/>
      <c r="E615" s="965"/>
      <c r="F615" s="965"/>
      <c r="G615" s="965"/>
      <c r="H615" s="965"/>
      <c r="I615" s="965"/>
      <c r="J615" s="965"/>
      <c r="K615" s="965"/>
      <c r="L615" s="965"/>
      <c r="M615" s="965"/>
      <c r="N615" s="965"/>
      <c r="O615" s="965"/>
      <c r="P615" s="965"/>
      <c r="Q615" s="965"/>
      <c r="R615" s="965"/>
      <c r="S615" s="965"/>
      <c r="T615" s="965"/>
      <c r="U615" s="965"/>
      <c r="V615" s="965"/>
      <c r="W615" s="965"/>
      <c r="X615" s="965"/>
      <c r="Y615" s="965"/>
      <c r="Z615" s="965"/>
    </row>
    <row r="616">
      <c r="A616" s="965"/>
      <c r="B616" s="965"/>
      <c r="C616" s="965"/>
      <c r="D616" s="965"/>
      <c r="E616" s="965"/>
      <c r="F616" s="965"/>
      <c r="G616" s="965"/>
      <c r="H616" s="965"/>
      <c r="I616" s="965"/>
      <c r="J616" s="965"/>
      <c r="K616" s="965"/>
      <c r="L616" s="965"/>
      <c r="M616" s="965"/>
      <c r="N616" s="965"/>
      <c r="O616" s="965"/>
      <c r="P616" s="965"/>
      <c r="Q616" s="965"/>
      <c r="R616" s="965"/>
      <c r="S616" s="965"/>
      <c r="T616" s="965"/>
      <c r="U616" s="965"/>
      <c r="V616" s="965"/>
      <c r="W616" s="965"/>
      <c r="X616" s="965"/>
      <c r="Y616" s="965"/>
      <c r="Z616" s="965"/>
    </row>
    <row r="617">
      <c r="A617" s="965"/>
      <c r="B617" s="965"/>
      <c r="C617" s="965"/>
      <c r="D617" s="965"/>
      <c r="E617" s="965"/>
      <c r="F617" s="965"/>
      <c r="G617" s="965"/>
      <c r="H617" s="965"/>
      <c r="I617" s="965"/>
      <c r="J617" s="965"/>
      <c r="K617" s="965"/>
      <c r="L617" s="965"/>
      <c r="M617" s="965"/>
      <c r="N617" s="965"/>
      <c r="O617" s="965"/>
      <c r="P617" s="965"/>
      <c r="Q617" s="965"/>
      <c r="R617" s="965"/>
      <c r="S617" s="965"/>
      <c r="T617" s="965"/>
      <c r="U617" s="965"/>
      <c r="V617" s="965"/>
      <c r="W617" s="965"/>
      <c r="X617" s="965"/>
      <c r="Y617" s="965"/>
      <c r="Z617" s="965"/>
    </row>
    <row r="618">
      <c r="A618" s="965"/>
      <c r="B618" s="965"/>
      <c r="C618" s="965"/>
      <c r="D618" s="965"/>
      <c r="E618" s="965"/>
      <c r="F618" s="965"/>
      <c r="G618" s="965"/>
      <c r="H618" s="965"/>
      <c r="I618" s="965"/>
      <c r="J618" s="965"/>
      <c r="K618" s="965"/>
      <c r="L618" s="965"/>
      <c r="M618" s="965"/>
      <c r="N618" s="965"/>
      <c r="O618" s="965"/>
      <c r="P618" s="965"/>
      <c r="Q618" s="965"/>
      <c r="R618" s="965"/>
      <c r="S618" s="965"/>
      <c r="T618" s="965"/>
      <c r="U618" s="965"/>
      <c r="V618" s="965"/>
      <c r="W618" s="965"/>
      <c r="X618" s="965"/>
      <c r="Y618" s="965"/>
      <c r="Z618" s="965"/>
    </row>
    <row r="619">
      <c r="A619" s="965"/>
      <c r="B619" s="965"/>
      <c r="C619" s="965"/>
      <c r="D619" s="965"/>
      <c r="E619" s="965"/>
      <c r="F619" s="965"/>
      <c r="G619" s="965"/>
      <c r="H619" s="965"/>
      <c r="I619" s="965"/>
      <c r="J619" s="965"/>
      <c r="K619" s="965"/>
      <c r="L619" s="965"/>
      <c r="M619" s="965"/>
      <c r="N619" s="965"/>
      <c r="O619" s="965"/>
      <c r="P619" s="965"/>
      <c r="Q619" s="965"/>
      <c r="R619" s="965"/>
      <c r="S619" s="965"/>
      <c r="T619" s="965"/>
      <c r="U619" s="965"/>
      <c r="V619" s="965"/>
      <c r="W619" s="965"/>
      <c r="X619" s="965"/>
      <c r="Y619" s="965"/>
      <c r="Z619" s="965"/>
    </row>
    <row r="620">
      <c r="A620" s="965"/>
      <c r="B620" s="965"/>
      <c r="C620" s="965"/>
      <c r="D620" s="965"/>
      <c r="E620" s="965"/>
      <c r="F620" s="965"/>
      <c r="G620" s="965"/>
      <c r="H620" s="965"/>
      <c r="I620" s="965"/>
      <c r="J620" s="965"/>
      <c r="K620" s="965"/>
      <c r="L620" s="965"/>
      <c r="M620" s="965"/>
      <c r="N620" s="965"/>
      <c r="O620" s="965"/>
      <c r="P620" s="965"/>
      <c r="Q620" s="965"/>
      <c r="R620" s="965"/>
      <c r="S620" s="965"/>
      <c r="T620" s="965"/>
      <c r="U620" s="965"/>
      <c r="V620" s="965"/>
      <c r="W620" s="965"/>
      <c r="X620" s="965"/>
      <c r="Y620" s="965"/>
      <c r="Z620" s="965"/>
    </row>
    <row r="621">
      <c r="A621" s="965"/>
      <c r="B621" s="965"/>
      <c r="C621" s="965"/>
      <c r="D621" s="965"/>
      <c r="E621" s="965"/>
      <c r="F621" s="965"/>
      <c r="G621" s="965"/>
      <c r="H621" s="965"/>
      <c r="I621" s="965"/>
      <c r="J621" s="965"/>
      <c r="K621" s="965"/>
      <c r="L621" s="965"/>
      <c r="M621" s="965"/>
      <c r="N621" s="965"/>
      <c r="O621" s="965"/>
      <c r="P621" s="965"/>
      <c r="Q621" s="965"/>
      <c r="R621" s="965"/>
      <c r="S621" s="965"/>
      <c r="T621" s="965"/>
      <c r="U621" s="965"/>
      <c r="V621" s="965"/>
      <c r="W621" s="965"/>
      <c r="X621" s="965"/>
      <c r="Y621" s="965"/>
      <c r="Z621" s="965"/>
    </row>
    <row r="622">
      <c r="A622" s="965"/>
      <c r="B622" s="965"/>
      <c r="C622" s="965"/>
      <c r="D622" s="965"/>
      <c r="E622" s="965"/>
      <c r="F622" s="965"/>
      <c r="G622" s="965"/>
      <c r="H622" s="965"/>
      <c r="I622" s="965"/>
      <c r="J622" s="965"/>
      <c r="K622" s="965"/>
      <c r="L622" s="965"/>
      <c r="M622" s="965"/>
      <c r="N622" s="965"/>
      <c r="O622" s="965"/>
      <c r="P622" s="965"/>
      <c r="Q622" s="965"/>
      <c r="R622" s="965"/>
      <c r="S622" s="965"/>
      <c r="T622" s="965"/>
      <c r="U622" s="965"/>
      <c r="V622" s="965"/>
      <c r="W622" s="965"/>
      <c r="X622" s="965"/>
      <c r="Y622" s="965"/>
      <c r="Z622" s="965"/>
    </row>
    <row r="623">
      <c r="A623" s="965"/>
      <c r="B623" s="965"/>
      <c r="C623" s="965"/>
      <c r="D623" s="965"/>
      <c r="E623" s="965"/>
      <c r="F623" s="965"/>
      <c r="G623" s="965"/>
      <c r="H623" s="965"/>
      <c r="I623" s="965"/>
      <c r="J623" s="965"/>
      <c r="K623" s="965"/>
      <c r="L623" s="965"/>
      <c r="M623" s="965"/>
      <c r="N623" s="965"/>
      <c r="O623" s="965"/>
      <c r="P623" s="965"/>
      <c r="Q623" s="965"/>
      <c r="R623" s="965"/>
      <c r="S623" s="965"/>
      <c r="T623" s="965"/>
      <c r="U623" s="965"/>
      <c r="V623" s="965"/>
      <c r="W623" s="965"/>
      <c r="X623" s="965"/>
      <c r="Y623" s="965"/>
      <c r="Z623" s="965"/>
    </row>
    <row r="624">
      <c r="A624" s="965"/>
      <c r="B624" s="965"/>
      <c r="C624" s="965"/>
      <c r="D624" s="965"/>
      <c r="E624" s="965"/>
      <c r="F624" s="965"/>
      <c r="G624" s="965"/>
      <c r="H624" s="965"/>
      <c r="I624" s="965"/>
      <c r="J624" s="965"/>
      <c r="K624" s="965"/>
      <c r="L624" s="965"/>
      <c r="M624" s="965"/>
      <c r="N624" s="965"/>
      <c r="O624" s="965"/>
      <c r="P624" s="965"/>
      <c r="Q624" s="965"/>
      <c r="R624" s="965"/>
      <c r="S624" s="965"/>
      <c r="T624" s="965"/>
      <c r="U624" s="965"/>
      <c r="V624" s="965"/>
      <c r="W624" s="965"/>
      <c r="X624" s="965"/>
      <c r="Y624" s="965"/>
      <c r="Z624" s="965"/>
    </row>
    <row r="625">
      <c r="A625" s="965"/>
      <c r="B625" s="965"/>
      <c r="C625" s="965"/>
      <c r="D625" s="965"/>
      <c r="E625" s="965"/>
      <c r="F625" s="965"/>
      <c r="G625" s="965"/>
      <c r="H625" s="965"/>
      <c r="I625" s="965"/>
      <c r="J625" s="965"/>
      <c r="K625" s="965"/>
      <c r="L625" s="965"/>
      <c r="M625" s="965"/>
      <c r="N625" s="965"/>
      <c r="O625" s="965"/>
      <c r="P625" s="965"/>
      <c r="Q625" s="965"/>
      <c r="R625" s="965"/>
      <c r="S625" s="965"/>
      <c r="T625" s="965"/>
      <c r="U625" s="965"/>
      <c r="V625" s="965"/>
      <c r="W625" s="965"/>
      <c r="X625" s="965"/>
      <c r="Y625" s="965"/>
      <c r="Z625" s="965"/>
    </row>
    <row r="626">
      <c r="A626" s="965"/>
      <c r="B626" s="965"/>
      <c r="C626" s="965"/>
      <c r="D626" s="965"/>
      <c r="E626" s="965"/>
      <c r="F626" s="965"/>
      <c r="G626" s="965"/>
      <c r="H626" s="965"/>
      <c r="I626" s="965"/>
      <c r="J626" s="965"/>
      <c r="K626" s="965"/>
      <c r="L626" s="965"/>
      <c r="M626" s="965"/>
      <c r="N626" s="965"/>
      <c r="O626" s="965"/>
      <c r="P626" s="965"/>
      <c r="Q626" s="965"/>
      <c r="R626" s="965"/>
      <c r="S626" s="965"/>
      <c r="T626" s="965"/>
      <c r="U626" s="965"/>
      <c r="V626" s="965"/>
      <c r="W626" s="965"/>
      <c r="X626" s="965"/>
      <c r="Y626" s="965"/>
      <c r="Z626" s="965"/>
    </row>
    <row r="627">
      <c r="A627" s="965"/>
      <c r="B627" s="965"/>
      <c r="C627" s="965"/>
      <c r="D627" s="965"/>
      <c r="E627" s="965"/>
      <c r="F627" s="965"/>
      <c r="G627" s="965"/>
      <c r="H627" s="965"/>
      <c r="I627" s="965"/>
      <c r="J627" s="965"/>
      <c r="K627" s="965"/>
      <c r="L627" s="965"/>
      <c r="M627" s="965"/>
      <c r="N627" s="965"/>
      <c r="O627" s="965"/>
      <c r="P627" s="965"/>
      <c r="Q627" s="965"/>
      <c r="R627" s="965"/>
      <c r="S627" s="965"/>
      <c r="T627" s="965"/>
      <c r="U627" s="965"/>
      <c r="V627" s="965"/>
      <c r="W627" s="965"/>
      <c r="X627" s="965"/>
      <c r="Y627" s="965"/>
      <c r="Z627" s="965"/>
    </row>
    <row r="628">
      <c r="A628" s="965"/>
      <c r="B628" s="965"/>
      <c r="C628" s="965"/>
      <c r="D628" s="965"/>
      <c r="E628" s="965"/>
      <c r="F628" s="965"/>
      <c r="G628" s="965"/>
      <c r="H628" s="965"/>
      <c r="I628" s="965"/>
      <c r="J628" s="965"/>
      <c r="K628" s="965"/>
      <c r="L628" s="965"/>
      <c r="M628" s="965"/>
      <c r="N628" s="965"/>
      <c r="O628" s="965"/>
      <c r="P628" s="965"/>
      <c r="Q628" s="965"/>
      <c r="R628" s="965"/>
      <c r="S628" s="965"/>
      <c r="T628" s="965"/>
      <c r="U628" s="965"/>
      <c r="V628" s="965"/>
      <c r="W628" s="965"/>
      <c r="X628" s="965"/>
      <c r="Y628" s="965"/>
      <c r="Z628" s="965"/>
    </row>
    <row r="629">
      <c r="A629" s="965"/>
      <c r="B629" s="965"/>
      <c r="C629" s="965"/>
      <c r="D629" s="965"/>
      <c r="E629" s="965"/>
      <c r="F629" s="965"/>
      <c r="G629" s="965"/>
      <c r="H629" s="965"/>
      <c r="I629" s="965"/>
      <c r="J629" s="965"/>
      <c r="K629" s="965"/>
      <c r="L629" s="965"/>
      <c r="M629" s="965"/>
      <c r="N629" s="965"/>
      <c r="O629" s="965"/>
      <c r="P629" s="965"/>
      <c r="Q629" s="965"/>
      <c r="R629" s="965"/>
      <c r="S629" s="965"/>
      <c r="T629" s="965"/>
      <c r="U629" s="965"/>
      <c r="V629" s="965"/>
      <c r="W629" s="965"/>
      <c r="X629" s="965"/>
      <c r="Y629" s="965"/>
      <c r="Z629" s="965"/>
    </row>
    <row r="630">
      <c r="A630" s="965"/>
      <c r="B630" s="965"/>
      <c r="C630" s="965"/>
      <c r="D630" s="965"/>
      <c r="E630" s="965"/>
      <c r="F630" s="965"/>
      <c r="G630" s="965"/>
      <c r="H630" s="965"/>
      <c r="I630" s="965"/>
      <c r="J630" s="965"/>
      <c r="K630" s="965"/>
      <c r="L630" s="965"/>
      <c r="M630" s="965"/>
      <c r="N630" s="965"/>
      <c r="O630" s="965"/>
      <c r="P630" s="965"/>
      <c r="Q630" s="965"/>
      <c r="R630" s="965"/>
      <c r="S630" s="965"/>
      <c r="T630" s="965"/>
      <c r="U630" s="965"/>
      <c r="V630" s="965"/>
      <c r="W630" s="965"/>
      <c r="X630" s="965"/>
      <c r="Y630" s="965"/>
      <c r="Z630" s="965"/>
    </row>
    <row r="631">
      <c r="A631" s="965"/>
      <c r="B631" s="965"/>
      <c r="C631" s="965"/>
      <c r="D631" s="965"/>
      <c r="E631" s="965"/>
      <c r="F631" s="965"/>
      <c r="G631" s="965"/>
      <c r="H631" s="965"/>
      <c r="I631" s="965"/>
      <c r="J631" s="965"/>
      <c r="K631" s="965"/>
      <c r="L631" s="965"/>
      <c r="M631" s="965"/>
      <c r="N631" s="965"/>
      <c r="O631" s="965"/>
      <c r="P631" s="965"/>
      <c r="Q631" s="965"/>
      <c r="R631" s="965"/>
      <c r="S631" s="965"/>
      <c r="T631" s="965"/>
      <c r="U631" s="965"/>
      <c r="V631" s="965"/>
      <c r="W631" s="965"/>
      <c r="X631" s="965"/>
      <c r="Y631" s="965"/>
      <c r="Z631" s="965"/>
    </row>
    <row r="632">
      <c r="A632" s="965"/>
      <c r="B632" s="965"/>
      <c r="C632" s="965"/>
      <c r="D632" s="965"/>
      <c r="E632" s="965"/>
      <c r="F632" s="965"/>
      <c r="G632" s="965"/>
      <c r="H632" s="965"/>
      <c r="I632" s="965"/>
      <c r="J632" s="965"/>
      <c r="K632" s="965"/>
      <c r="L632" s="965"/>
      <c r="M632" s="965"/>
      <c r="N632" s="965"/>
      <c r="O632" s="965"/>
      <c r="P632" s="965"/>
      <c r="Q632" s="965"/>
      <c r="R632" s="965"/>
      <c r="S632" s="965"/>
      <c r="T632" s="965"/>
      <c r="U632" s="965"/>
      <c r="V632" s="965"/>
      <c r="W632" s="965"/>
      <c r="X632" s="965"/>
      <c r="Y632" s="965"/>
      <c r="Z632" s="965"/>
    </row>
    <row r="633">
      <c r="A633" s="965"/>
      <c r="B633" s="965"/>
      <c r="C633" s="965"/>
      <c r="D633" s="965"/>
      <c r="E633" s="965"/>
      <c r="F633" s="965"/>
      <c r="G633" s="965"/>
      <c r="H633" s="965"/>
      <c r="I633" s="965"/>
      <c r="J633" s="965"/>
      <c r="K633" s="965"/>
      <c r="L633" s="965"/>
      <c r="M633" s="965"/>
      <c r="N633" s="965"/>
      <c r="O633" s="965"/>
      <c r="P633" s="965"/>
      <c r="Q633" s="965"/>
      <c r="R633" s="965"/>
      <c r="S633" s="965"/>
      <c r="T633" s="965"/>
      <c r="U633" s="965"/>
      <c r="V633" s="965"/>
      <c r="W633" s="965"/>
      <c r="X633" s="965"/>
      <c r="Y633" s="965"/>
      <c r="Z633" s="965"/>
    </row>
    <row r="634">
      <c r="A634" s="965"/>
      <c r="B634" s="965"/>
      <c r="C634" s="965"/>
      <c r="D634" s="965"/>
      <c r="E634" s="965"/>
      <c r="F634" s="965"/>
      <c r="G634" s="965"/>
      <c r="H634" s="965"/>
      <c r="I634" s="965"/>
      <c r="J634" s="965"/>
      <c r="K634" s="965"/>
      <c r="L634" s="965"/>
      <c r="M634" s="965"/>
      <c r="N634" s="965"/>
      <c r="O634" s="965"/>
      <c r="P634" s="965"/>
      <c r="Q634" s="965"/>
      <c r="R634" s="965"/>
      <c r="S634" s="965"/>
      <c r="T634" s="965"/>
      <c r="U634" s="965"/>
      <c r="V634" s="965"/>
      <c r="W634" s="965"/>
      <c r="X634" s="965"/>
      <c r="Y634" s="965"/>
      <c r="Z634" s="965"/>
    </row>
    <row r="635">
      <c r="A635" s="965"/>
      <c r="B635" s="965"/>
      <c r="C635" s="965"/>
      <c r="D635" s="965"/>
      <c r="E635" s="965"/>
      <c r="F635" s="965"/>
      <c r="G635" s="965"/>
      <c r="H635" s="965"/>
      <c r="I635" s="965"/>
      <c r="J635" s="965"/>
      <c r="K635" s="965"/>
      <c r="L635" s="965"/>
      <c r="M635" s="965"/>
      <c r="N635" s="965"/>
      <c r="O635" s="965"/>
      <c r="P635" s="965"/>
      <c r="Q635" s="965"/>
      <c r="R635" s="965"/>
      <c r="S635" s="965"/>
      <c r="T635" s="965"/>
      <c r="U635" s="965"/>
      <c r="V635" s="965"/>
      <c r="W635" s="965"/>
      <c r="X635" s="965"/>
      <c r="Y635" s="965"/>
      <c r="Z635" s="965"/>
    </row>
    <row r="636">
      <c r="A636" s="965"/>
      <c r="B636" s="965"/>
      <c r="C636" s="965"/>
      <c r="D636" s="965"/>
      <c r="E636" s="965"/>
      <c r="F636" s="965"/>
      <c r="G636" s="965"/>
      <c r="H636" s="965"/>
      <c r="I636" s="965"/>
      <c r="J636" s="965"/>
      <c r="K636" s="965"/>
      <c r="L636" s="965"/>
      <c r="M636" s="965"/>
      <c r="N636" s="965"/>
      <c r="O636" s="965"/>
      <c r="P636" s="965"/>
      <c r="Q636" s="965"/>
      <c r="R636" s="965"/>
      <c r="S636" s="965"/>
      <c r="T636" s="965"/>
      <c r="U636" s="965"/>
      <c r="V636" s="965"/>
      <c r="W636" s="965"/>
      <c r="X636" s="965"/>
      <c r="Y636" s="965"/>
      <c r="Z636" s="965"/>
    </row>
    <row r="637">
      <c r="A637" s="965"/>
      <c r="B637" s="965"/>
      <c r="C637" s="965"/>
      <c r="D637" s="965"/>
      <c r="E637" s="965"/>
      <c r="F637" s="965"/>
      <c r="G637" s="965"/>
      <c r="H637" s="965"/>
      <c r="I637" s="965"/>
      <c r="J637" s="965"/>
      <c r="K637" s="965"/>
      <c r="L637" s="965"/>
      <c r="M637" s="965"/>
      <c r="N637" s="965"/>
      <c r="O637" s="965"/>
      <c r="P637" s="965"/>
      <c r="Q637" s="965"/>
      <c r="R637" s="965"/>
      <c r="S637" s="965"/>
      <c r="T637" s="965"/>
      <c r="U637" s="965"/>
      <c r="V637" s="965"/>
      <c r="W637" s="965"/>
      <c r="X637" s="965"/>
      <c r="Y637" s="965"/>
      <c r="Z637" s="965"/>
    </row>
    <row r="638">
      <c r="A638" s="965"/>
      <c r="B638" s="965"/>
      <c r="C638" s="965"/>
      <c r="D638" s="965"/>
      <c r="E638" s="965"/>
      <c r="F638" s="965"/>
      <c r="G638" s="965"/>
      <c r="H638" s="965"/>
      <c r="I638" s="965"/>
      <c r="J638" s="965"/>
      <c r="K638" s="965"/>
      <c r="L638" s="965"/>
      <c r="M638" s="965"/>
      <c r="N638" s="965"/>
      <c r="O638" s="965"/>
      <c r="P638" s="965"/>
      <c r="Q638" s="965"/>
      <c r="R638" s="965"/>
      <c r="S638" s="965"/>
      <c r="T638" s="965"/>
      <c r="U638" s="965"/>
      <c r="V638" s="965"/>
      <c r="W638" s="965"/>
      <c r="X638" s="965"/>
      <c r="Y638" s="965"/>
      <c r="Z638" s="965"/>
    </row>
    <row r="639">
      <c r="A639" s="965"/>
      <c r="B639" s="965"/>
      <c r="C639" s="965"/>
      <c r="D639" s="965"/>
      <c r="E639" s="965"/>
      <c r="F639" s="965"/>
      <c r="G639" s="965"/>
      <c r="H639" s="965"/>
      <c r="I639" s="965"/>
      <c r="J639" s="965"/>
      <c r="K639" s="965"/>
      <c r="L639" s="965"/>
      <c r="M639" s="965"/>
      <c r="N639" s="965"/>
      <c r="O639" s="965"/>
      <c r="P639" s="965"/>
      <c r="Q639" s="965"/>
      <c r="R639" s="965"/>
      <c r="S639" s="965"/>
      <c r="T639" s="965"/>
      <c r="U639" s="965"/>
      <c r="V639" s="965"/>
      <c r="W639" s="965"/>
      <c r="X639" s="965"/>
      <c r="Y639" s="965"/>
      <c r="Z639" s="965"/>
    </row>
    <row r="640">
      <c r="A640" s="965"/>
      <c r="B640" s="965"/>
      <c r="C640" s="965"/>
      <c r="D640" s="965"/>
      <c r="E640" s="965"/>
      <c r="F640" s="965"/>
      <c r="G640" s="965"/>
      <c r="H640" s="965"/>
      <c r="I640" s="965"/>
      <c r="J640" s="965"/>
      <c r="K640" s="965"/>
      <c r="L640" s="965"/>
      <c r="M640" s="965"/>
      <c r="N640" s="965"/>
      <c r="O640" s="965"/>
      <c r="P640" s="965"/>
      <c r="Q640" s="965"/>
      <c r="R640" s="965"/>
      <c r="S640" s="965"/>
      <c r="T640" s="965"/>
      <c r="U640" s="965"/>
      <c r="V640" s="965"/>
      <c r="W640" s="965"/>
      <c r="X640" s="965"/>
      <c r="Y640" s="965"/>
      <c r="Z640" s="965"/>
    </row>
    <row r="641">
      <c r="A641" s="965"/>
      <c r="B641" s="965"/>
      <c r="C641" s="965"/>
      <c r="D641" s="965"/>
      <c r="E641" s="965"/>
      <c r="F641" s="965"/>
      <c r="G641" s="965"/>
      <c r="H641" s="965"/>
      <c r="I641" s="965"/>
      <c r="J641" s="965"/>
      <c r="K641" s="965"/>
      <c r="L641" s="965"/>
      <c r="M641" s="965"/>
      <c r="N641" s="965"/>
      <c r="O641" s="965"/>
      <c r="P641" s="965"/>
      <c r="Q641" s="965"/>
      <c r="R641" s="965"/>
      <c r="S641" s="965"/>
      <c r="T641" s="965"/>
      <c r="U641" s="965"/>
      <c r="V641" s="965"/>
      <c r="W641" s="965"/>
      <c r="X641" s="965"/>
      <c r="Y641" s="965"/>
      <c r="Z641" s="965"/>
    </row>
    <row r="642">
      <c r="A642" s="965"/>
      <c r="B642" s="965"/>
      <c r="C642" s="965"/>
      <c r="D642" s="965"/>
      <c r="E642" s="965"/>
      <c r="F642" s="965"/>
      <c r="G642" s="965"/>
      <c r="H642" s="965"/>
      <c r="I642" s="965"/>
      <c r="J642" s="965"/>
      <c r="K642" s="965"/>
      <c r="L642" s="965"/>
      <c r="M642" s="965"/>
      <c r="N642" s="965"/>
      <c r="O642" s="965"/>
      <c r="P642" s="965"/>
      <c r="Q642" s="965"/>
      <c r="R642" s="965"/>
      <c r="S642" s="965"/>
      <c r="T642" s="965"/>
      <c r="U642" s="965"/>
      <c r="V642" s="965"/>
      <c r="W642" s="965"/>
      <c r="X642" s="965"/>
      <c r="Y642" s="965"/>
      <c r="Z642" s="965"/>
    </row>
    <row r="643">
      <c r="A643" s="965"/>
      <c r="B643" s="965"/>
      <c r="C643" s="965"/>
      <c r="D643" s="965"/>
      <c r="E643" s="965"/>
      <c r="F643" s="965"/>
      <c r="G643" s="965"/>
      <c r="H643" s="965"/>
      <c r="I643" s="965"/>
      <c r="J643" s="965"/>
      <c r="K643" s="965"/>
      <c r="L643" s="965"/>
      <c r="M643" s="965"/>
      <c r="N643" s="965"/>
      <c r="O643" s="965"/>
      <c r="P643" s="965"/>
      <c r="Q643" s="965"/>
      <c r="R643" s="965"/>
      <c r="S643" s="965"/>
      <c r="T643" s="965"/>
      <c r="U643" s="965"/>
      <c r="V643" s="965"/>
      <c r="W643" s="965"/>
      <c r="X643" s="965"/>
      <c r="Y643" s="965"/>
      <c r="Z643" s="965"/>
    </row>
    <row r="644">
      <c r="A644" s="965"/>
      <c r="B644" s="965"/>
      <c r="C644" s="965"/>
      <c r="D644" s="965"/>
      <c r="E644" s="965"/>
      <c r="F644" s="965"/>
      <c r="G644" s="965"/>
      <c r="H644" s="965"/>
      <c r="I644" s="965"/>
      <c r="J644" s="965"/>
      <c r="K644" s="965"/>
      <c r="L644" s="965"/>
      <c r="M644" s="965"/>
      <c r="N644" s="965"/>
      <c r="O644" s="965"/>
      <c r="P644" s="965"/>
      <c r="Q644" s="965"/>
      <c r="R644" s="965"/>
      <c r="S644" s="965"/>
      <c r="T644" s="965"/>
      <c r="U644" s="965"/>
      <c r="V644" s="965"/>
      <c r="W644" s="965"/>
      <c r="X644" s="965"/>
      <c r="Y644" s="965"/>
      <c r="Z644" s="965"/>
    </row>
    <row r="645">
      <c r="A645" s="965"/>
      <c r="B645" s="965"/>
      <c r="C645" s="965"/>
      <c r="D645" s="965"/>
      <c r="E645" s="965"/>
      <c r="F645" s="965"/>
      <c r="G645" s="965"/>
      <c r="H645" s="965"/>
      <c r="I645" s="965"/>
      <c r="J645" s="965"/>
      <c r="K645" s="965"/>
      <c r="L645" s="965"/>
      <c r="M645" s="965"/>
      <c r="N645" s="965"/>
      <c r="O645" s="965"/>
      <c r="P645" s="965"/>
      <c r="Q645" s="965"/>
      <c r="R645" s="965"/>
      <c r="S645" s="965"/>
      <c r="T645" s="965"/>
      <c r="U645" s="965"/>
      <c r="V645" s="965"/>
      <c r="W645" s="965"/>
      <c r="X645" s="965"/>
      <c r="Y645" s="965"/>
      <c r="Z645" s="965"/>
    </row>
    <row r="646">
      <c r="A646" s="965"/>
      <c r="B646" s="965"/>
      <c r="C646" s="965"/>
      <c r="D646" s="965"/>
      <c r="E646" s="965"/>
      <c r="F646" s="965"/>
      <c r="G646" s="965"/>
      <c r="H646" s="965"/>
      <c r="I646" s="965"/>
      <c r="J646" s="965"/>
      <c r="K646" s="965"/>
      <c r="L646" s="965"/>
      <c r="M646" s="965"/>
      <c r="N646" s="965"/>
      <c r="O646" s="965"/>
      <c r="P646" s="965"/>
      <c r="Q646" s="965"/>
      <c r="R646" s="965"/>
      <c r="S646" s="965"/>
      <c r="T646" s="965"/>
      <c r="U646" s="965"/>
      <c r="V646" s="965"/>
      <c r="W646" s="965"/>
      <c r="X646" s="965"/>
      <c r="Y646" s="965"/>
      <c r="Z646" s="965"/>
    </row>
    <row r="647">
      <c r="A647" s="965"/>
      <c r="B647" s="965"/>
      <c r="C647" s="965"/>
      <c r="D647" s="965"/>
      <c r="E647" s="965"/>
      <c r="F647" s="965"/>
      <c r="G647" s="965"/>
      <c r="H647" s="965"/>
      <c r="I647" s="965"/>
      <c r="J647" s="965"/>
      <c r="K647" s="965"/>
      <c r="L647" s="965"/>
      <c r="M647" s="965"/>
      <c r="N647" s="965"/>
      <c r="O647" s="965"/>
      <c r="P647" s="965"/>
      <c r="Q647" s="965"/>
      <c r="R647" s="965"/>
      <c r="S647" s="965"/>
      <c r="T647" s="965"/>
      <c r="U647" s="965"/>
      <c r="V647" s="965"/>
      <c r="W647" s="965"/>
      <c r="X647" s="965"/>
      <c r="Y647" s="965"/>
      <c r="Z647" s="965"/>
    </row>
    <row r="648">
      <c r="A648" s="965"/>
      <c r="B648" s="965"/>
      <c r="C648" s="965"/>
      <c r="D648" s="965"/>
      <c r="E648" s="965"/>
      <c r="F648" s="965"/>
      <c r="G648" s="965"/>
      <c r="H648" s="965"/>
      <c r="I648" s="965"/>
      <c r="J648" s="965"/>
      <c r="K648" s="965"/>
      <c r="L648" s="965"/>
      <c r="M648" s="965"/>
      <c r="N648" s="965"/>
      <c r="O648" s="965"/>
      <c r="P648" s="965"/>
      <c r="Q648" s="965"/>
      <c r="R648" s="965"/>
      <c r="S648" s="965"/>
      <c r="T648" s="965"/>
      <c r="U648" s="965"/>
      <c r="V648" s="965"/>
      <c r="W648" s="965"/>
      <c r="X648" s="965"/>
      <c r="Y648" s="965"/>
      <c r="Z648" s="965"/>
    </row>
    <row r="649">
      <c r="A649" s="965"/>
      <c r="B649" s="965"/>
      <c r="C649" s="965"/>
      <c r="D649" s="965"/>
      <c r="E649" s="965"/>
      <c r="F649" s="965"/>
      <c r="G649" s="965"/>
      <c r="H649" s="965"/>
      <c r="I649" s="965"/>
      <c r="J649" s="965"/>
      <c r="K649" s="965"/>
      <c r="L649" s="965"/>
      <c r="M649" s="965"/>
      <c r="N649" s="965"/>
      <c r="O649" s="965"/>
      <c r="P649" s="965"/>
      <c r="Q649" s="965"/>
      <c r="R649" s="965"/>
      <c r="S649" s="965"/>
      <c r="T649" s="965"/>
      <c r="U649" s="965"/>
      <c r="V649" s="965"/>
      <c r="W649" s="965"/>
      <c r="X649" s="965"/>
      <c r="Y649" s="965"/>
      <c r="Z649" s="965"/>
    </row>
    <row r="650">
      <c r="A650" s="965"/>
      <c r="B650" s="965"/>
      <c r="C650" s="965"/>
      <c r="D650" s="965"/>
      <c r="E650" s="965"/>
      <c r="F650" s="965"/>
      <c r="G650" s="965"/>
      <c r="H650" s="965"/>
      <c r="I650" s="965"/>
      <c r="J650" s="965"/>
      <c r="K650" s="965"/>
      <c r="L650" s="965"/>
      <c r="M650" s="965"/>
      <c r="N650" s="965"/>
      <c r="O650" s="965"/>
      <c r="P650" s="965"/>
      <c r="Q650" s="965"/>
      <c r="R650" s="965"/>
      <c r="S650" s="965"/>
      <c r="T650" s="965"/>
      <c r="U650" s="965"/>
      <c r="V650" s="965"/>
      <c r="W650" s="965"/>
      <c r="X650" s="965"/>
      <c r="Y650" s="965"/>
      <c r="Z650" s="965"/>
    </row>
    <row r="651">
      <c r="A651" s="965"/>
      <c r="B651" s="965"/>
      <c r="C651" s="965"/>
      <c r="D651" s="965"/>
      <c r="E651" s="965"/>
      <c r="F651" s="965"/>
      <c r="G651" s="965"/>
      <c r="H651" s="965"/>
      <c r="I651" s="965"/>
      <c r="J651" s="965"/>
      <c r="K651" s="965"/>
      <c r="L651" s="965"/>
      <c r="M651" s="965"/>
      <c r="N651" s="965"/>
      <c r="O651" s="965"/>
      <c r="P651" s="965"/>
      <c r="Q651" s="965"/>
      <c r="R651" s="965"/>
      <c r="S651" s="965"/>
      <c r="T651" s="965"/>
      <c r="U651" s="965"/>
      <c r="V651" s="965"/>
      <c r="W651" s="965"/>
      <c r="X651" s="965"/>
      <c r="Y651" s="965"/>
      <c r="Z651" s="965"/>
    </row>
    <row r="652">
      <c r="A652" s="965"/>
      <c r="B652" s="965"/>
      <c r="C652" s="965"/>
      <c r="D652" s="965"/>
      <c r="E652" s="965"/>
      <c r="F652" s="965"/>
      <c r="G652" s="965"/>
      <c r="H652" s="965"/>
      <c r="I652" s="965"/>
      <c r="J652" s="965"/>
      <c r="K652" s="965"/>
      <c r="L652" s="965"/>
      <c r="M652" s="965"/>
      <c r="N652" s="965"/>
      <c r="O652" s="965"/>
      <c r="P652" s="965"/>
      <c r="Q652" s="965"/>
      <c r="R652" s="965"/>
      <c r="S652" s="965"/>
      <c r="T652" s="965"/>
      <c r="U652" s="965"/>
      <c r="V652" s="965"/>
      <c r="W652" s="965"/>
      <c r="X652" s="965"/>
      <c r="Y652" s="965"/>
      <c r="Z652" s="965"/>
    </row>
    <row r="653">
      <c r="A653" s="965"/>
      <c r="B653" s="965"/>
      <c r="C653" s="965"/>
      <c r="D653" s="965"/>
      <c r="E653" s="965"/>
      <c r="F653" s="965"/>
      <c r="G653" s="965"/>
      <c r="H653" s="965"/>
      <c r="I653" s="965"/>
      <c r="J653" s="965"/>
      <c r="K653" s="965"/>
      <c r="L653" s="965"/>
      <c r="M653" s="965"/>
      <c r="N653" s="965"/>
      <c r="O653" s="965"/>
      <c r="P653" s="965"/>
      <c r="Q653" s="965"/>
      <c r="R653" s="965"/>
      <c r="S653" s="965"/>
      <c r="T653" s="965"/>
      <c r="U653" s="965"/>
      <c r="V653" s="965"/>
      <c r="W653" s="965"/>
      <c r="X653" s="965"/>
      <c r="Y653" s="965"/>
      <c r="Z653" s="965"/>
    </row>
    <row r="654">
      <c r="A654" s="965"/>
      <c r="B654" s="965"/>
      <c r="C654" s="965"/>
      <c r="D654" s="965"/>
      <c r="E654" s="965"/>
      <c r="F654" s="965"/>
      <c r="G654" s="965"/>
      <c r="H654" s="965"/>
      <c r="I654" s="965"/>
      <c r="J654" s="965"/>
      <c r="K654" s="965"/>
      <c r="L654" s="965"/>
      <c r="M654" s="965"/>
      <c r="N654" s="965"/>
      <c r="O654" s="965"/>
      <c r="P654" s="965"/>
      <c r="Q654" s="965"/>
      <c r="R654" s="965"/>
      <c r="S654" s="965"/>
      <c r="T654" s="965"/>
      <c r="U654" s="965"/>
      <c r="V654" s="965"/>
      <c r="W654" s="965"/>
      <c r="X654" s="965"/>
      <c r="Y654" s="965"/>
      <c r="Z654" s="965"/>
    </row>
    <row r="655">
      <c r="A655" s="965"/>
      <c r="B655" s="965"/>
      <c r="C655" s="965"/>
      <c r="D655" s="965"/>
      <c r="E655" s="965"/>
      <c r="F655" s="965"/>
      <c r="G655" s="965"/>
      <c r="H655" s="965"/>
      <c r="I655" s="965"/>
      <c r="J655" s="965"/>
      <c r="K655" s="965"/>
      <c r="L655" s="965"/>
      <c r="M655" s="965"/>
      <c r="N655" s="965"/>
      <c r="O655" s="965"/>
      <c r="P655" s="965"/>
      <c r="Q655" s="965"/>
      <c r="R655" s="965"/>
      <c r="S655" s="965"/>
      <c r="T655" s="965"/>
      <c r="U655" s="965"/>
      <c r="V655" s="965"/>
      <c r="W655" s="965"/>
      <c r="X655" s="965"/>
      <c r="Y655" s="965"/>
      <c r="Z655" s="965"/>
    </row>
    <row r="656">
      <c r="A656" s="965"/>
      <c r="B656" s="965"/>
      <c r="C656" s="965"/>
      <c r="D656" s="965"/>
      <c r="E656" s="965"/>
      <c r="F656" s="965"/>
      <c r="G656" s="965"/>
      <c r="H656" s="965"/>
      <c r="I656" s="965"/>
      <c r="J656" s="965"/>
      <c r="K656" s="965"/>
      <c r="L656" s="965"/>
      <c r="M656" s="965"/>
      <c r="N656" s="965"/>
      <c r="O656" s="965"/>
      <c r="P656" s="965"/>
      <c r="Q656" s="965"/>
      <c r="R656" s="965"/>
      <c r="S656" s="965"/>
      <c r="T656" s="965"/>
      <c r="U656" s="965"/>
      <c r="V656" s="965"/>
      <c r="W656" s="965"/>
      <c r="X656" s="965"/>
      <c r="Y656" s="965"/>
      <c r="Z656" s="965"/>
    </row>
    <row r="657">
      <c r="A657" s="965"/>
      <c r="B657" s="965"/>
      <c r="C657" s="965"/>
      <c r="D657" s="965"/>
      <c r="E657" s="965"/>
      <c r="F657" s="965"/>
      <c r="G657" s="965"/>
      <c r="H657" s="965"/>
      <c r="I657" s="965"/>
      <c r="J657" s="965"/>
      <c r="K657" s="965"/>
      <c r="L657" s="965"/>
      <c r="M657" s="965"/>
      <c r="N657" s="965"/>
      <c r="O657" s="965"/>
      <c r="P657" s="965"/>
      <c r="Q657" s="965"/>
      <c r="R657" s="965"/>
      <c r="S657" s="965"/>
      <c r="T657" s="965"/>
      <c r="U657" s="965"/>
      <c r="V657" s="965"/>
      <c r="W657" s="965"/>
      <c r="X657" s="965"/>
      <c r="Y657" s="965"/>
      <c r="Z657" s="965"/>
    </row>
    <row r="658">
      <c r="A658" s="965"/>
      <c r="B658" s="965"/>
      <c r="C658" s="965"/>
      <c r="D658" s="965"/>
      <c r="E658" s="965"/>
      <c r="F658" s="965"/>
      <c r="G658" s="965"/>
      <c r="H658" s="965"/>
      <c r="I658" s="965"/>
      <c r="J658" s="965"/>
      <c r="K658" s="965"/>
      <c r="L658" s="965"/>
      <c r="M658" s="965"/>
      <c r="N658" s="965"/>
      <c r="O658" s="965"/>
      <c r="P658" s="965"/>
      <c r="Q658" s="965"/>
      <c r="R658" s="965"/>
      <c r="S658" s="965"/>
      <c r="T658" s="965"/>
      <c r="U658" s="965"/>
      <c r="V658" s="965"/>
      <c r="W658" s="965"/>
      <c r="X658" s="965"/>
      <c r="Y658" s="965"/>
      <c r="Z658" s="965"/>
    </row>
    <row r="659">
      <c r="A659" s="965"/>
      <c r="B659" s="965"/>
      <c r="C659" s="965"/>
      <c r="D659" s="965"/>
      <c r="E659" s="965"/>
      <c r="F659" s="965"/>
      <c r="G659" s="965"/>
      <c r="H659" s="965"/>
      <c r="I659" s="965"/>
      <c r="J659" s="965"/>
      <c r="K659" s="965"/>
      <c r="L659" s="965"/>
      <c r="M659" s="965"/>
      <c r="N659" s="965"/>
      <c r="O659" s="965"/>
      <c r="P659" s="965"/>
      <c r="Q659" s="965"/>
      <c r="R659" s="965"/>
      <c r="S659" s="965"/>
      <c r="T659" s="965"/>
      <c r="U659" s="965"/>
      <c r="V659" s="965"/>
      <c r="W659" s="965"/>
      <c r="X659" s="965"/>
      <c r="Y659" s="965"/>
      <c r="Z659" s="965"/>
    </row>
    <row r="660">
      <c r="A660" s="965"/>
      <c r="B660" s="965"/>
      <c r="C660" s="965"/>
      <c r="D660" s="965"/>
      <c r="E660" s="965"/>
      <c r="F660" s="965"/>
      <c r="G660" s="965"/>
      <c r="H660" s="965"/>
      <c r="I660" s="965"/>
      <c r="J660" s="965"/>
      <c r="K660" s="965"/>
      <c r="L660" s="965"/>
      <c r="M660" s="965"/>
      <c r="N660" s="965"/>
      <c r="O660" s="965"/>
      <c r="P660" s="965"/>
      <c r="Q660" s="965"/>
      <c r="R660" s="965"/>
      <c r="S660" s="965"/>
      <c r="T660" s="965"/>
      <c r="U660" s="965"/>
      <c r="V660" s="965"/>
      <c r="W660" s="965"/>
      <c r="X660" s="965"/>
      <c r="Y660" s="965"/>
      <c r="Z660" s="965"/>
    </row>
    <row r="661">
      <c r="A661" s="965"/>
      <c r="B661" s="965"/>
      <c r="C661" s="965"/>
      <c r="D661" s="965"/>
      <c r="E661" s="965"/>
      <c r="F661" s="965"/>
      <c r="G661" s="965"/>
      <c r="H661" s="965"/>
      <c r="I661" s="965"/>
      <c r="J661" s="965"/>
      <c r="K661" s="965"/>
      <c r="L661" s="965"/>
      <c r="M661" s="965"/>
      <c r="N661" s="965"/>
      <c r="O661" s="965"/>
      <c r="P661" s="965"/>
      <c r="Q661" s="965"/>
      <c r="R661" s="965"/>
      <c r="S661" s="965"/>
      <c r="T661" s="965"/>
      <c r="U661" s="965"/>
      <c r="V661" s="965"/>
      <c r="W661" s="965"/>
      <c r="X661" s="965"/>
      <c r="Y661" s="965"/>
      <c r="Z661" s="965"/>
    </row>
    <row r="662">
      <c r="A662" s="965"/>
      <c r="B662" s="965"/>
      <c r="C662" s="965"/>
      <c r="D662" s="965"/>
      <c r="E662" s="965"/>
      <c r="F662" s="965"/>
      <c r="G662" s="965"/>
      <c r="H662" s="965"/>
      <c r="I662" s="965"/>
      <c r="J662" s="965"/>
      <c r="K662" s="965"/>
      <c r="L662" s="965"/>
      <c r="M662" s="965"/>
      <c r="N662" s="965"/>
      <c r="O662" s="965"/>
      <c r="P662" s="965"/>
      <c r="Q662" s="965"/>
      <c r="R662" s="965"/>
      <c r="S662" s="965"/>
      <c r="T662" s="965"/>
      <c r="U662" s="965"/>
      <c r="V662" s="965"/>
      <c r="W662" s="965"/>
      <c r="X662" s="965"/>
      <c r="Y662" s="965"/>
      <c r="Z662" s="965"/>
    </row>
    <row r="663">
      <c r="A663" s="965"/>
      <c r="B663" s="965"/>
      <c r="C663" s="965"/>
      <c r="D663" s="965"/>
      <c r="E663" s="965"/>
      <c r="F663" s="965"/>
      <c r="G663" s="965"/>
      <c r="H663" s="965"/>
      <c r="I663" s="965"/>
      <c r="J663" s="965"/>
      <c r="K663" s="965"/>
      <c r="L663" s="965"/>
      <c r="M663" s="965"/>
      <c r="N663" s="965"/>
      <c r="O663" s="965"/>
      <c r="P663" s="965"/>
      <c r="Q663" s="965"/>
      <c r="R663" s="965"/>
      <c r="S663" s="965"/>
      <c r="T663" s="965"/>
      <c r="U663" s="965"/>
      <c r="V663" s="965"/>
      <c r="W663" s="965"/>
      <c r="X663" s="965"/>
      <c r="Y663" s="965"/>
      <c r="Z663" s="965"/>
    </row>
    <row r="664">
      <c r="A664" s="965"/>
      <c r="B664" s="965"/>
      <c r="C664" s="965"/>
      <c r="D664" s="965"/>
      <c r="E664" s="965"/>
      <c r="F664" s="965"/>
      <c r="G664" s="965"/>
      <c r="H664" s="965"/>
      <c r="I664" s="965"/>
      <c r="J664" s="965"/>
      <c r="K664" s="965"/>
      <c r="L664" s="965"/>
      <c r="M664" s="965"/>
      <c r="N664" s="965"/>
      <c r="O664" s="965"/>
      <c r="P664" s="965"/>
      <c r="Q664" s="965"/>
      <c r="R664" s="965"/>
      <c r="S664" s="965"/>
      <c r="T664" s="965"/>
      <c r="U664" s="965"/>
      <c r="V664" s="965"/>
      <c r="W664" s="965"/>
      <c r="X664" s="965"/>
      <c r="Y664" s="965"/>
      <c r="Z664" s="965"/>
    </row>
    <row r="665">
      <c r="A665" s="965"/>
      <c r="B665" s="965"/>
      <c r="C665" s="965"/>
      <c r="D665" s="965"/>
      <c r="E665" s="965"/>
      <c r="F665" s="965"/>
      <c r="G665" s="965"/>
      <c r="H665" s="965"/>
      <c r="I665" s="965"/>
      <c r="J665" s="965"/>
      <c r="K665" s="965"/>
      <c r="L665" s="965"/>
      <c r="M665" s="965"/>
      <c r="N665" s="965"/>
      <c r="O665" s="965"/>
      <c r="P665" s="965"/>
      <c r="Q665" s="965"/>
      <c r="R665" s="965"/>
      <c r="S665" s="965"/>
      <c r="T665" s="965"/>
      <c r="U665" s="965"/>
      <c r="V665" s="965"/>
      <c r="W665" s="965"/>
      <c r="X665" s="965"/>
      <c r="Y665" s="965"/>
      <c r="Z665" s="965"/>
    </row>
    <row r="666">
      <c r="A666" s="965"/>
      <c r="B666" s="965"/>
      <c r="C666" s="965"/>
      <c r="D666" s="965"/>
      <c r="E666" s="965"/>
      <c r="F666" s="965"/>
      <c r="G666" s="965"/>
      <c r="H666" s="965"/>
      <c r="I666" s="965"/>
      <c r="J666" s="965"/>
      <c r="K666" s="965"/>
      <c r="L666" s="965"/>
      <c r="M666" s="965"/>
      <c r="N666" s="965"/>
      <c r="O666" s="965"/>
      <c r="P666" s="965"/>
      <c r="Q666" s="965"/>
      <c r="R666" s="965"/>
      <c r="S666" s="965"/>
      <c r="T666" s="965"/>
      <c r="U666" s="965"/>
      <c r="V666" s="965"/>
      <c r="W666" s="965"/>
      <c r="X666" s="965"/>
      <c r="Y666" s="965"/>
      <c r="Z666" s="965"/>
    </row>
    <row r="667">
      <c r="A667" s="965"/>
      <c r="B667" s="965"/>
      <c r="C667" s="965"/>
      <c r="D667" s="965"/>
      <c r="E667" s="965"/>
      <c r="F667" s="965"/>
      <c r="G667" s="965"/>
      <c r="H667" s="965"/>
      <c r="I667" s="965"/>
      <c r="J667" s="965"/>
      <c r="K667" s="965"/>
      <c r="L667" s="965"/>
      <c r="M667" s="965"/>
      <c r="N667" s="965"/>
      <c r="O667" s="965"/>
      <c r="P667" s="965"/>
      <c r="Q667" s="965"/>
      <c r="R667" s="965"/>
      <c r="S667" s="965"/>
      <c r="T667" s="965"/>
      <c r="U667" s="965"/>
      <c r="V667" s="965"/>
      <c r="W667" s="965"/>
      <c r="X667" s="965"/>
      <c r="Y667" s="965"/>
      <c r="Z667" s="965"/>
    </row>
    <row r="668">
      <c r="A668" s="965"/>
      <c r="B668" s="965"/>
      <c r="C668" s="965"/>
      <c r="D668" s="965"/>
      <c r="E668" s="965"/>
      <c r="F668" s="965"/>
      <c r="G668" s="965"/>
      <c r="H668" s="965"/>
      <c r="I668" s="965"/>
      <c r="J668" s="965"/>
      <c r="K668" s="965"/>
      <c r="L668" s="965"/>
      <c r="M668" s="965"/>
      <c r="N668" s="965"/>
      <c r="O668" s="965"/>
      <c r="P668" s="965"/>
      <c r="Q668" s="965"/>
      <c r="R668" s="965"/>
      <c r="S668" s="965"/>
      <c r="T668" s="965"/>
      <c r="U668" s="965"/>
      <c r="V668" s="965"/>
      <c r="W668" s="965"/>
      <c r="X668" s="965"/>
      <c r="Y668" s="965"/>
      <c r="Z668" s="965"/>
    </row>
    <row r="669">
      <c r="A669" s="965"/>
      <c r="B669" s="965"/>
      <c r="C669" s="965"/>
      <c r="D669" s="965"/>
      <c r="E669" s="965"/>
      <c r="F669" s="965"/>
      <c r="G669" s="965"/>
      <c r="H669" s="965"/>
      <c r="I669" s="965"/>
      <c r="J669" s="965"/>
      <c r="K669" s="965"/>
      <c r="L669" s="965"/>
      <c r="M669" s="965"/>
      <c r="N669" s="965"/>
      <c r="O669" s="965"/>
      <c r="P669" s="965"/>
      <c r="Q669" s="965"/>
      <c r="R669" s="965"/>
      <c r="S669" s="965"/>
      <c r="T669" s="965"/>
      <c r="U669" s="965"/>
      <c r="V669" s="965"/>
      <c r="W669" s="965"/>
      <c r="X669" s="965"/>
      <c r="Y669" s="965"/>
      <c r="Z669" s="965"/>
    </row>
    <row r="670">
      <c r="A670" s="965"/>
      <c r="B670" s="965"/>
      <c r="C670" s="965"/>
      <c r="D670" s="965"/>
      <c r="E670" s="965"/>
      <c r="F670" s="965"/>
      <c r="G670" s="965"/>
      <c r="H670" s="965"/>
      <c r="I670" s="965"/>
      <c r="J670" s="965"/>
      <c r="K670" s="965"/>
      <c r="L670" s="965"/>
      <c r="M670" s="965"/>
      <c r="N670" s="965"/>
      <c r="O670" s="965"/>
      <c r="P670" s="965"/>
      <c r="Q670" s="965"/>
      <c r="R670" s="965"/>
      <c r="S670" s="965"/>
      <c r="T670" s="965"/>
      <c r="U670" s="965"/>
      <c r="V670" s="965"/>
      <c r="W670" s="965"/>
      <c r="X670" s="965"/>
      <c r="Y670" s="965"/>
      <c r="Z670" s="965"/>
    </row>
    <row r="671">
      <c r="A671" s="965"/>
      <c r="B671" s="965"/>
      <c r="C671" s="965"/>
      <c r="D671" s="965"/>
      <c r="E671" s="965"/>
      <c r="F671" s="965"/>
      <c r="G671" s="965"/>
      <c r="H671" s="965"/>
      <c r="I671" s="965"/>
      <c r="J671" s="965"/>
      <c r="K671" s="965"/>
      <c r="L671" s="965"/>
      <c r="M671" s="965"/>
      <c r="N671" s="965"/>
      <c r="O671" s="965"/>
      <c r="P671" s="965"/>
      <c r="Q671" s="965"/>
      <c r="R671" s="965"/>
      <c r="S671" s="965"/>
      <c r="T671" s="965"/>
      <c r="U671" s="965"/>
      <c r="V671" s="965"/>
      <c r="W671" s="965"/>
      <c r="X671" s="965"/>
      <c r="Y671" s="965"/>
      <c r="Z671" s="965"/>
    </row>
    <row r="672">
      <c r="A672" s="965"/>
      <c r="B672" s="965"/>
      <c r="C672" s="965"/>
      <c r="D672" s="965"/>
      <c r="E672" s="965"/>
      <c r="F672" s="965"/>
      <c r="G672" s="965"/>
      <c r="H672" s="965"/>
      <c r="I672" s="965"/>
      <c r="J672" s="965"/>
      <c r="K672" s="965"/>
      <c r="L672" s="965"/>
      <c r="M672" s="965"/>
      <c r="N672" s="965"/>
      <c r="O672" s="965"/>
      <c r="P672" s="965"/>
      <c r="Q672" s="965"/>
      <c r="R672" s="965"/>
      <c r="S672" s="965"/>
      <c r="T672" s="965"/>
      <c r="U672" s="965"/>
      <c r="V672" s="965"/>
      <c r="W672" s="965"/>
      <c r="X672" s="965"/>
      <c r="Y672" s="965"/>
      <c r="Z672" s="965"/>
    </row>
    <row r="673">
      <c r="A673" s="965"/>
      <c r="B673" s="965"/>
      <c r="C673" s="965"/>
      <c r="D673" s="965"/>
      <c r="E673" s="965"/>
      <c r="F673" s="965"/>
      <c r="G673" s="965"/>
      <c r="H673" s="965"/>
      <c r="I673" s="965"/>
      <c r="J673" s="965"/>
      <c r="K673" s="965"/>
      <c r="L673" s="965"/>
      <c r="M673" s="965"/>
      <c r="N673" s="965"/>
      <c r="O673" s="965"/>
      <c r="P673" s="965"/>
      <c r="Q673" s="965"/>
      <c r="R673" s="965"/>
      <c r="S673" s="965"/>
      <c r="T673" s="965"/>
      <c r="U673" s="965"/>
      <c r="V673" s="965"/>
      <c r="W673" s="965"/>
      <c r="X673" s="965"/>
      <c r="Y673" s="965"/>
      <c r="Z673" s="965"/>
    </row>
    <row r="674">
      <c r="A674" s="965"/>
      <c r="B674" s="965"/>
      <c r="C674" s="965"/>
      <c r="D674" s="965"/>
      <c r="E674" s="965"/>
      <c r="F674" s="965"/>
      <c r="G674" s="965"/>
      <c r="H674" s="965"/>
      <c r="I674" s="965"/>
      <c r="J674" s="965"/>
      <c r="K674" s="965"/>
      <c r="L674" s="965"/>
      <c r="M674" s="965"/>
      <c r="N674" s="965"/>
      <c r="O674" s="965"/>
      <c r="P674" s="965"/>
      <c r="Q674" s="965"/>
      <c r="R674" s="965"/>
      <c r="S674" s="965"/>
      <c r="T674" s="965"/>
      <c r="U674" s="965"/>
      <c r="V674" s="965"/>
      <c r="W674" s="965"/>
      <c r="X674" s="965"/>
      <c r="Y674" s="965"/>
      <c r="Z674" s="965"/>
    </row>
    <row r="675">
      <c r="A675" s="965"/>
      <c r="B675" s="965"/>
      <c r="C675" s="965"/>
      <c r="D675" s="965"/>
      <c r="E675" s="965"/>
      <c r="F675" s="965"/>
      <c r="G675" s="965"/>
      <c r="H675" s="965"/>
      <c r="I675" s="965"/>
      <c r="J675" s="965"/>
      <c r="K675" s="965"/>
      <c r="L675" s="965"/>
      <c r="M675" s="965"/>
      <c r="N675" s="965"/>
      <c r="O675" s="965"/>
      <c r="P675" s="965"/>
      <c r="Q675" s="965"/>
      <c r="R675" s="965"/>
      <c r="S675" s="965"/>
      <c r="T675" s="965"/>
      <c r="U675" s="965"/>
      <c r="V675" s="965"/>
      <c r="W675" s="965"/>
      <c r="X675" s="965"/>
      <c r="Y675" s="965"/>
      <c r="Z675" s="965"/>
    </row>
    <row r="676">
      <c r="A676" s="965"/>
      <c r="B676" s="965"/>
      <c r="C676" s="965"/>
      <c r="D676" s="965"/>
      <c r="E676" s="965"/>
      <c r="F676" s="965"/>
      <c r="G676" s="965"/>
      <c r="H676" s="965"/>
      <c r="I676" s="965"/>
      <c r="J676" s="965"/>
      <c r="K676" s="965"/>
      <c r="L676" s="965"/>
      <c r="M676" s="965"/>
      <c r="N676" s="965"/>
      <c r="O676" s="965"/>
      <c r="P676" s="965"/>
      <c r="Q676" s="965"/>
      <c r="R676" s="965"/>
      <c r="S676" s="965"/>
      <c r="T676" s="965"/>
      <c r="U676" s="965"/>
      <c r="V676" s="965"/>
      <c r="W676" s="965"/>
      <c r="X676" s="965"/>
      <c r="Y676" s="965"/>
      <c r="Z676" s="965"/>
    </row>
    <row r="677">
      <c r="A677" s="965"/>
      <c r="B677" s="965"/>
      <c r="C677" s="965"/>
      <c r="D677" s="965"/>
      <c r="E677" s="965"/>
      <c r="F677" s="965"/>
      <c r="G677" s="965"/>
      <c r="H677" s="965"/>
      <c r="I677" s="965"/>
      <c r="J677" s="965"/>
      <c r="K677" s="965"/>
      <c r="L677" s="965"/>
      <c r="M677" s="965"/>
      <c r="N677" s="965"/>
      <c r="O677" s="965"/>
      <c r="P677" s="965"/>
      <c r="Q677" s="965"/>
      <c r="R677" s="965"/>
      <c r="S677" s="965"/>
      <c r="T677" s="965"/>
      <c r="U677" s="965"/>
      <c r="V677" s="965"/>
      <c r="W677" s="965"/>
      <c r="X677" s="965"/>
      <c r="Y677" s="965"/>
      <c r="Z677" s="965"/>
    </row>
    <row r="678">
      <c r="A678" s="965"/>
      <c r="B678" s="965"/>
      <c r="C678" s="965"/>
      <c r="D678" s="965"/>
      <c r="E678" s="965"/>
      <c r="F678" s="965"/>
      <c r="G678" s="965"/>
      <c r="H678" s="965"/>
      <c r="I678" s="965"/>
      <c r="J678" s="965"/>
      <c r="K678" s="965"/>
      <c r="L678" s="965"/>
      <c r="M678" s="965"/>
      <c r="N678" s="965"/>
      <c r="O678" s="965"/>
      <c r="P678" s="965"/>
      <c r="Q678" s="965"/>
      <c r="R678" s="965"/>
      <c r="S678" s="965"/>
      <c r="T678" s="965"/>
      <c r="U678" s="965"/>
      <c r="V678" s="965"/>
      <c r="W678" s="965"/>
      <c r="X678" s="965"/>
      <c r="Y678" s="965"/>
      <c r="Z678" s="965"/>
    </row>
    <row r="679">
      <c r="A679" s="965"/>
      <c r="B679" s="965"/>
      <c r="C679" s="965"/>
      <c r="D679" s="965"/>
      <c r="E679" s="965"/>
      <c r="F679" s="965"/>
      <c r="G679" s="965"/>
      <c r="H679" s="965"/>
      <c r="I679" s="965"/>
      <c r="J679" s="965"/>
      <c r="K679" s="965"/>
      <c r="L679" s="965"/>
      <c r="M679" s="965"/>
      <c r="N679" s="965"/>
      <c r="O679" s="965"/>
      <c r="P679" s="965"/>
      <c r="Q679" s="965"/>
      <c r="R679" s="965"/>
      <c r="S679" s="965"/>
      <c r="T679" s="965"/>
      <c r="U679" s="965"/>
      <c r="V679" s="965"/>
      <c r="W679" s="965"/>
      <c r="X679" s="965"/>
      <c r="Y679" s="965"/>
      <c r="Z679" s="965"/>
    </row>
    <row r="680">
      <c r="A680" s="965"/>
      <c r="B680" s="965"/>
      <c r="C680" s="965"/>
      <c r="D680" s="965"/>
      <c r="E680" s="965"/>
      <c r="F680" s="965"/>
      <c r="G680" s="965"/>
      <c r="H680" s="965"/>
      <c r="I680" s="965"/>
      <c r="J680" s="965"/>
      <c r="K680" s="965"/>
      <c r="L680" s="965"/>
      <c r="M680" s="965"/>
      <c r="N680" s="965"/>
      <c r="O680" s="965"/>
      <c r="P680" s="965"/>
      <c r="Q680" s="965"/>
      <c r="R680" s="965"/>
      <c r="S680" s="965"/>
      <c r="T680" s="965"/>
      <c r="U680" s="965"/>
      <c r="V680" s="965"/>
      <c r="W680" s="965"/>
      <c r="X680" s="965"/>
      <c r="Y680" s="965"/>
      <c r="Z680" s="965"/>
    </row>
    <row r="681">
      <c r="A681" s="965"/>
      <c r="B681" s="965"/>
      <c r="C681" s="965"/>
      <c r="D681" s="965"/>
      <c r="E681" s="965"/>
      <c r="F681" s="965"/>
      <c r="G681" s="965"/>
      <c r="H681" s="965"/>
      <c r="I681" s="965"/>
      <c r="J681" s="965"/>
      <c r="K681" s="965"/>
      <c r="L681" s="965"/>
      <c r="M681" s="965"/>
      <c r="N681" s="965"/>
      <c r="O681" s="965"/>
      <c r="P681" s="965"/>
      <c r="Q681" s="965"/>
      <c r="R681" s="965"/>
      <c r="S681" s="965"/>
      <c r="T681" s="965"/>
      <c r="U681" s="965"/>
      <c r="V681" s="965"/>
      <c r="W681" s="965"/>
      <c r="X681" s="965"/>
      <c r="Y681" s="965"/>
      <c r="Z681" s="965"/>
    </row>
    <row r="682">
      <c r="A682" s="965"/>
      <c r="B682" s="965"/>
      <c r="C682" s="965"/>
      <c r="D682" s="965"/>
      <c r="E682" s="965"/>
      <c r="F682" s="965"/>
      <c r="G682" s="965"/>
      <c r="H682" s="965"/>
      <c r="I682" s="965"/>
      <c r="J682" s="965"/>
      <c r="K682" s="965"/>
      <c r="L682" s="965"/>
      <c r="M682" s="965"/>
      <c r="N682" s="965"/>
      <c r="O682" s="965"/>
      <c r="P682" s="965"/>
      <c r="Q682" s="965"/>
      <c r="R682" s="965"/>
      <c r="S682" s="965"/>
      <c r="T682" s="965"/>
      <c r="U682" s="965"/>
      <c r="V682" s="965"/>
      <c r="W682" s="965"/>
      <c r="X682" s="965"/>
      <c r="Y682" s="965"/>
      <c r="Z682" s="965"/>
    </row>
    <row r="683">
      <c r="A683" s="965"/>
      <c r="B683" s="965"/>
      <c r="C683" s="965"/>
      <c r="D683" s="965"/>
      <c r="E683" s="965"/>
      <c r="F683" s="965"/>
      <c r="G683" s="965"/>
      <c r="H683" s="965"/>
      <c r="I683" s="965"/>
      <c r="J683" s="965"/>
      <c r="K683" s="965"/>
      <c r="L683" s="965"/>
      <c r="M683" s="965"/>
      <c r="N683" s="965"/>
      <c r="O683" s="965"/>
      <c r="P683" s="965"/>
      <c r="Q683" s="965"/>
      <c r="R683" s="965"/>
      <c r="S683" s="965"/>
      <c r="T683" s="965"/>
      <c r="U683" s="965"/>
      <c r="V683" s="965"/>
      <c r="W683" s="965"/>
      <c r="X683" s="965"/>
      <c r="Y683" s="965"/>
      <c r="Z683" s="965"/>
    </row>
    <row r="684">
      <c r="A684" s="965"/>
      <c r="B684" s="965"/>
      <c r="C684" s="965"/>
      <c r="D684" s="965"/>
      <c r="E684" s="965"/>
      <c r="F684" s="965"/>
      <c r="G684" s="965"/>
      <c r="H684" s="965"/>
      <c r="I684" s="965"/>
      <c r="J684" s="965"/>
      <c r="K684" s="965"/>
      <c r="L684" s="965"/>
      <c r="M684" s="965"/>
      <c r="N684" s="965"/>
      <c r="O684" s="965"/>
      <c r="P684" s="965"/>
      <c r="Q684" s="965"/>
      <c r="R684" s="965"/>
      <c r="S684" s="965"/>
      <c r="T684" s="965"/>
      <c r="U684" s="965"/>
      <c r="V684" s="965"/>
      <c r="W684" s="965"/>
      <c r="X684" s="965"/>
      <c r="Y684" s="965"/>
      <c r="Z684" s="965"/>
    </row>
    <row r="685">
      <c r="A685" s="965"/>
      <c r="B685" s="965"/>
      <c r="C685" s="965"/>
      <c r="D685" s="965"/>
      <c r="E685" s="965"/>
      <c r="F685" s="965"/>
      <c r="G685" s="965"/>
      <c r="H685" s="965"/>
      <c r="I685" s="965"/>
      <c r="J685" s="965"/>
      <c r="K685" s="965"/>
      <c r="L685" s="965"/>
      <c r="M685" s="965"/>
      <c r="N685" s="965"/>
      <c r="O685" s="965"/>
      <c r="P685" s="965"/>
      <c r="Q685" s="965"/>
      <c r="R685" s="965"/>
      <c r="S685" s="965"/>
      <c r="T685" s="965"/>
      <c r="U685" s="965"/>
      <c r="V685" s="965"/>
      <c r="W685" s="965"/>
      <c r="X685" s="965"/>
      <c r="Y685" s="965"/>
      <c r="Z685" s="965"/>
    </row>
    <row r="686">
      <c r="A686" s="965"/>
      <c r="B686" s="965"/>
      <c r="C686" s="965"/>
      <c r="D686" s="965"/>
      <c r="E686" s="965"/>
      <c r="F686" s="965"/>
      <c r="G686" s="965"/>
      <c r="H686" s="965"/>
      <c r="I686" s="965"/>
      <c r="J686" s="965"/>
      <c r="K686" s="965"/>
      <c r="L686" s="965"/>
      <c r="M686" s="965"/>
      <c r="N686" s="965"/>
      <c r="O686" s="965"/>
      <c r="P686" s="965"/>
      <c r="Q686" s="965"/>
      <c r="R686" s="965"/>
      <c r="S686" s="965"/>
      <c r="T686" s="965"/>
      <c r="U686" s="965"/>
      <c r="V686" s="965"/>
      <c r="W686" s="965"/>
      <c r="X686" s="965"/>
      <c r="Y686" s="965"/>
      <c r="Z686" s="965"/>
    </row>
    <row r="687">
      <c r="A687" s="965"/>
      <c r="B687" s="965"/>
      <c r="C687" s="965"/>
      <c r="D687" s="965"/>
      <c r="E687" s="965"/>
      <c r="F687" s="965"/>
      <c r="G687" s="965"/>
      <c r="H687" s="965"/>
      <c r="I687" s="965"/>
      <c r="J687" s="965"/>
      <c r="K687" s="965"/>
      <c r="L687" s="965"/>
      <c r="M687" s="965"/>
      <c r="N687" s="965"/>
      <c r="O687" s="965"/>
      <c r="P687" s="965"/>
      <c r="Q687" s="965"/>
      <c r="R687" s="965"/>
      <c r="S687" s="965"/>
      <c r="T687" s="965"/>
      <c r="U687" s="965"/>
      <c r="V687" s="965"/>
      <c r="W687" s="965"/>
      <c r="X687" s="965"/>
      <c r="Y687" s="965"/>
      <c r="Z687" s="965"/>
    </row>
    <row r="688">
      <c r="A688" s="965"/>
      <c r="B688" s="965"/>
      <c r="C688" s="965"/>
      <c r="D688" s="965"/>
      <c r="E688" s="965"/>
      <c r="F688" s="965"/>
      <c r="G688" s="965"/>
      <c r="H688" s="965"/>
      <c r="I688" s="965"/>
      <c r="J688" s="965"/>
      <c r="K688" s="965"/>
      <c r="L688" s="965"/>
      <c r="M688" s="965"/>
      <c r="N688" s="965"/>
      <c r="O688" s="965"/>
      <c r="P688" s="965"/>
      <c r="Q688" s="965"/>
      <c r="R688" s="965"/>
      <c r="S688" s="965"/>
      <c r="T688" s="965"/>
      <c r="U688" s="965"/>
      <c r="V688" s="965"/>
      <c r="W688" s="965"/>
      <c r="X688" s="965"/>
      <c r="Y688" s="965"/>
      <c r="Z688" s="965"/>
    </row>
    <row r="689">
      <c r="A689" s="965"/>
      <c r="B689" s="965"/>
      <c r="C689" s="965"/>
      <c r="D689" s="965"/>
      <c r="E689" s="965"/>
      <c r="F689" s="965"/>
      <c r="G689" s="965"/>
      <c r="H689" s="965"/>
      <c r="I689" s="965"/>
      <c r="J689" s="965"/>
      <c r="K689" s="965"/>
      <c r="L689" s="965"/>
      <c r="M689" s="965"/>
      <c r="N689" s="965"/>
      <c r="O689" s="965"/>
      <c r="P689" s="965"/>
      <c r="Q689" s="965"/>
      <c r="R689" s="965"/>
      <c r="S689" s="965"/>
      <c r="T689" s="965"/>
      <c r="U689" s="965"/>
      <c r="V689" s="965"/>
      <c r="W689" s="965"/>
      <c r="X689" s="965"/>
      <c r="Y689" s="965"/>
      <c r="Z689" s="965"/>
    </row>
    <row r="690">
      <c r="A690" s="965"/>
      <c r="B690" s="965"/>
      <c r="C690" s="965"/>
      <c r="D690" s="965"/>
      <c r="E690" s="965"/>
      <c r="F690" s="965"/>
      <c r="G690" s="965"/>
      <c r="H690" s="965"/>
      <c r="I690" s="965"/>
      <c r="J690" s="965"/>
      <c r="K690" s="965"/>
      <c r="L690" s="965"/>
      <c r="M690" s="965"/>
      <c r="N690" s="965"/>
      <c r="O690" s="965"/>
      <c r="P690" s="965"/>
      <c r="Q690" s="965"/>
      <c r="R690" s="965"/>
      <c r="S690" s="965"/>
      <c r="T690" s="965"/>
      <c r="U690" s="965"/>
      <c r="V690" s="965"/>
      <c r="W690" s="965"/>
      <c r="X690" s="965"/>
      <c r="Y690" s="965"/>
      <c r="Z690" s="965"/>
    </row>
    <row r="691">
      <c r="A691" s="965"/>
      <c r="B691" s="965"/>
      <c r="C691" s="965"/>
      <c r="D691" s="965"/>
      <c r="E691" s="965"/>
      <c r="F691" s="965"/>
      <c r="G691" s="965"/>
      <c r="H691" s="965"/>
      <c r="I691" s="965"/>
      <c r="J691" s="965"/>
      <c r="K691" s="965"/>
      <c r="L691" s="965"/>
      <c r="M691" s="965"/>
      <c r="N691" s="965"/>
      <c r="O691" s="965"/>
      <c r="P691" s="965"/>
      <c r="Q691" s="965"/>
      <c r="R691" s="965"/>
      <c r="S691" s="965"/>
      <c r="T691" s="965"/>
      <c r="U691" s="965"/>
      <c r="V691" s="965"/>
      <c r="W691" s="965"/>
      <c r="X691" s="965"/>
      <c r="Y691" s="965"/>
      <c r="Z691" s="965"/>
    </row>
    <row r="692">
      <c r="A692" s="965"/>
      <c r="B692" s="965"/>
      <c r="C692" s="965"/>
      <c r="D692" s="965"/>
      <c r="E692" s="965"/>
      <c r="F692" s="965"/>
      <c r="G692" s="965"/>
      <c r="H692" s="965"/>
      <c r="I692" s="965"/>
      <c r="J692" s="965"/>
      <c r="K692" s="965"/>
      <c r="L692" s="965"/>
      <c r="M692" s="965"/>
      <c r="N692" s="965"/>
      <c r="O692" s="965"/>
      <c r="P692" s="965"/>
      <c r="Q692" s="965"/>
      <c r="R692" s="965"/>
      <c r="S692" s="965"/>
      <c r="T692" s="965"/>
      <c r="U692" s="965"/>
      <c r="V692" s="965"/>
      <c r="W692" s="965"/>
      <c r="X692" s="965"/>
      <c r="Y692" s="965"/>
      <c r="Z692" s="965"/>
    </row>
    <row r="693">
      <c r="A693" s="965"/>
      <c r="B693" s="965"/>
      <c r="C693" s="965"/>
      <c r="D693" s="965"/>
      <c r="E693" s="965"/>
      <c r="F693" s="965"/>
      <c r="G693" s="965"/>
      <c r="H693" s="965"/>
      <c r="I693" s="965"/>
      <c r="J693" s="965"/>
      <c r="K693" s="965"/>
      <c r="L693" s="965"/>
      <c r="M693" s="965"/>
      <c r="N693" s="965"/>
      <c r="O693" s="965"/>
      <c r="P693" s="965"/>
      <c r="Q693" s="965"/>
      <c r="R693" s="965"/>
      <c r="S693" s="965"/>
      <c r="T693" s="965"/>
      <c r="U693" s="965"/>
      <c r="V693" s="965"/>
      <c r="W693" s="965"/>
      <c r="X693" s="965"/>
      <c r="Y693" s="965"/>
      <c r="Z693" s="965"/>
    </row>
    <row r="694">
      <c r="A694" s="965"/>
      <c r="B694" s="965"/>
      <c r="C694" s="965"/>
      <c r="D694" s="965"/>
      <c r="E694" s="965"/>
      <c r="F694" s="965"/>
      <c r="G694" s="965"/>
      <c r="H694" s="965"/>
      <c r="I694" s="965"/>
      <c r="J694" s="965"/>
      <c r="K694" s="965"/>
      <c r="L694" s="965"/>
      <c r="M694" s="965"/>
      <c r="N694" s="965"/>
      <c r="O694" s="965"/>
      <c r="P694" s="965"/>
      <c r="Q694" s="965"/>
      <c r="R694" s="965"/>
      <c r="S694" s="965"/>
      <c r="T694" s="965"/>
      <c r="U694" s="965"/>
      <c r="V694" s="965"/>
      <c r="W694" s="965"/>
      <c r="X694" s="965"/>
      <c r="Y694" s="965"/>
      <c r="Z694" s="965"/>
    </row>
    <row r="695">
      <c r="A695" s="965"/>
      <c r="B695" s="965"/>
      <c r="C695" s="965"/>
      <c r="D695" s="965"/>
      <c r="E695" s="965"/>
      <c r="F695" s="965"/>
      <c r="G695" s="965"/>
      <c r="H695" s="965"/>
      <c r="I695" s="965"/>
      <c r="J695" s="965"/>
      <c r="K695" s="965"/>
      <c r="L695" s="965"/>
      <c r="M695" s="965"/>
      <c r="N695" s="965"/>
      <c r="O695" s="965"/>
      <c r="P695" s="965"/>
      <c r="Q695" s="965"/>
      <c r="R695" s="965"/>
      <c r="S695" s="965"/>
      <c r="T695" s="965"/>
      <c r="U695" s="965"/>
      <c r="V695" s="965"/>
      <c r="W695" s="965"/>
      <c r="X695" s="965"/>
      <c r="Y695" s="965"/>
      <c r="Z695" s="965"/>
    </row>
    <row r="696">
      <c r="A696" s="965"/>
      <c r="B696" s="965"/>
      <c r="C696" s="965"/>
      <c r="D696" s="965"/>
      <c r="E696" s="965"/>
      <c r="F696" s="965"/>
      <c r="G696" s="965"/>
      <c r="H696" s="965"/>
      <c r="I696" s="965"/>
      <c r="J696" s="965"/>
      <c r="K696" s="965"/>
      <c r="L696" s="965"/>
      <c r="M696" s="965"/>
      <c r="N696" s="965"/>
      <c r="O696" s="965"/>
      <c r="P696" s="965"/>
      <c r="Q696" s="965"/>
      <c r="R696" s="965"/>
      <c r="S696" s="965"/>
      <c r="T696" s="965"/>
      <c r="U696" s="965"/>
      <c r="V696" s="965"/>
      <c r="W696" s="965"/>
      <c r="X696" s="965"/>
      <c r="Y696" s="965"/>
      <c r="Z696" s="965"/>
    </row>
    <row r="697">
      <c r="A697" s="965"/>
      <c r="B697" s="965"/>
      <c r="C697" s="965"/>
      <c r="D697" s="965"/>
      <c r="E697" s="965"/>
      <c r="F697" s="965"/>
      <c r="G697" s="965"/>
      <c r="H697" s="965"/>
      <c r="I697" s="965"/>
      <c r="J697" s="965"/>
      <c r="K697" s="965"/>
      <c r="L697" s="965"/>
      <c r="M697" s="965"/>
      <c r="N697" s="965"/>
      <c r="O697" s="965"/>
      <c r="P697" s="965"/>
      <c r="Q697" s="965"/>
      <c r="R697" s="965"/>
      <c r="S697" s="965"/>
      <c r="T697" s="965"/>
      <c r="U697" s="965"/>
      <c r="V697" s="965"/>
      <c r="W697" s="965"/>
      <c r="X697" s="965"/>
      <c r="Y697" s="965"/>
      <c r="Z697" s="965"/>
    </row>
    <row r="698">
      <c r="A698" s="965"/>
      <c r="B698" s="965"/>
      <c r="C698" s="965"/>
      <c r="D698" s="965"/>
      <c r="E698" s="965"/>
      <c r="F698" s="965"/>
      <c r="G698" s="965"/>
      <c r="H698" s="965"/>
      <c r="I698" s="965"/>
      <c r="J698" s="965"/>
      <c r="K698" s="965"/>
      <c r="L698" s="965"/>
      <c r="M698" s="965"/>
      <c r="N698" s="965"/>
      <c r="O698" s="965"/>
      <c r="P698" s="965"/>
      <c r="Q698" s="965"/>
      <c r="R698" s="965"/>
      <c r="S698" s="965"/>
      <c r="T698" s="965"/>
      <c r="U698" s="965"/>
      <c r="V698" s="965"/>
      <c r="W698" s="965"/>
      <c r="X698" s="965"/>
      <c r="Y698" s="965"/>
      <c r="Z698" s="965"/>
    </row>
    <row r="699">
      <c r="A699" s="965"/>
      <c r="B699" s="965"/>
      <c r="C699" s="965"/>
      <c r="D699" s="965"/>
      <c r="E699" s="965"/>
      <c r="F699" s="965"/>
      <c r="G699" s="965"/>
      <c r="H699" s="965"/>
      <c r="I699" s="965"/>
      <c r="J699" s="965"/>
      <c r="K699" s="965"/>
      <c r="L699" s="965"/>
      <c r="M699" s="965"/>
      <c r="N699" s="965"/>
      <c r="O699" s="965"/>
      <c r="P699" s="965"/>
      <c r="Q699" s="965"/>
      <c r="R699" s="965"/>
      <c r="S699" s="965"/>
      <c r="T699" s="965"/>
      <c r="U699" s="965"/>
      <c r="V699" s="965"/>
      <c r="W699" s="965"/>
      <c r="X699" s="965"/>
      <c r="Y699" s="965"/>
      <c r="Z699" s="965"/>
    </row>
    <row r="700">
      <c r="A700" s="965"/>
      <c r="B700" s="965"/>
      <c r="C700" s="965"/>
      <c r="D700" s="965"/>
      <c r="E700" s="965"/>
      <c r="F700" s="965"/>
      <c r="G700" s="965"/>
      <c r="H700" s="965"/>
      <c r="I700" s="965"/>
      <c r="J700" s="965"/>
      <c r="K700" s="965"/>
      <c r="L700" s="965"/>
      <c r="M700" s="965"/>
      <c r="N700" s="965"/>
      <c r="O700" s="965"/>
      <c r="P700" s="965"/>
      <c r="Q700" s="965"/>
      <c r="R700" s="965"/>
      <c r="S700" s="965"/>
      <c r="T700" s="965"/>
      <c r="U700" s="965"/>
      <c r="V700" s="965"/>
      <c r="W700" s="965"/>
      <c r="X700" s="965"/>
      <c r="Y700" s="965"/>
      <c r="Z700" s="965"/>
    </row>
    <row r="701">
      <c r="A701" s="965"/>
      <c r="B701" s="965"/>
      <c r="C701" s="965"/>
      <c r="D701" s="965"/>
      <c r="E701" s="965"/>
      <c r="F701" s="965"/>
      <c r="G701" s="965"/>
      <c r="H701" s="965"/>
      <c r="I701" s="965"/>
      <c r="J701" s="965"/>
      <c r="K701" s="965"/>
      <c r="L701" s="965"/>
      <c r="M701" s="965"/>
      <c r="N701" s="965"/>
      <c r="O701" s="965"/>
      <c r="P701" s="965"/>
      <c r="Q701" s="965"/>
      <c r="R701" s="965"/>
      <c r="S701" s="965"/>
      <c r="T701" s="965"/>
      <c r="U701" s="965"/>
      <c r="V701" s="965"/>
      <c r="W701" s="965"/>
      <c r="X701" s="965"/>
      <c r="Y701" s="965"/>
      <c r="Z701" s="965"/>
    </row>
    <row r="702">
      <c r="A702" s="965"/>
      <c r="B702" s="965"/>
      <c r="C702" s="965"/>
      <c r="D702" s="965"/>
      <c r="E702" s="965"/>
      <c r="F702" s="965"/>
      <c r="G702" s="965"/>
      <c r="H702" s="965"/>
      <c r="I702" s="965"/>
      <c r="J702" s="965"/>
      <c r="K702" s="965"/>
      <c r="L702" s="965"/>
      <c r="M702" s="965"/>
      <c r="N702" s="965"/>
      <c r="O702" s="965"/>
      <c r="P702" s="965"/>
      <c r="Q702" s="965"/>
      <c r="R702" s="965"/>
      <c r="S702" s="965"/>
      <c r="T702" s="965"/>
      <c r="U702" s="965"/>
      <c r="V702" s="965"/>
      <c r="W702" s="965"/>
      <c r="X702" s="965"/>
      <c r="Y702" s="965"/>
      <c r="Z702" s="965"/>
    </row>
    <row r="703">
      <c r="A703" s="965"/>
      <c r="B703" s="965"/>
      <c r="C703" s="965"/>
      <c r="D703" s="965"/>
      <c r="E703" s="965"/>
      <c r="F703" s="965"/>
      <c r="G703" s="965"/>
      <c r="H703" s="965"/>
      <c r="I703" s="965"/>
      <c r="J703" s="965"/>
      <c r="K703" s="965"/>
      <c r="L703" s="965"/>
      <c r="M703" s="965"/>
      <c r="N703" s="965"/>
      <c r="O703" s="965"/>
      <c r="P703" s="965"/>
      <c r="Q703" s="965"/>
      <c r="R703" s="965"/>
      <c r="S703" s="965"/>
      <c r="T703" s="965"/>
      <c r="U703" s="965"/>
      <c r="V703" s="965"/>
      <c r="W703" s="965"/>
      <c r="X703" s="965"/>
      <c r="Y703" s="965"/>
      <c r="Z703" s="965"/>
    </row>
    <row r="704">
      <c r="A704" s="965"/>
      <c r="B704" s="965"/>
      <c r="C704" s="965"/>
      <c r="D704" s="965"/>
      <c r="E704" s="965"/>
      <c r="F704" s="965"/>
      <c r="G704" s="965"/>
      <c r="H704" s="965"/>
      <c r="I704" s="965"/>
      <c r="J704" s="965"/>
      <c r="K704" s="965"/>
      <c r="L704" s="965"/>
      <c r="M704" s="965"/>
      <c r="N704" s="965"/>
      <c r="O704" s="965"/>
      <c r="P704" s="965"/>
      <c r="Q704" s="965"/>
      <c r="R704" s="965"/>
      <c r="S704" s="965"/>
      <c r="T704" s="965"/>
      <c r="U704" s="965"/>
      <c r="V704" s="965"/>
      <c r="W704" s="965"/>
      <c r="X704" s="965"/>
      <c r="Y704" s="965"/>
      <c r="Z704" s="965"/>
    </row>
    <row r="705">
      <c r="A705" s="965"/>
      <c r="B705" s="965"/>
      <c r="C705" s="965"/>
      <c r="D705" s="965"/>
      <c r="E705" s="965"/>
      <c r="F705" s="965"/>
      <c r="G705" s="965"/>
      <c r="H705" s="965"/>
      <c r="I705" s="965"/>
      <c r="J705" s="965"/>
      <c r="K705" s="965"/>
      <c r="L705" s="965"/>
      <c r="M705" s="965"/>
      <c r="N705" s="965"/>
      <c r="O705" s="965"/>
      <c r="P705" s="965"/>
      <c r="Q705" s="965"/>
      <c r="R705" s="965"/>
      <c r="S705" s="965"/>
      <c r="T705" s="965"/>
      <c r="U705" s="965"/>
      <c r="V705" s="965"/>
      <c r="W705" s="965"/>
      <c r="X705" s="965"/>
      <c r="Y705" s="965"/>
      <c r="Z705" s="965"/>
    </row>
    <row r="706">
      <c r="A706" s="965"/>
      <c r="B706" s="965"/>
      <c r="C706" s="965"/>
      <c r="D706" s="965"/>
      <c r="E706" s="965"/>
      <c r="F706" s="965"/>
      <c r="G706" s="965"/>
      <c r="H706" s="965"/>
      <c r="I706" s="965"/>
      <c r="J706" s="965"/>
      <c r="K706" s="965"/>
      <c r="L706" s="965"/>
      <c r="M706" s="965"/>
      <c r="N706" s="965"/>
      <c r="O706" s="965"/>
      <c r="P706" s="965"/>
      <c r="Q706" s="965"/>
      <c r="R706" s="965"/>
      <c r="S706" s="965"/>
      <c r="T706" s="965"/>
      <c r="U706" s="965"/>
      <c r="V706" s="965"/>
      <c r="W706" s="965"/>
      <c r="X706" s="965"/>
      <c r="Y706" s="965"/>
      <c r="Z706" s="965"/>
    </row>
    <row r="707">
      <c r="A707" s="965"/>
      <c r="B707" s="965"/>
      <c r="C707" s="965"/>
      <c r="D707" s="965"/>
      <c r="E707" s="965"/>
      <c r="F707" s="965"/>
      <c r="G707" s="965"/>
      <c r="H707" s="965"/>
      <c r="I707" s="965"/>
      <c r="J707" s="965"/>
      <c r="K707" s="965"/>
      <c r="L707" s="965"/>
      <c r="M707" s="965"/>
      <c r="N707" s="965"/>
      <c r="O707" s="965"/>
      <c r="P707" s="965"/>
      <c r="Q707" s="965"/>
      <c r="R707" s="965"/>
      <c r="S707" s="965"/>
      <c r="T707" s="965"/>
      <c r="U707" s="965"/>
      <c r="V707" s="965"/>
      <c r="W707" s="965"/>
      <c r="X707" s="965"/>
      <c r="Y707" s="965"/>
      <c r="Z707" s="965"/>
    </row>
    <row r="708">
      <c r="A708" s="965"/>
      <c r="B708" s="965"/>
      <c r="C708" s="965"/>
      <c r="D708" s="965"/>
      <c r="E708" s="965"/>
      <c r="F708" s="965"/>
      <c r="G708" s="965"/>
      <c r="H708" s="965"/>
      <c r="I708" s="965"/>
      <c r="J708" s="965"/>
      <c r="K708" s="965"/>
      <c r="L708" s="965"/>
      <c r="M708" s="965"/>
      <c r="N708" s="965"/>
      <c r="O708" s="965"/>
      <c r="P708" s="965"/>
      <c r="Q708" s="965"/>
      <c r="R708" s="965"/>
      <c r="S708" s="965"/>
      <c r="T708" s="965"/>
      <c r="U708" s="965"/>
      <c r="V708" s="965"/>
      <c r="W708" s="965"/>
      <c r="X708" s="965"/>
      <c r="Y708" s="965"/>
      <c r="Z708" s="965"/>
    </row>
    <row r="709">
      <c r="A709" s="965"/>
      <c r="B709" s="965"/>
      <c r="C709" s="965"/>
      <c r="D709" s="965"/>
      <c r="E709" s="965"/>
      <c r="F709" s="965"/>
      <c r="G709" s="965"/>
      <c r="H709" s="965"/>
      <c r="I709" s="965"/>
      <c r="J709" s="965"/>
      <c r="K709" s="965"/>
      <c r="L709" s="965"/>
      <c r="M709" s="965"/>
      <c r="N709" s="965"/>
      <c r="O709" s="965"/>
      <c r="P709" s="965"/>
      <c r="Q709" s="965"/>
      <c r="R709" s="965"/>
      <c r="S709" s="965"/>
      <c r="T709" s="965"/>
      <c r="U709" s="965"/>
      <c r="V709" s="965"/>
      <c r="W709" s="965"/>
      <c r="X709" s="965"/>
      <c r="Y709" s="965"/>
      <c r="Z709" s="965"/>
    </row>
    <row r="710">
      <c r="A710" s="965"/>
      <c r="B710" s="965"/>
      <c r="C710" s="965"/>
      <c r="D710" s="965"/>
      <c r="E710" s="965"/>
      <c r="F710" s="965"/>
      <c r="G710" s="965"/>
      <c r="H710" s="965"/>
      <c r="I710" s="965"/>
      <c r="J710" s="965"/>
      <c r="K710" s="965"/>
      <c r="L710" s="965"/>
      <c r="M710" s="965"/>
      <c r="N710" s="965"/>
      <c r="O710" s="965"/>
      <c r="P710" s="965"/>
      <c r="Q710" s="965"/>
      <c r="R710" s="965"/>
      <c r="S710" s="965"/>
      <c r="T710" s="965"/>
      <c r="U710" s="965"/>
      <c r="V710" s="965"/>
      <c r="W710" s="965"/>
      <c r="X710" s="965"/>
      <c r="Y710" s="965"/>
      <c r="Z710" s="965"/>
    </row>
    <row r="711">
      <c r="A711" s="965"/>
      <c r="B711" s="965"/>
      <c r="C711" s="965"/>
      <c r="D711" s="965"/>
      <c r="E711" s="965"/>
      <c r="F711" s="965"/>
      <c r="G711" s="965"/>
      <c r="H711" s="965"/>
      <c r="I711" s="965"/>
      <c r="J711" s="965"/>
      <c r="K711" s="965"/>
      <c r="L711" s="965"/>
      <c r="M711" s="965"/>
      <c r="N711" s="965"/>
      <c r="O711" s="965"/>
      <c r="P711" s="965"/>
      <c r="Q711" s="965"/>
      <c r="R711" s="965"/>
      <c r="S711" s="965"/>
      <c r="T711" s="965"/>
      <c r="U711" s="965"/>
      <c r="V711" s="965"/>
      <c r="W711" s="965"/>
      <c r="X711" s="965"/>
      <c r="Y711" s="965"/>
      <c r="Z711" s="965"/>
    </row>
    <row r="712">
      <c r="A712" s="965"/>
      <c r="B712" s="965"/>
      <c r="C712" s="965"/>
      <c r="D712" s="965"/>
      <c r="E712" s="965"/>
      <c r="F712" s="965"/>
      <c r="G712" s="965"/>
      <c r="H712" s="965"/>
      <c r="I712" s="965"/>
      <c r="J712" s="965"/>
      <c r="K712" s="965"/>
      <c r="L712" s="965"/>
      <c r="M712" s="965"/>
      <c r="N712" s="965"/>
      <c r="O712" s="965"/>
      <c r="P712" s="965"/>
      <c r="Q712" s="965"/>
      <c r="R712" s="965"/>
      <c r="S712" s="965"/>
      <c r="T712" s="965"/>
      <c r="U712" s="965"/>
      <c r="V712" s="965"/>
      <c r="W712" s="965"/>
      <c r="X712" s="965"/>
      <c r="Y712" s="965"/>
      <c r="Z712" s="965"/>
    </row>
    <row r="713">
      <c r="A713" s="965"/>
      <c r="B713" s="965"/>
      <c r="C713" s="965"/>
      <c r="D713" s="965"/>
      <c r="E713" s="965"/>
      <c r="F713" s="965"/>
      <c r="G713" s="965"/>
      <c r="H713" s="965"/>
      <c r="I713" s="965"/>
      <c r="J713" s="965"/>
      <c r="K713" s="965"/>
      <c r="L713" s="965"/>
      <c r="M713" s="965"/>
      <c r="N713" s="965"/>
      <c r="O713" s="965"/>
      <c r="P713" s="965"/>
      <c r="Q713" s="965"/>
      <c r="R713" s="965"/>
      <c r="S713" s="965"/>
      <c r="T713" s="965"/>
      <c r="U713" s="965"/>
      <c r="V713" s="965"/>
      <c r="W713" s="965"/>
      <c r="X713" s="965"/>
      <c r="Y713" s="965"/>
      <c r="Z713" s="965"/>
    </row>
    <row r="714">
      <c r="A714" s="965"/>
      <c r="B714" s="965"/>
      <c r="C714" s="965"/>
      <c r="D714" s="965"/>
      <c r="E714" s="965"/>
      <c r="F714" s="965"/>
      <c r="G714" s="965"/>
      <c r="H714" s="965"/>
      <c r="I714" s="965"/>
      <c r="J714" s="965"/>
      <c r="K714" s="965"/>
      <c r="L714" s="965"/>
      <c r="M714" s="965"/>
      <c r="N714" s="965"/>
      <c r="O714" s="965"/>
      <c r="P714" s="965"/>
      <c r="Q714" s="965"/>
      <c r="R714" s="965"/>
      <c r="S714" s="965"/>
      <c r="T714" s="965"/>
      <c r="U714" s="965"/>
      <c r="V714" s="965"/>
      <c r="W714" s="965"/>
      <c r="X714" s="965"/>
      <c r="Y714" s="965"/>
      <c r="Z714" s="965"/>
    </row>
    <row r="715">
      <c r="A715" s="965"/>
      <c r="B715" s="965"/>
      <c r="C715" s="965"/>
      <c r="D715" s="965"/>
      <c r="E715" s="965"/>
      <c r="F715" s="965"/>
      <c r="G715" s="965"/>
      <c r="H715" s="965"/>
      <c r="I715" s="965"/>
      <c r="J715" s="965"/>
      <c r="K715" s="965"/>
      <c r="L715" s="965"/>
      <c r="M715" s="965"/>
      <c r="N715" s="965"/>
      <c r="O715" s="965"/>
      <c r="P715" s="965"/>
      <c r="Q715" s="965"/>
      <c r="R715" s="965"/>
      <c r="S715" s="965"/>
      <c r="T715" s="965"/>
      <c r="U715" s="965"/>
      <c r="V715" s="965"/>
      <c r="W715" s="965"/>
      <c r="X715" s="965"/>
      <c r="Y715" s="965"/>
      <c r="Z715" s="965"/>
    </row>
    <row r="716">
      <c r="A716" s="965"/>
      <c r="B716" s="965"/>
      <c r="C716" s="965"/>
      <c r="D716" s="965"/>
      <c r="E716" s="965"/>
      <c r="F716" s="965"/>
      <c r="G716" s="965"/>
      <c r="H716" s="965"/>
      <c r="I716" s="965"/>
      <c r="J716" s="965"/>
      <c r="K716" s="965"/>
      <c r="L716" s="965"/>
      <c r="M716" s="965"/>
      <c r="N716" s="965"/>
      <c r="O716" s="965"/>
      <c r="P716" s="965"/>
      <c r="Q716" s="965"/>
      <c r="R716" s="965"/>
      <c r="S716" s="965"/>
      <c r="T716" s="965"/>
      <c r="U716" s="965"/>
      <c r="V716" s="965"/>
      <c r="W716" s="965"/>
      <c r="X716" s="965"/>
      <c r="Y716" s="965"/>
      <c r="Z716" s="965"/>
    </row>
    <row r="717">
      <c r="A717" s="965"/>
      <c r="B717" s="965"/>
      <c r="C717" s="965"/>
      <c r="D717" s="965"/>
      <c r="E717" s="965"/>
      <c r="F717" s="965"/>
      <c r="G717" s="965"/>
      <c r="H717" s="965"/>
      <c r="I717" s="965"/>
      <c r="J717" s="965"/>
      <c r="K717" s="965"/>
      <c r="L717" s="965"/>
      <c r="M717" s="965"/>
      <c r="N717" s="965"/>
      <c r="O717" s="965"/>
      <c r="P717" s="965"/>
      <c r="Q717" s="965"/>
      <c r="R717" s="965"/>
      <c r="S717" s="965"/>
      <c r="T717" s="965"/>
      <c r="U717" s="965"/>
      <c r="V717" s="965"/>
      <c r="W717" s="965"/>
      <c r="X717" s="965"/>
      <c r="Y717" s="965"/>
      <c r="Z717" s="965"/>
    </row>
    <row r="718">
      <c r="A718" s="965"/>
      <c r="B718" s="965"/>
      <c r="C718" s="965"/>
      <c r="D718" s="965"/>
      <c r="E718" s="965"/>
      <c r="F718" s="965"/>
      <c r="G718" s="965"/>
      <c r="H718" s="965"/>
      <c r="I718" s="965"/>
      <c r="J718" s="965"/>
      <c r="K718" s="965"/>
      <c r="L718" s="965"/>
      <c r="M718" s="965"/>
      <c r="N718" s="965"/>
      <c r="O718" s="965"/>
      <c r="P718" s="965"/>
      <c r="Q718" s="965"/>
      <c r="R718" s="965"/>
      <c r="S718" s="965"/>
      <c r="T718" s="965"/>
      <c r="U718" s="965"/>
      <c r="V718" s="965"/>
      <c r="W718" s="965"/>
      <c r="X718" s="965"/>
      <c r="Y718" s="965"/>
      <c r="Z718" s="965"/>
    </row>
    <row r="719">
      <c r="A719" s="965"/>
      <c r="B719" s="965"/>
      <c r="C719" s="965"/>
      <c r="D719" s="965"/>
      <c r="E719" s="965"/>
      <c r="F719" s="965"/>
      <c r="G719" s="965"/>
      <c r="H719" s="965"/>
      <c r="I719" s="965"/>
      <c r="J719" s="965"/>
      <c r="K719" s="965"/>
      <c r="L719" s="965"/>
      <c r="M719" s="965"/>
      <c r="N719" s="965"/>
      <c r="O719" s="965"/>
      <c r="P719" s="965"/>
      <c r="Q719" s="965"/>
      <c r="R719" s="965"/>
      <c r="S719" s="965"/>
      <c r="T719" s="965"/>
      <c r="U719" s="965"/>
      <c r="V719" s="965"/>
      <c r="W719" s="965"/>
      <c r="X719" s="965"/>
      <c r="Y719" s="965"/>
      <c r="Z719" s="965"/>
    </row>
    <row r="720">
      <c r="A720" s="965"/>
      <c r="B720" s="965"/>
      <c r="C720" s="965"/>
      <c r="D720" s="965"/>
      <c r="E720" s="965"/>
      <c r="F720" s="965"/>
      <c r="G720" s="965"/>
      <c r="H720" s="965"/>
      <c r="I720" s="965"/>
      <c r="J720" s="965"/>
      <c r="K720" s="965"/>
      <c r="L720" s="965"/>
      <c r="M720" s="965"/>
      <c r="N720" s="965"/>
      <c r="O720" s="965"/>
      <c r="P720" s="965"/>
      <c r="Q720" s="965"/>
      <c r="R720" s="965"/>
      <c r="S720" s="965"/>
      <c r="T720" s="965"/>
      <c r="U720" s="965"/>
      <c r="V720" s="965"/>
      <c r="W720" s="965"/>
      <c r="X720" s="965"/>
      <c r="Y720" s="965"/>
      <c r="Z720" s="965"/>
    </row>
    <row r="721">
      <c r="A721" s="965"/>
      <c r="B721" s="965"/>
      <c r="C721" s="965"/>
      <c r="D721" s="965"/>
      <c r="E721" s="965"/>
      <c r="F721" s="965"/>
      <c r="G721" s="965"/>
      <c r="H721" s="965"/>
      <c r="I721" s="965"/>
      <c r="J721" s="965"/>
      <c r="K721" s="965"/>
      <c r="L721" s="965"/>
      <c r="M721" s="965"/>
      <c r="N721" s="965"/>
      <c r="O721" s="965"/>
      <c r="P721" s="965"/>
      <c r="Q721" s="965"/>
      <c r="R721" s="965"/>
      <c r="S721" s="965"/>
      <c r="T721" s="965"/>
      <c r="U721" s="965"/>
      <c r="V721" s="965"/>
      <c r="W721" s="965"/>
      <c r="X721" s="965"/>
      <c r="Y721" s="965"/>
      <c r="Z721" s="965"/>
    </row>
    <row r="722">
      <c r="A722" s="965"/>
      <c r="B722" s="965"/>
      <c r="C722" s="965"/>
      <c r="D722" s="965"/>
      <c r="E722" s="965"/>
      <c r="F722" s="965"/>
      <c r="G722" s="965"/>
      <c r="H722" s="965"/>
      <c r="I722" s="965"/>
      <c r="J722" s="965"/>
      <c r="K722" s="965"/>
      <c r="L722" s="965"/>
      <c r="M722" s="965"/>
      <c r="N722" s="965"/>
      <c r="O722" s="965"/>
      <c r="P722" s="965"/>
      <c r="Q722" s="965"/>
      <c r="R722" s="965"/>
      <c r="S722" s="965"/>
      <c r="T722" s="965"/>
      <c r="U722" s="965"/>
      <c r="V722" s="965"/>
      <c r="W722" s="965"/>
      <c r="X722" s="965"/>
      <c r="Y722" s="965"/>
      <c r="Z722" s="965"/>
    </row>
    <row r="723">
      <c r="A723" s="965"/>
      <c r="B723" s="965"/>
      <c r="C723" s="965"/>
      <c r="D723" s="965"/>
      <c r="E723" s="965"/>
      <c r="F723" s="965"/>
      <c r="G723" s="965"/>
      <c r="H723" s="965"/>
      <c r="I723" s="965"/>
      <c r="J723" s="965"/>
      <c r="K723" s="965"/>
      <c r="L723" s="965"/>
      <c r="M723" s="965"/>
      <c r="N723" s="965"/>
      <c r="O723" s="965"/>
      <c r="P723" s="965"/>
      <c r="Q723" s="965"/>
      <c r="R723" s="965"/>
      <c r="S723" s="965"/>
      <c r="T723" s="965"/>
      <c r="U723" s="965"/>
      <c r="V723" s="965"/>
      <c r="W723" s="965"/>
      <c r="X723" s="965"/>
      <c r="Y723" s="965"/>
      <c r="Z723" s="965"/>
    </row>
    <row r="724">
      <c r="A724" s="965"/>
      <c r="B724" s="965"/>
      <c r="C724" s="965"/>
      <c r="D724" s="965"/>
      <c r="E724" s="965"/>
      <c r="F724" s="965"/>
      <c r="G724" s="965"/>
      <c r="H724" s="965"/>
      <c r="I724" s="965"/>
      <c r="J724" s="965"/>
      <c r="K724" s="965"/>
      <c r="L724" s="965"/>
      <c r="M724" s="965"/>
      <c r="N724" s="965"/>
      <c r="O724" s="965"/>
      <c r="P724" s="965"/>
      <c r="Q724" s="965"/>
      <c r="R724" s="965"/>
      <c r="S724" s="965"/>
      <c r="T724" s="965"/>
      <c r="U724" s="965"/>
      <c r="V724" s="965"/>
      <c r="W724" s="965"/>
      <c r="X724" s="965"/>
      <c r="Y724" s="965"/>
      <c r="Z724" s="965"/>
    </row>
    <row r="725">
      <c r="A725" s="965"/>
      <c r="B725" s="965"/>
      <c r="C725" s="965"/>
      <c r="D725" s="965"/>
      <c r="E725" s="965"/>
      <c r="F725" s="965"/>
      <c r="G725" s="965"/>
      <c r="H725" s="965"/>
      <c r="I725" s="965"/>
      <c r="J725" s="965"/>
      <c r="K725" s="965"/>
      <c r="L725" s="965"/>
      <c r="M725" s="965"/>
      <c r="N725" s="965"/>
      <c r="O725" s="965"/>
      <c r="P725" s="965"/>
      <c r="Q725" s="965"/>
      <c r="R725" s="965"/>
      <c r="S725" s="965"/>
      <c r="T725" s="965"/>
      <c r="U725" s="965"/>
      <c r="V725" s="965"/>
      <c r="W725" s="965"/>
      <c r="X725" s="965"/>
      <c r="Y725" s="965"/>
      <c r="Z725" s="965"/>
    </row>
    <row r="726">
      <c r="A726" s="965"/>
      <c r="B726" s="965"/>
      <c r="C726" s="965"/>
      <c r="D726" s="965"/>
      <c r="E726" s="965"/>
      <c r="F726" s="965"/>
      <c r="G726" s="965"/>
      <c r="H726" s="965"/>
      <c r="I726" s="965"/>
      <c r="J726" s="965"/>
      <c r="K726" s="965"/>
      <c r="L726" s="965"/>
      <c r="M726" s="965"/>
      <c r="N726" s="965"/>
      <c r="O726" s="965"/>
      <c r="P726" s="965"/>
      <c r="Q726" s="965"/>
      <c r="R726" s="965"/>
      <c r="S726" s="965"/>
      <c r="T726" s="965"/>
      <c r="U726" s="965"/>
      <c r="V726" s="965"/>
      <c r="W726" s="965"/>
      <c r="X726" s="965"/>
      <c r="Y726" s="965"/>
      <c r="Z726" s="965"/>
    </row>
    <row r="727">
      <c r="A727" s="965"/>
      <c r="B727" s="965"/>
      <c r="C727" s="965"/>
      <c r="D727" s="965"/>
      <c r="E727" s="965"/>
      <c r="F727" s="965"/>
      <c r="G727" s="965"/>
      <c r="H727" s="965"/>
      <c r="I727" s="965"/>
      <c r="J727" s="965"/>
      <c r="K727" s="965"/>
      <c r="L727" s="965"/>
      <c r="M727" s="965"/>
      <c r="N727" s="965"/>
      <c r="O727" s="965"/>
      <c r="P727" s="965"/>
      <c r="Q727" s="965"/>
      <c r="R727" s="965"/>
      <c r="S727" s="965"/>
      <c r="T727" s="965"/>
      <c r="U727" s="965"/>
      <c r="V727" s="965"/>
      <c r="W727" s="965"/>
      <c r="X727" s="965"/>
      <c r="Y727" s="965"/>
      <c r="Z727" s="965"/>
    </row>
    <row r="728">
      <c r="A728" s="965"/>
      <c r="B728" s="965"/>
      <c r="C728" s="965"/>
      <c r="D728" s="965"/>
      <c r="E728" s="965"/>
      <c r="F728" s="965"/>
      <c r="G728" s="965"/>
      <c r="H728" s="965"/>
      <c r="I728" s="965"/>
      <c r="J728" s="965"/>
      <c r="K728" s="965"/>
      <c r="L728" s="965"/>
      <c r="M728" s="965"/>
      <c r="N728" s="965"/>
      <c r="O728" s="965"/>
      <c r="P728" s="965"/>
      <c r="Q728" s="965"/>
      <c r="R728" s="965"/>
      <c r="S728" s="965"/>
      <c r="T728" s="965"/>
      <c r="U728" s="965"/>
      <c r="V728" s="965"/>
      <c r="W728" s="965"/>
      <c r="X728" s="965"/>
      <c r="Y728" s="965"/>
      <c r="Z728" s="965"/>
    </row>
    <row r="729">
      <c r="A729" s="965"/>
      <c r="B729" s="965"/>
      <c r="C729" s="965"/>
      <c r="D729" s="965"/>
      <c r="E729" s="965"/>
      <c r="F729" s="965"/>
      <c r="G729" s="965"/>
      <c r="H729" s="965"/>
      <c r="I729" s="965"/>
      <c r="J729" s="965"/>
      <c r="K729" s="965"/>
      <c r="L729" s="965"/>
      <c r="M729" s="965"/>
      <c r="N729" s="965"/>
      <c r="O729" s="965"/>
      <c r="P729" s="965"/>
      <c r="Q729" s="965"/>
      <c r="R729" s="965"/>
      <c r="S729" s="965"/>
      <c r="T729" s="965"/>
      <c r="U729" s="965"/>
      <c r="V729" s="965"/>
      <c r="W729" s="965"/>
      <c r="X729" s="965"/>
      <c r="Y729" s="965"/>
      <c r="Z729" s="965"/>
    </row>
    <row r="730">
      <c r="A730" s="965"/>
      <c r="B730" s="965"/>
      <c r="C730" s="965"/>
      <c r="D730" s="965"/>
      <c r="E730" s="965"/>
      <c r="F730" s="965"/>
      <c r="G730" s="965"/>
      <c r="H730" s="965"/>
      <c r="I730" s="965"/>
      <c r="J730" s="965"/>
      <c r="K730" s="965"/>
      <c r="L730" s="965"/>
      <c r="M730" s="965"/>
      <c r="N730" s="965"/>
      <c r="O730" s="965"/>
      <c r="P730" s="965"/>
      <c r="Q730" s="965"/>
      <c r="R730" s="965"/>
      <c r="S730" s="965"/>
      <c r="T730" s="965"/>
      <c r="U730" s="965"/>
      <c r="V730" s="965"/>
      <c r="W730" s="965"/>
      <c r="X730" s="965"/>
      <c r="Y730" s="965"/>
      <c r="Z730" s="965"/>
    </row>
    <row r="731">
      <c r="A731" s="965"/>
      <c r="B731" s="965"/>
      <c r="C731" s="965"/>
      <c r="D731" s="965"/>
      <c r="E731" s="965"/>
      <c r="F731" s="965"/>
      <c r="G731" s="965"/>
      <c r="H731" s="965"/>
      <c r="I731" s="965"/>
      <c r="J731" s="965"/>
      <c r="K731" s="965"/>
      <c r="L731" s="965"/>
      <c r="M731" s="965"/>
      <c r="N731" s="965"/>
      <c r="O731" s="965"/>
      <c r="P731" s="965"/>
      <c r="Q731" s="965"/>
      <c r="R731" s="965"/>
      <c r="S731" s="965"/>
      <c r="T731" s="965"/>
      <c r="U731" s="965"/>
      <c r="V731" s="965"/>
      <c r="W731" s="965"/>
      <c r="X731" s="965"/>
      <c r="Y731" s="965"/>
      <c r="Z731" s="965"/>
    </row>
    <row r="732">
      <c r="A732" s="965"/>
      <c r="B732" s="965"/>
      <c r="C732" s="965"/>
      <c r="D732" s="965"/>
      <c r="E732" s="965"/>
      <c r="F732" s="965"/>
      <c r="G732" s="965"/>
      <c r="H732" s="965"/>
      <c r="I732" s="965"/>
      <c r="J732" s="965"/>
      <c r="K732" s="965"/>
      <c r="L732" s="965"/>
      <c r="M732" s="965"/>
      <c r="N732" s="965"/>
      <c r="O732" s="965"/>
      <c r="P732" s="965"/>
      <c r="Q732" s="965"/>
      <c r="R732" s="965"/>
      <c r="S732" s="965"/>
      <c r="T732" s="965"/>
      <c r="U732" s="965"/>
      <c r="V732" s="965"/>
      <c r="W732" s="965"/>
      <c r="X732" s="965"/>
      <c r="Y732" s="965"/>
      <c r="Z732" s="965"/>
    </row>
    <row r="733">
      <c r="A733" s="965"/>
      <c r="B733" s="965"/>
      <c r="C733" s="965"/>
      <c r="D733" s="965"/>
      <c r="E733" s="965"/>
      <c r="F733" s="965"/>
      <c r="G733" s="965"/>
      <c r="H733" s="965"/>
      <c r="I733" s="965"/>
      <c r="J733" s="965"/>
      <c r="K733" s="965"/>
      <c r="L733" s="965"/>
      <c r="M733" s="965"/>
      <c r="N733" s="965"/>
      <c r="O733" s="965"/>
      <c r="P733" s="965"/>
      <c r="Q733" s="965"/>
      <c r="R733" s="965"/>
      <c r="S733" s="965"/>
      <c r="T733" s="965"/>
      <c r="U733" s="965"/>
      <c r="V733" s="965"/>
      <c r="W733" s="965"/>
      <c r="X733" s="965"/>
      <c r="Y733" s="965"/>
      <c r="Z733" s="965"/>
    </row>
    <row r="734">
      <c r="A734" s="965"/>
      <c r="B734" s="965"/>
      <c r="C734" s="965"/>
      <c r="D734" s="965"/>
      <c r="E734" s="965"/>
      <c r="F734" s="965"/>
      <c r="G734" s="965"/>
      <c r="H734" s="965"/>
      <c r="I734" s="965"/>
      <c r="J734" s="965"/>
      <c r="K734" s="965"/>
      <c r="L734" s="965"/>
      <c r="M734" s="965"/>
      <c r="N734" s="965"/>
      <c r="O734" s="965"/>
      <c r="P734" s="965"/>
      <c r="Q734" s="965"/>
      <c r="R734" s="965"/>
      <c r="S734" s="965"/>
      <c r="T734" s="965"/>
      <c r="U734" s="965"/>
      <c r="V734" s="965"/>
      <c r="W734" s="965"/>
      <c r="X734" s="965"/>
      <c r="Y734" s="965"/>
      <c r="Z734" s="965"/>
    </row>
    <row r="735">
      <c r="A735" s="965"/>
      <c r="B735" s="965"/>
      <c r="C735" s="965"/>
      <c r="D735" s="965"/>
      <c r="E735" s="965"/>
      <c r="F735" s="965"/>
      <c r="G735" s="965"/>
      <c r="H735" s="965"/>
      <c r="I735" s="965"/>
      <c r="J735" s="965"/>
      <c r="K735" s="965"/>
      <c r="L735" s="965"/>
      <c r="M735" s="965"/>
      <c r="N735" s="965"/>
      <c r="O735" s="965"/>
      <c r="P735" s="965"/>
      <c r="Q735" s="965"/>
      <c r="R735" s="965"/>
      <c r="S735" s="965"/>
      <c r="T735" s="965"/>
      <c r="U735" s="965"/>
      <c r="V735" s="965"/>
      <c r="W735" s="965"/>
      <c r="X735" s="965"/>
      <c r="Y735" s="965"/>
      <c r="Z735" s="965"/>
    </row>
    <row r="736">
      <c r="A736" s="965"/>
      <c r="B736" s="965"/>
      <c r="C736" s="965"/>
      <c r="D736" s="965"/>
      <c r="E736" s="965"/>
      <c r="F736" s="965"/>
      <c r="G736" s="965"/>
      <c r="H736" s="965"/>
      <c r="I736" s="965"/>
      <c r="J736" s="965"/>
      <c r="K736" s="965"/>
      <c r="L736" s="965"/>
      <c r="M736" s="965"/>
      <c r="N736" s="965"/>
      <c r="O736" s="965"/>
      <c r="P736" s="965"/>
      <c r="Q736" s="965"/>
      <c r="R736" s="965"/>
      <c r="S736" s="965"/>
      <c r="T736" s="965"/>
      <c r="U736" s="965"/>
      <c r="V736" s="965"/>
      <c r="W736" s="965"/>
      <c r="X736" s="965"/>
      <c r="Y736" s="965"/>
      <c r="Z736" s="965"/>
    </row>
    <row r="737">
      <c r="A737" s="965"/>
      <c r="B737" s="965"/>
      <c r="C737" s="965"/>
      <c r="D737" s="965"/>
      <c r="E737" s="965"/>
      <c r="F737" s="965"/>
      <c r="G737" s="965"/>
      <c r="H737" s="965"/>
      <c r="I737" s="965"/>
      <c r="J737" s="965"/>
      <c r="K737" s="965"/>
      <c r="L737" s="965"/>
      <c r="M737" s="965"/>
      <c r="N737" s="965"/>
      <c r="O737" s="965"/>
      <c r="P737" s="965"/>
      <c r="Q737" s="965"/>
      <c r="R737" s="965"/>
      <c r="S737" s="965"/>
      <c r="T737" s="965"/>
      <c r="U737" s="965"/>
      <c r="V737" s="965"/>
      <c r="W737" s="965"/>
      <c r="X737" s="965"/>
      <c r="Y737" s="965"/>
      <c r="Z737" s="965"/>
    </row>
    <row r="738">
      <c r="A738" s="965"/>
      <c r="B738" s="965"/>
      <c r="C738" s="965"/>
      <c r="D738" s="965"/>
      <c r="E738" s="965"/>
      <c r="F738" s="965"/>
      <c r="G738" s="965"/>
      <c r="H738" s="965"/>
      <c r="I738" s="965"/>
      <c r="J738" s="965"/>
      <c r="K738" s="965"/>
      <c r="L738" s="965"/>
      <c r="M738" s="965"/>
      <c r="N738" s="965"/>
      <c r="O738" s="965"/>
      <c r="P738" s="965"/>
      <c r="Q738" s="965"/>
      <c r="R738" s="965"/>
      <c r="S738" s="965"/>
      <c r="T738" s="965"/>
      <c r="U738" s="965"/>
      <c r="V738" s="965"/>
      <c r="W738" s="965"/>
      <c r="X738" s="965"/>
      <c r="Y738" s="965"/>
      <c r="Z738" s="965"/>
    </row>
    <row r="739">
      <c r="A739" s="965"/>
      <c r="B739" s="965"/>
      <c r="C739" s="965"/>
      <c r="D739" s="965"/>
      <c r="E739" s="965"/>
      <c r="F739" s="965"/>
      <c r="G739" s="965"/>
      <c r="H739" s="965"/>
      <c r="I739" s="965"/>
      <c r="J739" s="965"/>
      <c r="K739" s="965"/>
      <c r="L739" s="965"/>
      <c r="M739" s="965"/>
      <c r="N739" s="965"/>
      <c r="O739" s="965"/>
      <c r="P739" s="965"/>
      <c r="Q739" s="965"/>
      <c r="R739" s="965"/>
      <c r="S739" s="965"/>
      <c r="T739" s="965"/>
      <c r="U739" s="965"/>
      <c r="V739" s="965"/>
      <c r="W739" s="965"/>
      <c r="X739" s="965"/>
      <c r="Y739" s="965"/>
      <c r="Z739" s="965"/>
    </row>
    <row r="740">
      <c r="A740" s="965"/>
      <c r="B740" s="965"/>
      <c r="C740" s="965"/>
      <c r="D740" s="965"/>
      <c r="E740" s="965"/>
      <c r="F740" s="965"/>
      <c r="G740" s="965"/>
      <c r="H740" s="965"/>
      <c r="I740" s="965"/>
      <c r="J740" s="965"/>
      <c r="K740" s="965"/>
      <c r="L740" s="965"/>
      <c r="M740" s="965"/>
      <c r="N740" s="965"/>
      <c r="O740" s="965"/>
      <c r="P740" s="965"/>
      <c r="Q740" s="965"/>
      <c r="R740" s="965"/>
      <c r="S740" s="965"/>
      <c r="T740" s="965"/>
      <c r="U740" s="965"/>
      <c r="V740" s="965"/>
      <c r="W740" s="965"/>
      <c r="X740" s="965"/>
      <c r="Y740" s="965"/>
      <c r="Z740" s="965"/>
    </row>
    <row r="741">
      <c r="A741" s="965"/>
      <c r="B741" s="965"/>
      <c r="C741" s="965"/>
      <c r="D741" s="965"/>
      <c r="E741" s="965"/>
      <c r="F741" s="965"/>
      <c r="G741" s="965"/>
      <c r="H741" s="965"/>
      <c r="I741" s="965"/>
      <c r="J741" s="965"/>
      <c r="K741" s="965"/>
      <c r="L741" s="965"/>
      <c r="M741" s="965"/>
      <c r="N741" s="965"/>
      <c r="O741" s="965"/>
      <c r="P741" s="965"/>
      <c r="Q741" s="965"/>
      <c r="R741" s="965"/>
      <c r="S741" s="965"/>
      <c r="T741" s="965"/>
      <c r="U741" s="965"/>
      <c r="V741" s="965"/>
      <c r="W741" s="965"/>
      <c r="X741" s="965"/>
      <c r="Y741" s="965"/>
      <c r="Z741" s="965"/>
    </row>
    <row r="742">
      <c r="A742" s="965"/>
      <c r="B742" s="965"/>
      <c r="C742" s="965"/>
      <c r="D742" s="965"/>
      <c r="E742" s="965"/>
      <c r="F742" s="965"/>
      <c r="G742" s="965"/>
      <c r="H742" s="965"/>
      <c r="I742" s="965"/>
      <c r="J742" s="965"/>
      <c r="K742" s="965"/>
      <c r="L742" s="965"/>
      <c r="M742" s="965"/>
      <c r="N742" s="965"/>
      <c r="O742" s="965"/>
      <c r="P742" s="965"/>
      <c r="Q742" s="965"/>
      <c r="R742" s="965"/>
      <c r="S742" s="965"/>
      <c r="T742" s="965"/>
      <c r="U742" s="965"/>
      <c r="V742" s="965"/>
      <c r="W742" s="965"/>
      <c r="X742" s="965"/>
      <c r="Y742" s="965"/>
      <c r="Z742" s="965"/>
    </row>
    <row r="743">
      <c r="A743" s="965"/>
      <c r="B743" s="965"/>
      <c r="C743" s="965"/>
      <c r="D743" s="965"/>
      <c r="E743" s="965"/>
      <c r="F743" s="965"/>
      <c r="G743" s="965"/>
      <c r="H743" s="965"/>
      <c r="I743" s="965"/>
      <c r="J743" s="965"/>
      <c r="K743" s="965"/>
      <c r="L743" s="965"/>
      <c r="M743" s="965"/>
      <c r="N743" s="965"/>
      <c r="O743" s="965"/>
      <c r="P743" s="965"/>
      <c r="Q743" s="965"/>
      <c r="R743" s="965"/>
      <c r="S743" s="965"/>
      <c r="T743" s="965"/>
      <c r="U743" s="965"/>
      <c r="V743" s="965"/>
      <c r="W743" s="965"/>
      <c r="X743" s="965"/>
      <c r="Y743" s="965"/>
      <c r="Z743" s="965"/>
    </row>
    <row r="744">
      <c r="A744" s="965"/>
      <c r="B744" s="965"/>
      <c r="C744" s="965"/>
      <c r="D744" s="965"/>
      <c r="E744" s="965"/>
      <c r="F744" s="965"/>
      <c r="G744" s="965"/>
      <c r="H744" s="965"/>
      <c r="I744" s="965"/>
      <c r="J744" s="965"/>
      <c r="K744" s="965"/>
      <c r="L744" s="965"/>
      <c r="M744" s="965"/>
      <c r="N744" s="965"/>
      <c r="O744" s="965"/>
      <c r="P744" s="965"/>
      <c r="Q744" s="965"/>
      <c r="R744" s="965"/>
      <c r="S744" s="965"/>
      <c r="T744" s="965"/>
      <c r="U744" s="965"/>
      <c r="V744" s="965"/>
      <c r="W744" s="965"/>
      <c r="X744" s="965"/>
      <c r="Y744" s="965"/>
      <c r="Z744" s="965"/>
    </row>
    <row r="745">
      <c r="A745" s="965"/>
      <c r="B745" s="965"/>
      <c r="C745" s="965"/>
      <c r="D745" s="965"/>
      <c r="E745" s="965"/>
      <c r="F745" s="965"/>
      <c r="G745" s="965"/>
      <c r="H745" s="965"/>
      <c r="I745" s="965"/>
      <c r="J745" s="965"/>
      <c r="K745" s="965"/>
      <c r="L745" s="965"/>
      <c r="M745" s="965"/>
      <c r="N745" s="965"/>
      <c r="O745" s="965"/>
      <c r="P745" s="965"/>
      <c r="Q745" s="965"/>
      <c r="R745" s="965"/>
      <c r="S745" s="965"/>
      <c r="T745" s="965"/>
      <c r="U745" s="965"/>
      <c r="V745" s="965"/>
      <c r="W745" s="965"/>
      <c r="X745" s="965"/>
      <c r="Y745" s="965"/>
      <c r="Z745" s="965"/>
    </row>
    <row r="746">
      <c r="A746" s="965"/>
      <c r="B746" s="965"/>
      <c r="C746" s="965"/>
      <c r="D746" s="965"/>
      <c r="E746" s="965"/>
      <c r="F746" s="965"/>
      <c r="G746" s="965"/>
      <c r="H746" s="965"/>
      <c r="I746" s="965"/>
      <c r="J746" s="965"/>
      <c r="K746" s="965"/>
      <c r="L746" s="965"/>
      <c r="M746" s="965"/>
      <c r="N746" s="965"/>
      <c r="O746" s="965"/>
      <c r="P746" s="965"/>
      <c r="Q746" s="965"/>
      <c r="R746" s="965"/>
      <c r="S746" s="965"/>
      <c r="T746" s="965"/>
      <c r="U746" s="965"/>
      <c r="V746" s="965"/>
      <c r="W746" s="965"/>
      <c r="X746" s="965"/>
      <c r="Y746" s="965"/>
      <c r="Z746" s="965"/>
    </row>
    <row r="747">
      <c r="A747" s="965"/>
      <c r="B747" s="965"/>
      <c r="C747" s="965"/>
      <c r="D747" s="965"/>
      <c r="E747" s="965"/>
      <c r="F747" s="965"/>
      <c r="G747" s="965"/>
      <c r="H747" s="965"/>
      <c r="I747" s="965"/>
      <c r="J747" s="965"/>
      <c r="K747" s="965"/>
      <c r="L747" s="965"/>
      <c r="M747" s="965"/>
      <c r="N747" s="965"/>
      <c r="O747" s="965"/>
      <c r="P747" s="965"/>
      <c r="Q747" s="965"/>
      <c r="R747" s="965"/>
      <c r="S747" s="965"/>
      <c r="T747" s="965"/>
      <c r="U747" s="965"/>
      <c r="V747" s="965"/>
      <c r="W747" s="965"/>
      <c r="X747" s="965"/>
      <c r="Y747" s="965"/>
      <c r="Z747" s="965"/>
    </row>
    <row r="748">
      <c r="A748" s="965"/>
      <c r="B748" s="965"/>
      <c r="C748" s="965"/>
      <c r="D748" s="965"/>
      <c r="E748" s="965"/>
      <c r="F748" s="965"/>
      <c r="G748" s="965"/>
      <c r="H748" s="965"/>
      <c r="I748" s="965"/>
      <c r="J748" s="965"/>
      <c r="K748" s="965"/>
      <c r="L748" s="965"/>
      <c r="M748" s="965"/>
      <c r="N748" s="965"/>
      <c r="O748" s="965"/>
      <c r="P748" s="965"/>
      <c r="Q748" s="965"/>
      <c r="R748" s="965"/>
      <c r="S748" s="965"/>
      <c r="T748" s="965"/>
      <c r="U748" s="965"/>
      <c r="V748" s="965"/>
      <c r="W748" s="965"/>
      <c r="X748" s="965"/>
      <c r="Y748" s="965"/>
      <c r="Z748" s="965"/>
    </row>
    <row r="749">
      <c r="A749" s="965"/>
      <c r="B749" s="965"/>
      <c r="C749" s="965"/>
      <c r="D749" s="965"/>
      <c r="E749" s="965"/>
      <c r="F749" s="965"/>
      <c r="G749" s="965"/>
      <c r="H749" s="965"/>
      <c r="I749" s="965"/>
      <c r="J749" s="965"/>
      <c r="K749" s="965"/>
      <c r="L749" s="965"/>
      <c r="M749" s="965"/>
      <c r="N749" s="965"/>
      <c r="O749" s="965"/>
      <c r="P749" s="965"/>
      <c r="Q749" s="965"/>
      <c r="R749" s="965"/>
      <c r="S749" s="965"/>
      <c r="T749" s="965"/>
      <c r="U749" s="965"/>
      <c r="V749" s="965"/>
      <c r="W749" s="965"/>
      <c r="X749" s="965"/>
      <c r="Y749" s="965"/>
      <c r="Z749" s="965"/>
    </row>
    <row r="750">
      <c r="A750" s="965"/>
      <c r="B750" s="965"/>
      <c r="C750" s="965"/>
      <c r="D750" s="965"/>
      <c r="E750" s="965"/>
      <c r="F750" s="965"/>
      <c r="G750" s="965"/>
      <c r="H750" s="965"/>
      <c r="I750" s="965"/>
      <c r="J750" s="965"/>
      <c r="K750" s="965"/>
      <c r="L750" s="965"/>
      <c r="M750" s="965"/>
      <c r="N750" s="965"/>
      <c r="O750" s="965"/>
      <c r="P750" s="965"/>
      <c r="Q750" s="965"/>
      <c r="R750" s="965"/>
      <c r="S750" s="965"/>
      <c r="T750" s="965"/>
      <c r="U750" s="965"/>
      <c r="V750" s="965"/>
      <c r="W750" s="965"/>
      <c r="X750" s="965"/>
      <c r="Y750" s="965"/>
      <c r="Z750" s="965"/>
    </row>
    <row r="751">
      <c r="A751" s="965"/>
      <c r="B751" s="965"/>
      <c r="C751" s="965"/>
      <c r="D751" s="965"/>
      <c r="E751" s="965"/>
      <c r="F751" s="965"/>
      <c r="G751" s="965"/>
      <c r="H751" s="965"/>
      <c r="I751" s="965"/>
      <c r="J751" s="965"/>
      <c r="K751" s="965"/>
      <c r="L751" s="965"/>
      <c r="M751" s="965"/>
      <c r="N751" s="965"/>
      <c r="O751" s="965"/>
      <c r="P751" s="965"/>
      <c r="Q751" s="965"/>
      <c r="R751" s="965"/>
      <c r="S751" s="965"/>
      <c r="T751" s="965"/>
      <c r="U751" s="965"/>
      <c r="V751" s="965"/>
      <c r="W751" s="965"/>
      <c r="X751" s="965"/>
      <c r="Y751" s="965"/>
      <c r="Z751" s="965"/>
    </row>
    <row r="752">
      <c r="A752" s="965"/>
      <c r="B752" s="965"/>
      <c r="C752" s="965"/>
      <c r="D752" s="965"/>
      <c r="E752" s="965"/>
      <c r="F752" s="965"/>
      <c r="G752" s="965"/>
      <c r="H752" s="965"/>
      <c r="I752" s="965"/>
      <c r="J752" s="965"/>
      <c r="K752" s="965"/>
      <c r="L752" s="965"/>
      <c r="M752" s="965"/>
      <c r="N752" s="965"/>
      <c r="O752" s="965"/>
      <c r="P752" s="965"/>
      <c r="Q752" s="965"/>
      <c r="R752" s="965"/>
      <c r="S752" s="965"/>
      <c r="T752" s="965"/>
      <c r="U752" s="965"/>
      <c r="V752" s="965"/>
      <c r="W752" s="965"/>
      <c r="X752" s="965"/>
      <c r="Y752" s="965"/>
      <c r="Z752" s="965"/>
    </row>
    <row r="753">
      <c r="A753" s="965"/>
      <c r="B753" s="965"/>
      <c r="C753" s="965"/>
      <c r="D753" s="965"/>
      <c r="E753" s="965"/>
      <c r="F753" s="965"/>
      <c r="G753" s="965"/>
      <c r="H753" s="965"/>
      <c r="I753" s="965"/>
      <c r="J753" s="965"/>
      <c r="K753" s="965"/>
      <c r="L753" s="965"/>
      <c r="M753" s="965"/>
      <c r="N753" s="965"/>
      <c r="O753" s="965"/>
      <c r="P753" s="965"/>
      <c r="Q753" s="965"/>
      <c r="R753" s="965"/>
      <c r="S753" s="965"/>
      <c r="T753" s="965"/>
      <c r="U753" s="965"/>
      <c r="V753" s="965"/>
      <c r="W753" s="965"/>
      <c r="X753" s="965"/>
      <c r="Y753" s="965"/>
      <c r="Z753" s="965"/>
    </row>
    <row r="754">
      <c r="A754" s="965"/>
      <c r="B754" s="965"/>
      <c r="C754" s="965"/>
      <c r="D754" s="965"/>
      <c r="E754" s="965"/>
      <c r="F754" s="965"/>
      <c r="G754" s="965"/>
      <c r="H754" s="965"/>
      <c r="I754" s="965"/>
      <c r="J754" s="965"/>
      <c r="K754" s="965"/>
      <c r="L754" s="965"/>
      <c r="M754" s="965"/>
      <c r="N754" s="965"/>
      <c r="O754" s="965"/>
      <c r="P754" s="965"/>
      <c r="Q754" s="965"/>
      <c r="R754" s="965"/>
      <c r="S754" s="965"/>
      <c r="T754" s="965"/>
      <c r="U754" s="965"/>
      <c r="V754" s="965"/>
      <c r="W754" s="965"/>
      <c r="X754" s="965"/>
      <c r="Y754" s="965"/>
      <c r="Z754" s="965"/>
    </row>
    <row r="755">
      <c r="A755" s="965"/>
      <c r="B755" s="965"/>
      <c r="C755" s="965"/>
      <c r="D755" s="965"/>
      <c r="E755" s="965"/>
      <c r="F755" s="965"/>
      <c r="G755" s="965"/>
      <c r="H755" s="965"/>
      <c r="I755" s="965"/>
      <c r="J755" s="965"/>
      <c r="K755" s="965"/>
      <c r="L755" s="965"/>
      <c r="M755" s="965"/>
      <c r="N755" s="965"/>
      <c r="O755" s="965"/>
      <c r="P755" s="965"/>
      <c r="Q755" s="965"/>
      <c r="R755" s="965"/>
      <c r="S755" s="965"/>
      <c r="T755" s="965"/>
      <c r="U755" s="965"/>
      <c r="V755" s="965"/>
      <c r="W755" s="965"/>
      <c r="X755" s="965"/>
      <c r="Y755" s="965"/>
      <c r="Z755" s="965"/>
    </row>
    <row r="756">
      <c r="A756" s="965"/>
      <c r="B756" s="965"/>
      <c r="C756" s="965"/>
      <c r="D756" s="965"/>
      <c r="E756" s="965"/>
      <c r="F756" s="965"/>
      <c r="G756" s="965"/>
      <c r="H756" s="965"/>
      <c r="I756" s="965"/>
      <c r="J756" s="965"/>
      <c r="K756" s="965"/>
      <c r="L756" s="965"/>
      <c r="M756" s="965"/>
      <c r="N756" s="965"/>
      <c r="O756" s="965"/>
      <c r="P756" s="965"/>
      <c r="Q756" s="965"/>
      <c r="R756" s="965"/>
      <c r="S756" s="965"/>
      <c r="T756" s="965"/>
      <c r="U756" s="965"/>
      <c r="V756" s="965"/>
      <c r="W756" s="965"/>
      <c r="X756" s="965"/>
      <c r="Y756" s="965"/>
      <c r="Z756" s="965"/>
    </row>
    <row r="757">
      <c r="A757" s="965"/>
      <c r="B757" s="965"/>
      <c r="C757" s="965"/>
      <c r="D757" s="965"/>
      <c r="E757" s="965"/>
      <c r="F757" s="965"/>
      <c r="G757" s="965"/>
      <c r="H757" s="965"/>
      <c r="I757" s="965"/>
      <c r="J757" s="965"/>
      <c r="K757" s="965"/>
      <c r="L757" s="965"/>
      <c r="M757" s="965"/>
      <c r="N757" s="965"/>
      <c r="O757" s="965"/>
      <c r="P757" s="965"/>
      <c r="Q757" s="965"/>
      <c r="R757" s="965"/>
      <c r="S757" s="965"/>
      <c r="T757" s="965"/>
      <c r="U757" s="965"/>
      <c r="V757" s="965"/>
      <c r="W757" s="965"/>
      <c r="X757" s="965"/>
      <c r="Y757" s="965"/>
      <c r="Z757" s="965"/>
    </row>
    <row r="758">
      <c r="A758" s="965"/>
      <c r="B758" s="965"/>
      <c r="C758" s="965"/>
      <c r="D758" s="965"/>
      <c r="E758" s="965"/>
      <c r="F758" s="965"/>
      <c r="G758" s="965"/>
      <c r="H758" s="965"/>
      <c r="I758" s="965"/>
      <c r="J758" s="965"/>
      <c r="K758" s="965"/>
      <c r="L758" s="965"/>
      <c r="M758" s="965"/>
      <c r="N758" s="965"/>
      <c r="O758" s="965"/>
      <c r="P758" s="965"/>
      <c r="Q758" s="965"/>
      <c r="R758" s="965"/>
      <c r="S758" s="965"/>
      <c r="T758" s="965"/>
      <c r="U758" s="965"/>
      <c r="V758" s="965"/>
      <c r="W758" s="965"/>
      <c r="X758" s="965"/>
      <c r="Y758" s="965"/>
      <c r="Z758" s="965"/>
    </row>
    <row r="759">
      <c r="A759" s="965"/>
      <c r="B759" s="965"/>
      <c r="C759" s="965"/>
      <c r="D759" s="965"/>
      <c r="E759" s="965"/>
      <c r="F759" s="965"/>
      <c r="G759" s="965"/>
      <c r="H759" s="965"/>
      <c r="I759" s="965"/>
      <c r="J759" s="965"/>
      <c r="K759" s="965"/>
      <c r="L759" s="965"/>
      <c r="M759" s="965"/>
      <c r="N759" s="965"/>
      <c r="O759" s="965"/>
      <c r="P759" s="965"/>
      <c r="Q759" s="965"/>
      <c r="R759" s="965"/>
      <c r="S759" s="965"/>
      <c r="T759" s="965"/>
      <c r="U759" s="965"/>
      <c r="V759" s="965"/>
      <c r="W759" s="965"/>
      <c r="X759" s="965"/>
      <c r="Y759" s="965"/>
      <c r="Z759" s="965"/>
    </row>
    <row r="760">
      <c r="A760" s="965"/>
      <c r="B760" s="965"/>
      <c r="C760" s="965"/>
      <c r="D760" s="965"/>
      <c r="E760" s="965"/>
      <c r="F760" s="965"/>
      <c r="G760" s="965"/>
      <c r="H760" s="965"/>
      <c r="I760" s="965"/>
      <c r="J760" s="965"/>
      <c r="K760" s="965"/>
      <c r="L760" s="965"/>
      <c r="M760" s="965"/>
      <c r="N760" s="965"/>
      <c r="O760" s="965"/>
      <c r="P760" s="965"/>
      <c r="Q760" s="965"/>
      <c r="R760" s="965"/>
      <c r="S760" s="965"/>
      <c r="T760" s="965"/>
      <c r="U760" s="965"/>
      <c r="V760" s="965"/>
      <c r="W760" s="965"/>
      <c r="X760" s="965"/>
      <c r="Y760" s="965"/>
      <c r="Z760" s="965"/>
    </row>
    <row r="761">
      <c r="A761" s="965"/>
      <c r="B761" s="965"/>
      <c r="C761" s="965"/>
      <c r="D761" s="965"/>
      <c r="E761" s="965"/>
      <c r="F761" s="965"/>
      <c r="G761" s="965"/>
      <c r="H761" s="965"/>
      <c r="I761" s="965"/>
      <c r="J761" s="965"/>
      <c r="K761" s="965"/>
      <c r="L761" s="965"/>
      <c r="M761" s="965"/>
      <c r="N761" s="965"/>
      <c r="O761" s="965"/>
      <c r="P761" s="965"/>
      <c r="Q761" s="965"/>
      <c r="R761" s="965"/>
      <c r="S761" s="965"/>
      <c r="T761" s="965"/>
      <c r="U761" s="965"/>
      <c r="V761" s="965"/>
      <c r="W761" s="965"/>
      <c r="X761" s="965"/>
      <c r="Y761" s="965"/>
      <c r="Z761" s="965"/>
    </row>
    <row r="762">
      <c r="A762" s="965"/>
      <c r="B762" s="965"/>
      <c r="C762" s="965"/>
      <c r="D762" s="965"/>
      <c r="E762" s="965"/>
      <c r="F762" s="965"/>
      <c r="G762" s="965"/>
      <c r="H762" s="965"/>
      <c r="I762" s="965"/>
      <c r="J762" s="965"/>
      <c r="K762" s="965"/>
      <c r="L762" s="965"/>
      <c r="M762" s="965"/>
      <c r="N762" s="965"/>
      <c r="O762" s="965"/>
      <c r="P762" s="965"/>
      <c r="Q762" s="965"/>
      <c r="R762" s="965"/>
      <c r="S762" s="965"/>
      <c r="T762" s="965"/>
      <c r="U762" s="965"/>
      <c r="V762" s="965"/>
      <c r="W762" s="965"/>
      <c r="X762" s="965"/>
      <c r="Y762" s="965"/>
      <c r="Z762" s="965"/>
    </row>
    <row r="763">
      <c r="A763" s="965"/>
      <c r="B763" s="965"/>
      <c r="C763" s="965"/>
      <c r="D763" s="965"/>
      <c r="E763" s="965"/>
      <c r="F763" s="965"/>
      <c r="G763" s="965"/>
      <c r="H763" s="965"/>
      <c r="I763" s="965"/>
      <c r="J763" s="965"/>
      <c r="K763" s="965"/>
      <c r="L763" s="965"/>
      <c r="M763" s="965"/>
      <c r="N763" s="965"/>
      <c r="O763" s="965"/>
      <c r="P763" s="965"/>
      <c r="Q763" s="965"/>
      <c r="R763" s="965"/>
      <c r="S763" s="965"/>
      <c r="T763" s="965"/>
      <c r="U763" s="965"/>
      <c r="V763" s="965"/>
      <c r="W763" s="965"/>
      <c r="X763" s="965"/>
      <c r="Y763" s="965"/>
      <c r="Z763" s="965"/>
    </row>
    <row r="764">
      <c r="A764" s="965"/>
      <c r="B764" s="965"/>
      <c r="C764" s="965"/>
      <c r="D764" s="965"/>
      <c r="E764" s="965"/>
      <c r="F764" s="965"/>
      <c r="G764" s="965"/>
      <c r="H764" s="965"/>
      <c r="I764" s="965"/>
      <c r="J764" s="965"/>
      <c r="K764" s="965"/>
      <c r="L764" s="965"/>
      <c r="M764" s="965"/>
      <c r="N764" s="965"/>
      <c r="O764" s="965"/>
      <c r="P764" s="965"/>
      <c r="Q764" s="965"/>
      <c r="R764" s="965"/>
      <c r="S764" s="965"/>
      <c r="T764" s="965"/>
      <c r="U764" s="965"/>
      <c r="V764" s="965"/>
      <c r="W764" s="965"/>
      <c r="X764" s="965"/>
      <c r="Y764" s="965"/>
      <c r="Z764" s="965"/>
    </row>
    <row r="765">
      <c r="A765" s="965"/>
      <c r="B765" s="965"/>
      <c r="C765" s="965"/>
      <c r="D765" s="965"/>
      <c r="E765" s="965"/>
      <c r="F765" s="965"/>
      <c r="G765" s="965"/>
      <c r="H765" s="965"/>
      <c r="I765" s="965"/>
      <c r="J765" s="965"/>
      <c r="K765" s="965"/>
      <c r="L765" s="965"/>
      <c r="M765" s="965"/>
      <c r="N765" s="965"/>
      <c r="O765" s="965"/>
      <c r="P765" s="965"/>
      <c r="Q765" s="965"/>
      <c r="R765" s="965"/>
      <c r="S765" s="965"/>
      <c r="T765" s="965"/>
      <c r="U765" s="965"/>
      <c r="V765" s="965"/>
      <c r="W765" s="965"/>
      <c r="X765" s="965"/>
      <c r="Y765" s="965"/>
      <c r="Z765" s="965"/>
    </row>
    <row r="766">
      <c r="A766" s="965"/>
      <c r="B766" s="965"/>
      <c r="C766" s="965"/>
      <c r="D766" s="965"/>
      <c r="E766" s="965"/>
      <c r="F766" s="965"/>
      <c r="G766" s="965"/>
      <c r="H766" s="965"/>
      <c r="I766" s="965"/>
      <c r="J766" s="965"/>
      <c r="K766" s="965"/>
      <c r="L766" s="965"/>
      <c r="M766" s="965"/>
      <c r="N766" s="965"/>
      <c r="O766" s="965"/>
      <c r="P766" s="965"/>
      <c r="Q766" s="965"/>
      <c r="R766" s="965"/>
      <c r="S766" s="965"/>
      <c r="T766" s="965"/>
      <c r="U766" s="965"/>
      <c r="V766" s="965"/>
      <c r="W766" s="965"/>
      <c r="X766" s="965"/>
      <c r="Y766" s="965"/>
      <c r="Z766" s="965"/>
    </row>
    <row r="767">
      <c r="A767" s="965"/>
      <c r="B767" s="965"/>
      <c r="C767" s="965"/>
      <c r="D767" s="965"/>
      <c r="E767" s="965"/>
      <c r="F767" s="965"/>
      <c r="G767" s="965"/>
      <c r="H767" s="965"/>
      <c r="I767" s="965"/>
      <c r="J767" s="965"/>
      <c r="K767" s="965"/>
      <c r="L767" s="965"/>
      <c r="M767" s="965"/>
      <c r="N767" s="965"/>
      <c r="O767" s="965"/>
      <c r="P767" s="965"/>
      <c r="Q767" s="965"/>
      <c r="R767" s="965"/>
      <c r="S767" s="965"/>
      <c r="T767" s="965"/>
      <c r="U767" s="965"/>
      <c r="V767" s="965"/>
      <c r="W767" s="965"/>
      <c r="X767" s="965"/>
      <c r="Y767" s="965"/>
      <c r="Z767" s="965"/>
    </row>
    <row r="768">
      <c r="A768" s="965"/>
      <c r="B768" s="965"/>
      <c r="C768" s="965"/>
      <c r="D768" s="965"/>
      <c r="E768" s="965"/>
      <c r="F768" s="965"/>
      <c r="G768" s="965"/>
      <c r="H768" s="965"/>
      <c r="I768" s="965"/>
      <c r="J768" s="965"/>
      <c r="K768" s="965"/>
      <c r="L768" s="965"/>
      <c r="M768" s="965"/>
      <c r="N768" s="965"/>
      <c r="O768" s="965"/>
      <c r="P768" s="965"/>
      <c r="Q768" s="965"/>
      <c r="R768" s="965"/>
      <c r="S768" s="965"/>
      <c r="T768" s="965"/>
      <c r="U768" s="965"/>
      <c r="V768" s="965"/>
      <c r="W768" s="965"/>
      <c r="X768" s="965"/>
      <c r="Y768" s="965"/>
      <c r="Z768" s="965"/>
    </row>
    <row r="769">
      <c r="A769" s="965"/>
      <c r="B769" s="965"/>
      <c r="C769" s="965"/>
      <c r="D769" s="965"/>
      <c r="E769" s="965"/>
      <c r="F769" s="965"/>
      <c r="G769" s="965"/>
      <c r="H769" s="965"/>
      <c r="I769" s="965"/>
      <c r="J769" s="965"/>
      <c r="K769" s="965"/>
      <c r="L769" s="965"/>
      <c r="M769" s="965"/>
      <c r="N769" s="965"/>
      <c r="O769" s="965"/>
      <c r="P769" s="965"/>
      <c r="Q769" s="965"/>
      <c r="R769" s="965"/>
      <c r="S769" s="965"/>
      <c r="T769" s="965"/>
      <c r="U769" s="965"/>
      <c r="V769" s="965"/>
      <c r="W769" s="965"/>
      <c r="X769" s="965"/>
      <c r="Y769" s="965"/>
      <c r="Z769" s="965"/>
    </row>
    <row r="770">
      <c r="A770" s="965"/>
      <c r="B770" s="965"/>
      <c r="C770" s="965"/>
      <c r="D770" s="965"/>
      <c r="E770" s="965"/>
      <c r="F770" s="965"/>
      <c r="G770" s="965"/>
      <c r="H770" s="965"/>
      <c r="I770" s="965"/>
      <c r="J770" s="965"/>
      <c r="K770" s="965"/>
      <c r="L770" s="965"/>
      <c r="M770" s="965"/>
      <c r="N770" s="965"/>
      <c r="O770" s="965"/>
      <c r="P770" s="965"/>
      <c r="Q770" s="965"/>
      <c r="R770" s="965"/>
      <c r="S770" s="965"/>
      <c r="T770" s="965"/>
      <c r="U770" s="965"/>
      <c r="V770" s="965"/>
      <c r="W770" s="965"/>
      <c r="X770" s="965"/>
      <c r="Y770" s="965"/>
      <c r="Z770" s="965"/>
    </row>
    <row r="771">
      <c r="A771" s="965"/>
      <c r="B771" s="965"/>
      <c r="C771" s="965"/>
      <c r="D771" s="965"/>
      <c r="E771" s="965"/>
      <c r="F771" s="965"/>
      <c r="G771" s="965"/>
      <c r="H771" s="965"/>
      <c r="I771" s="965"/>
      <c r="J771" s="965"/>
      <c r="K771" s="965"/>
      <c r="L771" s="965"/>
      <c r="M771" s="965"/>
      <c r="N771" s="965"/>
      <c r="O771" s="965"/>
      <c r="P771" s="965"/>
      <c r="Q771" s="965"/>
      <c r="R771" s="965"/>
      <c r="S771" s="965"/>
      <c r="T771" s="965"/>
      <c r="U771" s="965"/>
      <c r="V771" s="965"/>
      <c r="W771" s="965"/>
      <c r="X771" s="965"/>
      <c r="Y771" s="965"/>
      <c r="Z771" s="965"/>
    </row>
    <row r="772">
      <c r="A772" s="965"/>
      <c r="B772" s="965"/>
      <c r="C772" s="965"/>
      <c r="D772" s="965"/>
      <c r="E772" s="965"/>
      <c r="F772" s="965"/>
      <c r="G772" s="965"/>
      <c r="H772" s="965"/>
      <c r="I772" s="965"/>
      <c r="J772" s="965"/>
      <c r="K772" s="965"/>
      <c r="L772" s="965"/>
      <c r="M772" s="965"/>
      <c r="N772" s="965"/>
      <c r="O772" s="965"/>
      <c r="P772" s="965"/>
      <c r="Q772" s="965"/>
      <c r="R772" s="965"/>
      <c r="S772" s="965"/>
      <c r="T772" s="965"/>
      <c r="U772" s="965"/>
      <c r="V772" s="965"/>
      <c r="W772" s="965"/>
      <c r="X772" s="965"/>
      <c r="Y772" s="965"/>
      <c r="Z772" s="965"/>
    </row>
    <row r="773">
      <c r="A773" s="965"/>
      <c r="B773" s="965"/>
      <c r="C773" s="965"/>
      <c r="D773" s="965"/>
      <c r="E773" s="965"/>
      <c r="F773" s="965"/>
      <c r="G773" s="965"/>
      <c r="H773" s="965"/>
      <c r="I773" s="965"/>
      <c r="J773" s="965"/>
      <c r="K773" s="965"/>
      <c r="L773" s="965"/>
      <c r="M773" s="965"/>
      <c r="N773" s="965"/>
      <c r="O773" s="965"/>
      <c r="P773" s="965"/>
      <c r="Q773" s="965"/>
      <c r="R773" s="965"/>
      <c r="S773" s="965"/>
      <c r="T773" s="965"/>
      <c r="U773" s="965"/>
      <c r="V773" s="965"/>
      <c r="W773" s="965"/>
      <c r="X773" s="965"/>
      <c r="Y773" s="965"/>
      <c r="Z773" s="965"/>
    </row>
    <row r="774">
      <c r="A774" s="965"/>
      <c r="B774" s="965"/>
      <c r="C774" s="965"/>
      <c r="D774" s="965"/>
      <c r="E774" s="965"/>
      <c r="F774" s="965"/>
      <c r="G774" s="965"/>
      <c r="H774" s="965"/>
      <c r="I774" s="965"/>
      <c r="J774" s="965"/>
      <c r="K774" s="965"/>
      <c r="L774" s="965"/>
      <c r="M774" s="965"/>
      <c r="N774" s="965"/>
      <c r="O774" s="965"/>
      <c r="P774" s="965"/>
      <c r="Q774" s="965"/>
      <c r="R774" s="965"/>
      <c r="S774" s="965"/>
      <c r="T774" s="965"/>
      <c r="U774" s="965"/>
      <c r="V774" s="965"/>
      <c r="W774" s="965"/>
      <c r="X774" s="965"/>
      <c r="Y774" s="965"/>
      <c r="Z774" s="965"/>
    </row>
    <row r="775">
      <c r="A775" s="965"/>
      <c r="B775" s="965"/>
      <c r="C775" s="965"/>
      <c r="D775" s="965"/>
      <c r="E775" s="965"/>
      <c r="F775" s="965"/>
      <c r="G775" s="965"/>
      <c r="H775" s="965"/>
      <c r="I775" s="965"/>
      <c r="J775" s="965"/>
      <c r="K775" s="965"/>
      <c r="L775" s="965"/>
      <c r="M775" s="965"/>
      <c r="N775" s="965"/>
      <c r="O775" s="965"/>
      <c r="P775" s="965"/>
      <c r="Q775" s="965"/>
      <c r="R775" s="965"/>
      <c r="S775" s="965"/>
      <c r="T775" s="965"/>
      <c r="U775" s="965"/>
      <c r="V775" s="965"/>
      <c r="W775" s="965"/>
      <c r="X775" s="965"/>
      <c r="Y775" s="965"/>
      <c r="Z775" s="965"/>
    </row>
    <row r="776">
      <c r="A776" s="965"/>
      <c r="B776" s="965"/>
      <c r="C776" s="965"/>
      <c r="D776" s="965"/>
      <c r="E776" s="965"/>
      <c r="F776" s="965"/>
      <c r="G776" s="965"/>
      <c r="H776" s="965"/>
      <c r="I776" s="965"/>
      <c r="J776" s="965"/>
      <c r="K776" s="965"/>
      <c r="L776" s="965"/>
      <c r="M776" s="965"/>
      <c r="N776" s="965"/>
      <c r="O776" s="965"/>
      <c r="P776" s="965"/>
      <c r="Q776" s="965"/>
      <c r="R776" s="965"/>
      <c r="S776" s="965"/>
      <c r="T776" s="965"/>
      <c r="U776" s="965"/>
      <c r="V776" s="965"/>
      <c r="W776" s="965"/>
      <c r="X776" s="965"/>
      <c r="Y776" s="965"/>
      <c r="Z776" s="965"/>
    </row>
    <row r="777">
      <c r="A777" s="965"/>
      <c r="B777" s="965"/>
      <c r="C777" s="965"/>
      <c r="D777" s="965"/>
      <c r="E777" s="965"/>
      <c r="F777" s="965"/>
      <c r="G777" s="965"/>
      <c r="H777" s="965"/>
      <c r="I777" s="965"/>
      <c r="J777" s="965"/>
      <c r="K777" s="965"/>
      <c r="L777" s="965"/>
      <c r="M777" s="965"/>
      <c r="N777" s="965"/>
      <c r="O777" s="965"/>
      <c r="P777" s="965"/>
      <c r="Q777" s="965"/>
      <c r="R777" s="965"/>
      <c r="S777" s="965"/>
      <c r="T777" s="965"/>
      <c r="U777" s="965"/>
      <c r="V777" s="965"/>
      <c r="W777" s="965"/>
      <c r="X777" s="965"/>
      <c r="Y777" s="965"/>
      <c r="Z777" s="965"/>
    </row>
    <row r="778">
      <c r="A778" s="965"/>
      <c r="B778" s="965"/>
      <c r="C778" s="965"/>
      <c r="D778" s="965"/>
      <c r="E778" s="965"/>
      <c r="F778" s="965"/>
      <c r="G778" s="965"/>
      <c r="H778" s="965"/>
      <c r="I778" s="965"/>
      <c r="J778" s="965"/>
      <c r="K778" s="965"/>
      <c r="L778" s="965"/>
      <c r="M778" s="965"/>
      <c r="N778" s="965"/>
      <c r="O778" s="965"/>
      <c r="P778" s="965"/>
      <c r="Q778" s="965"/>
      <c r="R778" s="965"/>
      <c r="S778" s="965"/>
      <c r="T778" s="965"/>
      <c r="U778" s="965"/>
      <c r="V778" s="965"/>
      <c r="W778" s="965"/>
      <c r="X778" s="965"/>
      <c r="Y778" s="965"/>
      <c r="Z778" s="965"/>
    </row>
    <row r="779">
      <c r="A779" s="965"/>
      <c r="B779" s="965"/>
      <c r="C779" s="965"/>
      <c r="D779" s="965"/>
      <c r="E779" s="965"/>
      <c r="F779" s="965"/>
      <c r="G779" s="965"/>
      <c r="H779" s="965"/>
      <c r="I779" s="965"/>
      <c r="J779" s="965"/>
      <c r="K779" s="965"/>
      <c r="L779" s="965"/>
      <c r="M779" s="965"/>
      <c r="N779" s="965"/>
      <c r="O779" s="965"/>
      <c r="P779" s="965"/>
      <c r="Q779" s="965"/>
      <c r="R779" s="965"/>
      <c r="S779" s="965"/>
      <c r="T779" s="965"/>
      <c r="U779" s="965"/>
      <c r="V779" s="965"/>
      <c r="W779" s="965"/>
      <c r="X779" s="965"/>
      <c r="Y779" s="965"/>
      <c r="Z779" s="965"/>
    </row>
    <row r="780">
      <c r="A780" s="965"/>
      <c r="B780" s="965"/>
      <c r="C780" s="965"/>
      <c r="D780" s="965"/>
      <c r="E780" s="965"/>
      <c r="F780" s="965"/>
      <c r="G780" s="965"/>
      <c r="H780" s="965"/>
      <c r="I780" s="965"/>
      <c r="J780" s="965"/>
      <c r="K780" s="965"/>
      <c r="L780" s="965"/>
      <c r="M780" s="965"/>
      <c r="N780" s="965"/>
      <c r="O780" s="965"/>
      <c r="P780" s="965"/>
      <c r="Q780" s="965"/>
      <c r="R780" s="965"/>
      <c r="S780" s="965"/>
      <c r="T780" s="965"/>
      <c r="U780" s="965"/>
      <c r="V780" s="965"/>
      <c r="W780" s="965"/>
      <c r="X780" s="965"/>
      <c r="Y780" s="965"/>
      <c r="Z780" s="965"/>
    </row>
    <row r="781">
      <c r="A781" s="965"/>
      <c r="B781" s="965"/>
      <c r="C781" s="965"/>
      <c r="D781" s="965"/>
      <c r="E781" s="965"/>
      <c r="F781" s="965"/>
      <c r="G781" s="965"/>
      <c r="H781" s="965"/>
      <c r="I781" s="965"/>
      <c r="J781" s="965"/>
      <c r="K781" s="965"/>
      <c r="L781" s="965"/>
      <c r="M781" s="965"/>
      <c r="N781" s="965"/>
      <c r="O781" s="965"/>
      <c r="P781" s="965"/>
      <c r="Q781" s="965"/>
      <c r="R781" s="965"/>
      <c r="S781" s="965"/>
      <c r="T781" s="965"/>
      <c r="U781" s="965"/>
      <c r="V781" s="965"/>
      <c r="W781" s="965"/>
      <c r="X781" s="965"/>
      <c r="Y781" s="965"/>
      <c r="Z781" s="965"/>
    </row>
    <row r="782">
      <c r="A782" s="965"/>
      <c r="B782" s="965"/>
      <c r="C782" s="965"/>
      <c r="D782" s="965"/>
      <c r="E782" s="965"/>
      <c r="F782" s="965"/>
      <c r="G782" s="965"/>
      <c r="H782" s="965"/>
      <c r="I782" s="965"/>
      <c r="J782" s="965"/>
      <c r="K782" s="965"/>
      <c r="L782" s="965"/>
      <c r="M782" s="965"/>
      <c r="N782" s="965"/>
      <c r="O782" s="965"/>
      <c r="P782" s="965"/>
      <c r="Q782" s="965"/>
      <c r="R782" s="965"/>
      <c r="S782" s="965"/>
      <c r="T782" s="965"/>
      <c r="U782" s="965"/>
      <c r="V782" s="965"/>
      <c r="W782" s="965"/>
      <c r="X782" s="965"/>
      <c r="Y782" s="965"/>
      <c r="Z782" s="965"/>
    </row>
    <row r="783">
      <c r="A783" s="965"/>
      <c r="B783" s="965"/>
      <c r="C783" s="965"/>
      <c r="D783" s="965"/>
      <c r="E783" s="965"/>
      <c r="F783" s="965"/>
      <c r="G783" s="965"/>
      <c r="H783" s="965"/>
      <c r="I783" s="965"/>
      <c r="J783" s="965"/>
      <c r="K783" s="965"/>
      <c r="L783" s="965"/>
      <c r="M783" s="965"/>
      <c r="N783" s="965"/>
      <c r="O783" s="965"/>
      <c r="P783" s="965"/>
      <c r="Q783" s="965"/>
      <c r="R783" s="965"/>
      <c r="S783" s="965"/>
      <c r="T783" s="965"/>
      <c r="U783" s="965"/>
      <c r="V783" s="965"/>
      <c r="W783" s="965"/>
      <c r="X783" s="965"/>
      <c r="Y783" s="965"/>
      <c r="Z783" s="965"/>
    </row>
    <row r="784">
      <c r="A784" s="965"/>
      <c r="B784" s="965"/>
      <c r="C784" s="965"/>
      <c r="D784" s="965"/>
      <c r="E784" s="965"/>
      <c r="F784" s="965"/>
      <c r="G784" s="965"/>
      <c r="H784" s="965"/>
      <c r="I784" s="965"/>
      <c r="J784" s="965"/>
      <c r="K784" s="965"/>
      <c r="L784" s="965"/>
      <c r="M784" s="965"/>
      <c r="N784" s="965"/>
      <c r="O784" s="965"/>
      <c r="P784" s="965"/>
      <c r="Q784" s="965"/>
      <c r="R784" s="965"/>
      <c r="S784" s="965"/>
      <c r="T784" s="965"/>
      <c r="U784" s="965"/>
      <c r="V784" s="965"/>
      <c r="W784" s="965"/>
      <c r="X784" s="965"/>
      <c r="Y784" s="965"/>
      <c r="Z784" s="965"/>
    </row>
    <row r="785">
      <c r="A785" s="965"/>
      <c r="B785" s="965"/>
      <c r="C785" s="965"/>
      <c r="D785" s="965"/>
      <c r="E785" s="965"/>
      <c r="F785" s="965"/>
      <c r="G785" s="965"/>
      <c r="H785" s="965"/>
      <c r="I785" s="965"/>
      <c r="J785" s="965"/>
      <c r="K785" s="965"/>
      <c r="L785" s="965"/>
      <c r="M785" s="965"/>
      <c r="N785" s="965"/>
      <c r="O785" s="965"/>
      <c r="P785" s="965"/>
      <c r="Q785" s="965"/>
      <c r="R785" s="965"/>
      <c r="S785" s="965"/>
      <c r="T785" s="965"/>
      <c r="U785" s="965"/>
      <c r="V785" s="965"/>
      <c r="W785" s="965"/>
      <c r="X785" s="965"/>
      <c r="Y785" s="965"/>
      <c r="Z785" s="965"/>
    </row>
    <row r="786">
      <c r="A786" s="965"/>
      <c r="B786" s="965"/>
      <c r="C786" s="965"/>
      <c r="D786" s="965"/>
      <c r="E786" s="965"/>
      <c r="F786" s="965"/>
      <c r="G786" s="965"/>
      <c r="H786" s="965"/>
      <c r="I786" s="965"/>
      <c r="J786" s="965"/>
      <c r="K786" s="965"/>
      <c r="L786" s="965"/>
      <c r="M786" s="965"/>
      <c r="N786" s="965"/>
      <c r="O786" s="965"/>
      <c r="P786" s="965"/>
      <c r="Q786" s="965"/>
      <c r="R786" s="965"/>
      <c r="S786" s="965"/>
      <c r="T786" s="965"/>
      <c r="U786" s="965"/>
      <c r="V786" s="965"/>
      <c r="W786" s="965"/>
      <c r="X786" s="965"/>
      <c r="Y786" s="965"/>
      <c r="Z786" s="965"/>
    </row>
    <row r="787">
      <c r="A787" s="965"/>
      <c r="B787" s="965"/>
      <c r="C787" s="965"/>
      <c r="D787" s="965"/>
      <c r="E787" s="965"/>
      <c r="F787" s="965"/>
      <c r="G787" s="965"/>
      <c r="H787" s="965"/>
      <c r="I787" s="965"/>
      <c r="J787" s="965"/>
      <c r="K787" s="965"/>
      <c r="L787" s="965"/>
      <c r="M787" s="965"/>
      <c r="N787" s="965"/>
      <c r="O787" s="965"/>
      <c r="P787" s="965"/>
      <c r="Q787" s="965"/>
      <c r="R787" s="965"/>
      <c r="S787" s="965"/>
      <c r="T787" s="965"/>
      <c r="U787" s="965"/>
      <c r="V787" s="965"/>
      <c r="W787" s="965"/>
      <c r="X787" s="965"/>
      <c r="Y787" s="965"/>
      <c r="Z787" s="965"/>
    </row>
    <row r="788">
      <c r="A788" s="965"/>
      <c r="B788" s="965"/>
      <c r="C788" s="965"/>
      <c r="D788" s="965"/>
      <c r="E788" s="965"/>
      <c r="F788" s="965"/>
      <c r="G788" s="965"/>
      <c r="H788" s="965"/>
      <c r="I788" s="965"/>
      <c r="J788" s="965"/>
      <c r="K788" s="965"/>
      <c r="L788" s="965"/>
      <c r="M788" s="965"/>
      <c r="N788" s="965"/>
      <c r="O788" s="965"/>
      <c r="P788" s="965"/>
      <c r="Q788" s="965"/>
      <c r="R788" s="965"/>
      <c r="S788" s="965"/>
      <c r="T788" s="965"/>
      <c r="U788" s="965"/>
      <c r="V788" s="965"/>
      <c r="W788" s="965"/>
      <c r="X788" s="965"/>
      <c r="Y788" s="965"/>
      <c r="Z788" s="965"/>
    </row>
    <row r="789">
      <c r="A789" s="965"/>
      <c r="B789" s="965"/>
      <c r="C789" s="965"/>
      <c r="D789" s="965"/>
      <c r="E789" s="965"/>
      <c r="F789" s="965"/>
      <c r="G789" s="965"/>
      <c r="H789" s="965"/>
      <c r="I789" s="965"/>
      <c r="J789" s="965"/>
      <c r="K789" s="965"/>
      <c r="L789" s="965"/>
      <c r="M789" s="965"/>
      <c r="N789" s="965"/>
      <c r="O789" s="965"/>
      <c r="P789" s="965"/>
      <c r="Q789" s="965"/>
      <c r="R789" s="965"/>
      <c r="S789" s="965"/>
      <c r="T789" s="965"/>
      <c r="U789" s="965"/>
      <c r="V789" s="965"/>
      <c r="W789" s="965"/>
      <c r="X789" s="965"/>
      <c r="Y789" s="965"/>
      <c r="Z789" s="965"/>
    </row>
    <row r="790">
      <c r="A790" s="965"/>
      <c r="B790" s="965"/>
      <c r="C790" s="965"/>
      <c r="D790" s="965"/>
      <c r="E790" s="965"/>
      <c r="F790" s="965"/>
      <c r="G790" s="965"/>
      <c r="H790" s="965"/>
      <c r="I790" s="965"/>
      <c r="J790" s="965"/>
      <c r="K790" s="965"/>
      <c r="L790" s="965"/>
      <c r="M790" s="965"/>
      <c r="N790" s="965"/>
      <c r="O790" s="965"/>
      <c r="P790" s="965"/>
      <c r="Q790" s="965"/>
      <c r="R790" s="965"/>
      <c r="S790" s="965"/>
      <c r="T790" s="965"/>
      <c r="U790" s="965"/>
      <c r="V790" s="965"/>
      <c r="W790" s="965"/>
      <c r="X790" s="965"/>
      <c r="Y790" s="965"/>
      <c r="Z790" s="965"/>
    </row>
    <row r="791">
      <c r="A791" s="965"/>
      <c r="B791" s="965"/>
      <c r="C791" s="965"/>
      <c r="D791" s="965"/>
      <c r="E791" s="965"/>
      <c r="F791" s="965"/>
      <c r="G791" s="965"/>
      <c r="H791" s="965"/>
      <c r="I791" s="965"/>
      <c r="J791" s="965"/>
      <c r="K791" s="965"/>
      <c r="L791" s="965"/>
      <c r="M791" s="965"/>
      <c r="N791" s="965"/>
      <c r="O791" s="965"/>
      <c r="P791" s="965"/>
      <c r="Q791" s="965"/>
      <c r="R791" s="965"/>
      <c r="S791" s="965"/>
      <c r="T791" s="965"/>
      <c r="U791" s="965"/>
      <c r="V791" s="965"/>
      <c r="W791" s="965"/>
      <c r="X791" s="965"/>
      <c r="Y791" s="965"/>
      <c r="Z791" s="965"/>
    </row>
    <row r="792">
      <c r="A792" s="965"/>
      <c r="B792" s="965"/>
      <c r="C792" s="965"/>
      <c r="D792" s="965"/>
      <c r="E792" s="965"/>
      <c r="F792" s="965"/>
      <c r="G792" s="965"/>
      <c r="H792" s="965"/>
      <c r="I792" s="965"/>
      <c r="J792" s="965"/>
      <c r="K792" s="965"/>
      <c r="L792" s="965"/>
      <c r="M792" s="965"/>
      <c r="N792" s="965"/>
      <c r="O792" s="965"/>
      <c r="P792" s="965"/>
      <c r="Q792" s="965"/>
      <c r="R792" s="965"/>
      <c r="S792" s="965"/>
      <c r="T792" s="965"/>
      <c r="U792" s="965"/>
      <c r="V792" s="965"/>
      <c r="W792" s="965"/>
      <c r="X792" s="965"/>
      <c r="Y792" s="965"/>
      <c r="Z792" s="965"/>
    </row>
    <row r="793">
      <c r="A793" s="965"/>
      <c r="B793" s="965"/>
      <c r="C793" s="965"/>
      <c r="D793" s="965"/>
      <c r="E793" s="965"/>
      <c r="F793" s="965"/>
      <c r="G793" s="965"/>
      <c r="H793" s="965"/>
      <c r="I793" s="965"/>
      <c r="J793" s="965"/>
      <c r="K793" s="965"/>
      <c r="L793" s="965"/>
      <c r="M793" s="965"/>
      <c r="N793" s="965"/>
      <c r="O793" s="965"/>
      <c r="P793" s="965"/>
      <c r="Q793" s="965"/>
      <c r="R793" s="965"/>
      <c r="S793" s="965"/>
      <c r="T793" s="965"/>
      <c r="U793" s="965"/>
      <c r="V793" s="965"/>
      <c r="W793" s="965"/>
      <c r="X793" s="965"/>
      <c r="Y793" s="965"/>
      <c r="Z793" s="965"/>
    </row>
    <row r="794">
      <c r="A794" s="965"/>
      <c r="B794" s="965"/>
      <c r="C794" s="965"/>
      <c r="D794" s="965"/>
      <c r="E794" s="965"/>
      <c r="F794" s="965"/>
      <c r="G794" s="965"/>
      <c r="H794" s="965"/>
      <c r="I794" s="965"/>
      <c r="J794" s="965"/>
      <c r="K794" s="965"/>
      <c r="L794" s="965"/>
      <c r="M794" s="965"/>
      <c r="N794" s="965"/>
      <c r="O794" s="965"/>
      <c r="P794" s="965"/>
      <c r="Q794" s="965"/>
      <c r="R794" s="965"/>
      <c r="S794" s="965"/>
      <c r="T794" s="965"/>
      <c r="U794" s="965"/>
      <c r="V794" s="965"/>
      <c r="W794" s="965"/>
      <c r="X794" s="965"/>
      <c r="Y794" s="965"/>
      <c r="Z794" s="965"/>
    </row>
    <row r="795">
      <c r="A795" s="965"/>
      <c r="B795" s="965"/>
      <c r="C795" s="965"/>
      <c r="D795" s="965"/>
      <c r="E795" s="965"/>
      <c r="F795" s="965"/>
      <c r="G795" s="965"/>
      <c r="H795" s="965"/>
      <c r="I795" s="965"/>
      <c r="J795" s="965"/>
      <c r="K795" s="965"/>
      <c r="L795" s="965"/>
      <c r="M795" s="965"/>
      <c r="N795" s="965"/>
      <c r="O795" s="965"/>
      <c r="P795" s="965"/>
      <c r="Q795" s="965"/>
      <c r="R795" s="965"/>
      <c r="S795" s="965"/>
      <c r="T795" s="965"/>
      <c r="U795" s="965"/>
      <c r="V795" s="965"/>
      <c r="W795" s="965"/>
      <c r="X795" s="965"/>
      <c r="Y795" s="965"/>
      <c r="Z795" s="965"/>
    </row>
    <row r="796">
      <c r="A796" s="965"/>
      <c r="B796" s="965"/>
      <c r="C796" s="965"/>
      <c r="D796" s="965"/>
      <c r="E796" s="965"/>
      <c r="F796" s="965"/>
      <c r="G796" s="965"/>
      <c r="H796" s="965"/>
      <c r="I796" s="965"/>
      <c r="J796" s="965"/>
      <c r="K796" s="965"/>
      <c r="L796" s="965"/>
      <c r="M796" s="965"/>
      <c r="N796" s="965"/>
      <c r="O796" s="965"/>
      <c r="P796" s="965"/>
      <c r="Q796" s="965"/>
      <c r="R796" s="965"/>
      <c r="S796" s="965"/>
      <c r="T796" s="965"/>
      <c r="U796" s="965"/>
      <c r="V796" s="965"/>
      <c r="W796" s="965"/>
      <c r="X796" s="965"/>
      <c r="Y796" s="965"/>
      <c r="Z796" s="965"/>
    </row>
    <row r="797">
      <c r="A797" s="965"/>
      <c r="B797" s="965"/>
      <c r="C797" s="965"/>
      <c r="D797" s="965"/>
      <c r="E797" s="965"/>
      <c r="F797" s="965"/>
      <c r="G797" s="965"/>
      <c r="H797" s="965"/>
      <c r="I797" s="965"/>
      <c r="J797" s="965"/>
      <c r="K797" s="965"/>
      <c r="L797" s="965"/>
      <c r="M797" s="965"/>
      <c r="N797" s="965"/>
      <c r="O797" s="965"/>
      <c r="P797" s="965"/>
      <c r="Q797" s="965"/>
      <c r="R797" s="965"/>
      <c r="S797" s="965"/>
      <c r="T797" s="965"/>
      <c r="U797" s="965"/>
      <c r="V797" s="965"/>
      <c r="W797" s="965"/>
      <c r="X797" s="965"/>
      <c r="Y797" s="965"/>
      <c r="Z797" s="965"/>
    </row>
    <row r="798">
      <c r="A798" s="965"/>
      <c r="B798" s="965"/>
      <c r="C798" s="965"/>
      <c r="D798" s="965"/>
      <c r="E798" s="965"/>
      <c r="F798" s="965"/>
      <c r="G798" s="965"/>
      <c r="H798" s="965"/>
      <c r="I798" s="965"/>
      <c r="J798" s="965"/>
      <c r="K798" s="965"/>
      <c r="L798" s="965"/>
      <c r="M798" s="965"/>
      <c r="N798" s="965"/>
      <c r="O798" s="965"/>
      <c r="P798" s="965"/>
      <c r="Q798" s="965"/>
      <c r="R798" s="965"/>
      <c r="S798" s="965"/>
      <c r="T798" s="965"/>
      <c r="U798" s="965"/>
      <c r="V798" s="965"/>
      <c r="W798" s="965"/>
      <c r="X798" s="965"/>
      <c r="Y798" s="965"/>
      <c r="Z798" s="965"/>
    </row>
    <row r="799">
      <c r="A799" s="965"/>
      <c r="B799" s="965"/>
      <c r="C799" s="965"/>
      <c r="D799" s="965"/>
      <c r="E799" s="965"/>
      <c r="F799" s="965"/>
      <c r="G799" s="965"/>
      <c r="H799" s="965"/>
      <c r="I799" s="965"/>
      <c r="J799" s="965"/>
      <c r="K799" s="965"/>
      <c r="L799" s="965"/>
      <c r="M799" s="965"/>
      <c r="N799" s="965"/>
      <c r="O799" s="965"/>
      <c r="P799" s="965"/>
      <c r="Q799" s="965"/>
      <c r="R799" s="965"/>
      <c r="S799" s="965"/>
      <c r="T799" s="965"/>
      <c r="U799" s="965"/>
      <c r="V799" s="965"/>
      <c r="W799" s="965"/>
      <c r="X799" s="965"/>
      <c r="Y799" s="965"/>
      <c r="Z799" s="965"/>
    </row>
    <row r="800">
      <c r="A800" s="965"/>
      <c r="B800" s="965"/>
      <c r="C800" s="965"/>
      <c r="D800" s="965"/>
      <c r="E800" s="965"/>
      <c r="F800" s="965"/>
      <c r="G800" s="965"/>
      <c r="H800" s="965"/>
      <c r="I800" s="965"/>
      <c r="J800" s="965"/>
      <c r="K800" s="965"/>
      <c r="L800" s="965"/>
      <c r="M800" s="965"/>
      <c r="N800" s="965"/>
      <c r="O800" s="965"/>
      <c r="P800" s="965"/>
      <c r="Q800" s="965"/>
      <c r="R800" s="965"/>
      <c r="S800" s="965"/>
      <c r="T800" s="965"/>
      <c r="U800" s="965"/>
      <c r="V800" s="965"/>
      <c r="W800" s="965"/>
      <c r="X800" s="965"/>
      <c r="Y800" s="965"/>
      <c r="Z800" s="965"/>
    </row>
    <row r="801">
      <c r="A801" s="965"/>
      <c r="B801" s="965"/>
      <c r="C801" s="965"/>
      <c r="D801" s="965"/>
      <c r="E801" s="965"/>
      <c r="F801" s="965"/>
      <c r="G801" s="965"/>
      <c r="H801" s="965"/>
      <c r="I801" s="965"/>
      <c r="J801" s="965"/>
      <c r="K801" s="965"/>
      <c r="L801" s="965"/>
      <c r="M801" s="965"/>
      <c r="N801" s="965"/>
      <c r="O801" s="965"/>
      <c r="P801" s="965"/>
      <c r="Q801" s="965"/>
      <c r="R801" s="965"/>
      <c r="S801" s="965"/>
      <c r="T801" s="965"/>
      <c r="U801" s="965"/>
      <c r="V801" s="965"/>
      <c r="W801" s="965"/>
      <c r="X801" s="965"/>
      <c r="Y801" s="965"/>
      <c r="Z801" s="965"/>
    </row>
    <row r="802">
      <c r="A802" s="965"/>
      <c r="B802" s="965"/>
      <c r="C802" s="965"/>
      <c r="D802" s="965"/>
      <c r="E802" s="965"/>
      <c r="F802" s="965"/>
      <c r="G802" s="965"/>
      <c r="H802" s="965"/>
      <c r="I802" s="965"/>
      <c r="J802" s="965"/>
      <c r="K802" s="965"/>
      <c r="L802" s="965"/>
      <c r="M802" s="965"/>
      <c r="N802" s="965"/>
      <c r="O802" s="965"/>
      <c r="P802" s="965"/>
      <c r="Q802" s="965"/>
      <c r="R802" s="965"/>
      <c r="S802" s="965"/>
      <c r="T802" s="965"/>
      <c r="U802" s="965"/>
      <c r="V802" s="965"/>
      <c r="W802" s="965"/>
      <c r="X802" s="965"/>
      <c r="Y802" s="965"/>
      <c r="Z802" s="965"/>
    </row>
    <row r="803">
      <c r="A803" s="965"/>
      <c r="B803" s="965"/>
      <c r="C803" s="965"/>
      <c r="D803" s="965"/>
      <c r="E803" s="965"/>
      <c r="F803" s="965"/>
      <c r="G803" s="965"/>
      <c r="H803" s="965"/>
      <c r="I803" s="965"/>
      <c r="J803" s="965"/>
      <c r="K803" s="965"/>
      <c r="L803" s="965"/>
      <c r="M803" s="965"/>
      <c r="N803" s="965"/>
      <c r="O803" s="965"/>
      <c r="P803" s="965"/>
      <c r="Q803" s="965"/>
      <c r="R803" s="965"/>
      <c r="S803" s="965"/>
      <c r="T803" s="965"/>
      <c r="U803" s="965"/>
      <c r="V803" s="965"/>
      <c r="W803" s="965"/>
      <c r="X803" s="965"/>
      <c r="Y803" s="965"/>
      <c r="Z803" s="965"/>
    </row>
    <row r="804">
      <c r="A804" s="965"/>
      <c r="B804" s="965"/>
      <c r="C804" s="965"/>
      <c r="D804" s="965"/>
      <c r="E804" s="965"/>
      <c r="F804" s="965"/>
      <c r="G804" s="965"/>
      <c r="H804" s="965"/>
      <c r="I804" s="965"/>
      <c r="J804" s="965"/>
      <c r="K804" s="965"/>
      <c r="L804" s="965"/>
      <c r="M804" s="965"/>
      <c r="N804" s="965"/>
      <c r="O804" s="965"/>
      <c r="P804" s="965"/>
      <c r="Q804" s="965"/>
      <c r="R804" s="965"/>
      <c r="S804" s="965"/>
      <c r="T804" s="965"/>
      <c r="U804" s="965"/>
      <c r="V804" s="965"/>
      <c r="W804" s="965"/>
      <c r="X804" s="965"/>
      <c r="Y804" s="965"/>
      <c r="Z804" s="965"/>
    </row>
    <row r="805">
      <c r="A805" s="965"/>
      <c r="B805" s="965"/>
      <c r="C805" s="965"/>
      <c r="D805" s="965"/>
      <c r="E805" s="965"/>
      <c r="F805" s="965"/>
      <c r="G805" s="965"/>
      <c r="H805" s="965"/>
      <c r="I805" s="965"/>
      <c r="J805" s="965"/>
      <c r="K805" s="965"/>
      <c r="L805" s="965"/>
      <c r="M805" s="965"/>
      <c r="N805" s="965"/>
      <c r="O805" s="965"/>
      <c r="P805" s="965"/>
      <c r="Q805" s="965"/>
      <c r="R805" s="965"/>
      <c r="S805" s="965"/>
      <c r="T805" s="965"/>
      <c r="U805" s="965"/>
      <c r="V805" s="965"/>
      <c r="W805" s="965"/>
      <c r="X805" s="965"/>
      <c r="Y805" s="965"/>
      <c r="Z805" s="965"/>
    </row>
    <row r="806">
      <c r="A806" s="965"/>
      <c r="B806" s="965"/>
      <c r="C806" s="965"/>
      <c r="D806" s="965"/>
      <c r="E806" s="965"/>
      <c r="F806" s="965"/>
      <c r="G806" s="965"/>
      <c r="H806" s="965"/>
      <c r="I806" s="965"/>
      <c r="J806" s="965"/>
      <c r="K806" s="965"/>
      <c r="L806" s="965"/>
      <c r="M806" s="965"/>
      <c r="N806" s="965"/>
      <c r="O806" s="965"/>
      <c r="P806" s="965"/>
      <c r="Q806" s="965"/>
      <c r="R806" s="965"/>
      <c r="S806" s="965"/>
      <c r="T806" s="965"/>
      <c r="U806" s="965"/>
      <c r="V806" s="965"/>
      <c r="W806" s="965"/>
      <c r="X806" s="965"/>
      <c r="Y806" s="965"/>
      <c r="Z806" s="965"/>
    </row>
    <row r="807">
      <c r="A807" s="965"/>
      <c r="B807" s="965"/>
      <c r="C807" s="965"/>
      <c r="D807" s="965"/>
      <c r="E807" s="965"/>
      <c r="F807" s="965"/>
      <c r="G807" s="965"/>
      <c r="H807" s="965"/>
      <c r="I807" s="965"/>
      <c r="J807" s="965"/>
      <c r="K807" s="965"/>
      <c r="L807" s="965"/>
      <c r="M807" s="965"/>
      <c r="N807" s="965"/>
      <c r="O807" s="965"/>
      <c r="P807" s="965"/>
      <c r="Q807" s="965"/>
      <c r="R807" s="965"/>
      <c r="S807" s="965"/>
      <c r="T807" s="965"/>
      <c r="U807" s="965"/>
      <c r="V807" s="965"/>
      <c r="W807" s="965"/>
      <c r="X807" s="965"/>
      <c r="Y807" s="965"/>
      <c r="Z807" s="965"/>
    </row>
    <row r="808">
      <c r="A808" s="965"/>
      <c r="B808" s="965"/>
      <c r="C808" s="965"/>
      <c r="D808" s="965"/>
      <c r="E808" s="965"/>
      <c r="F808" s="965"/>
      <c r="G808" s="965"/>
      <c r="H808" s="965"/>
      <c r="I808" s="965"/>
      <c r="J808" s="965"/>
      <c r="K808" s="965"/>
      <c r="L808" s="965"/>
      <c r="M808" s="965"/>
      <c r="N808" s="965"/>
      <c r="O808" s="965"/>
      <c r="P808" s="965"/>
      <c r="Q808" s="965"/>
      <c r="R808" s="965"/>
      <c r="S808" s="965"/>
      <c r="T808" s="965"/>
      <c r="U808" s="965"/>
      <c r="V808" s="965"/>
      <c r="W808" s="965"/>
      <c r="X808" s="965"/>
      <c r="Y808" s="965"/>
      <c r="Z808" s="965"/>
    </row>
    <row r="809">
      <c r="A809" s="965"/>
      <c r="B809" s="965"/>
      <c r="C809" s="965"/>
      <c r="D809" s="965"/>
      <c r="E809" s="965"/>
      <c r="F809" s="965"/>
      <c r="G809" s="965"/>
      <c r="H809" s="965"/>
      <c r="I809" s="965"/>
      <c r="J809" s="965"/>
      <c r="K809" s="965"/>
      <c r="L809" s="965"/>
      <c r="M809" s="965"/>
      <c r="N809" s="965"/>
      <c r="O809" s="965"/>
      <c r="P809" s="965"/>
      <c r="Q809" s="965"/>
      <c r="R809" s="965"/>
      <c r="S809" s="965"/>
      <c r="T809" s="965"/>
      <c r="U809" s="965"/>
      <c r="V809" s="965"/>
      <c r="W809" s="965"/>
      <c r="X809" s="965"/>
      <c r="Y809" s="965"/>
      <c r="Z809" s="965"/>
    </row>
    <row r="810">
      <c r="A810" s="965"/>
      <c r="B810" s="965"/>
      <c r="C810" s="965"/>
      <c r="D810" s="965"/>
      <c r="E810" s="965"/>
      <c r="F810" s="965"/>
      <c r="G810" s="965"/>
      <c r="H810" s="965"/>
      <c r="I810" s="965"/>
      <c r="J810" s="965"/>
      <c r="K810" s="965"/>
      <c r="L810" s="965"/>
      <c r="M810" s="965"/>
      <c r="N810" s="965"/>
      <c r="O810" s="965"/>
      <c r="P810" s="965"/>
      <c r="Q810" s="965"/>
      <c r="R810" s="965"/>
      <c r="S810" s="965"/>
      <c r="T810" s="965"/>
      <c r="U810" s="965"/>
      <c r="V810" s="965"/>
      <c r="W810" s="965"/>
      <c r="X810" s="965"/>
      <c r="Y810" s="965"/>
      <c r="Z810" s="965"/>
    </row>
    <row r="811">
      <c r="A811" s="965"/>
      <c r="B811" s="965"/>
      <c r="C811" s="965"/>
      <c r="D811" s="965"/>
      <c r="E811" s="965"/>
      <c r="F811" s="965"/>
      <c r="G811" s="965"/>
      <c r="H811" s="965"/>
      <c r="I811" s="965"/>
      <c r="J811" s="965"/>
      <c r="K811" s="965"/>
      <c r="L811" s="965"/>
      <c r="M811" s="965"/>
      <c r="N811" s="965"/>
      <c r="O811" s="965"/>
      <c r="P811" s="965"/>
      <c r="Q811" s="965"/>
      <c r="R811" s="965"/>
      <c r="S811" s="965"/>
      <c r="T811" s="965"/>
      <c r="U811" s="965"/>
      <c r="V811" s="965"/>
      <c r="W811" s="965"/>
      <c r="X811" s="965"/>
      <c r="Y811" s="965"/>
      <c r="Z811" s="965"/>
    </row>
    <row r="812">
      <c r="A812" s="965"/>
      <c r="B812" s="965"/>
      <c r="C812" s="965"/>
      <c r="D812" s="965"/>
      <c r="E812" s="965"/>
      <c r="F812" s="965"/>
      <c r="G812" s="965"/>
      <c r="H812" s="965"/>
      <c r="I812" s="965"/>
      <c r="J812" s="965"/>
      <c r="K812" s="965"/>
      <c r="L812" s="965"/>
      <c r="M812" s="965"/>
      <c r="N812" s="965"/>
      <c r="O812" s="965"/>
      <c r="P812" s="965"/>
      <c r="Q812" s="965"/>
      <c r="R812" s="965"/>
      <c r="S812" s="965"/>
      <c r="T812" s="965"/>
      <c r="U812" s="965"/>
      <c r="V812" s="965"/>
      <c r="W812" s="965"/>
      <c r="X812" s="965"/>
      <c r="Y812" s="965"/>
      <c r="Z812" s="965"/>
    </row>
    <row r="813">
      <c r="A813" s="965"/>
      <c r="B813" s="965"/>
      <c r="C813" s="965"/>
      <c r="D813" s="965"/>
      <c r="E813" s="965"/>
      <c r="F813" s="965"/>
      <c r="G813" s="965"/>
      <c r="H813" s="965"/>
      <c r="I813" s="965"/>
      <c r="J813" s="965"/>
      <c r="K813" s="965"/>
      <c r="L813" s="965"/>
      <c r="M813" s="965"/>
      <c r="N813" s="965"/>
      <c r="O813" s="965"/>
      <c r="P813" s="965"/>
      <c r="Q813" s="965"/>
      <c r="R813" s="965"/>
      <c r="S813" s="965"/>
      <c r="T813" s="965"/>
      <c r="U813" s="965"/>
      <c r="V813" s="965"/>
      <c r="W813" s="965"/>
      <c r="X813" s="965"/>
      <c r="Y813" s="965"/>
      <c r="Z813" s="965"/>
    </row>
    <row r="814">
      <c r="A814" s="965"/>
      <c r="B814" s="965"/>
      <c r="C814" s="965"/>
      <c r="D814" s="965"/>
      <c r="E814" s="965"/>
      <c r="F814" s="965"/>
      <c r="G814" s="965"/>
      <c r="H814" s="965"/>
      <c r="I814" s="965"/>
      <c r="J814" s="965"/>
      <c r="K814" s="965"/>
      <c r="L814" s="965"/>
      <c r="M814" s="965"/>
      <c r="N814" s="965"/>
      <c r="O814" s="965"/>
      <c r="P814" s="965"/>
      <c r="Q814" s="965"/>
      <c r="R814" s="965"/>
      <c r="S814" s="965"/>
      <c r="T814" s="965"/>
      <c r="U814" s="965"/>
      <c r="V814" s="965"/>
      <c r="W814" s="965"/>
      <c r="X814" s="965"/>
      <c r="Y814" s="965"/>
      <c r="Z814" s="965"/>
    </row>
    <row r="815">
      <c r="A815" s="965"/>
      <c r="B815" s="965"/>
      <c r="C815" s="965"/>
      <c r="D815" s="965"/>
      <c r="E815" s="965"/>
      <c r="F815" s="965"/>
      <c r="G815" s="965"/>
      <c r="H815" s="965"/>
      <c r="I815" s="965"/>
      <c r="J815" s="965"/>
      <c r="K815" s="965"/>
      <c r="L815" s="965"/>
      <c r="M815" s="965"/>
      <c r="N815" s="965"/>
      <c r="O815" s="965"/>
      <c r="P815" s="965"/>
      <c r="Q815" s="965"/>
      <c r="R815" s="965"/>
      <c r="S815" s="965"/>
      <c r="T815" s="965"/>
      <c r="U815" s="965"/>
      <c r="V815" s="965"/>
      <c r="W815" s="965"/>
      <c r="X815" s="965"/>
      <c r="Y815" s="965"/>
      <c r="Z815" s="965"/>
    </row>
    <row r="816">
      <c r="A816" s="965"/>
      <c r="B816" s="965"/>
      <c r="C816" s="965"/>
      <c r="D816" s="965"/>
      <c r="E816" s="965"/>
      <c r="F816" s="965"/>
      <c r="G816" s="965"/>
      <c r="H816" s="965"/>
      <c r="I816" s="965"/>
      <c r="J816" s="965"/>
      <c r="K816" s="965"/>
      <c r="L816" s="965"/>
      <c r="M816" s="965"/>
      <c r="N816" s="965"/>
      <c r="O816" s="965"/>
      <c r="P816" s="965"/>
      <c r="Q816" s="965"/>
      <c r="R816" s="965"/>
      <c r="S816" s="965"/>
      <c r="T816" s="965"/>
      <c r="U816" s="965"/>
      <c r="V816" s="965"/>
      <c r="W816" s="965"/>
      <c r="X816" s="965"/>
      <c r="Y816" s="965"/>
      <c r="Z816" s="965"/>
    </row>
    <row r="817">
      <c r="A817" s="965"/>
      <c r="B817" s="965"/>
      <c r="C817" s="965"/>
      <c r="D817" s="965"/>
      <c r="E817" s="965"/>
      <c r="F817" s="965"/>
      <c r="G817" s="965"/>
      <c r="H817" s="965"/>
      <c r="I817" s="965"/>
      <c r="J817" s="965"/>
      <c r="K817" s="965"/>
      <c r="L817" s="965"/>
      <c r="M817" s="965"/>
      <c r="N817" s="965"/>
      <c r="O817" s="965"/>
      <c r="P817" s="965"/>
      <c r="Q817" s="965"/>
      <c r="R817" s="965"/>
      <c r="S817" s="965"/>
      <c r="T817" s="965"/>
      <c r="U817" s="965"/>
      <c r="V817" s="965"/>
      <c r="W817" s="965"/>
      <c r="X817" s="965"/>
      <c r="Y817" s="965"/>
      <c r="Z817" s="965"/>
    </row>
    <row r="818">
      <c r="A818" s="965"/>
      <c r="B818" s="965"/>
      <c r="C818" s="965"/>
      <c r="D818" s="965"/>
      <c r="E818" s="965"/>
      <c r="F818" s="965"/>
      <c r="G818" s="965"/>
      <c r="H818" s="965"/>
      <c r="I818" s="965"/>
      <c r="J818" s="965"/>
      <c r="K818" s="965"/>
      <c r="L818" s="965"/>
      <c r="M818" s="965"/>
      <c r="N818" s="965"/>
      <c r="O818" s="965"/>
      <c r="P818" s="965"/>
      <c r="Q818" s="965"/>
      <c r="R818" s="965"/>
      <c r="S818" s="965"/>
      <c r="T818" s="965"/>
      <c r="U818" s="965"/>
      <c r="V818" s="965"/>
      <c r="W818" s="965"/>
      <c r="X818" s="965"/>
      <c r="Y818" s="965"/>
      <c r="Z818" s="965"/>
    </row>
    <row r="819">
      <c r="A819" s="965"/>
      <c r="B819" s="965"/>
      <c r="C819" s="965"/>
      <c r="D819" s="965"/>
      <c r="E819" s="965"/>
      <c r="F819" s="965"/>
      <c r="G819" s="965"/>
      <c r="H819" s="965"/>
      <c r="I819" s="965"/>
      <c r="J819" s="965"/>
      <c r="K819" s="965"/>
      <c r="L819" s="965"/>
      <c r="M819" s="965"/>
      <c r="N819" s="965"/>
      <c r="O819" s="965"/>
      <c r="P819" s="965"/>
      <c r="Q819" s="965"/>
      <c r="R819" s="965"/>
      <c r="S819" s="965"/>
      <c r="T819" s="965"/>
      <c r="U819" s="965"/>
      <c r="V819" s="965"/>
      <c r="W819" s="965"/>
      <c r="X819" s="965"/>
      <c r="Y819" s="965"/>
      <c r="Z819" s="965"/>
    </row>
    <row r="820">
      <c r="A820" s="965"/>
      <c r="B820" s="965"/>
      <c r="C820" s="965"/>
      <c r="D820" s="965"/>
      <c r="E820" s="965"/>
      <c r="F820" s="965"/>
      <c r="G820" s="965"/>
      <c r="H820" s="965"/>
      <c r="I820" s="965"/>
      <c r="J820" s="965"/>
      <c r="K820" s="965"/>
      <c r="L820" s="965"/>
      <c r="M820" s="965"/>
      <c r="N820" s="965"/>
      <c r="O820" s="965"/>
      <c r="P820" s="965"/>
      <c r="Q820" s="965"/>
      <c r="R820" s="965"/>
      <c r="S820" s="965"/>
      <c r="T820" s="965"/>
      <c r="U820" s="965"/>
      <c r="V820" s="965"/>
      <c r="W820" s="965"/>
      <c r="X820" s="965"/>
      <c r="Y820" s="965"/>
      <c r="Z820" s="965"/>
    </row>
    <row r="821">
      <c r="A821" s="965"/>
      <c r="B821" s="965"/>
      <c r="C821" s="965"/>
      <c r="D821" s="965"/>
      <c r="E821" s="965"/>
      <c r="F821" s="965"/>
      <c r="G821" s="965"/>
      <c r="H821" s="965"/>
      <c r="I821" s="965"/>
      <c r="J821" s="965"/>
      <c r="K821" s="965"/>
      <c r="L821" s="965"/>
      <c r="M821" s="965"/>
      <c r="N821" s="965"/>
      <c r="O821" s="965"/>
      <c r="P821" s="965"/>
      <c r="Q821" s="965"/>
      <c r="R821" s="965"/>
      <c r="S821" s="965"/>
      <c r="T821" s="965"/>
      <c r="U821" s="965"/>
      <c r="V821" s="965"/>
      <c r="W821" s="965"/>
      <c r="X821" s="965"/>
      <c r="Y821" s="965"/>
      <c r="Z821" s="965"/>
    </row>
    <row r="822">
      <c r="A822" s="965"/>
      <c r="B822" s="965"/>
      <c r="C822" s="965"/>
      <c r="D822" s="965"/>
      <c r="E822" s="965"/>
      <c r="F822" s="965"/>
      <c r="G822" s="965"/>
      <c r="H822" s="965"/>
      <c r="I822" s="965"/>
      <c r="J822" s="965"/>
      <c r="K822" s="965"/>
      <c r="L822" s="965"/>
      <c r="M822" s="965"/>
      <c r="N822" s="965"/>
      <c r="O822" s="965"/>
      <c r="P822" s="965"/>
      <c r="Q822" s="965"/>
      <c r="R822" s="965"/>
      <c r="S822" s="965"/>
      <c r="T822" s="965"/>
      <c r="U822" s="965"/>
      <c r="V822" s="965"/>
      <c r="W822" s="965"/>
      <c r="X822" s="965"/>
      <c r="Y822" s="965"/>
      <c r="Z822" s="965"/>
    </row>
    <row r="823">
      <c r="A823" s="965"/>
      <c r="B823" s="965"/>
      <c r="C823" s="965"/>
      <c r="D823" s="965"/>
      <c r="E823" s="965"/>
      <c r="F823" s="965"/>
      <c r="G823" s="965"/>
      <c r="H823" s="965"/>
      <c r="I823" s="965"/>
      <c r="J823" s="965"/>
      <c r="K823" s="965"/>
      <c r="L823" s="965"/>
      <c r="M823" s="965"/>
      <c r="N823" s="965"/>
      <c r="O823" s="965"/>
      <c r="P823" s="965"/>
      <c r="Q823" s="965"/>
      <c r="R823" s="965"/>
      <c r="S823" s="965"/>
      <c r="T823" s="965"/>
      <c r="U823" s="965"/>
      <c r="V823" s="965"/>
      <c r="W823" s="965"/>
      <c r="X823" s="965"/>
      <c r="Y823" s="965"/>
      <c r="Z823" s="965"/>
    </row>
    <row r="824">
      <c r="A824" s="965"/>
      <c r="B824" s="965"/>
      <c r="C824" s="965"/>
      <c r="D824" s="965"/>
      <c r="E824" s="965"/>
      <c r="F824" s="965"/>
      <c r="G824" s="965"/>
      <c r="H824" s="965"/>
      <c r="I824" s="965"/>
      <c r="J824" s="965"/>
      <c r="K824" s="965"/>
      <c r="L824" s="965"/>
      <c r="M824" s="965"/>
      <c r="N824" s="965"/>
      <c r="O824" s="965"/>
      <c r="P824" s="965"/>
      <c r="Q824" s="965"/>
      <c r="R824" s="965"/>
      <c r="S824" s="965"/>
      <c r="T824" s="965"/>
      <c r="U824" s="965"/>
      <c r="V824" s="965"/>
      <c r="W824" s="965"/>
      <c r="X824" s="965"/>
      <c r="Y824" s="965"/>
      <c r="Z824" s="965"/>
    </row>
    <row r="825">
      <c r="A825" s="965"/>
      <c r="B825" s="965"/>
      <c r="C825" s="965"/>
      <c r="D825" s="965"/>
      <c r="E825" s="965"/>
      <c r="F825" s="965"/>
      <c r="G825" s="965"/>
      <c r="H825" s="965"/>
      <c r="I825" s="965"/>
      <c r="J825" s="965"/>
      <c r="K825" s="965"/>
      <c r="L825" s="965"/>
      <c r="M825" s="965"/>
      <c r="N825" s="965"/>
      <c r="O825" s="965"/>
      <c r="P825" s="965"/>
      <c r="Q825" s="965"/>
      <c r="R825" s="965"/>
      <c r="S825" s="965"/>
      <c r="T825" s="965"/>
      <c r="U825" s="965"/>
      <c r="V825" s="965"/>
      <c r="W825" s="965"/>
      <c r="X825" s="965"/>
      <c r="Y825" s="965"/>
      <c r="Z825" s="965"/>
    </row>
    <row r="826">
      <c r="A826" s="965"/>
      <c r="B826" s="965"/>
      <c r="C826" s="965"/>
      <c r="D826" s="965"/>
      <c r="E826" s="965"/>
      <c r="F826" s="965"/>
      <c r="G826" s="965"/>
      <c r="H826" s="965"/>
      <c r="I826" s="965"/>
      <c r="J826" s="965"/>
      <c r="K826" s="965"/>
      <c r="L826" s="965"/>
      <c r="M826" s="965"/>
      <c r="N826" s="965"/>
      <c r="O826" s="965"/>
      <c r="P826" s="965"/>
      <c r="Q826" s="965"/>
      <c r="R826" s="965"/>
      <c r="S826" s="965"/>
      <c r="T826" s="965"/>
      <c r="U826" s="965"/>
      <c r="V826" s="965"/>
      <c r="W826" s="965"/>
      <c r="X826" s="965"/>
      <c r="Y826" s="965"/>
      <c r="Z826" s="965"/>
    </row>
    <row r="827">
      <c r="A827" s="965"/>
      <c r="B827" s="965"/>
      <c r="C827" s="965"/>
      <c r="D827" s="965"/>
      <c r="E827" s="965"/>
      <c r="F827" s="965"/>
      <c r="G827" s="965"/>
      <c r="H827" s="965"/>
      <c r="I827" s="965"/>
      <c r="J827" s="965"/>
      <c r="K827" s="965"/>
      <c r="L827" s="965"/>
      <c r="M827" s="965"/>
      <c r="N827" s="965"/>
      <c r="O827" s="965"/>
      <c r="P827" s="965"/>
      <c r="Q827" s="965"/>
      <c r="R827" s="965"/>
      <c r="S827" s="965"/>
      <c r="T827" s="965"/>
      <c r="U827" s="965"/>
      <c r="V827" s="965"/>
      <c r="W827" s="965"/>
      <c r="X827" s="965"/>
      <c r="Y827" s="965"/>
      <c r="Z827" s="965"/>
    </row>
    <row r="828">
      <c r="A828" s="965"/>
      <c r="B828" s="965"/>
      <c r="C828" s="965"/>
      <c r="D828" s="965"/>
      <c r="E828" s="965"/>
      <c r="F828" s="965"/>
      <c r="G828" s="965"/>
      <c r="H828" s="965"/>
      <c r="I828" s="965"/>
      <c r="J828" s="965"/>
      <c r="K828" s="965"/>
      <c r="L828" s="965"/>
      <c r="M828" s="965"/>
      <c r="N828" s="965"/>
      <c r="O828" s="965"/>
      <c r="P828" s="965"/>
      <c r="Q828" s="965"/>
      <c r="R828" s="965"/>
      <c r="S828" s="965"/>
      <c r="T828" s="965"/>
      <c r="U828" s="965"/>
      <c r="V828" s="965"/>
      <c r="W828" s="965"/>
      <c r="X828" s="965"/>
      <c r="Y828" s="965"/>
      <c r="Z828" s="965"/>
    </row>
    <row r="829">
      <c r="A829" s="965"/>
      <c r="B829" s="965"/>
      <c r="C829" s="965"/>
      <c r="D829" s="965"/>
      <c r="E829" s="965"/>
      <c r="F829" s="965"/>
      <c r="G829" s="965"/>
      <c r="H829" s="965"/>
      <c r="I829" s="965"/>
      <c r="J829" s="965"/>
      <c r="K829" s="965"/>
      <c r="L829" s="965"/>
      <c r="M829" s="965"/>
      <c r="N829" s="965"/>
      <c r="O829" s="965"/>
      <c r="P829" s="965"/>
      <c r="Q829" s="965"/>
      <c r="R829" s="965"/>
      <c r="S829" s="965"/>
      <c r="T829" s="965"/>
      <c r="U829" s="965"/>
      <c r="V829" s="965"/>
      <c r="W829" s="965"/>
      <c r="X829" s="965"/>
      <c r="Y829" s="965"/>
      <c r="Z829" s="965"/>
    </row>
    <row r="830">
      <c r="A830" s="965"/>
      <c r="B830" s="965"/>
      <c r="C830" s="965"/>
      <c r="D830" s="965"/>
      <c r="E830" s="965"/>
      <c r="F830" s="965"/>
      <c r="G830" s="965"/>
      <c r="H830" s="965"/>
      <c r="I830" s="965"/>
      <c r="J830" s="965"/>
      <c r="K830" s="965"/>
      <c r="L830" s="965"/>
      <c r="M830" s="965"/>
      <c r="N830" s="965"/>
      <c r="O830" s="965"/>
      <c r="P830" s="965"/>
      <c r="Q830" s="965"/>
      <c r="R830" s="965"/>
      <c r="S830" s="965"/>
      <c r="T830" s="965"/>
      <c r="U830" s="965"/>
      <c r="V830" s="965"/>
      <c r="W830" s="965"/>
      <c r="X830" s="965"/>
      <c r="Y830" s="965"/>
      <c r="Z830" s="965"/>
    </row>
    <row r="831">
      <c r="A831" s="965"/>
      <c r="B831" s="965"/>
      <c r="C831" s="965"/>
      <c r="D831" s="965"/>
      <c r="E831" s="965"/>
      <c r="F831" s="965"/>
      <c r="G831" s="965"/>
      <c r="H831" s="965"/>
      <c r="I831" s="965"/>
      <c r="J831" s="965"/>
      <c r="K831" s="965"/>
      <c r="L831" s="965"/>
      <c r="M831" s="965"/>
      <c r="N831" s="965"/>
      <c r="O831" s="965"/>
      <c r="P831" s="965"/>
      <c r="Q831" s="965"/>
      <c r="R831" s="965"/>
      <c r="S831" s="965"/>
      <c r="T831" s="965"/>
      <c r="U831" s="965"/>
      <c r="V831" s="965"/>
      <c r="W831" s="965"/>
      <c r="X831" s="965"/>
      <c r="Y831" s="965"/>
      <c r="Z831" s="965"/>
    </row>
    <row r="832">
      <c r="A832" s="965"/>
      <c r="B832" s="965"/>
      <c r="C832" s="965"/>
      <c r="D832" s="965"/>
      <c r="E832" s="965"/>
      <c r="F832" s="965"/>
      <c r="G832" s="965"/>
      <c r="H832" s="965"/>
      <c r="I832" s="965"/>
      <c r="J832" s="965"/>
      <c r="K832" s="965"/>
      <c r="L832" s="965"/>
      <c r="M832" s="965"/>
      <c r="N832" s="965"/>
      <c r="O832" s="965"/>
      <c r="P832" s="965"/>
      <c r="Q832" s="965"/>
      <c r="R832" s="965"/>
      <c r="S832" s="965"/>
      <c r="T832" s="965"/>
      <c r="U832" s="965"/>
      <c r="V832" s="965"/>
      <c r="W832" s="965"/>
      <c r="X832" s="965"/>
      <c r="Y832" s="965"/>
      <c r="Z832" s="965"/>
    </row>
    <row r="833">
      <c r="A833" s="965"/>
      <c r="B833" s="965"/>
      <c r="C833" s="965"/>
      <c r="D833" s="965"/>
      <c r="E833" s="965"/>
      <c r="F833" s="965"/>
      <c r="G833" s="965"/>
      <c r="H833" s="965"/>
      <c r="I833" s="965"/>
      <c r="J833" s="965"/>
      <c r="K833" s="965"/>
      <c r="L833" s="965"/>
      <c r="M833" s="965"/>
      <c r="N833" s="965"/>
      <c r="O833" s="965"/>
      <c r="P833" s="965"/>
      <c r="Q833" s="965"/>
      <c r="R833" s="965"/>
      <c r="S833" s="965"/>
      <c r="T833" s="965"/>
      <c r="U833" s="965"/>
      <c r="V833" s="965"/>
      <c r="W833" s="965"/>
      <c r="X833" s="965"/>
      <c r="Y833" s="965"/>
      <c r="Z833" s="965"/>
    </row>
    <row r="834">
      <c r="A834" s="965"/>
      <c r="B834" s="965"/>
      <c r="C834" s="965"/>
      <c r="D834" s="965"/>
      <c r="E834" s="965"/>
      <c r="F834" s="965"/>
      <c r="G834" s="965"/>
      <c r="H834" s="965"/>
      <c r="I834" s="965"/>
      <c r="J834" s="965"/>
      <c r="K834" s="965"/>
      <c r="L834" s="965"/>
      <c r="M834" s="965"/>
      <c r="N834" s="965"/>
      <c r="O834" s="965"/>
      <c r="P834" s="965"/>
      <c r="Q834" s="965"/>
      <c r="R834" s="965"/>
      <c r="S834" s="965"/>
      <c r="T834" s="965"/>
      <c r="U834" s="965"/>
      <c r="V834" s="965"/>
      <c r="W834" s="965"/>
      <c r="X834" s="965"/>
      <c r="Y834" s="965"/>
      <c r="Z834" s="965"/>
    </row>
    <row r="835">
      <c r="A835" s="965"/>
      <c r="B835" s="965"/>
      <c r="C835" s="965"/>
      <c r="D835" s="965"/>
      <c r="E835" s="965"/>
      <c r="F835" s="965"/>
      <c r="G835" s="965"/>
      <c r="H835" s="965"/>
      <c r="I835" s="965"/>
      <c r="J835" s="965"/>
      <c r="K835" s="965"/>
      <c r="L835" s="965"/>
      <c r="M835" s="965"/>
      <c r="N835" s="965"/>
      <c r="O835" s="965"/>
      <c r="P835" s="965"/>
      <c r="Q835" s="965"/>
      <c r="R835" s="965"/>
      <c r="S835" s="965"/>
      <c r="T835" s="965"/>
      <c r="U835" s="965"/>
      <c r="V835" s="965"/>
      <c r="W835" s="965"/>
      <c r="X835" s="965"/>
      <c r="Y835" s="965"/>
      <c r="Z835" s="965"/>
    </row>
    <row r="836">
      <c r="A836" s="965"/>
      <c r="B836" s="965"/>
      <c r="C836" s="965"/>
      <c r="D836" s="965"/>
      <c r="E836" s="965"/>
      <c r="F836" s="965"/>
      <c r="G836" s="965"/>
      <c r="H836" s="965"/>
      <c r="I836" s="965"/>
      <c r="J836" s="965"/>
      <c r="K836" s="965"/>
      <c r="L836" s="965"/>
      <c r="M836" s="965"/>
      <c r="N836" s="965"/>
      <c r="O836" s="965"/>
      <c r="P836" s="965"/>
      <c r="Q836" s="965"/>
      <c r="R836" s="965"/>
      <c r="S836" s="965"/>
      <c r="T836" s="965"/>
      <c r="U836" s="965"/>
      <c r="V836" s="965"/>
      <c r="W836" s="965"/>
      <c r="X836" s="965"/>
      <c r="Y836" s="965"/>
      <c r="Z836" s="965"/>
    </row>
    <row r="837">
      <c r="A837" s="965"/>
      <c r="B837" s="965"/>
      <c r="C837" s="965"/>
      <c r="D837" s="965"/>
      <c r="E837" s="965"/>
      <c r="F837" s="965"/>
      <c r="G837" s="965"/>
      <c r="H837" s="965"/>
      <c r="I837" s="965"/>
      <c r="J837" s="965"/>
      <c r="K837" s="965"/>
      <c r="L837" s="965"/>
      <c r="M837" s="965"/>
      <c r="N837" s="965"/>
      <c r="O837" s="965"/>
      <c r="P837" s="965"/>
      <c r="Q837" s="965"/>
      <c r="R837" s="965"/>
      <c r="S837" s="965"/>
      <c r="T837" s="965"/>
      <c r="U837" s="965"/>
      <c r="V837" s="965"/>
      <c r="W837" s="965"/>
      <c r="X837" s="965"/>
      <c r="Y837" s="965"/>
      <c r="Z837" s="965"/>
    </row>
    <row r="838">
      <c r="A838" s="965"/>
      <c r="B838" s="965"/>
      <c r="C838" s="965"/>
      <c r="D838" s="965"/>
      <c r="E838" s="965"/>
      <c r="F838" s="965"/>
      <c r="G838" s="965"/>
      <c r="H838" s="965"/>
      <c r="I838" s="965"/>
      <c r="J838" s="965"/>
      <c r="K838" s="965"/>
      <c r="L838" s="965"/>
      <c r="M838" s="965"/>
      <c r="N838" s="965"/>
      <c r="O838" s="965"/>
      <c r="P838" s="965"/>
      <c r="Q838" s="965"/>
      <c r="R838" s="965"/>
      <c r="S838" s="965"/>
      <c r="T838" s="965"/>
      <c r="U838" s="965"/>
      <c r="V838" s="965"/>
      <c r="W838" s="965"/>
      <c r="X838" s="965"/>
      <c r="Y838" s="965"/>
      <c r="Z838" s="965"/>
    </row>
    <row r="839">
      <c r="A839" s="965"/>
      <c r="B839" s="965"/>
      <c r="C839" s="965"/>
      <c r="D839" s="965"/>
      <c r="E839" s="965"/>
      <c r="F839" s="965"/>
      <c r="G839" s="965"/>
      <c r="H839" s="965"/>
      <c r="I839" s="965"/>
      <c r="J839" s="965"/>
      <c r="K839" s="965"/>
      <c r="L839" s="965"/>
      <c r="M839" s="965"/>
      <c r="N839" s="965"/>
      <c r="O839" s="965"/>
      <c r="P839" s="965"/>
      <c r="Q839" s="965"/>
      <c r="R839" s="965"/>
      <c r="S839" s="965"/>
      <c r="T839" s="965"/>
      <c r="U839" s="965"/>
      <c r="V839" s="965"/>
      <c r="W839" s="965"/>
      <c r="X839" s="965"/>
      <c r="Y839" s="965"/>
      <c r="Z839" s="965"/>
    </row>
    <row r="840">
      <c r="A840" s="965"/>
      <c r="B840" s="965"/>
      <c r="C840" s="965"/>
      <c r="D840" s="965"/>
      <c r="E840" s="965"/>
      <c r="F840" s="965"/>
      <c r="G840" s="965"/>
      <c r="H840" s="965"/>
      <c r="I840" s="965"/>
      <c r="J840" s="965"/>
      <c r="K840" s="965"/>
      <c r="L840" s="965"/>
      <c r="M840" s="965"/>
      <c r="N840" s="965"/>
      <c r="O840" s="965"/>
      <c r="P840" s="965"/>
      <c r="Q840" s="965"/>
      <c r="R840" s="965"/>
      <c r="S840" s="965"/>
      <c r="T840" s="965"/>
      <c r="U840" s="965"/>
      <c r="V840" s="965"/>
      <c r="W840" s="965"/>
      <c r="X840" s="965"/>
      <c r="Y840" s="965"/>
      <c r="Z840" s="965"/>
    </row>
    <row r="841">
      <c r="A841" s="965"/>
      <c r="B841" s="965"/>
      <c r="C841" s="965"/>
      <c r="D841" s="965"/>
      <c r="E841" s="965"/>
      <c r="F841" s="965"/>
      <c r="G841" s="965"/>
      <c r="H841" s="965"/>
      <c r="I841" s="965"/>
      <c r="J841" s="965"/>
      <c r="K841" s="965"/>
      <c r="L841" s="965"/>
      <c r="M841" s="965"/>
      <c r="N841" s="965"/>
      <c r="O841" s="965"/>
      <c r="P841" s="965"/>
      <c r="Q841" s="965"/>
      <c r="R841" s="965"/>
      <c r="S841" s="965"/>
      <c r="T841" s="965"/>
      <c r="U841" s="965"/>
      <c r="V841" s="965"/>
      <c r="W841" s="965"/>
      <c r="X841" s="965"/>
      <c r="Y841" s="965"/>
      <c r="Z841" s="965"/>
    </row>
    <row r="842">
      <c r="A842" s="965"/>
      <c r="B842" s="965"/>
      <c r="C842" s="965"/>
      <c r="D842" s="965"/>
      <c r="E842" s="965"/>
      <c r="F842" s="965"/>
      <c r="G842" s="965"/>
      <c r="H842" s="965"/>
      <c r="I842" s="965"/>
      <c r="J842" s="965"/>
      <c r="K842" s="965"/>
      <c r="L842" s="965"/>
      <c r="M842" s="965"/>
      <c r="N842" s="965"/>
      <c r="O842" s="965"/>
      <c r="P842" s="965"/>
      <c r="Q842" s="965"/>
      <c r="R842" s="965"/>
      <c r="S842" s="965"/>
      <c r="T842" s="965"/>
      <c r="U842" s="965"/>
      <c r="V842" s="965"/>
      <c r="W842" s="965"/>
      <c r="X842" s="965"/>
      <c r="Y842" s="965"/>
      <c r="Z842" s="965"/>
    </row>
    <row r="843">
      <c r="A843" s="965"/>
      <c r="B843" s="965"/>
      <c r="C843" s="965"/>
      <c r="D843" s="965"/>
      <c r="E843" s="965"/>
      <c r="F843" s="965"/>
      <c r="G843" s="965"/>
      <c r="H843" s="965"/>
      <c r="I843" s="965"/>
      <c r="J843" s="965"/>
      <c r="K843" s="965"/>
      <c r="L843" s="965"/>
      <c r="M843" s="965"/>
      <c r="N843" s="965"/>
      <c r="O843" s="965"/>
      <c r="P843" s="965"/>
      <c r="Q843" s="965"/>
      <c r="R843" s="965"/>
      <c r="S843" s="965"/>
      <c r="T843" s="965"/>
      <c r="U843" s="965"/>
      <c r="V843" s="965"/>
      <c r="W843" s="965"/>
      <c r="X843" s="965"/>
      <c r="Y843" s="965"/>
      <c r="Z843" s="965"/>
    </row>
    <row r="844">
      <c r="A844" s="965"/>
      <c r="B844" s="965"/>
      <c r="C844" s="965"/>
      <c r="D844" s="965"/>
      <c r="E844" s="965"/>
      <c r="F844" s="965"/>
      <c r="G844" s="965"/>
      <c r="H844" s="965"/>
      <c r="I844" s="965"/>
      <c r="J844" s="965"/>
      <c r="K844" s="965"/>
      <c r="L844" s="965"/>
      <c r="M844" s="965"/>
      <c r="N844" s="965"/>
      <c r="O844" s="965"/>
      <c r="P844" s="965"/>
      <c r="Q844" s="965"/>
      <c r="R844" s="965"/>
      <c r="S844" s="965"/>
      <c r="T844" s="965"/>
      <c r="U844" s="965"/>
      <c r="V844" s="965"/>
      <c r="W844" s="965"/>
      <c r="X844" s="965"/>
      <c r="Y844" s="965"/>
      <c r="Z844" s="965"/>
    </row>
    <row r="845">
      <c r="A845" s="965"/>
      <c r="B845" s="965"/>
      <c r="C845" s="965"/>
      <c r="D845" s="965"/>
      <c r="E845" s="965"/>
      <c r="F845" s="965"/>
      <c r="G845" s="965"/>
      <c r="H845" s="965"/>
      <c r="I845" s="965"/>
      <c r="J845" s="965"/>
      <c r="K845" s="965"/>
      <c r="L845" s="965"/>
      <c r="M845" s="965"/>
      <c r="N845" s="965"/>
      <c r="O845" s="965"/>
      <c r="P845" s="965"/>
      <c r="Q845" s="965"/>
      <c r="R845" s="965"/>
      <c r="S845" s="965"/>
      <c r="T845" s="965"/>
      <c r="U845" s="965"/>
      <c r="V845" s="965"/>
      <c r="W845" s="965"/>
      <c r="X845" s="965"/>
      <c r="Y845" s="965"/>
      <c r="Z845" s="965"/>
    </row>
    <row r="846">
      <c r="A846" s="965"/>
      <c r="B846" s="965"/>
      <c r="C846" s="965"/>
      <c r="D846" s="965"/>
      <c r="E846" s="965"/>
      <c r="F846" s="965"/>
      <c r="G846" s="965"/>
      <c r="H846" s="965"/>
      <c r="I846" s="965"/>
      <c r="J846" s="965"/>
      <c r="K846" s="965"/>
      <c r="L846" s="965"/>
      <c r="M846" s="965"/>
      <c r="N846" s="965"/>
      <c r="O846" s="965"/>
      <c r="P846" s="965"/>
      <c r="Q846" s="965"/>
      <c r="R846" s="965"/>
      <c r="S846" s="965"/>
      <c r="T846" s="965"/>
      <c r="U846" s="965"/>
      <c r="V846" s="965"/>
      <c r="W846" s="965"/>
      <c r="X846" s="965"/>
      <c r="Y846" s="965"/>
      <c r="Z846" s="965"/>
    </row>
    <row r="847">
      <c r="A847" s="965"/>
      <c r="B847" s="965"/>
      <c r="C847" s="965"/>
      <c r="D847" s="965"/>
      <c r="E847" s="965"/>
      <c r="F847" s="965"/>
      <c r="G847" s="965"/>
      <c r="H847" s="965"/>
      <c r="I847" s="965"/>
      <c r="J847" s="965"/>
      <c r="K847" s="965"/>
      <c r="L847" s="965"/>
      <c r="M847" s="965"/>
      <c r="N847" s="965"/>
      <c r="O847" s="965"/>
      <c r="P847" s="965"/>
      <c r="Q847" s="965"/>
      <c r="R847" s="965"/>
      <c r="S847" s="965"/>
      <c r="T847" s="965"/>
      <c r="U847" s="965"/>
      <c r="V847" s="965"/>
      <c r="W847" s="965"/>
      <c r="X847" s="965"/>
      <c r="Y847" s="965"/>
      <c r="Z847" s="965"/>
    </row>
    <row r="848">
      <c r="A848" s="965"/>
      <c r="B848" s="965"/>
      <c r="C848" s="965"/>
      <c r="D848" s="965"/>
      <c r="E848" s="965"/>
      <c r="F848" s="965"/>
      <c r="G848" s="965"/>
      <c r="H848" s="965"/>
      <c r="I848" s="965"/>
      <c r="J848" s="965"/>
      <c r="K848" s="965"/>
      <c r="L848" s="965"/>
      <c r="M848" s="965"/>
      <c r="N848" s="965"/>
      <c r="O848" s="965"/>
      <c r="P848" s="965"/>
      <c r="Q848" s="965"/>
      <c r="R848" s="965"/>
      <c r="S848" s="965"/>
      <c r="T848" s="965"/>
      <c r="U848" s="965"/>
      <c r="V848" s="965"/>
      <c r="W848" s="965"/>
      <c r="X848" s="965"/>
      <c r="Y848" s="965"/>
      <c r="Z848" s="965"/>
    </row>
    <row r="849">
      <c r="A849" s="965"/>
      <c r="B849" s="965"/>
      <c r="C849" s="965"/>
      <c r="D849" s="965"/>
      <c r="E849" s="965"/>
      <c r="F849" s="965"/>
      <c r="G849" s="965"/>
      <c r="H849" s="965"/>
      <c r="I849" s="965"/>
      <c r="J849" s="965"/>
      <c r="K849" s="965"/>
      <c r="L849" s="965"/>
      <c r="M849" s="965"/>
      <c r="N849" s="965"/>
      <c r="O849" s="965"/>
      <c r="P849" s="965"/>
      <c r="Q849" s="965"/>
      <c r="R849" s="965"/>
      <c r="S849" s="965"/>
      <c r="T849" s="965"/>
      <c r="U849" s="965"/>
      <c r="V849" s="965"/>
      <c r="W849" s="965"/>
      <c r="X849" s="965"/>
      <c r="Y849" s="965"/>
      <c r="Z849" s="965"/>
    </row>
    <row r="850">
      <c r="A850" s="965"/>
      <c r="B850" s="965"/>
      <c r="C850" s="965"/>
      <c r="D850" s="965"/>
      <c r="E850" s="965"/>
      <c r="F850" s="965"/>
      <c r="G850" s="965"/>
      <c r="H850" s="965"/>
      <c r="I850" s="965"/>
      <c r="J850" s="965"/>
      <c r="K850" s="965"/>
      <c r="L850" s="965"/>
      <c r="M850" s="965"/>
      <c r="N850" s="965"/>
      <c r="O850" s="965"/>
      <c r="P850" s="965"/>
      <c r="Q850" s="965"/>
      <c r="R850" s="965"/>
      <c r="S850" s="965"/>
      <c r="T850" s="965"/>
      <c r="U850" s="965"/>
      <c r="V850" s="965"/>
      <c r="W850" s="965"/>
      <c r="X850" s="965"/>
      <c r="Y850" s="965"/>
      <c r="Z850" s="965"/>
    </row>
    <row r="851">
      <c r="A851" s="965"/>
      <c r="B851" s="965"/>
      <c r="C851" s="965"/>
      <c r="D851" s="965"/>
      <c r="E851" s="965"/>
      <c r="F851" s="965"/>
      <c r="G851" s="965"/>
      <c r="H851" s="965"/>
      <c r="I851" s="965"/>
      <c r="J851" s="965"/>
      <c r="K851" s="965"/>
      <c r="L851" s="965"/>
      <c r="M851" s="965"/>
      <c r="N851" s="965"/>
      <c r="O851" s="965"/>
      <c r="P851" s="965"/>
      <c r="Q851" s="965"/>
      <c r="R851" s="965"/>
      <c r="S851" s="965"/>
      <c r="T851" s="965"/>
      <c r="U851" s="965"/>
      <c r="V851" s="965"/>
      <c r="W851" s="965"/>
      <c r="X851" s="965"/>
      <c r="Y851" s="965"/>
      <c r="Z851" s="965"/>
    </row>
    <row r="852">
      <c r="A852" s="965"/>
      <c r="B852" s="965"/>
      <c r="C852" s="965"/>
      <c r="D852" s="965"/>
      <c r="E852" s="965"/>
      <c r="F852" s="965"/>
      <c r="G852" s="965"/>
      <c r="H852" s="965"/>
      <c r="I852" s="965"/>
      <c r="J852" s="965"/>
      <c r="K852" s="965"/>
      <c r="L852" s="965"/>
      <c r="M852" s="965"/>
      <c r="N852" s="965"/>
      <c r="O852" s="965"/>
      <c r="P852" s="965"/>
      <c r="Q852" s="965"/>
      <c r="R852" s="965"/>
      <c r="S852" s="965"/>
      <c r="T852" s="965"/>
      <c r="U852" s="965"/>
      <c r="V852" s="965"/>
      <c r="W852" s="965"/>
      <c r="X852" s="965"/>
      <c r="Y852" s="965"/>
      <c r="Z852" s="965"/>
    </row>
    <row r="853">
      <c r="A853" s="965"/>
      <c r="B853" s="965"/>
      <c r="C853" s="965"/>
      <c r="D853" s="965"/>
      <c r="E853" s="965"/>
      <c r="F853" s="965"/>
      <c r="G853" s="965"/>
      <c r="H853" s="965"/>
      <c r="I853" s="965"/>
      <c r="J853" s="965"/>
      <c r="K853" s="965"/>
      <c r="L853" s="965"/>
      <c r="M853" s="965"/>
      <c r="N853" s="965"/>
      <c r="O853" s="965"/>
      <c r="P853" s="965"/>
      <c r="Q853" s="965"/>
      <c r="R853" s="965"/>
      <c r="S853" s="965"/>
      <c r="T853" s="965"/>
      <c r="U853" s="965"/>
      <c r="V853" s="965"/>
      <c r="W853" s="965"/>
      <c r="X853" s="965"/>
      <c r="Y853" s="965"/>
      <c r="Z853" s="965"/>
    </row>
    <row r="854">
      <c r="A854" s="965"/>
      <c r="B854" s="965"/>
      <c r="C854" s="965"/>
      <c r="D854" s="965"/>
      <c r="E854" s="965"/>
      <c r="F854" s="965"/>
      <c r="G854" s="965"/>
      <c r="H854" s="965"/>
      <c r="I854" s="965"/>
      <c r="J854" s="965"/>
      <c r="K854" s="965"/>
      <c r="L854" s="965"/>
      <c r="M854" s="965"/>
      <c r="N854" s="965"/>
      <c r="O854" s="965"/>
      <c r="P854" s="965"/>
      <c r="Q854" s="965"/>
      <c r="R854" s="965"/>
      <c r="S854" s="965"/>
      <c r="T854" s="965"/>
      <c r="U854" s="965"/>
      <c r="V854" s="965"/>
      <c r="W854" s="965"/>
      <c r="X854" s="965"/>
      <c r="Y854" s="965"/>
      <c r="Z854" s="965"/>
    </row>
    <row r="855">
      <c r="A855" s="965"/>
      <c r="B855" s="965"/>
      <c r="C855" s="965"/>
      <c r="D855" s="965"/>
      <c r="E855" s="965"/>
      <c r="F855" s="965"/>
      <c r="G855" s="965"/>
      <c r="H855" s="965"/>
      <c r="I855" s="965"/>
      <c r="J855" s="965"/>
      <c r="K855" s="965"/>
      <c r="L855" s="965"/>
      <c r="M855" s="965"/>
      <c r="N855" s="965"/>
      <c r="O855" s="965"/>
      <c r="P855" s="965"/>
      <c r="Q855" s="965"/>
      <c r="R855" s="965"/>
      <c r="S855" s="965"/>
      <c r="T855" s="965"/>
      <c r="U855" s="965"/>
      <c r="V855" s="965"/>
      <c r="W855" s="965"/>
      <c r="X855" s="965"/>
      <c r="Y855" s="965"/>
      <c r="Z855" s="965"/>
    </row>
    <row r="856">
      <c r="A856" s="965"/>
      <c r="B856" s="965"/>
      <c r="C856" s="965"/>
      <c r="D856" s="965"/>
      <c r="E856" s="965"/>
      <c r="F856" s="965"/>
      <c r="G856" s="965"/>
      <c r="H856" s="965"/>
      <c r="I856" s="965"/>
      <c r="J856" s="965"/>
      <c r="K856" s="965"/>
      <c r="L856" s="965"/>
      <c r="M856" s="965"/>
      <c r="N856" s="965"/>
      <c r="O856" s="965"/>
      <c r="P856" s="965"/>
      <c r="Q856" s="965"/>
      <c r="R856" s="965"/>
      <c r="S856" s="965"/>
      <c r="T856" s="965"/>
      <c r="U856" s="965"/>
      <c r="V856" s="965"/>
      <c r="W856" s="965"/>
      <c r="X856" s="965"/>
      <c r="Y856" s="965"/>
      <c r="Z856" s="965"/>
    </row>
    <row r="857">
      <c r="A857" s="965"/>
      <c r="B857" s="965"/>
      <c r="C857" s="965"/>
      <c r="D857" s="965"/>
      <c r="E857" s="965"/>
      <c r="F857" s="965"/>
      <c r="G857" s="965"/>
      <c r="H857" s="965"/>
      <c r="I857" s="965"/>
      <c r="J857" s="965"/>
      <c r="K857" s="965"/>
      <c r="L857" s="965"/>
      <c r="M857" s="965"/>
      <c r="N857" s="965"/>
      <c r="O857" s="965"/>
      <c r="P857" s="965"/>
      <c r="Q857" s="965"/>
      <c r="R857" s="965"/>
      <c r="S857" s="965"/>
      <c r="T857" s="965"/>
      <c r="U857" s="965"/>
      <c r="V857" s="965"/>
      <c r="W857" s="965"/>
      <c r="X857" s="965"/>
      <c r="Y857" s="965"/>
      <c r="Z857" s="965"/>
    </row>
    <row r="858">
      <c r="A858" s="965"/>
      <c r="B858" s="965"/>
      <c r="C858" s="965"/>
      <c r="D858" s="965"/>
      <c r="E858" s="965"/>
      <c r="F858" s="965"/>
      <c r="G858" s="965"/>
      <c r="H858" s="965"/>
      <c r="I858" s="965"/>
      <c r="J858" s="965"/>
      <c r="K858" s="965"/>
      <c r="L858" s="965"/>
      <c r="M858" s="965"/>
      <c r="N858" s="965"/>
      <c r="O858" s="965"/>
      <c r="P858" s="965"/>
      <c r="Q858" s="965"/>
      <c r="R858" s="965"/>
      <c r="S858" s="965"/>
      <c r="T858" s="965"/>
      <c r="U858" s="965"/>
      <c r="V858" s="965"/>
      <c r="W858" s="965"/>
      <c r="X858" s="965"/>
      <c r="Y858" s="965"/>
      <c r="Z858" s="965"/>
    </row>
    <row r="859">
      <c r="A859" s="965"/>
      <c r="B859" s="965"/>
      <c r="C859" s="965"/>
      <c r="D859" s="965"/>
      <c r="E859" s="965"/>
      <c r="F859" s="965"/>
      <c r="G859" s="965"/>
      <c r="H859" s="965"/>
      <c r="I859" s="965"/>
      <c r="J859" s="965"/>
      <c r="K859" s="965"/>
      <c r="L859" s="965"/>
      <c r="M859" s="965"/>
      <c r="N859" s="965"/>
      <c r="O859" s="965"/>
      <c r="P859" s="965"/>
      <c r="Q859" s="965"/>
      <c r="R859" s="965"/>
      <c r="S859" s="965"/>
      <c r="T859" s="965"/>
      <c r="U859" s="965"/>
      <c r="V859" s="965"/>
      <c r="W859" s="965"/>
      <c r="X859" s="965"/>
      <c r="Y859" s="965"/>
      <c r="Z859" s="965"/>
    </row>
    <row r="860">
      <c r="A860" s="965"/>
      <c r="B860" s="965"/>
      <c r="C860" s="965"/>
      <c r="D860" s="965"/>
      <c r="E860" s="965"/>
      <c r="F860" s="965"/>
      <c r="G860" s="965"/>
      <c r="H860" s="965"/>
      <c r="I860" s="965"/>
      <c r="J860" s="965"/>
      <c r="K860" s="965"/>
      <c r="L860" s="965"/>
      <c r="M860" s="965"/>
      <c r="N860" s="965"/>
      <c r="O860" s="965"/>
      <c r="P860" s="965"/>
      <c r="Q860" s="965"/>
      <c r="R860" s="965"/>
      <c r="S860" s="965"/>
      <c r="T860" s="965"/>
      <c r="U860" s="965"/>
      <c r="V860" s="965"/>
      <c r="W860" s="965"/>
      <c r="X860" s="965"/>
      <c r="Y860" s="965"/>
      <c r="Z860" s="965"/>
    </row>
    <row r="861">
      <c r="A861" s="965"/>
      <c r="B861" s="965"/>
      <c r="C861" s="965"/>
      <c r="D861" s="965"/>
      <c r="E861" s="965"/>
      <c r="F861" s="965"/>
      <c r="G861" s="965"/>
      <c r="H861" s="965"/>
      <c r="I861" s="965"/>
      <c r="J861" s="965"/>
      <c r="K861" s="965"/>
      <c r="L861" s="965"/>
      <c r="M861" s="965"/>
      <c r="N861" s="965"/>
      <c r="O861" s="965"/>
      <c r="P861" s="965"/>
      <c r="Q861" s="965"/>
      <c r="R861" s="965"/>
      <c r="S861" s="965"/>
      <c r="T861" s="965"/>
      <c r="U861" s="965"/>
      <c r="V861" s="965"/>
      <c r="W861" s="965"/>
      <c r="X861" s="965"/>
      <c r="Y861" s="965"/>
      <c r="Z861" s="965"/>
    </row>
    <row r="862">
      <c r="A862" s="965"/>
      <c r="B862" s="965"/>
      <c r="C862" s="965"/>
      <c r="D862" s="965"/>
      <c r="E862" s="965"/>
      <c r="F862" s="965"/>
      <c r="G862" s="965"/>
      <c r="H862" s="965"/>
      <c r="I862" s="965"/>
      <c r="J862" s="965"/>
      <c r="K862" s="965"/>
      <c r="L862" s="965"/>
      <c r="M862" s="965"/>
      <c r="N862" s="965"/>
      <c r="O862" s="965"/>
      <c r="P862" s="965"/>
      <c r="Q862" s="965"/>
      <c r="R862" s="965"/>
      <c r="S862" s="965"/>
      <c r="T862" s="965"/>
      <c r="U862" s="965"/>
      <c r="V862" s="965"/>
      <c r="W862" s="965"/>
      <c r="X862" s="965"/>
      <c r="Y862" s="965"/>
      <c r="Z862" s="965"/>
    </row>
    <row r="863">
      <c r="A863" s="965"/>
      <c r="B863" s="965"/>
      <c r="C863" s="965"/>
      <c r="D863" s="965"/>
      <c r="E863" s="965"/>
      <c r="F863" s="965"/>
      <c r="G863" s="965"/>
      <c r="H863" s="965"/>
      <c r="I863" s="965"/>
      <c r="J863" s="965"/>
      <c r="K863" s="965"/>
      <c r="L863" s="965"/>
      <c r="M863" s="965"/>
      <c r="N863" s="965"/>
      <c r="O863" s="965"/>
      <c r="P863" s="965"/>
      <c r="Q863" s="965"/>
      <c r="R863" s="965"/>
      <c r="S863" s="965"/>
      <c r="T863" s="965"/>
      <c r="U863" s="965"/>
      <c r="V863" s="965"/>
      <c r="W863" s="965"/>
      <c r="X863" s="965"/>
      <c r="Y863" s="965"/>
      <c r="Z863" s="965"/>
    </row>
    <row r="864">
      <c r="A864" s="965"/>
      <c r="B864" s="965"/>
      <c r="C864" s="965"/>
      <c r="D864" s="965"/>
      <c r="E864" s="965"/>
      <c r="F864" s="965"/>
      <c r="G864" s="965"/>
      <c r="H864" s="965"/>
      <c r="I864" s="965"/>
      <c r="J864" s="965"/>
      <c r="K864" s="965"/>
      <c r="L864" s="965"/>
      <c r="M864" s="965"/>
      <c r="N864" s="965"/>
      <c r="O864" s="965"/>
      <c r="P864" s="965"/>
      <c r="Q864" s="965"/>
      <c r="R864" s="965"/>
      <c r="S864" s="965"/>
      <c r="T864" s="965"/>
      <c r="U864" s="965"/>
      <c r="V864" s="965"/>
      <c r="W864" s="965"/>
      <c r="X864" s="965"/>
      <c r="Y864" s="965"/>
      <c r="Z864" s="965"/>
    </row>
    <row r="865">
      <c r="A865" s="965"/>
      <c r="B865" s="965"/>
      <c r="C865" s="965"/>
      <c r="D865" s="965"/>
      <c r="E865" s="965"/>
      <c r="F865" s="965"/>
      <c r="G865" s="965"/>
      <c r="H865" s="965"/>
      <c r="I865" s="965"/>
      <c r="J865" s="965"/>
      <c r="K865" s="965"/>
      <c r="L865" s="965"/>
      <c r="M865" s="965"/>
      <c r="N865" s="965"/>
      <c r="O865" s="965"/>
      <c r="P865" s="965"/>
      <c r="Q865" s="965"/>
      <c r="R865" s="965"/>
      <c r="S865" s="965"/>
      <c r="T865" s="965"/>
      <c r="U865" s="965"/>
      <c r="V865" s="965"/>
      <c r="W865" s="965"/>
      <c r="X865" s="965"/>
      <c r="Y865" s="965"/>
      <c r="Z865" s="965"/>
    </row>
    <row r="866">
      <c r="A866" s="965"/>
      <c r="B866" s="965"/>
      <c r="C866" s="965"/>
      <c r="D866" s="965"/>
      <c r="E866" s="965"/>
      <c r="F866" s="965"/>
      <c r="G866" s="965"/>
      <c r="H866" s="965"/>
      <c r="I866" s="965"/>
      <c r="J866" s="965"/>
      <c r="K866" s="965"/>
      <c r="L866" s="965"/>
      <c r="M866" s="965"/>
      <c r="N866" s="965"/>
      <c r="O866" s="965"/>
      <c r="P866" s="965"/>
      <c r="Q866" s="965"/>
      <c r="R866" s="965"/>
      <c r="S866" s="965"/>
      <c r="T866" s="965"/>
      <c r="U866" s="965"/>
      <c r="V866" s="965"/>
      <c r="W866" s="965"/>
      <c r="X866" s="965"/>
      <c r="Y866" s="965"/>
      <c r="Z866" s="965"/>
    </row>
    <row r="867">
      <c r="A867" s="965"/>
      <c r="B867" s="965"/>
      <c r="C867" s="965"/>
      <c r="D867" s="965"/>
      <c r="E867" s="965"/>
      <c r="F867" s="965"/>
      <c r="G867" s="965"/>
      <c r="H867" s="965"/>
      <c r="I867" s="965"/>
      <c r="J867" s="965"/>
      <c r="K867" s="965"/>
      <c r="L867" s="965"/>
      <c r="M867" s="965"/>
      <c r="N867" s="965"/>
      <c r="O867" s="965"/>
      <c r="P867" s="965"/>
      <c r="Q867" s="965"/>
      <c r="R867" s="965"/>
      <c r="S867" s="965"/>
      <c r="T867" s="965"/>
      <c r="U867" s="965"/>
      <c r="V867" s="965"/>
      <c r="W867" s="965"/>
      <c r="X867" s="965"/>
      <c r="Y867" s="965"/>
      <c r="Z867" s="965"/>
    </row>
    <row r="868">
      <c r="A868" s="965"/>
      <c r="B868" s="965"/>
      <c r="C868" s="965"/>
      <c r="D868" s="965"/>
      <c r="E868" s="965"/>
      <c r="F868" s="965"/>
      <c r="G868" s="965"/>
      <c r="H868" s="965"/>
      <c r="I868" s="965"/>
      <c r="J868" s="965"/>
      <c r="K868" s="965"/>
      <c r="L868" s="965"/>
      <c r="M868" s="965"/>
      <c r="N868" s="965"/>
      <c r="O868" s="965"/>
      <c r="P868" s="965"/>
      <c r="Q868" s="965"/>
      <c r="R868" s="965"/>
      <c r="S868" s="965"/>
      <c r="T868" s="965"/>
      <c r="U868" s="965"/>
      <c r="V868" s="965"/>
      <c r="W868" s="965"/>
      <c r="X868" s="965"/>
      <c r="Y868" s="965"/>
      <c r="Z868" s="965"/>
    </row>
    <row r="869">
      <c r="A869" s="965"/>
      <c r="B869" s="965"/>
      <c r="C869" s="965"/>
      <c r="D869" s="965"/>
      <c r="E869" s="965"/>
      <c r="F869" s="965"/>
      <c r="G869" s="965"/>
      <c r="H869" s="965"/>
      <c r="I869" s="965"/>
      <c r="J869" s="965"/>
      <c r="K869" s="965"/>
      <c r="L869" s="965"/>
      <c r="M869" s="965"/>
      <c r="N869" s="965"/>
      <c r="O869" s="965"/>
      <c r="P869" s="965"/>
      <c r="Q869" s="965"/>
      <c r="R869" s="965"/>
      <c r="S869" s="965"/>
      <c r="T869" s="965"/>
      <c r="U869" s="965"/>
      <c r="V869" s="965"/>
      <c r="W869" s="965"/>
      <c r="X869" s="965"/>
      <c r="Y869" s="965"/>
      <c r="Z869" s="965"/>
    </row>
    <row r="870">
      <c r="A870" s="965"/>
      <c r="B870" s="965"/>
      <c r="C870" s="965"/>
      <c r="D870" s="965"/>
      <c r="E870" s="965"/>
      <c r="F870" s="965"/>
      <c r="G870" s="965"/>
      <c r="H870" s="965"/>
      <c r="I870" s="965"/>
      <c r="J870" s="965"/>
      <c r="K870" s="965"/>
      <c r="L870" s="965"/>
      <c r="M870" s="965"/>
      <c r="N870" s="965"/>
      <c r="O870" s="965"/>
      <c r="P870" s="965"/>
      <c r="Q870" s="965"/>
      <c r="R870" s="965"/>
      <c r="S870" s="965"/>
      <c r="T870" s="965"/>
      <c r="U870" s="965"/>
      <c r="V870" s="965"/>
      <c r="W870" s="965"/>
      <c r="X870" s="965"/>
      <c r="Y870" s="965"/>
      <c r="Z870" s="965"/>
    </row>
    <row r="871">
      <c r="A871" s="965"/>
      <c r="B871" s="965"/>
      <c r="C871" s="965"/>
      <c r="D871" s="965"/>
      <c r="E871" s="965"/>
      <c r="F871" s="965"/>
      <c r="G871" s="965"/>
      <c r="H871" s="965"/>
      <c r="I871" s="965"/>
      <c r="J871" s="965"/>
      <c r="K871" s="965"/>
      <c r="L871" s="965"/>
      <c r="M871" s="965"/>
      <c r="N871" s="965"/>
      <c r="O871" s="965"/>
      <c r="P871" s="965"/>
      <c r="Q871" s="965"/>
      <c r="R871" s="965"/>
      <c r="S871" s="965"/>
      <c r="T871" s="965"/>
      <c r="U871" s="965"/>
      <c r="V871" s="965"/>
      <c r="W871" s="965"/>
      <c r="X871" s="965"/>
      <c r="Y871" s="965"/>
      <c r="Z871" s="965"/>
    </row>
    <row r="872">
      <c r="A872" s="965"/>
      <c r="B872" s="965"/>
      <c r="C872" s="965"/>
      <c r="D872" s="965"/>
      <c r="E872" s="965"/>
      <c r="F872" s="965"/>
      <c r="G872" s="965"/>
      <c r="H872" s="965"/>
      <c r="I872" s="965"/>
      <c r="J872" s="965"/>
      <c r="K872" s="965"/>
      <c r="L872" s="965"/>
      <c r="M872" s="965"/>
      <c r="N872" s="965"/>
      <c r="O872" s="965"/>
      <c r="P872" s="965"/>
      <c r="Q872" s="965"/>
      <c r="R872" s="965"/>
      <c r="S872" s="965"/>
      <c r="T872" s="965"/>
      <c r="U872" s="965"/>
      <c r="V872" s="965"/>
      <c r="W872" s="965"/>
      <c r="X872" s="965"/>
      <c r="Y872" s="965"/>
      <c r="Z872" s="965"/>
    </row>
    <row r="873">
      <c r="A873" s="965"/>
      <c r="B873" s="965"/>
      <c r="C873" s="965"/>
      <c r="D873" s="965"/>
      <c r="E873" s="965"/>
      <c r="F873" s="965"/>
      <c r="G873" s="965"/>
      <c r="H873" s="965"/>
      <c r="I873" s="965"/>
      <c r="J873" s="965"/>
      <c r="K873" s="965"/>
      <c r="L873" s="965"/>
      <c r="M873" s="965"/>
      <c r="N873" s="965"/>
      <c r="O873" s="965"/>
      <c r="P873" s="965"/>
      <c r="Q873" s="965"/>
      <c r="R873" s="965"/>
      <c r="S873" s="965"/>
      <c r="T873" s="965"/>
      <c r="U873" s="965"/>
      <c r="V873" s="965"/>
      <c r="W873" s="965"/>
      <c r="X873" s="965"/>
      <c r="Y873" s="965"/>
      <c r="Z873" s="965"/>
    </row>
    <row r="874">
      <c r="A874" s="965"/>
      <c r="B874" s="965"/>
      <c r="C874" s="965"/>
      <c r="D874" s="965"/>
      <c r="E874" s="965"/>
      <c r="F874" s="965"/>
      <c r="G874" s="965"/>
      <c r="H874" s="965"/>
      <c r="I874" s="965"/>
      <c r="J874" s="965"/>
      <c r="K874" s="965"/>
      <c r="L874" s="965"/>
      <c r="M874" s="965"/>
      <c r="N874" s="965"/>
      <c r="O874" s="965"/>
      <c r="P874" s="965"/>
      <c r="Q874" s="965"/>
      <c r="R874" s="965"/>
      <c r="S874" s="965"/>
      <c r="T874" s="965"/>
      <c r="U874" s="965"/>
      <c r="V874" s="965"/>
      <c r="W874" s="965"/>
      <c r="X874" s="965"/>
      <c r="Y874" s="965"/>
      <c r="Z874" s="965"/>
    </row>
    <row r="875">
      <c r="A875" s="965"/>
      <c r="B875" s="965"/>
      <c r="C875" s="965"/>
      <c r="D875" s="965"/>
      <c r="E875" s="965"/>
      <c r="F875" s="965"/>
      <c r="G875" s="965"/>
      <c r="H875" s="965"/>
      <c r="I875" s="965"/>
      <c r="J875" s="965"/>
      <c r="K875" s="965"/>
      <c r="L875" s="965"/>
      <c r="M875" s="965"/>
      <c r="N875" s="965"/>
      <c r="O875" s="965"/>
      <c r="P875" s="965"/>
      <c r="Q875" s="965"/>
      <c r="R875" s="965"/>
      <c r="S875" s="965"/>
      <c r="T875" s="965"/>
      <c r="U875" s="965"/>
      <c r="V875" s="965"/>
      <c r="W875" s="965"/>
      <c r="X875" s="965"/>
      <c r="Y875" s="965"/>
      <c r="Z875" s="965"/>
    </row>
    <row r="876">
      <c r="A876" s="965"/>
      <c r="B876" s="965"/>
      <c r="C876" s="965"/>
      <c r="D876" s="965"/>
      <c r="E876" s="965"/>
      <c r="F876" s="965"/>
      <c r="G876" s="965"/>
      <c r="H876" s="965"/>
      <c r="I876" s="965"/>
      <c r="J876" s="965"/>
      <c r="K876" s="965"/>
      <c r="L876" s="965"/>
      <c r="M876" s="965"/>
      <c r="N876" s="965"/>
      <c r="O876" s="965"/>
      <c r="P876" s="965"/>
      <c r="Q876" s="965"/>
      <c r="R876" s="965"/>
      <c r="S876" s="965"/>
      <c r="T876" s="965"/>
      <c r="U876" s="965"/>
      <c r="V876" s="965"/>
      <c r="W876" s="965"/>
      <c r="X876" s="965"/>
      <c r="Y876" s="965"/>
      <c r="Z876" s="965"/>
    </row>
    <row r="877">
      <c r="A877" s="965"/>
      <c r="B877" s="965"/>
      <c r="C877" s="965"/>
      <c r="D877" s="965"/>
      <c r="E877" s="965"/>
      <c r="F877" s="965"/>
      <c r="G877" s="965"/>
      <c r="H877" s="965"/>
      <c r="I877" s="965"/>
      <c r="J877" s="965"/>
      <c r="K877" s="965"/>
      <c r="L877" s="965"/>
      <c r="M877" s="965"/>
      <c r="N877" s="965"/>
      <c r="O877" s="965"/>
      <c r="P877" s="965"/>
      <c r="Q877" s="965"/>
      <c r="R877" s="965"/>
      <c r="S877" s="965"/>
      <c r="T877" s="965"/>
      <c r="U877" s="965"/>
      <c r="V877" s="965"/>
      <c r="W877" s="965"/>
      <c r="X877" s="965"/>
      <c r="Y877" s="965"/>
      <c r="Z877" s="965"/>
    </row>
    <row r="878">
      <c r="A878" s="965"/>
      <c r="B878" s="965"/>
      <c r="C878" s="965"/>
      <c r="D878" s="965"/>
      <c r="E878" s="965"/>
      <c r="F878" s="965"/>
      <c r="G878" s="965"/>
      <c r="H878" s="965"/>
      <c r="I878" s="965"/>
      <c r="J878" s="965"/>
      <c r="K878" s="965"/>
      <c r="L878" s="965"/>
      <c r="M878" s="965"/>
      <c r="N878" s="965"/>
      <c r="O878" s="965"/>
      <c r="P878" s="965"/>
      <c r="Q878" s="965"/>
      <c r="R878" s="965"/>
      <c r="S878" s="965"/>
      <c r="T878" s="965"/>
      <c r="U878" s="965"/>
      <c r="V878" s="965"/>
      <c r="W878" s="965"/>
      <c r="X878" s="965"/>
      <c r="Y878" s="965"/>
      <c r="Z878" s="965"/>
    </row>
    <row r="879">
      <c r="A879" s="965"/>
      <c r="B879" s="965"/>
      <c r="C879" s="965"/>
      <c r="D879" s="965"/>
      <c r="E879" s="965"/>
      <c r="F879" s="965"/>
      <c r="G879" s="965"/>
      <c r="H879" s="965"/>
      <c r="I879" s="965"/>
      <c r="J879" s="965"/>
      <c r="K879" s="965"/>
      <c r="L879" s="965"/>
      <c r="M879" s="965"/>
      <c r="N879" s="965"/>
      <c r="O879" s="965"/>
      <c r="P879" s="965"/>
      <c r="Q879" s="965"/>
      <c r="R879" s="965"/>
      <c r="S879" s="965"/>
      <c r="T879" s="965"/>
      <c r="U879" s="965"/>
      <c r="V879" s="965"/>
      <c r="W879" s="965"/>
      <c r="X879" s="965"/>
      <c r="Y879" s="965"/>
      <c r="Z879" s="965"/>
    </row>
    <row r="880">
      <c r="A880" s="965"/>
      <c r="B880" s="965"/>
      <c r="C880" s="965"/>
      <c r="D880" s="965"/>
      <c r="E880" s="965"/>
      <c r="F880" s="965"/>
      <c r="G880" s="965"/>
      <c r="H880" s="965"/>
      <c r="I880" s="965"/>
      <c r="J880" s="965"/>
      <c r="K880" s="965"/>
      <c r="L880" s="965"/>
      <c r="M880" s="965"/>
      <c r="N880" s="965"/>
      <c r="O880" s="965"/>
      <c r="P880" s="965"/>
      <c r="Q880" s="965"/>
      <c r="R880" s="965"/>
      <c r="S880" s="965"/>
      <c r="T880" s="965"/>
      <c r="U880" s="965"/>
      <c r="V880" s="965"/>
      <c r="W880" s="965"/>
      <c r="X880" s="965"/>
      <c r="Y880" s="965"/>
      <c r="Z880" s="965"/>
    </row>
    <row r="881">
      <c r="A881" s="965"/>
      <c r="B881" s="965"/>
      <c r="C881" s="965"/>
      <c r="D881" s="965"/>
      <c r="E881" s="965"/>
      <c r="F881" s="965"/>
      <c r="G881" s="965"/>
      <c r="H881" s="965"/>
      <c r="I881" s="965"/>
      <c r="J881" s="965"/>
      <c r="K881" s="965"/>
      <c r="L881" s="965"/>
      <c r="M881" s="965"/>
      <c r="N881" s="965"/>
      <c r="O881" s="965"/>
      <c r="P881" s="965"/>
      <c r="Q881" s="965"/>
      <c r="R881" s="965"/>
      <c r="S881" s="965"/>
      <c r="T881" s="965"/>
      <c r="U881" s="965"/>
      <c r="V881" s="965"/>
      <c r="W881" s="965"/>
      <c r="X881" s="965"/>
      <c r="Y881" s="965"/>
      <c r="Z881" s="965"/>
    </row>
    <row r="882">
      <c r="A882" s="965"/>
      <c r="B882" s="965"/>
      <c r="C882" s="965"/>
      <c r="D882" s="965"/>
      <c r="E882" s="965"/>
      <c r="F882" s="965"/>
      <c r="G882" s="965"/>
      <c r="H882" s="965"/>
      <c r="I882" s="965"/>
      <c r="J882" s="965"/>
      <c r="K882" s="965"/>
      <c r="L882" s="965"/>
      <c r="M882" s="965"/>
      <c r="N882" s="965"/>
      <c r="O882" s="965"/>
      <c r="P882" s="965"/>
      <c r="Q882" s="965"/>
      <c r="R882" s="965"/>
      <c r="S882" s="965"/>
      <c r="T882" s="965"/>
      <c r="U882" s="965"/>
      <c r="V882" s="965"/>
      <c r="W882" s="965"/>
      <c r="X882" s="965"/>
      <c r="Y882" s="965"/>
      <c r="Z882" s="965"/>
    </row>
    <row r="883">
      <c r="A883" s="965"/>
      <c r="B883" s="965"/>
      <c r="C883" s="965"/>
      <c r="D883" s="965"/>
      <c r="E883" s="965"/>
      <c r="F883" s="965"/>
      <c r="G883" s="965"/>
      <c r="H883" s="965"/>
      <c r="I883" s="965"/>
      <c r="J883" s="965"/>
      <c r="K883" s="965"/>
      <c r="L883" s="965"/>
      <c r="M883" s="965"/>
      <c r="N883" s="965"/>
      <c r="O883" s="965"/>
      <c r="P883" s="965"/>
      <c r="Q883" s="965"/>
      <c r="R883" s="965"/>
      <c r="S883" s="965"/>
      <c r="T883" s="965"/>
      <c r="U883" s="965"/>
      <c r="V883" s="965"/>
      <c r="W883" s="965"/>
      <c r="X883" s="965"/>
      <c r="Y883" s="965"/>
      <c r="Z883" s="965"/>
    </row>
    <row r="884">
      <c r="A884" s="965"/>
      <c r="B884" s="965"/>
      <c r="C884" s="965"/>
      <c r="D884" s="965"/>
      <c r="E884" s="965"/>
      <c r="F884" s="965"/>
      <c r="G884" s="965"/>
      <c r="H884" s="965"/>
      <c r="I884" s="965"/>
      <c r="J884" s="965"/>
      <c r="K884" s="965"/>
      <c r="L884" s="965"/>
      <c r="M884" s="965"/>
      <c r="N884" s="965"/>
      <c r="O884" s="965"/>
      <c r="P884" s="965"/>
      <c r="Q884" s="965"/>
      <c r="R884" s="965"/>
      <c r="S884" s="965"/>
      <c r="T884" s="965"/>
      <c r="U884" s="965"/>
      <c r="V884" s="965"/>
      <c r="W884" s="965"/>
      <c r="X884" s="965"/>
      <c r="Y884" s="965"/>
      <c r="Z884" s="965"/>
    </row>
    <row r="885">
      <c r="A885" s="965"/>
      <c r="B885" s="965"/>
      <c r="C885" s="965"/>
      <c r="D885" s="965"/>
      <c r="E885" s="965"/>
      <c r="F885" s="965"/>
      <c r="G885" s="965"/>
      <c r="H885" s="965"/>
      <c r="I885" s="965"/>
      <c r="J885" s="965"/>
      <c r="K885" s="965"/>
      <c r="L885" s="965"/>
      <c r="M885" s="965"/>
      <c r="N885" s="965"/>
      <c r="O885" s="965"/>
      <c r="P885" s="965"/>
      <c r="Q885" s="965"/>
      <c r="R885" s="965"/>
      <c r="S885" s="965"/>
      <c r="T885" s="965"/>
      <c r="U885" s="965"/>
      <c r="V885" s="965"/>
      <c r="W885" s="965"/>
      <c r="X885" s="965"/>
      <c r="Y885" s="965"/>
      <c r="Z885" s="965"/>
    </row>
    <row r="886">
      <c r="A886" s="965"/>
      <c r="B886" s="965"/>
      <c r="C886" s="965"/>
      <c r="D886" s="965"/>
      <c r="E886" s="965"/>
      <c r="F886" s="965"/>
      <c r="G886" s="965"/>
      <c r="H886" s="965"/>
      <c r="I886" s="965"/>
      <c r="J886" s="965"/>
      <c r="K886" s="965"/>
      <c r="L886" s="965"/>
      <c r="M886" s="965"/>
      <c r="N886" s="965"/>
      <c r="O886" s="965"/>
      <c r="P886" s="965"/>
      <c r="Q886" s="965"/>
      <c r="R886" s="965"/>
      <c r="S886" s="965"/>
      <c r="T886" s="965"/>
      <c r="U886" s="965"/>
      <c r="V886" s="965"/>
      <c r="W886" s="965"/>
      <c r="X886" s="965"/>
      <c r="Y886" s="965"/>
      <c r="Z886" s="965"/>
    </row>
    <row r="887">
      <c r="A887" s="965"/>
      <c r="B887" s="965"/>
      <c r="C887" s="965"/>
      <c r="D887" s="965"/>
      <c r="E887" s="965"/>
      <c r="F887" s="965"/>
      <c r="G887" s="965"/>
      <c r="H887" s="965"/>
      <c r="I887" s="965"/>
      <c r="J887" s="965"/>
      <c r="K887" s="965"/>
      <c r="L887" s="965"/>
      <c r="M887" s="965"/>
      <c r="N887" s="965"/>
      <c r="O887" s="965"/>
      <c r="P887" s="965"/>
      <c r="Q887" s="965"/>
      <c r="R887" s="965"/>
      <c r="S887" s="965"/>
      <c r="T887" s="965"/>
      <c r="U887" s="965"/>
      <c r="V887" s="965"/>
      <c r="W887" s="965"/>
      <c r="X887" s="965"/>
      <c r="Y887" s="965"/>
      <c r="Z887" s="965"/>
    </row>
    <row r="888">
      <c r="A888" s="965"/>
      <c r="B888" s="965"/>
      <c r="C888" s="965"/>
      <c r="D888" s="965"/>
      <c r="E888" s="965"/>
      <c r="F888" s="965"/>
      <c r="G888" s="965"/>
      <c r="H888" s="965"/>
      <c r="I888" s="965"/>
      <c r="J888" s="965"/>
      <c r="K888" s="965"/>
      <c r="L888" s="965"/>
      <c r="M888" s="965"/>
      <c r="N888" s="965"/>
      <c r="O888" s="965"/>
      <c r="P888" s="965"/>
      <c r="Q888" s="965"/>
      <c r="R888" s="965"/>
      <c r="S888" s="965"/>
      <c r="T888" s="965"/>
      <c r="U888" s="965"/>
      <c r="V888" s="965"/>
      <c r="W888" s="965"/>
      <c r="X888" s="965"/>
      <c r="Y888" s="965"/>
      <c r="Z888" s="965"/>
    </row>
    <row r="889">
      <c r="A889" s="965"/>
      <c r="B889" s="965"/>
      <c r="C889" s="965"/>
      <c r="D889" s="965"/>
      <c r="E889" s="965"/>
      <c r="F889" s="965"/>
      <c r="G889" s="965"/>
      <c r="H889" s="965"/>
      <c r="I889" s="965"/>
      <c r="J889" s="965"/>
      <c r="K889" s="965"/>
      <c r="L889" s="965"/>
      <c r="M889" s="965"/>
      <c r="N889" s="965"/>
      <c r="O889" s="965"/>
      <c r="P889" s="965"/>
      <c r="Q889" s="965"/>
      <c r="R889" s="965"/>
      <c r="S889" s="965"/>
      <c r="T889" s="965"/>
      <c r="U889" s="965"/>
      <c r="V889" s="965"/>
      <c r="W889" s="965"/>
      <c r="X889" s="965"/>
      <c r="Y889" s="965"/>
      <c r="Z889" s="965"/>
    </row>
    <row r="890">
      <c r="A890" s="965"/>
      <c r="B890" s="965"/>
      <c r="C890" s="965"/>
      <c r="D890" s="965"/>
      <c r="E890" s="965"/>
      <c r="F890" s="965"/>
      <c r="G890" s="965"/>
      <c r="H890" s="965"/>
      <c r="I890" s="965"/>
      <c r="J890" s="965"/>
      <c r="K890" s="965"/>
      <c r="L890" s="965"/>
      <c r="M890" s="965"/>
      <c r="N890" s="965"/>
      <c r="O890" s="965"/>
      <c r="P890" s="965"/>
      <c r="Q890" s="965"/>
      <c r="R890" s="965"/>
      <c r="S890" s="965"/>
      <c r="T890" s="965"/>
      <c r="U890" s="965"/>
      <c r="V890" s="965"/>
      <c r="W890" s="965"/>
      <c r="X890" s="965"/>
      <c r="Y890" s="965"/>
      <c r="Z890" s="965"/>
    </row>
    <row r="891">
      <c r="A891" s="965"/>
      <c r="B891" s="965"/>
      <c r="C891" s="965"/>
      <c r="D891" s="965"/>
      <c r="E891" s="965"/>
      <c r="F891" s="965"/>
      <c r="G891" s="965"/>
      <c r="H891" s="965"/>
      <c r="I891" s="965"/>
      <c r="J891" s="965"/>
      <c r="K891" s="965"/>
      <c r="L891" s="965"/>
      <c r="M891" s="965"/>
      <c r="N891" s="965"/>
      <c r="O891" s="965"/>
      <c r="P891" s="965"/>
      <c r="Q891" s="965"/>
      <c r="R891" s="965"/>
      <c r="S891" s="965"/>
      <c r="T891" s="965"/>
      <c r="U891" s="965"/>
      <c r="V891" s="965"/>
      <c r="W891" s="965"/>
      <c r="X891" s="965"/>
      <c r="Y891" s="965"/>
      <c r="Z891" s="965"/>
    </row>
    <row r="892">
      <c r="A892" s="965"/>
      <c r="B892" s="965"/>
      <c r="C892" s="965"/>
      <c r="D892" s="965"/>
      <c r="E892" s="965"/>
      <c r="F892" s="965"/>
      <c r="G892" s="965"/>
      <c r="H892" s="965"/>
      <c r="I892" s="965"/>
      <c r="J892" s="965"/>
      <c r="K892" s="965"/>
      <c r="L892" s="965"/>
      <c r="M892" s="965"/>
      <c r="N892" s="965"/>
      <c r="O892" s="965"/>
      <c r="P892" s="965"/>
      <c r="Q892" s="965"/>
      <c r="R892" s="965"/>
      <c r="S892" s="965"/>
      <c r="T892" s="965"/>
      <c r="U892" s="965"/>
      <c r="V892" s="965"/>
      <c r="W892" s="965"/>
      <c r="X892" s="965"/>
      <c r="Y892" s="965"/>
      <c r="Z892" s="965"/>
    </row>
    <row r="893">
      <c r="A893" s="965"/>
      <c r="B893" s="965"/>
      <c r="C893" s="965"/>
      <c r="D893" s="965"/>
      <c r="E893" s="965"/>
      <c r="F893" s="965"/>
      <c r="G893" s="965"/>
      <c r="H893" s="965"/>
      <c r="I893" s="965"/>
      <c r="J893" s="965"/>
      <c r="K893" s="965"/>
      <c r="L893" s="965"/>
      <c r="M893" s="965"/>
      <c r="N893" s="965"/>
      <c r="O893" s="965"/>
      <c r="P893" s="965"/>
      <c r="Q893" s="965"/>
      <c r="R893" s="965"/>
      <c r="S893" s="965"/>
      <c r="T893" s="965"/>
      <c r="U893" s="965"/>
      <c r="V893" s="965"/>
      <c r="W893" s="965"/>
      <c r="X893" s="965"/>
      <c r="Y893" s="965"/>
      <c r="Z893" s="965"/>
    </row>
    <row r="894">
      <c r="A894" s="965"/>
      <c r="B894" s="965"/>
      <c r="C894" s="965"/>
      <c r="D894" s="965"/>
      <c r="E894" s="965"/>
      <c r="F894" s="965"/>
      <c r="G894" s="965"/>
      <c r="H894" s="965"/>
      <c r="I894" s="965"/>
      <c r="J894" s="965"/>
      <c r="K894" s="965"/>
      <c r="L894" s="965"/>
      <c r="M894" s="965"/>
      <c r="N894" s="965"/>
      <c r="O894" s="965"/>
      <c r="P894" s="965"/>
      <c r="Q894" s="965"/>
      <c r="R894" s="965"/>
      <c r="S894" s="965"/>
      <c r="T894" s="965"/>
      <c r="U894" s="965"/>
      <c r="V894" s="965"/>
      <c r="W894" s="965"/>
      <c r="X894" s="965"/>
      <c r="Y894" s="965"/>
      <c r="Z894" s="965"/>
    </row>
    <row r="895">
      <c r="A895" s="965"/>
      <c r="B895" s="965"/>
      <c r="C895" s="965"/>
      <c r="D895" s="965"/>
      <c r="E895" s="965"/>
      <c r="F895" s="965"/>
      <c r="G895" s="965"/>
      <c r="H895" s="965"/>
      <c r="I895" s="965"/>
      <c r="J895" s="965"/>
      <c r="K895" s="965"/>
      <c r="L895" s="965"/>
      <c r="M895" s="965"/>
      <c r="N895" s="965"/>
      <c r="O895" s="965"/>
      <c r="P895" s="965"/>
      <c r="Q895" s="965"/>
      <c r="R895" s="965"/>
      <c r="S895" s="965"/>
      <c r="T895" s="965"/>
      <c r="U895" s="965"/>
      <c r="V895" s="965"/>
      <c r="W895" s="965"/>
      <c r="X895" s="965"/>
      <c r="Y895" s="965"/>
      <c r="Z895" s="965"/>
    </row>
    <row r="896">
      <c r="A896" s="965"/>
      <c r="B896" s="965"/>
      <c r="C896" s="965"/>
      <c r="D896" s="965"/>
      <c r="E896" s="965"/>
      <c r="F896" s="965"/>
      <c r="G896" s="965"/>
      <c r="H896" s="965"/>
      <c r="I896" s="965"/>
      <c r="J896" s="965"/>
      <c r="K896" s="965"/>
      <c r="L896" s="965"/>
      <c r="M896" s="965"/>
      <c r="N896" s="965"/>
      <c r="O896" s="965"/>
      <c r="P896" s="965"/>
      <c r="Q896" s="965"/>
      <c r="R896" s="965"/>
      <c r="S896" s="965"/>
      <c r="T896" s="965"/>
      <c r="U896" s="965"/>
      <c r="V896" s="965"/>
      <c r="W896" s="965"/>
      <c r="X896" s="965"/>
      <c r="Y896" s="965"/>
      <c r="Z896" s="965"/>
    </row>
    <row r="897">
      <c r="A897" s="965"/>
      <c r="B897" s="965"/>
      <c r="C897" s="965"/>
      <c r="D897" s="965"/>
      <c r="E897" s="965"/>
      <c r="F897" s="965"/>
      <c r="G897" s="965"/>
      <c r="H897" s="965"/>
      <c r="I897" s="965"/>
      <c r="J897" s="965"/>
      <c r="K897" s="965"/>
      <c r="L897" s="965"/>
      <c r="M897" s="965"/>
      <c r="N897" s="965"/>
      <c r="O897" s="965"/>
      <c r="P897" s="965"/>
      <c r="Q897" s="965"/>
      <c r="R897" s="965"/>
      <c r="S897" s="965"/>
      <c r="T897" s="965"/>
      <c r="U897" s="965"/>
      <c r="V897" s="965"/>
      <c r="W897" s="965"/>
      <c r="X897" s="965"/>
      <c r="Y897" s="965"/>
      <c r="Z897" s="965"/>
    </row>
    <row r="898">
      <c r="A898" s="965"/>
      <c r="B898" s="965"/>
      <c r="C898" s="965"/>
      <c r="D898" s="965"/>
      <c r="E898" s="965"/>
      <c r="F898" s="965"/>
      <c r="G898" s="965"/>
      <c r="H898" s="965"/>
      <c r="I898" s="965"/>
      <c r="J898" s="965"/>
      <c r="K898" s="965"/>
      <c r="L898" s="965"/>
      <c r="M898" s="965"/>
      <c r="N898" s="965"/>
      <c r="O898" s="965"/>
      <c r="P898" s="965"/>
      <c r="Q898" s="965"/>
      <c r="R898" s="965"/>
      <c r="S898" s="965"/>
      <c r="T898" s="965"/>
      <c r="U898" s="965"/>
      <c r="V898" s="965"/>
      <c r="W898" s="965"/>
      <c r="X898" s="965"/>
      <c r="Y898" s="965"/>
      <c r="Z898" s="965"/>
    </row>
    <row r="899">
      <c r="A899" s="965"/>
      <c r="B899" s="965"/>
      <c r="C899" s="965"/>
      <c r="D899" s="965"/>
      <c r="E899" s="965"/>
      <c r="F899" s="965"/>
      <c r="G899" s="965"/>
      <c r="H899" s="965"/>
      <c r="I899" s="965"/>
      <c r="J899" s="965"/>
      <c r="K899" s="965"/>
      <c r="L899" s="965"/>
      <c r="M899" s="965"/>
      <c r="N899" s="965"/>
      <c r="O899" s="965"/>
      <c r="P899" s="965"/>
      <c r="Q899" s="965"/>
      <c r="R899" s="965"/>
      <c r="S899" s="965"/>
      <c r="T899" s="965"/>
      <c r="U899" s="965"/>
      <c r="V899" s="965"/>
      <c r="W899" s="965"/>
      <c r="X899" s="965"/>
      <c r="Y899" s="965"/>
      <c r="Z899" s="965"/>
    </row>
    <row r="900">
      <c r="A900" s="965"/>
      <c r="B900" s="965"/>
      <c r="C900" s="965"/>
      <c r="D900" s="965"/>
      <c r="E900" s="965"/>
      <c r="F900" s="965"/>
      <c r="G900" s="965"/>
      <c r="H900" s="965"/>
      <c r="I900" s="965"/>
      <c r="J900" s="965"/>
      <c r="K900" s="965"/>
      <c r="L900" s="965"/>
      <c r="M900" s="965"/>
      <c r="N900" s="965"/>
      <c r="O900" s="965"/>
      <c r="P900" s="965"/>
      <c r="Q900" s="965"/>
      <c r="R900" s="965"/>
      <c r="S900" s="965"/>
      <c r="T900" s="965"/>
      <c r="U900" s="965"/>
      <c r="V900" s="965"/>
      <c r="W900" s="965"/>
      <c r="X900" s="965"/>
      <c r="Y900" s="965"/>
      <c r="Z900" s="965"/>
    </row>
    <row r="901">
      <c r="A901" s="965"/>
      <c r="B901" s="965"/>
      <c r="C901" s="965"/>
      <c r="D901" s="965"/>
      <c r="E901" s="965"/>
      <c r="F901" s="965"/>
      <c r="G901" s="965"/>
      <c r="H901" s="965"/>
      <c r="I901" s="965"/>
      <c r="J901" s="965"/>
      <c r="K901" s="965"/>
      <c r="L901" s="965"/>
      <c r="M901" s="965"/>
      <c r="N901" s="965"/>
      <c r="O901" s="965"/>
      <c r="P901" s="965"/>
      <c r="Q901" s="965"/>
      <c r="R901" s="965"/>
      <c r="S901" s="965"/>
      <c r="T901" s="965"/>
      <c r="U901" s="965"/>
      <c r="V901" s="965"/>
      <c r="W901" s="965"/>
      <c r="X901" s="965"/>
      <c r="Y901" s="965"/>
      <c r="Z901" s="965"/>
    </row>
    <row r="902">
      <c r="A902" s="965"/>
      <c r="B902" s="965"/>
      <c r="C902" s="965"/>
      <c r="D902" s="965"/>
      <c r="E902" s="965"/>
      <c r="F902" s="965"/>
      <c r="G902" s="965"/>
      <c r="H902" s="965"/>
      <c r="I902" s="965"/>
      <c r="J902" s="965"/>
      <c r="K902" s="965"/>
      <c r="L902" s="965"/>
      <c r="M902" s="965"/>
      <c r="N902" s="965"/>
      <c r="O902" s="965"/>
      <c r="P902" s="965"/>
      <c r="Q902" s="965"/>
      <c r="R902" s="965"/>
      <c r="S902" s="965"/>
      <c r="T902" s="965"/>
      <c r="U902" s="965"/>
      <c r="V902" s="965"/>
      <c r="W902" s="965"/>
      <c r="X902" s="965"/>
      <c r="Y902" s="965"/>
      <c r="Z902" s="965"/>
    </row>
    <row r="903">
      <c r="A903" s="965"/>
      <c r="B903" s="965"/>
      <c r="C903" s="965"/>
      <c r="D903" s="965"/>
      <c r="E903" s="965"/>
      <c r="F903" s="965"/>
      <c r="G903" s="965"/>
      <c r="H903" s="965"/>
      <c r="I903" s="965"/>
      <c r="J903" s="965"/>
      <c r="K903" s="965"/>
      <c r="L903" s="965"/>
      <c r="M903" s="965"/>
      <c r="N903" s="965"/>
      <c r="O903" s="965"/>
      <c r="P903" s="965"/>
      <c r="Q903" s="965"/>
      <c r="R903" s="965"/>
      <c r="S903" s="965"/>
      <c r="T903" s="965"/>
      <c r="U903" s="965"/>
      <c r="V903" s="965"/>
      <c r="W903" s="965"/>
      <c r="X903" s="965"/>
      <c r="Y903" s="965"/>
      <c r="Z903" s="965"/>
    </row>
    <row r="904">
      <c r="A904" s="965"/>
      <c r="B904" s="965"/>
      <c r="C904" s="965"/>
      <c r="D904" s="965"/>
      <c r="E904" s="965"/>
      <c r="F904" s="965"/>
      <c r="G904" s="965"/>
      <c r="H904" s="965"/>
      <c r="I904" s="965"/>
      <c r="J904" s="965"/>
      <c r="K904" s="965"/>
      <c r="L904" s="965"/>
      <c r="M904" s="965"/>
      <c r="N904" s="965"/>
      <c r="O904" s="965"/>
      <c r="P904" s="965"/>
      <c r="Q904" s="965"/>
      <c r="R904" s="965"/>
      <c r="S904" s="965"/>
      <c r="T904" s="965"/>
      <c r="U904" s="965"/>
      <c r="V904" s="965"/>
      <c r="W904" s="965"/>
      <c r="X904" s="965"/>
      <c r="Y904" s="965"/>
      <c r="Z904" s="965"/>
    </row>
    <row r="905">
      <c r="A905" s="965"/>
      <c r="B905" s="965"/>
      <c r="C905" s="965"/>
      <c r="D905" s="965"/>
      <c r="E905" s="965"/>
      <c r="F905" s="965"/>
      <c r="G905" s="965"/>
      <c r="H905" s="965"/>
      <c r="I905" s="965"/>
      <c r="J905" s="965"/>
      <c r="K905" s="965"/>
      <c r="L905" s="965"/>
      <c r="M905" s="965"/>
      <c r="N905" s="965"/>
      <c r="O905" s="965"/>
      <c r="P905" s="965"/>
      <c r="Q905" s="965"/>
      <c r="R905" s="965"/>
      <c r="S905" s="965"/>
      <c r="T905" s="965"/>
      <c r="U905" s="965"/>
      <c r="V905" s="965"/>
      <c r="W905" s="965"/>
      <c r="X905" s="965"/>
      <c r="Y905" s="965"/>
      <c r="Z905" s="965"/>
    </row>
    <row r="906">
      <c r="A906" s="965"/>
      <c r="B906" s="965"/>
      <c r="C906" s="965"/>
      <c r="D906" s="965"/>
      <c r="E906" s="965"/>
      <c r="F906" s="965"/>
      <c r="G906" s="965"/>
      <c r="H906" s="965"/>
      <c r="I906" s="965"/>
      <c r="J906" s="965"/>
      <c r="K906" s="965"/>
      <c r="L906" s="965"/>
      <c r="M906" s="965"/>
      <c r="N906" s="965"/>
      <c r="O906" s="965"/>
      <c r="P906" s="965"/>
      <c r="Q906" s="965"/>
      <c r="R906" s="965"/>
      <c r="S906" s="965"/>
      <c r="T906" s="965"/>
      <c r="U906" s="965"/>
      <c r="V906" s="965"/>
      <c r="W906" s="965"/>
      <c r="X906" s="965"/>
      <c r="Y906" s="965"/>
      <c r="Z906" s="965"/>
    </row>
    <row r="907">
      <c r="A907" s="965"/>
      <c r="B907" s="965"/>
      <c r="C907" s="965"/>
      <c r="D907" s="965"/>
      <c r="E907" s="965"/>
      <c r="F907" s="965"/>
      <c r="G907" s="965"/>
      <c r="H907" s="965"/>
      <c r="I907" s="965"/>
      <c r="J907" s="965"/>
      <c r="K907" s="965"/>
      <c r="L907" s="965"/>
      <c r="M907" s="965"/>
      <c r="N907" s="965"/>
      <c r="O907" s="965"/>
      <c r="P907" s="965"/>
      <c r="Q907" s="965"/>
      <c r="R907" s="965"/>
      <c r="S907" s="965"/>
      <c r="T907" s="965"/>
      <c r="U907" s="965"/>
      <c r="V907" s="965"/>
      <c r="W907" s="965"/>
      <c r="X907" s="965"/>
      <c r="Y907" s="965"/>
      <c r="Z907" s="965"/>
    </row>
    <row r="908">
      <c r="A908" s="965"/>
      <c r="B908" s="965"/>
      <c r="C908" s="965"/>
      <c r="D908" s="965"/>
      <c r="E908" s="965"/>
      <c r="F908" s="965"/>
      <c r="G908" s="965"/>
      <c r="H908" s="965"/>
      <c r="I908" s="965"/>
      <c r="J908" s="965"/>
      <c r="K908" s="965"/>
      <c r="L908" s="965"/>
      <c r="M908" s="965"/>
      <c r="N908" s="965"/>
      <c r="O908" s="965"/>
      <c r="P908" s="965"/>
      <c r="Q908" s="965"/>
      <c r="R908" s="965"/>
      <c r="S908" s="965"/>
      <c r="T908" s="965"/>
      <c r="U908" s="965"/>
      <c r="V908" s="965"/>
      <c r="W908" s="965"/>
      <c r="X908" s="965"/>
      <c r="Y908" s="965"/>
      <c r="Z908" s="965"/>
    </row>
    <row r="909">
      <c r="A909" s="965"/>
      <c r="B909" s="965"/>
      <c r="C909" s="965"/>
      <c r="D909" s="965"/>
      <c r="E909" s="965"/>
      <c r="F909" s="965"/>
      <c r="G909" s="965"/>
      <c r="H909" s="965"/>
      <c r="I909" s="965"/>
      <c r="J909" s="965"/>
      <c r="K909" s="965"/>
      <c r="L909" s="965"/>
      <c r="M909" s="965"/>
      <c r="N909" s="965"/>
      <c r="O909" s="965"/>
      <c r="P909" s="965"/>
      <c r="Q909" s="965"/>
      <c r="R909" s="965"/>
      <c r="S909" s="965"/>
      <c r="T909" s="965"/>
      <c r="U909" s="965"/>
      <c r="V909" s="965"/>
      <c r="W909" s="965"/>
      <c r="X909" s="965"/>
      <c r="Y909" s="965"/>
      <c r="Z909" s="965"/>
    </row>
    <row r="910">
      <c r="A910" s="965"/>
      <c r="B910" s="965"/>
      <c r="C910" s="965"/>
      <c r="D910" s="965"/>
      <c r="E910" s="965"/>
      <c r="F910" s="965"/>
      <c r="G910" s="965"/>
      <c r="H910" s="965"/>
      <c r="I910" s="965"/>
      <c r="J910" s="965"/>
      <c r="K910" s="965"/>
      <c r="L910" s="965"/>
      <c r="M910" s="965"/>
      <c r="N910" s="965"/>
      <c r="O910" s="965"/>
      <c r="P910" s="965"/>
      <c r="Q910" s="965"/>
      <c r="R910" s="965"/>
      <c r="S910" s="965"/>
      <c r="T910" s="965"/>
      <c r="U910" s="965"/>
      <c r="V910" s="965"/>
      <c r="W910" s="965"/>
      <c r="X910" s="965"/>
      <c r="Y910" s="965"/>
      <c r="Z910" s="965"/>
    </row>
    <row r="911">
      <c r="A911" s="965"/>
      <c r="B911" s="965"/>
      <c r="C911" s="965"/>
      <c r="D911" s="965"/>
      <c r="E911" s="965"/>
      <c r="F911" s="965"/>
      <c r="G911" s="965"/>
      <c r="H911" s="965"/>
      <c r="I911" s="965"/>
      <c r="J911" s="965"/>
      <c r="K911" s="965"/>
      <c r="L911" s="965"/>
      <c r="M911" s="965"/>
      <c r="N911" s="965"/>
      <c r="O911" s="965"/>
      <c r="P911" s="965"/>
      <c r="Q911" s="965"/>
      <c r="R911" s="965"/>
      <c r="S911" s="965"/>
      <c r="T911" s="965"/>
      <c r="U911" s="965"/>
      <c r="V911" s="965"/>
      <c r="W911" s="965"/>
      <c r="X911" s="965"/>
      <c r="Y911" s="965"/>
      <c r="Z911" s="965"/>
    </row>
    <row r="912">
      <c r="A912" s="965"/>
      <c r="B912" s="965"/>
      <c r="C912" s="965"/>
      <c r="D912" s="965"/>
      <c r="E912" s="965"/>
      <c r="F912" s="965"/>
      <c r="G912" s="965"/>
      <c r="H912" s="965"/>
      <c r="I912" s="965"/>
      <c r="J912" s="965"/>
      <c r="K912" s="965"/>
      <c r="L912" s="965"/>
      <c r="M912" s="965"/>
      <c r="N912" s="965"/>
      <c r="O912" s="965"/>
      <c r="P912" s="965"/>
      <c r="Q912" s="965"/>
      <c r="R912" s="965"/>
      <c r="S912" s="965"/>
      <c r="T912" s="965"/>
      <c r="U912" s="965"/>
      <c r="V912" s="965"/>
      <c r="W912" s="965"/>
      <c r="X912" s="965"/>
      <c r="Y912" s="965"/>
      <c r="Z912" s="965"/>
    </row>
    <row r="913">
      <c r="A913" s="965"/>
      <c r="B913" s="965"/>
      <c r="C913" s="965"/>
      <c r="D913" s="965"/>
      <c r="E913" s="965"/>
      <c r="F913" s="965"/>
      <c r="G913" s="965"/>
      <c r="H913" s="965"/>
      <c r="I913" s="965"/>
      <c r="J913" s="965"/>
      <c r="K913" s="965"/>
      <c r="L913" s="965"/>
      <c r="M913" s="965"/>
      <c r="N913" s="965"/>
      <c r="O913" s="965"/>
      <c r="P913" s="965"/>
      <c r="Q913" s="965"/>
      <c r="R913" s="965"/>
      <c r="S913" s="965"/>
      <c r="T913" s="965"/>
      <c r="U913" s="965"/>
      <c r="V913" s="965"/>
      <c r="W913" s="965"/>
      <c r="X913" s="965"/>
      <c r="Y913" s="965"/>
      <c r="Z913" s="965"/>
    </row>
    <row r="914">
      <c r="A914" s="965"/>
      <c r="B914" s="965"/>
      <c r="C914" s="965"/>
      <c r="D914" s="965"/>
      <c r="E914" s="965"/>
      <c r="F914" s="965"/>
      <c r="G914" s="965"/>
      <c r="H914" s="965"/>
      <c r="I914" s="965"/>
      <c r="J914" s="965"/>
      <c r="K914" s="965"/>
      <c r="L914" s="965"/>
      <c r="M914" s="965"/>
      <c r="N914" s="965"/>
      <c r="O914" s="965"/>
      <c r="P914" s="965"/>
      <c r="Q914" s="965"/>
      <c r="R914" s="965"/>
      <c r="S914" s="965"/>
      <c r="T914" s="965"/>
      <c r="U914" s="965"/>
      <c r="V914" s="965"/>
      <c r="W914" s="965"/>
      <c r="X914" s="965"/>
      <c r="Y914" s="965"/>
      <c r="Z914" s="965"/>
    </row>
    <row r="915">
      <c r="A915" s="965"/>
      <c r="B915" s="965"/>
      <c r="C915" s="965"/>
      <c r="D915" s="965"/>
      <c r="E915" s="965"/>
      <c r="F915" s="965"/>
      <c r="G915" s="965"/>
      <c r="H915" s="965"/>
      <c r="I915" s="965"/>
      <c r="J915" s="965"/>
      <c r="K915" s="965"/>
      <c r="L915" s="965"/>
      <c r="M915" s="965"/>
      <c r="N915" s="965"/>
      <c r="O915" s="965"/>
      <c r="P915" s="965"/>
      <c r="Q915" s="965"/>
      <c r="R915" s="965"/>
      <c r="S915" s="965"/>
      <c r="T915" s="965"/>
      <c r="U915" s="965"/>
      <c r="V915" s="965"/>
      <c r="W915" s="965"/>
      <c r="X915" s="965"/>
      <c r="Y915" s="965"/>
      <c r="Z915" s="965"/>
    </row>
    <row r="916">
      <c r="A916" s="965"/>
      <c r="B916" s="965"/>
      <c r="C916" s="965"/>
      <c r="D916" s="965"/>
      <c r="E916" s="965"/>
      <c r="F916" s="965"/>
      <c r="G916" s="965"/>
      <c r="H916" s="965"/>
      <c r="I916" s="965"/>
      <c r="J916" s="965"/>
      <c r="K916" s="965"/>
      <c r="L916" s="965"/>
      <c r="M916" s="965"/>
      <c r="N916" s="965"/>
      <c r="O916" s="965"/>
      <c r="P916" s="965"/>
      <c r="Q916" s="965"/>
      <c r="R916" s="965"/>
      <c r="S916" s="965"/>
      <c r="T916" s="965"/>
      <c r="U916" s="965"/>
      <c r="V916" s="965"/>
      <c r="W916" s="965"/>
      <c r="X916" s="965"/>
      <c r="Y916" s="965"/>
      <c r="Z916" s="965"/>
    </row>
    <row r="917">
      <c r="A917" s="965"/>
      <c r="B917" s="965"/>
      <c r="C917" s="965"/>
      <c r="D917" s="965"/>
      <c r="E917" s="965"/>
      <c r="F917" s="965"/>
      <c r="G917" s="965"/>
      <c r="H917" s="965"/>
      <c r="I917" s="965"/>
      <c r="J917" s="965"/>
      <c r="K917" s="965"/>
      <c r="L917" s="965"/>
      <c r="M917" s="965"/>
      <c r="N917" s="965"/>
      <c r="O917" s="965"/>
      <c r="P917" s="965"/>
      <c r="Q917" s="965"/>
      <c r="R917" s="965"/>
      <c r="S917" s="965"/>
      <c r="T917" s="965"/>
      <c r="U917" s="965"/>
      <c r="V917" s="965"/>
      <c r="W917" s="965"/>
      <c r="X917" s="965"/>
      <c r="Y917" s="965"/>
      <c r="Z917" s="965"/>
    </row>
    <row r="918">
      <c r="A918" s="965"/>
      <c r="B918" s="965"/>
      <c r="C918" s="965"/>
      <c r="D918" s="965"/>
      <c r="E918" s="965"/>
      <c r="F918" s="965"/>
      <c r="G918" s="965"/>
      <c r="H918" s="965"/>
      <c r="I918" s="965"/>
      <c r="J918" s="965"/>
      <c r="K918" s="965"/>
      <c r="L918" s="965"/>
      <c r="M918" s="965"/>
      <c r="N918" s="965"/>
      <c r="O918" s="965"/>
      <c r="P918" s="965"/>
      <c r="Q918" s="965"/>
      <c r="R918" s="965"/>
      <c r="S918" s="965"/>
      <c r="T918" s="965"/>
      <c r="U918" s="965"/>
      <c r="V918" s="965"/>
      <c r="W918" s="965"/>
      <c r="X918" s="965"/>
      <c r="Y918" s="965"/>
      <c r="Z918" s="965"/>
    </row>
    <row r="919">
      <c r="A919" s="965"/>
      <c r="B919" s="965"/>
      <c r="C919" s="965"/>
      <c r="D919" s="965"/>
      <c r="E919" s="965"/>
      <c r="F919" s="965"/>
      <c r="G919" s="965"/>
      <c r="H919" s="965"/>
      <c r="I919" s="965"/>
      <c r="J919" s="965"/>
      <c r="K919" s="965"/>
      <c r="L919" s="965"/>
      <c r="M919" s="965"/>
      <c r="N919" s="965"/>
      <c r="O919" s="965"/>
      <c r="P919" s="965"/>
      <c r="Q919" s="965"/>
      <c r="R919" s="965"/>
      <c r="S919" s="965"/>
      <c r="T919" s="965"/>
      <c r="U919" s="965"/>
      <c r="V919" s="965"/>
      <c r="W919" s="965"/>
      <c r="X919" s="965"/>
      <c r="Y919" s="965"/>
      <c r="Z919" s="965"/>
    </row>
    <row r="920">
      <c r="A920" s="965"/>
      <c r="B920" s="965"/>
      <c r="C920" s="965"/>
      <c r="D920" s="965"/>
      <c r="E920" s="965"/>
      <c r="F920" s="965"/>
      <c r="G920" s="965"/>
      <c r="H920" s="965"/>
      <c r="I920" s="965"/>
      <c r="J920" s="965"/>
      <c r="K920" s="965"/>
      <c r="L920" s="965"/>
      <c r="M920" s="965"/>
      <c r="N920" s="965"/>
      <c r="O920" s="965"/>
      <c r="P920" s="965"/>
      <c r="Q920" s="965"/>
      <c r="R920" s="965"/>
      <c r="S920" s="965"/>
      <c r="T920" s="965"/>
      <c r="U920" s="965"/>
      <c r="V920" s="965"/>
      <c r="W920" s="965"/>
      <c r="X920" s="965"/>
      <c r="Y920" s="965"/>
      <c r="Z920" s="965"/>
    </row>
    <row r="921">
      <c r="A921" s="965"/>
      <c r="B921" s="965"/>
      <c r="C921" s="965"/>
      <c r="D921" s="965"/>
      <c r="E921" s="965"/>
      <c r="F921" s="965"/>
      <c r="G921" s="965"/>
      <c r="H921" s="965"/>
      <c r="I921" s="965"/>
      <c r="J921" s="965"/>
      <c r="K921" s="965"/>
      <c r="L921" s="965"/>
      <c r="M921" s="965"/>
      <c r="N921" s="965"/>
      <c r="O921" s="965"/>
      <c r="P921" s="965"/>
      <c r="Q921" s="965"/>
      <c r="R921" s="965"/>
      <c r="S921" s="965"/>
      <c r="T921" s="965"/>
      <c r="U921" s="965"/>
      <c r="V921" s="965"/>
      <c r="W921" s="965"/>
      <c r="X921" s="965"/>
      <c r="Y921" s="965"/>
      <c r="Z921" s="965"/>
    </row>
    <row r="922">
      <c r="A922" s="965"/>
      <c r="B922" s="965"/>
      <c r="C922" s="965"/>
      <c r="D922" s="965"/>
      <c r="E922" s="965"/>
      <c r="F922" s="965"/>
      <c r="G922" s="965"/>
      <c r="H922" s="965"/>
      <c r="I922" s="965"/>
      <c r="J922" s="965"/>
      <c r="K922" s="965"/>
      <c r="L922" s="965"/>
      <c r="M922" s="965"/>
      <c r="N922" s="965"/>
      <c r="O922" s="965"/>
      <c r="P922" s="965"/>
      <c r="Q922" s="965"/>
      <c r="R922" s="965"/>
      <c r="S922" s="965"/>
      <c r="T922" s="965"/>
      <c r="U922" s="965"/>
      <c r="V922" s="965"/>
      <c r="W922" s="965"/>
      <c r="X922" s="965"/>
      <c r="Y922" s="965"/>
      <c r="Z922" s="965"/>
    </row>
    <row r="923">
      <c r="A923" s="965"/>
      <c r="B923" s="965"/>
      <c r="C923" s="965"/>
      <c r="D923" s="965"/>
      <c r="E923" s="965"/>
      <c r="F923" s="965"/>
      <c r="G923" s="965"/>
      <c r="H923" s="965"/>
      <c r="I923" s="965"/>
      <c r="J923" s="965"/>
      <c r="K923" s="965"/>
      <c r="L923" s="965"/>
      <c r="M923" s="965"/>
      <c r="N923" s="965"/>
      <c r="O923" s="965"/>
      <c r="P923" s="965"/>
      <c r="Q923" s="965"/>
      <c r="R923" s="965"/>
      <c r="S923" s="965"/>
      <c r="T923" s="965"/>
      <c r="U923" s="965"/>
      <c r="V923" s="965"/>
      <c r="W923" s="965"/>
      <c r="X923" s="965"/>
      <c r="Y923" s="965"/>
      <c r="Z923" s="965"/>
    </row>
    <row r="924">
      <c r="A924" s="965"/>
      <c r="B924" s="965"/>
      <c r="C924" s="965"/>
      <c r="D924" s="965"/>
      <c r="E924" s="965"/>
      <c r="F924" s="965"/>
      <c r="G924" s="965"/>
      <c r="H924" s="965"/>
      <c r="I924" s="965"/>
      <c r="J924" s="965"/>
      <c r="K924" s="965"/>
      <c r="L924" s="965"/>
      <c r="M924" s="965"/>
      <c r="N924" s="965"/>
      <c r="O924" s="965"/>
      <c r="P924" s="965"/>
      <c r="Q924" s="965"/>
      <c r="R924" s="965"/>
      <c r="S924" s="965"/>
      <c r="T924" s="965"/>
      <c r="U924" s="965"/>
      <c r="V924" s="965"/>
      <c r="W924" s="965"/>
      <c r="X924" s="965"/>
      <c r="Y924" s="965"/>
      <c r="Z924" s="965"/>
    </row>
    <row r="925">
      <c r="A925" s="965"/>
      <c r="B925" s="965"/>
      <c r="C925" s="965"/>
      <c r="D925" s="965"/>
      <c r="E925" s="965"/>
      <c r="F925" s="965"/>
      <c r="G925" s="965"/>
      <c r="H925" s="965"/>
      <c r="I925" s="965"/>
      <c r="J925" s="965"/>
      <c r="K925" s="965"/>
      <c r="L925" s="965"/>
      <c r="M925" s="965"/>
      <c r="N925" s="965"/>
      <c r="O925" s="965"/>
      <c r="P925" s="965"/>
      <c r="Q925" s="965"/>
      <c r="R925" s="965"/>
      <c r="S925" s="965"/>
      <c r="T925" s="965"/>
      <c r="U925" s="965"/>
      <c r="V925" s="965"/>
      <c r="W925" s="965"/>
      <c r="X925" s="965"/>
      <c r="Y925" s="965"/>
      <c r="Z925" s="965"/>
    </row>
    <row r="926">
      <c r="A926" s="965"/>
      <c r="B926" s="965"/>
      <c r="C926" s="965"/>
      <c r="D926" s="965"/>
      <c r="E926" s="965"/>
      <c r="F926" s="965"/>
      <c r="G926" s="965"/>
      <c r="H926" s="965"/>
      <c r="I926" s="965"/>
      <c r="J926" s="965"/>
      <c r="K926" s="965"/>
      <c r="L926" s="965"/>
      <c r="M926" s="965"/>
      <c r="N926" s="965"/>
      <c r="O926" s="965"/>
      <c r="P926" s="965"/>
      <c r="Q926" s="965"/>
      <c r="R926" s="965"/>
      <c r="S926" s="965"/>
      <c r="T926" s="965"/>
      <c r="U926" s="965"/>
      <c r="V926" s="965"/>
      <c r="W926" s="965"/>
      <c r="X926" s="965"/>
      <c r="Y926" s="965"/>
      <c r="Z926" s="965"/>
    </row>
    <row r="927">
      <c r="A927" s="965"/>
      <c r="B927" s="965"/>
      <c r="C927" s="965"/>
      <c r="D927" s="965"/>
      <c r="E927" s="965"/>
      <c r="F927" s="965"/>
      <c r="G927" s="965"/>
      <c r="H927" s="965"/>
      <c r="I927" s="965"/>
      <c r="J927" s="965"/>
      <c r="K927" s="965"/>
      <c r="L927" s="965"/>
      <c r="M927" s="965"/>
      <c r="N927" s="965"/>
      <c r="O927" s="965"/>
      <c r="P927" s="965"/>
      <c r="Q927" s="965"/>
      <c r="R927" s="965"/>
      <c r="S927" s="965"/>
      <c r="T927" s="965"/>
      <c r="U927" s="965"/>
      <c r="V927" s="965"/>
      <c r="W927" s="965"/>
      <c r="X927" s="965"/>
      <c r="Y927" s="965"/>
      <c r="Z927" s="965"/>
    </row>
    <row r="928">
      <c r="A928" s="965"/>
      <c r="B928" s="965"/>
      <c r="C928" s="965"/>
      <c r="D928" s="965"/>
      <c r="E928" s="965"/>
      <c r="F928" s="965"/>
      <c r="G928" s="965"/>
      <c r="H928" s="965"/>
      <c r="I928" s="965"/>
      <c r="J928" s="965"/>
      <c r="K928" s="965"/>
      <c r="L928" s="965"/>
      <c r="M928" s="965"/>
      <c r="N928" s="965"/>
      <c r="O928" s="965"/>
      <c r="P928" s="965"/>
      <c r="Q928" s="965"/>
      <c r="R928" s="965"/>
      <c r="S928" s="965"/>
      <c r="T928" s="965"/>
      <c r="U928" s="965"/>
      <c r="V928" s="965"/>
      <c r="W928" s="965"/>
      <c r="X928" s="965"/>
      <c r="Y928" s="965"/>
      <c r="Z928" s="965"/>
    </row>
    <row r="929">
      <c r="A929" s="965"/>
      <c r="B929" s="965"/>
      <c r="C929" s="965"/>
      <c r="D929" s="965"/>
      <c r="E929" s="965"/>
      <c r="F929" s="965"/>
      <c r="G929" s="965"/>
      <c r="H929" s="965"/>
      <c r="I929" s="965"/>
      <c r="J929" s="965"/>
      <c r="K929" s="965"/>
      <c r="L929" s="965"/>
      <c r="M929" s="965"/>
      <c r="N929" s="965"/>
      <c r="O929" s="965"/>
      <c r="P929" s="965"/>
      <c r="Q929" s="965"/>
      <c r="R929" s="965"/>
      <c r="S929" s="965"/>
      <c r="T929" s="965"/>
      <c r="U929" s="965"/>
      <c r="V929" s="965"/>
      <c r="W929" s="965"/>
      <c r="X929" s="965"/>
      <c r="Y929" s="965"/>
      <c r="Z929" s="965"/>
    </row>
    <row r="930">
      <c r="A930" s="965"/>
      <c r="B930" s="965"/>
      <c r="C930" s="965"/>
      <c r="D930" s="965"/>
      <c r="E930" s="965"/>
      <c r="F930" s="965"/>
      <c r="G930" s="965"/>
      <c r="H930" s="965"/>
      <c r="I930" s="965"/>
      <c r="J930" s="965"/>
      <c r="K930" s="965"/>
      <c r="L930" s="965"/>
      <c r="M930" s="965"/>
      <c r="N930" s="965"/>
      <c r="O930" s="965"/>
      <c r="P930" s="965"/>
      <c r="Q930" s="965"/>
      <c r="R930" s="965"/>
      <c r="S930" s="965"/>
      <c r="T930" s="965"/>
      <c r="U930" s="965"/>
      <c r="V930" s="965"/>
      <c r="W930" s="965"/>
      <c r="X930" s="965"/>
      <c r="Y930" s="965"/>
      <c r="Z930" s="965"/>
    </row>
    <row r="931">
      <c r="A931" s="965"/>
      <c r="B931" s="965"/>
      <c r="C931" s="965"/>
      <c r="D931" s="965"/>
      <c r="E931" s="965"/>
      <c r="F931" s="965"/>
      <c r="G931" s="965"/>
      <c r="H931" s="965"/>
      <c r="I931" s="965"/>
      <c r="J931" s="965"/>
      <c r="K931" s="965"/>
      <c r="L931" s="965"/>
      <c r="M931" s="965"/>
      <c r="N931" s="965"/>
      <c r="O931" s="965"/>
      <c r="P931" s="965"/>
      <c r="Q931" s="965"/>
      <c r="R931" s="965"/>
      <c r="S931" s="965"/>
      <c r="T931" s="965"/>
      <c r="U931" s="965"/>
      <c r="V931" s="965"/>
      <c r="W931" s="965"/>
      <c r="X931" s="965"/>
      <c r="Y931" s="965"/>
      <c r="Z931" s="965"/>
    </row>
    <row r="932">
      <c r="A932" s="965"/>
      <c r="B932" s="965"/>
      <c r="C932" s="965"/>
      <c r="D932" s="965"/>
      <c r="E932" s="965"/>
      <c r="F932" s="965"/>
      <c r="G932" s="965"/>
      <c r="H932" s="965"/>
      <c r="I932" s="965"/>
      <c r="J932" s="965"/>
      <c r="K932" s="965"/>
      <c r="L932" s="965"/>
      <c r="M932" s="965"/>
      <c r="N932" s="965"/>
      <c r="O932" s="965"/>
      <c r="P932" s="965"/>
      <c r="Q932" s="965"/>
      <c r="R932" s="965"/>
      <c r="S932" s="965"/>
      <c r="T932" s="965"/>
      <c r="U932" s="965"/>
      <c r="V932" s="965"/>
      <c r="W932" s="965"/>
      <c r="X932" s="965"/>
      <c r="Y932" s="965"/>
      <c r="Z932" s="965"/>
    </row>
    <row r="933">
      <c r="A933" s="965"/>
      <c r="B933" s="965"/>
      <c r="C933" s="965"/>
      <c r="D933" s="965"/>
      <c r="E933" s="965"/>
      <c r="F933" s="965"/>
      <c r="G933" s="965"/>
      <c r="H933" s="965"/>
      <c r="I933" s="965"/>
      <c r="J933" s="965"/>
      <c r="K933" s="965"/>
      <c r="L933" s="965"/>
      <c r="M933" s="965"/>
      <c r="N933" s="965"/>
      <c r="O933" s="965"/>
      <c r="P933" s="965"/>
      <c r="Q933" s="965"/>
      <c r="R933" s="965"/>
      <c r="S933" s="965"/>
      <c r="T933" s="965"/>
      <c r="U933" s="965"/>
      <c r="V933" s="965"/>
      <c r="W933" s="965"/>
      <c r="X933" s="965"/>
      <c r="Y933" s="965"/>
      <c r="Z933" s="965"/>
    </row>
    <row r="934">
      <c r="A934" s="965"/>
      <c r="B934" s="965"/>
      <c r="C934" s="965"/>
      <c r="D934" s="965"/>
      <c r="E934" s="965"/>
      <c r="F934" s="965"/>
      <c r="G934" s="965"/>
      <c r="H934" s="965"/>
      <c r="I934" s="965"/>
      <c r="J934" s="965"/>
      <c r="K934" s="965"/>
      <c r="L934" s="965"/>
      <c r="M934" s="965"/>
      <c r="N934" s="965"/>
      <c r="O934" s="965"/>
      <c r="P934" s="965"/>
      <c r="Q934" s="965"/>
      <c r="R934" s="965"/>
      <c r="S934" s="965"/>
      <c r="T934" s="965"/>
      <c r="U934" s="965"/>
      <c r="V934" s="965"/>
      <c r="W934" s="965"/>
      <c r="X934" s="965"/>
      <c r="Y934" s="965"/>
      <c r="Z934" s="965"/>
    </row>
    <row r="935">
      <c r="A935" s="965"/>
      <c r="B935" s="965"/>
      <c r="C935" s="965"/>
      <c r="D935" s="965"/>
      <c r="E935" s="965"/>
      <c r="F935" s="965"/>
      <c r="G935" s="965"/>
      <c r="H935" s="965"/>
      <c r="I935" s="965"/>
      <c r="J935" s="965"/>
      <c r="K935" s="965"/>
      <c r="L935" s="965"/>
      <c r="M935" s="965"/>
      <c r="N935" s="965"/>
      <c r="O935" s="965"/>
      <c r="P935" s="965"/>
      <c r="Q935" s="965"/>
      <c r="R935" s="965"/>
      <c r="S935" s="965"/>
      <c r="T935" s="965"/>
      <c r="U935" s="965"/>
      <c r="V935" s="965"/>
      <c r="W935" s="965"/>
      <c r="X935" s="965"/>
      <c r="Y935" s="965"/>
      <c r="Z935" s="965"/>
    </row>
    <row r="936">
      <c r="A936" s="965"/>
      <c r="B936" s="965"/>
      <c r="C936" s="965"/>
      <c r="D936" s="965"/>
      <c r="E936" s="965"/>
      <c r="F936" s="965"/>
      <c r="G936" s="965"/>
      <c r="H936" s="965"/>
      <c r="I936" s="965"/>
      <c r="J936" s="965"/>
      <c r="K936" s="965"/>
      <c r="L936" s="965"/>
      <c r="M936" s="965"/>
      <c r="N936" s="965"/>
      <c r="O936" s="965"/>
      <c r="P936" s="965"/>
      <c r="Q936" s="965"/>
      <c r="R936" s="965"/>
      <c r="S936" s="965"/>
      <c r="T936" s="965"/>
      <c r="U936" s="965"/>
      <c r="V936" s="965"/>
      <c r="W936" s="965"/>
      <c r="X936" s="965"/>
      <c r="Y936" s="965"/>
      <c r="Z936" s="965"/>
    </row>
    <row r="937">
      <c r="A937" s="965"/>
      <c r="B937" s="965"/>
      <c r="C937" s="965"/>
      <c r="D937" s="965"/>
      <c r="E937" s="965"/>
      <c r="F937" s="965"/>
      <c r="G937" s="965"/>
      <c r="H937" s="965"/>
      <c r="I937" s="965"/>
      <c r="J937" s="965"/>
      <c r="K937" s="965"/>
      <c r="L937" s="965"/>
      <c r="M937" s="965"/>
      <c r="N937" s="965"/>
      <c r="O937" s="965"/>
      <c r="P937" s="965"/>
      <c r="Q937" s="965"/>
      <c r="R937" s="965"/>
      <c r="S937" s="965"/>
      <c r="T937" s="965"/>
      <c r="U937" s="965"/>
      <c r="V937" s="965"/>
      <c r="W937" s="965"/>
      <c r="X937" s="965"/>
      <c r="Y937" s="965"/>
      <c r="Z937" s="965"/>
    </row>
    <row r="938">
      <c r="A938" s="965"/>
      <c r="B938" s="965"/>
      <c r="C938" s="965"/>
      <c r="D938" s="965"/>
      <c r="E938" s="965"/>
      <c r="F938" s="965"/>
      <c r="G938" s="965"/>
      <c r="H938" s="965"/>
      <c r="I938" s="965"/>
      <c r="J938" s="965"/>
      <c r="K938" s="965"/>
      <c r="L938" s="965"/>
      <c r="M938" s="965"/>
      <c r="N938" s="965"/>
      <c r="O938" s="965"/>
      <c r="P938" s="965"/>
      <c r="Q938" s="965"/>
      <c r="R938" s="965"/>
      <c r="S938" s="965"/>
      <c r="T938" s="965"/>
      <c r="U938" s="965"/>
      <c r="V938" s="965"/>
      <c r="W938" s="965"/>
      <c r="X938" s="965"/>
      <c r="Y938" s="965"/>
      <c r="Z938" s="965"/>
    </row>
    <row r="939">
      <c r="A939" s="965"/>
      <c r="B939" s="965"/>
      <c r="C939" s="965"/>
      <c r="D939" s="965"/>
      <c r="E939" s="965"/>
      <c r="F939" s="965"/>
      <c r="G939" s="965"/>
      <c r="H939" s="965"/>
      <c r="I939" s="965"/>
      <c r="J939" s="965"/>
      <c r="K939" s="965"/>
      <c r="L939" s="965"/>
      <c r="M939" s="965"/>
      <c r="N939" s="965"/>
      <c r="O939" s="965"/>
      <c r="P939" s="965"/>
      <c r="Q939" s="965"/>
      <c r="R939" s="965"/>
      <c r="S939" s="965"/>
      <c r="T939" s="965"/>
      <c r="U939" s="965"/>
      <c r="V939" s="965"/>
      <c r="W939" s="965"/>
      <c r="X939" s="965"/>
      <c r="Y939" s="965"/>
      <c r="Z939" s="965"/>
    </row>
    <row r="940">
      <c r="A940" s="965"/>
      <c r="B940" s="965"/>
      <c r="C940" s="965"/>
      <c r="D940" s="965"/>
      <c r="E940" s="965"/>
      <c r="F940" s="965"/>
      <c r="G940" s="965"/>
      <c r="H940" s="965"/>
      <c r="I940" s="965"/>
      <c r="J940" s="965"/>
      <c r="K940" s="965"/>
      <c r="L940" s="965"/>
      <c r="M940" s="965"/>
      <c r="N940" s="965"/>
      <c r="O940" s="965"/>
      <c r="P940" s="965"/>
      <c r="Q940" s="965"/>
      <c r="R940" s="965"/>
      <c r="S940" s="965"/>
      <c r="T940" s="965"/>
      <c r="U940" s="965"/>
      <c r="V940" s="965"/>
      <c r="W940" s="965"/>
      <c r="X940" s="965"/>
      <c r="Y940" s="965"/>
      <c r="Z940" s="965"/>
    </row>
    <row r="941">
      <c r="A941" s="965"/>
      <c r="B941" s="965"/>
      <c r="C941" s="965"/>
      <c r="D941" s="965"/>
      <c r="E941" s="965"/>
      <c r="F941" s="965"/>
      <c r="G941" s="965"/>
      <c r="H941" s="965"/>
      <c r="I941" s="965"/>
      <c r="J941" s="965"/>
      <c r="K941" s="965"/>
      <c r="L941" s="965"/>
      <c r="M941" s="965"/>
      <c r="N941" s="965"/>
      <c r="O941" s="965"/>
      <c r="P941" s="965"/>
      <c r="Q941" s="965"/>
      <c r="R941" s="965"/>
      <c r="S941" s="965"/>
      <c r="T941" s="965"/>
      <c r="U941" s="965"/>
      <c r="V941" s="965"/>
      <c r="W941" s="965"/>
      <c r="X941" s="965"/>
      <c r="Y941" s="965"/>
      <c r="Z941" s="965"/>
    </row>
    <row r="942">
      <c r="A942" s="965"/>
      <c r="B942" s="965"/>
      <c r="C942" s="965"/>
      <c r="D942" s="965"/>
      <c r="E942" s="965"/>
      <c r="F942" s="965"/>
      <c r="G942" s="965"/>
      <c r="H942" s="965"/>
      <c r="I942" s="965"/>
      <c r="J942" s="965"/>
      <c r="K942" s="965"/>
      <c r="L942" s="965"/>
      <c r="M942" s="965"/>
      <c r="N942" s="965"/>
      <c r="O942" s="965"/>
      <c r="P942" s="965"/>
      <c r="Q942" s="965"/>
      <c r="R942" s="965"/>
      <c r="S942" s="965"/>
      <c r="T942" s="965"/>
      <c r="U942" s="965"/>
      <c r="V942" s="965"/>
      <c r="W942" s="965"/>
      <c r="X942" s="965"/>
      <c r="Y942" s="965"/>
      <c r="Z942" s="965"/>
    </row>
    <row r="943">
      <c r="A943" s="965"/>
      <c r="B943" s="965"/>
      <c r="C943" s="965"/>
      <c r="D943" s="965"/>
      <c r="E943" s="965"/>
      <c r="F943" s="965"/>
      <c r="G943" s="965"/>
      <c r="H943" s="965"/>
      <c r="I943" s="965"/>
      <c r="J943" s="965"/>
      <c r="K943" s="965"/>
      <c r="L943" s="965"/>
      <c r="M943" s="965"/>
      <c r="N943" s="965"/>
      <c r="O943" s="965"/>
      <c r="P943" s="965"/>
      <c r="Q943" s="965"/>
      <c r="R943" s="965"/>
      <c r="S943" s="965"/>
      <c r="T943" s="965"/>
      <c r="U943" s="965"/>
      <c r="V943" s="965"/>
      <c r="W943" s="965"/>
      <c r="X943" s="965"/>
      <c r="Y943" s="965"/>
      <c r="Z943" s="965"/>
    </row>
    <row r="944">
      <c r="A944" s="965"/>
      <c r="B944" s="965"/>
      <c r="C944" s="965"/>
      <c r="D944" s="965"/>
      <c r="E944" s="965"/>
      <c r="F944" s="965"/>
      <c r="G944" s="965"/>
      <c r="H944" s="965"/>
      <c r="I944" s="965"/>
      <c r="J944" s="965"/>
      <c r="K944" s="965"/>
      <c r="L944" s="965"/>
      <c r="M944" s="965"/>
      <c r="N944" s="965"/>
      <c r="O944" s="965"/>
      <c r="P944" s="965"/>
      <c r="Q944" s="965"/>
      <c r="R944" s="965"/>
      <c r="S944" s="965"/>
      <c r="T944" s="965"/>
      <c r="U944" s="965"/>
      <c r="V944" s="965"/>
      <c r="W944" s="965"/>
      <c r="X944" s="965"/>
      <c r="Y944" s="965"/>
      <c r="Z944" s="965"/>
    </row>
    <row r="945">
      <c r="A945" s="965"/>
      <c r="B945" s="965"/>
      <c r="C945" s="965"/>
      <c r="D945" s="965"/>
      <c r="E945" s="965"/>
      <c r="F945" s="965"/>
      <c r="G945" s="965"/>
      <c r="H945" s="965"/>
      <c r="I945" s="965"/>
      <c r="J945" s="965"/>
      <c r="K945" s="965"/>
      <c r="L945" s="965"/>
      <c r="M945" s="965"/>
      <c r="N945" s="965"/>
      <c r="O945" s="965"/>
      <c r="P945" s="965"/>
      <c r="Q945" s="965"/>
      <c r="R945" s="965"/>
      <c r="S945" s="965"/>
      <c r="T945" s="965"/>
      <c r="U945" s="965"/>
      <c r="V945" s="965"/>
      <c r="W945" s="965"/>
      <c r="X945" s="965"/>
      <c r="Y945" s="965"/>
      <c r="Z945" s="965"/>
    </row>
    <row r="946">
      <c r="A946" s="965"/>
      <c r="B946" s="965"/>
      <c r="C946" s="965"/>
      <c r="D946" s="965"/>
      <c r="E946" s="965"/>
      <c r="F946" s="965"/>
      <c r="G946" s="965"/>
      <c r="H946" s="965"/>
      <c r="I946" s="965"/>
      <c r="J946" s="965"/>
      <c r="K946" s="965"/>
      <c r="L946" s="965"/>
      <c r="M946" s="965"/>
      <c r="N946" s="965"/>
      <c r="O946" s="965"/>
      <c r="P946" s="965"/>
      <c r="Q946" s="965"/>
      <c r="R946" s="965"/>
      <c r="S946" s="965"/>
      <c r="T946" s="965"/>
      <c r="U946" s="965"/>
      <c r="V946" s="965"/>
      <c r="W946" s="965"/>
      <c r="X946" s="965"/>
      <c r="Y946" s="965"/>
      <c r="Z946" s="965"/>
    </row>
    <row r="947">
      <c r="A947" s="965"/>
      <c r="B947" s="965"/>
      <c r="C947" s="965"/>
      <c r="D947" s="965"/>
      <c r="E947" s="965"/>
      <c r="F947" s="965"/>
      <c r="G947" s="965"/>
      <c r="H947" s="965"/>
      <c r="I947" s="965"/>
      <c r="J947" s="965"/>
      <c r="K947" s="965"/>
      <c r="L947" s="965"/>
      <c r="M947" s="965"/>
      <c r="N947" s="965"/>
      <c r="O947" s="965"/>
      <c r="P947" s="965"/>
      <c r="Q947" s="965"/>
      <c r="R947" s="965"/>
      <c r="S947" s="965"/>
      <c r="T947" s="965"/>
      <c r="U947" s="965"/>
      <c r="V947" s="965"/>
      <c r="W947" s="965"/>
      <c r="X947" s="965"/>
      <c r="Y947" s="965"/>
      <c r="Z947" s="965"/>
    </row>
    <row r="948">
      <c r="A948" s="965"/>
      <c r="B948" s="965"/>
      <c r="C948" s="965"/>
      <c r="D948" s="965"/>
      <c r="E948" s="965"/>
      <c r="F948" s="965"/>
      <c r="G948" s="965"/>
      <c r="H948" s="965"/>
      <c r="I948" s="965"/>
      <c r="J948" s="965"/>
      <c r="K948" s="965"/>
      <c r="L948" s="965"/>
      <c r="M948" s="965"/>
      <c r="N948" s="965"/>
      <c r="O948" s="965"/>
      <c r="P948" s="965"/>
      <c r="Q948" s="965"/>
      <c r="R948" s="965"/>
      <c r="S948" s="965"/>
      <c r="T948" s="965"/>
      <c r="U948" s="965"/>
      <c r="V948" s="965"/>
      <c r="W948" s="965"/>
      <c r="X948" s="965"/>
      <c r="Y948" s="965"/>
      <c r="Z948" s="965"/>
    </row>
    <row r="949">
      <c r="A949" s="965"/>
      <c r="B949" s="965"/>
      <c r="C949" s="965"/>
      <c r="D949" s="965"/>
      <c r="E949" s="965"/>
      <c r="F949" s="965"/>
      <c r="G949" s="965"/>
      <c r="H949" s="965"/>
      <c r="I949" s="965"/>
      <c r="J949" s="965"/>
      <c r="K949" s="965"/>
      <c r="L949" s="965"/>
      <c r="M949" s="965"/>
      <c r="N949" s="965"/>
      <c r="O949" s="965"/>
      <c r="P949" s="965"/>
      <c r="Q949" s="965"/>
      <c r="R949" s="965"/>
      <c r="S949" s="965"/>
      <c r="T949" s="965"/>
      <c r="U949" s="965"/>
      <c r="V949" s="965"/>
      <c r="W949" s="965"/>
      <c r="X949" s="965"/>
      <c r="Y949" s="965"/>
      <c r="Z949" s="965"/>
    </row>
    <row r="950">
      <c r="A950" s="965"/>
      <c r="B950" s="965"/>
      <c r="C950" s="965"/>
      <c r="D950" s="965"/>
      <c r="E950" s="965"/>
      <c r="F950" s="965"/>
      <c r="G950" s="965"/>
      <c r="H950" s="965"/>
      <c r="I950" s="965"/>
      <c r="J950" s="965"/>
      <c r="K950" s="965"/>
      <c r="L950" s="965"/>
      <c r="M950" s="965"/>
      <c r="N950" s="965"/>
      <c r="O950" s="965"/>
      <c r="P950" s="965"/>
      <c r="Q950" s="965"/>
      <c r="R950" s="965"/>
      <c r="S950" s="965"/>
      <c r="T950" s="965"/>
      <c r="U950" s="965"/>
      <c r="V950" s="965"/>
      <c r="W950" s="965"/>
      <c r="X950" s="965"/>
      <c r="Y950" s="965"/>
      <c r="Z950" s="965"/>
    </row>
    <row r="951">
      <c r="A951" s="965"/>
      <c r="B951" s="965"/>
      <c r="C951" s="965"/>
      <c r="D951" s="965"/>
      <c r="E951" s="965"/>
      <c r="F951" s="965"/>
      <c r="G951" s="965"/>
      <c r="H951" s="965"/>
      <c r="I951" s="965"/>
      <c r="J951" s="965"/>
      <c r="K951" s="965"/>
      <c r="L951" s="965"/>
      <c r="M951" s="965"/>
      <c r="N951" s="965"/>
      <c r="O951" s="965"/>
      <c r="P951" s="965"/>
      <c r="Q951" s="965"/>
      <c r="R951" s="965"/>
      <c r="S951" s="965"/>
      <c r="T951" s="965"/>
      <c r="U951" s="965"/>
      <c r="V951" s="965"/>
      <c r="W951" s="965"/>
      <c r="X951" s="965"/>
      <c r="Y951" s="965"/>
      <c r="Z951" s="965"/>
    </row>
    <row r="952">
      <c r="A952" s="965"/>
      <c r="B952" s="965"/>
      <c r="C952" s="965"/>
      <c r="D952" s="965"/>
      <c r="E952" s="965"/>
      <c r="F952" s="965"/>
      <c r="G952" s="965"/>
      <c r="H952" s="965"/>
      <c r="I952" s="965"/>
      <c r="J952" s="965"/>
      <c r="K952" s="965"/>
      <c r="L952" s="965"/>
      <c r="M952" s="965"/>
      <c r="N952" s="965"/>
      <c r="O952" s="965"/>
      <c r="P952" s="965"/>
      <c r="Q952" s="965"/>
      <c r="R952" s="965"/>
      <c r="S952" s="965"/>
      <c r="T952" s="965"/>
      <c r="U952" s="965"/>
      <c r="V952" s="965"/>
      <c r="W952" s="965"/>
      <c r="X952" s="965"/>
      <c r="Y952" s="965"/>
      <c r="Z952" s="965"/>
    </row>
    <row r="953">
      <c r="A953" s="965"/>
      <c r="B953" s="965"/>
      <c r="C953" s="965"/>
      <c r="D953" s="965"/>
      <c r="E953" s="965"/>
      <c r="F953" s="965"/>
      <c r="G953" s="965"/>
      <c r="H953" s="965"/>
      <c r="I953" s="965"/>
      <c r="J953" s="965"/>
      <c r="K953" s="965"/>
      <c r="L953" s="965"/>
      <c r="M953" s="965"/>
      <c r="N953" s="965"/>
      <c r="O953" s="965"/>
      <c r="P953" s="965"/>
      <c r="Q953" s="965"/>
      <c r="R953" s="965"/>
      <c r="S953" s="965"/>
      <c r="T953" s="965"/>
      <c r="U953" s="965"/>
      <c r="V953" s="965"/>
      <c r="W953" s="965"/>
      <c r="X953" s="965"/>
      <c r="Y953" s="965"/>
      <c r="Z953" s="965"/>
    </row>
    <row r="954">
      <c r="A954" s="965"/>
      <c r="B954" s="965"/>
      <c r="C954" s="965"/>
      <c r="D954" s="965"/>
      <c r="E954" s="965"/>
      <c r="F954" s="965"/>
      <c r="G954" s="965"/>
      <c r="H954" s="965"/>
      <c r="I954" s="965"/>
      <c r="J954" s="965"/>
      <c r="K954" s="965"/>
      <c r="L954" s="965"/>
      <c r="M954" s="965"/>
      <c r="N954" s="965"/>
      <c r="O954" s="965"/>
      <c r="P954" s="965"/>
      <c r="Q954" s="965"/>
      <c r="R954" s="965"/>
      <c r="S954" s="965"/>
      <c r="T954" s="965"/>
      <c r="U954" s="965"/>
      <c r="V954" s="965"/>
      <c r="W954" s="965"/>
      <c r="X954" s="965"/>
      <c r="Y954" s="965"/>
      <c r="Z954" s="965"/>
    </row>
    <row r="955">
      <c r="A955" s="965"/>
      <c r="B955" s="965"/>
      <c r="C955" s="965"/>
      <c r="D955" s="965"/>
      <c r="E955" s="965"/>
      <c r="F955" s="965"/>
      <c r="G955" s="965"/>
      <c r="H955" s="965"/>
      <c r="I955" s="965"/>
      <c r="J955" s="965"/>
      <c r="K955" s="965"/>
      <c r="L955" s="965"/>
      <c r="M955" s="965"/>
      <c r="N955" s="965"/>
      <c r="O955" s="965"/>
      <c r="P955" s="965"/>
      <c r="Q955" s="965"/>
      <c r="R955" s="965"/>
      <c r="S955" s="965"/>
      <c r="T955" s="965"/>
      <c r="U955" s="965"/>
      <c r="V955" s="965"/>
      <c r="W955" s="965"/>
      <c r="X955" s="965"/>
      <c r="Y955" s="965"/>
      <c r="Z955" s="965"/>
    </row>
    <row r="956">
      <c r="A956" s="965"/>
      <c r="B956" s="965"/>
      <c r="C956" s="965"/>
      <c r="D956" s="965"/>
      <c r="E956" s="965"/>
      <c r="F956" s="965"/>
      <c r="G956" s="965"/>
      <c r="H956" s="965"/>
      <c r="I956" s="965"/>
      <c r="J956" s="965"/>
      <c r="K956" s="965"/>
      <c r="L956" s="965"/>
      <c r="M956" s="965"/>
      <c r="N956" s="965"/>
      <c r="O956" s="965"/>
      <c r="P956" s="965"/>
      <c r="Q956" s="965"/>
      <c r="R956" s="965"/>
      <c r="S956" s="965"/>
      <c r="T956" s="965"/>
      <c r="U956" s="965"/>
      <c r="V956" s="965"/>
      <c r="W956" s="965"/>
      <c r="X956" s="965"/>
      <c r="Y956" s="965"/>
      <c r="Z956" s="965"/>
    </row>
    <row r="957">
      <c r="A957" s="965"/>
      <c r="B957" s="965"/>
      <c r="C957" s="965"/>
      <c r="D957" s="965"/>
      <c r="E957" s="965"/>
      <c r="F957" s="965"/>
      <c r="G957" s="965"/>
      <c r="H957" s="965"/>
      <c r="I957" s="965"/>
      <c r="J957" s="965"/>
      <c r="K957" s="965"/>
      <c r="L957" s="965"/>
      <c r="M957" s="965"/>
      <c r="N957" s="965"/>
      <c r="O957" s="965"/>
      <c r="P957" s="965"/>
      <c r="Q957" s="965"/>
      <c r="R957" s="965"/>
      <c r="S957" s="965"/>
      <c r="T957" s="965"/>
      <c r="U957" s="965"/>
      <c r="V957" s="965"/>
      <c r="W957" s="965"/>
      <c r="X957" s="965"/>
      <c r="Y957" s="965"/>
      <c r="Z957" s="965"/>
    </row>
    <row r="958">
      <c r="A958" s="965"/>
      <c r="B958" s="965"/>
      <c r="C958" s="965"/>
      <c r="D958" s="965"/>
      <c r="E958" s="965"/>
      <c r="F958" s="965"/>
      <c r="G958" s="965"/>
      <c r="H958" s="965"/>
      <c r="I958" s="965"/>
      <c r="J958" s="965"/>
      <c r="K958" s="965"/>
      <c r="L958" s="965"/>
      <c r="M958" s="965"/>
      <c r="N958" s="965"/>
      <c r="O958" s="965"/>
      <c r="P958" s="965"/>
      <c r="Q958" s="965"/>
      <c r="R958" s="965"/>
      <c r="S958" s="965"/>
      <c r="T958" s="965"/>
      <c r="U958" s="965"/>
      <c r="V958" s="965"/>
      <c r="W958" s="965"/>
      <c r="X958" s="965"/>
      <c r="Y958" s="965"/>
      <c r="Z958" s="965"/>
    </row>
    <row r="959">
      <c r="A959" s="965"/>
      <c r="B959" s="965"/>
      <c r="C959" s="965"/>
      <c r="D959" s="965"/>
      <c r="E959" s="965"/>
      <c r="F959" s="965"/>
      <c r="G959" s="965"/>
      <c r="H959" s="965"/>
      <c r="I959" s="965"/>
      <c r="J959" s="965"/>
      <c r="K959" s="965"/>
      <c r="L959" s="965"/>
      <c r="M959" s="965"/>
      <c r="N959" s="965"/>
      <c r="O959" s="965"/>
      <c r="P959" s="965"/>
      <c r="Q959" s="965"/>
      <c r="R959" s="965"/>
      <c r="S959" s="965"/>
      <c r="T959" s="965"/>
      <c r="U959" s="965"/>
      <c r="V959" s="965"/>
      <c r="W959" s="965"/>
      <c r="X959" s="965"/>
      <c r="Y959" s="965"/>
      <c r="Z959" s="965"/>
    </row>
    <row r="960">
      <c r="A960" s="965"/>
      <c r="B960" s="965"/>
      <c r="C960" s="965"/>
      <c r="D960" s="965"/>
      <c r="E960" s="965"/>
      <c r="F960" s="965"/>
      <c r="G960" s="965"/>
      <c r="H960" s="965"/>
      <c r="I960" s="965"/>
      <c r="J960" s="965"/>
      <c r="K960" s="965"/>
      <c r="L960" s="965"/>
      <c r="M960" s="965"/>
      <c r="N960" s="965"/>
      <c r="O960" s="965"/>
      <c r="P960" s="965"/>
      <c r="Q960" s="965"/>
      <c r="R960" s="965"/>
      <c r="S960" s="965"/>
      <c r="T960" s="965"/>
      <c r="U960" s="965"/>
      <c r="V960" s="965"/>
      <c r="W960" s="965"/>
      <c r="X960" s="965"/>
      <c r="Y960" s="965"/>
      <c r="Z960" s="965"/>
    </row>
    <row r="961">
      <c r="A961" s="965"/>
      <c r="B961" s="965"/>
      <c r="C961" s="965"/>
      <c r="D961" s="965"/>
      <c r="E961" s="965"/>
      <c r="F961" s="965"/>
      <c r="G961" s="965"/>
      <c r="H961" s="965"/>
      <c r="I961" s="965"/>
      <c r="J961" s="965"/>
      <c r="K961" s="965"/>
      <c r="L961" s="965"/>
      <c r="M961" s="965"/>
      <c r="N961" s="965"/>
      <c r="O961" s="965"/>
      <c r="P961" s="965"/>
      <c r="Q961" s="965"/>
      <c r="R961" s="965"/>
      <c r="S961" s="965"/>
      <c r="T961" s="965"/>
      <c r="U961" s="965"/>
      <c r="V961" s="965"/>
      <c r="W961" s="965"/>
      <c r="X961" s="965"/>
      <c r="Y961" s="965"/>
      <c r="Z961" s="965"/>
    </row>
    <row r="962">
      <c r="A962" s="965"/>
      <c r="B962" s="965"/>
      <c r="C962" s="965"/>
      <c r="D962" s="965"/>
      <c r="E962" s="965"/>
      <c r="F962" s="965"/>
      <c r="G962" s="965"/>
      <c r="H962" s="965"/>
      <c r="I962" s="965"/>
      <c r="J962" s="965"/>
      <c r="K962" s="965"/>
      <c r="L962" s="965"/>
      <c r="M962" s="965"/>
      <c r="N962" s="965"/>
      <c r="O962" s="965"/>
      <c r="P962" s="965"/>
      <c r="Q962" s="965"/>
      <c r="R962" s="965"/>
      <c r="S962" s="965"/>
      <c r="T962" s="965"/>
      <c r="U962" s="965"/>
      <c r="V962" s="965"/>
      <c r="W962" s="965"/>
      <c r="X962" s="965"/>
      <c r="Y962" s="965"/>
      <c r="Z962" s="965"/>
    </row>
    <row r="963">
      <c r="A963" s="965"/>
      <c r="B963" s="965"/>
      <c r="C963" s="965"/>
      <c r="D963" s="965"/>
      <c r="E963" s="965"/>
      <c r="F963" s="965"/>
      <c r="G963" s="965"/>
      <c r="H963" s="965"/>
      <c r="I963" s="965"/>
      <c r="J963" s="965"/>
      <c r="K963" s="965"/>
      <c r="L963" s="965"/>
      <c r="M963" s="965"/>
      <c r="N963" s="965"/>
      <c r="O963" s="965"/>
      <c r="P963" s="965"/>
      <c r="Q963" s="965"/>
      <c r="R963" s="965"/>
      <c r="S963" s="965"/>
      <c r="T963" s="965"/>
      <c r="U963" s="965"/>
      <c r="V963" s="965"/>
      <c r="W963" s="965"/>
      <c r="X963" s="965"/>
      <c r="Y963" s="965"/>
      <c r="Z963" s="965"/>
    </row>
    <row r="964">
      <c r="A964" s="965"/>
      <c r="B964" s="965"/>
      <c r="C964" s="965"/>
      <c r="D964" s="965"/>
      <c r="E964" s="965"/>
      <c r="F964" s="965"/>
      <c r="G964" s="965"/>
      <c r="H964" s="965"/>
      <c r="I964" s="965"/>
      <c r="J964" s="965"/>
      <c r="K964" s="965"/>
      <c r="L964" s="965"/>
      <c r="M964" s="965"/>
      <c r="N964" s="965"/>
      <c r="O964" s="965"/>
      <c r="P964" s="965"/>
      <c r="Q964" s="965"/>
      <c r="R964" s="965"/>
      <c r="S964" s="965"/>
      <c r="T964" s="965"/>
      <c r="U964" s="965"/>
      <c r="V964" s="965"/>
      <c r="W964" s="965"/>
      <c r="X964" s="965"/>
      <c r="Y964" s="965"/>
      <c r="Z964" s="965"/>
    </row>
    <row r="965">
      <c r="A965" s="965"/>
      <c r="B965" s="965"/>
      <c r="C965" s="965"/>
      <c r="D965" s="965"/>
      <c r="E965" s="965"/>
      <c r="F965" s="965"/>
      <c r="G965" s="965"/>
      <c r="H965" s="965"/>
      <c r="I965" s="965"/>
      <c r="J965" s="965"/>
      <c r="K965" s="965"/>
      <c r="L965" s="965"/>
      <c r="M965" s="965"/>
      <c r="N965" s="965"/>
      <c r="O965" s="965"/>
      <c r="P965" s="965"/>
      <c r="Q965" s="965"/>
      <c r="R965" s="965"/>
      <c r="S965" s="965"/>
      <c r="T965" s="965"/>
      <c r="U965" s="965"/>
      <c r="V965" s="965"/>
      <c r="W965" s="965"/>
      <c r="X965" s="965"/>
      <c r="Y965" s="965"/>
      <c r="Z965" s="965"/>
    </row>
    <row r="966">
      <c r="A966" s="965"/>
      <c r="B966" s="965"/>
      <c r="C966" s="965"/>
      <c r="D966" s="965"/>
      <c r="E966" s="965"/>
      <c r="F966" s="965"/>
      <c r="G966" s="965"/>
      <c r="H966" s="965"/>
      <c r="I966" s="965"/>
      <c r="J966" s="965"/>
      <c r="K966" s="965"/>
      <c r="L966" s="965"/>
      <c r="M966" s="965"/>
      <c r="N966" s="965"/>
      <c r="O966" s="965"/>
      <c r="P966" s="965"/>
      <c r="Q966" s="965"/>
      <c r="R966" s="965"/>
      <c r="S966" s="965"/>
      <c r="T966" s="965"/>
      <c r="U966" s="965"/>
      <c r="V966" s="965"/>
      <c r="W966" s="965"/>
      <c r="X966" s="965"/>
      <c r="Y966" s="965"/>
      <c r="Z966" s="965"/>
    </row>
    <row r="967">
      <c r="A967" s="965"/>
      <c r="B967" s="965"/>
      <c r="C967" s="965"/>
      <c r="D967" s="965"/>
      <c r="E967" s="965"/>
      <c r="F967" s="965"/>
      <c r="G967" s="965"/>
      <c r="H967" s="965"/>
      <c r="I967" s="965"/>
      <c r="J967" s="965"/>
      <c r="K967" s="965"/>
      <c r="L967" s="965"/>
      <c r="M967" s="965"/>
      <c r="N967" s="965"/>
      <c r="O967" s="965"/>
      <c r="P967" s="965"/>
      <c r="Q967" s="965"/>
      <c r="R967" s="965"/>
      <c r="S967" s="965"/>
      <c r="T967" s="965"/>
      <c r="U967" s="965"/>
      <c r="V967" s="965"/>
      <c r="W967" s="965"/>
      <c r="X967" s="965"/>
      <c r="Y967" s="965"/>
      <c r="Z967" s="965"/>
    </row>
    <row r="968">
      <c r="A968" s="965"/>
      <c r="B968" s="965"/>
      <c r="C968" s="965"/>
      <c r="D968" s="965"/>
      <c r="E968" s="965"/>
      <c r="F968" s="965"/>
      <c r="G968" s="965"/>
      <c r="H968" s="965"/>
      <c r="I968" s="965"/>
      <c r="J968" s="965"/>
      <c r="K968" s="965"/>
      <c r="L968" s="965"/>
      <c r="M968" s="965"/>
      <c r="N968" s="965"/>
      <c r="O968" s="965"/>
      <c r="P968" s="965"/>
      <c r="Q968" s="965"/>
      <c r="R968" s="965"/>
      <c r="S968" s="965"/>
      <c r="T968" s="965"/>
      <c r="U968" s="965"/>
      <c r="V968" s="965"/>
      <c r="W968" s="965"/>
      <c r="X968" s="965"/>
      <c r="Y968" s="965"/>
      <c r="Z968" s="965"/>
    </row>
    <row r="969">
      <c r="A969" s="965"/>
      <c r="B969" s="965"/>
      <c r="C969" s="965"/>
      <c r="D969" s="965"/>
      <c r="E969" s="965"/>
      <c r="F969" s="965"/>
      <c r="G969" s="965"/>
      <c r="H969" s="965"/>
      <c r="I969" s="965"/>
      <c r="J969" s="965"/>
      <c r="K969" s="965"/>
      <c r="L969" s="965"/>
      <c r="M969" s="965"/>
      <c r="N969" s="965"/>
      <c r="O969" s="965"/>
      <c r="P969" s="965"/>
      <c r="Q969" s="965"/>
      <c r="R969" s="965"/>
      <c r="S969" s="965"/>
      <c r="T969" s="965"/>
      <c r="U969" s="965"/>
      <c r="V969" s="965"/>
      <c r="W969" s="965"/>
      <c r="X969" s="965"/>
      <c r="Y969" s="965"/>
      <c r="Z969" s="965"/>
    </row>
    <row r="970">
      <c r="A970" s="965"/>
      <c r="B970" s="965"/>
      <c r="C970" s="965"/>
      <c r="D970" s="965"/>
      <c r="E970" s="965"/>
      <c r="F970" s="965"/>
      <c r="G970" s="965"/>
      <c r="H970" s="965"/>
      <c r="I970" s="965"/>
      <c r="J970" s="965"/>
      <c r="K970" s="965"/>
      <c r="L970" s="965"/>
      <c r="M970" s="965"/>
      <c r="N970" s="965"/>
      <c r="O970" s="965"/>
      <c r="P970" s="965"/>
      <c r="Q970" s="965"/>
      <c r="R970" s="965"/>
      <c r="S970" s="965"/>
      <c r="T970" s="965"/>
      <c r="U970" s="965"/>
      <c r="V970" s="965"/>
      <c r="W970" s="965"/>
      <c r="X970" s="965"/>
      <c r="Y970" s="965"/>
      <c r="Z970" s="965"/>
    </row>
    <row r="971">
      <c r="A971" s="965"/>
      <c r="B971" s="965"/>
      <c r="C971" s="965"/>
      <c r="D971" s="965"/>
      <c r="E971" s="965"/>
      <c r="F971" s="965"/>
      <c r="G971" s="965"/>
      <c r="H971" s="965"/>
      <c r="I971" s="965"/>
      <c r="J971" s="965"/>
      <c r="K971" s="965"/>
      <c r="L971" s="965"/>
      <c r="M971" s="965"/>
      <c r="N971" s="965"/>
      <c r="O971" s="965"/>
      <c r="P971" s="965"/>
      <c r="Q971" s="965"/>
      <c r="R971" s="965"/>
      <c r="S971" s="965"/>
      <c r="T971" s="965"/>
      <c r="U971" s="965"/>
      <c r="V971" s="965"/>
      <c r="W971" s="965"/>
      <c r="X971" s="965"/>
      <c r="Y971" s="965"/>
      <c r="Z971" s="965"/>
    </row>
    <row r="972">
      <c r="A972" s="965"/>
      <c r="B972" s="965"/>
      <c r="C972" s="965"/>
      <c r="D972" s="965"/>
      <c r="E972" s="965"/>
      <c r="F972" s="965"/>
      <c r="G972" s="965"/>
      <c r="H972" s="965"/>
      <c r="I972" s="965"/>
      <c r="J972" s="965"/>
      <c r="K972" s="965"/>
      <c r="L972" s="965"/>
      <c r="M972" s="965"/>
      <c r="N972" s="965"/>
      <c r="O972" s="965"/>
      <c r="P972" s="965"/>
      <c r="Q972" s="965"/>
      <c r="R972" s="965"/>
      <c r="S972" s="965"/>
      <c r="T972" s="965"/>
      <c r="U972" s="965"/>
      <c r="V972" s="965"/>
      <c r="W972" s="965"/>
      <c r="X972" s="965"/>
      <c r="Y972" s="965"/>
      <c r="Z972" s="965"/>
    </row>
    <row r="973">
      <c r="A973" s="965"/>
      <c r="B973" s="965"/>
      <c r="C973" s="965"/>
      <c r="D973" s="965"/>
      <c r="E973" s="965"/>
      <c r="F973" s="965"/>
      <c r="G973" s="965"/>
      <c r="H973" s="965"/>
      <c r="I973" s="965"/>
      <c r="J973" s="965"/>
      <c r="K973" s="965"/>
      <c r="L973" s="965"/>
      <c r="M973" s="965"/>
      <c r="N973" s="965"/>
      <c r="O973" s="965"/>
      <c r="P973" s="965"/>
      <c r="Q973" s="965"/>
      <c r="R973" s="965"/>
      <c r="S973" s="965"/>
      <c r="T973" s="965"/>
      <c r="U973" s="965"/>
      <c r="V973" s="965"/>
      <c r="W973" s="965"/>
      <c r="X973" s="965"/>
      <c r="Y973" s="965"/>
      <c r="Z973" s="965"/>
    </row>
    <row r="974">
      <c r="A974" s="965"/>
      <c r="B974" s="965"/>
      <c r="C974" s="965"/>
      <c r="D974" s="965"/>
      <c r="E974" s="965"/>
      <c r="F974" s="965"/>
      <c r="G974" s="965"/>
      <c r="H974" s="965"/>
      <c r="I974" s="965"/>
      <c r="J974" s="965"/>
      <c r="K974" s="965"/>
      <c r="L974" s="965"/>
      <c r="M974" s="965"/>
      <c r="N974" s="965"/>
      <c r="O974" s="965"/>
      <c r="P974" s="965"/>
      <c r="Q974" s="965"/>
      <c r="R974" s="965"/>
      <c r="S974" s="965"/>
      <c r="T974" s="965"/>
      <c r="U974" s="965"/>
      <c r="V974" s="965"/>
      <c r="W974" s="965"/>
      <c r="X974" s="965"/>
      <c r="Y974" s="965"/>
      <c r="Z974" s="965"/>
    </row>
    <row r="975">
      <c r="A975" s="965"/>
      <c r="B975" s="965"/>
      <c r="C975" s="965"/>
      <c r="D975" s="965"/>
      <c r="E975" s="965"/>
      <c r="F975" s="965"/>
      <c r="G975" s="965"/>
      <c r="H975" s="965"/>
      <c r="I975" s="965"/>
      <c r="J975" s="965"/>
      <c r="K975" s="965"/>
      <c r="L975" s="965"/>
      <c r="M975" s="965"/>
      <c r="N975" s="965"/>
      <c r="O975" s="965"/>
      <c r="P975" s="965"/>
      <c r="Q975" s="965"/>
      <c r="R975" s="965"/>
      <c r="S975" s="965"/>
      <c r="T975" s="965"/>
      <c r="U975" s="965"/>
      <c r="V975" s="965"/>
      <c r="W975" s="965"/>
      <c r="X975" s="965"/>
      <c r="Y975" s="965"/>
      <c r="Z975" s="965"/>
    </row>
    <row r="976">
      <c r="A976" s="965"/>
      <c r="B976" s="965"/>
      <c r="C976" s="965"/>
      <c r="D976" s="965"/>
      <c r="E976" s="965"/>
      <c r="F976" s="965"/>
      <c r="G976" s="965"/>
      <c r="H976" s="965"/>
      <c r="I976" s="965"/>
      <c r="J976" s="965"/>
      <c r="K976" s="965"/>
      <c r="L976" s="965"/>
      <c r="M976" s="965"/>
      <c r="N976" s="965"/>
      <c r="O976" s="965"/>
      <c r="P976" s="965"/>
      <c r="Q976" s="965"/>
      <c r="R976" s="965"/>
      <c r="S976" s="965"/>
      <c r="T976" s="965"/>
      <c r="U976" s="965"/>
      <c r="V976" s="965"/>
      <c r="W976" s="965"/>
      <c r="X976" s="965"/>
      <c r="Y976" s="965"/>
      <c r="Z976" s="965"/>
    </row>
    <row r="977">
      <c r="A977" s="965"/>
      <c r="B977" s="965"/>
      <c r="C977" s="965"/>
      <c r="D977" s="965"/>
      <c r="E977" s="965"/>
      <c r="F977" s="965"/>
      <c r="G977" s="965"/>
      <c r="H977" s="965"/>
      <c r="I977" s="965"/>
      <c r="J977" s="965"/>
      <c r="K977" s="965"/>
      <c r="L977" s="965"/>
      <c r="M977" s="965"/>
      <c r="N977" s="965"/>
      <c r="O977" s="965"/>
      <c r="P977" s="965"/>
      <c r="Q977" s="965"/>
      <c r="R977" s="965"/>
      <c r="S977" s="965"/>
      <c r="T977" s="965"/>
      <c r="U977" s="965"/>
      <c r="V977" s="965"/>
      <c r="W977" s="965"/>
      <c r="X977" s="965"/>
      <c r="Y977" s="965"/>
      <c r="Z977" s="965"/>
    </row>
    <row r="978">
      <c r="A978" s="965"/>
      <c r="B978" s="965"/>
      <c r="C978" s="965"/>
      <c r="D978" s="965"/>
      <c r="E978" s="965"/>
      <c r="F978" s="965"/>
      <c r="G978" s="965"/>
      <c r="H978" s="965"/>
      <c r="I978" s="965"/>
      <c r="J978" s="965"/>
      <c r="K978" s="965"/>
      <c r="L978" s="965"/>
      <c r="M978" s="965"/>
      <c r="N978" s="965"/>
      <c r="O978" s="965"/>
      <c r="P978" s="965"/>
      <c r="Q978" s="965"/>
      <c r="R978" s="965"/>
      <c r="S978" s="965"/>
      <c r="T978" s="965"/>
      <c r="U978" s="965"/>
      <c r="V978" s="965"/>
      <c r="W978" s="965"/>
      <c r="X978" s="965"/>
      <c r="Y978" s="965"/>
      <c r="Z978" s="965"/>
    </row>
    <row r="979">
      <c r="A979" s="965"/>
      <c r="B979" s="965"/>
      <c r="C979" s="965"/>
      <c r="D979" s="965"/>
      <c r="E979" s="965"/>
      <c r="F979" s="965"/>
      <c r="G979" s="965"/>
      <c r="H979" s="965"/>
      <c r="I979" s="965"/>
      <c r="J979" s="965"/>
      <c r="K979" s="965"/>
      <c r="L979" s="965"/>
      <c r="M979" s="965"/>
      <c r="N979" s="965"/>
      <c r="O979" s="965"/>
      <c r="P979" s="965"/>
      <c r="Q979" s="965"/>
      <c r="R979" s="965"/>
      <c r="S979" s="965"/>
      <c r="T979" s="965"/>
      <c r="U979" s="965"/>
      <c r="V979" s="965"/>
      <c r="W979" s="965"/>
      <c r="X979" s="965"/>
      <c r="Y979" s="965"/>
      <c r="Z979" s="965"/>
    </row>
    <row r="980">
      <c r="A980" s="965"/>
      <c r="B980" s="965"/>
      <c r="C980" s="965"/>
      <c r="D980" s="965"/>
      <c r="E980" s="965"/>
      <c r="F980" s="965"/>
      <c r="G980" s="965"/>
      <c r="H980" s="965"/>
      <c r="I980" s="965"/>
      <c r="J980" s="965"/>
      <c r="K980" s="965"/>
      <c r="L980" s="965"/>
      <c r="M980" s="965"/>
      <c r="N980" s="965"/>
      <c r="O980" s="965"/>
      <c r="P980" s="965"/>
      <c r="Q980" s="965"/>
      <c r="R980" s="965"/>
      <c r="S980" s="965"/>
      <c r="T980" s="965"/>
      <c r="U980" s="965"/>
      <c r="V980" s="965"/>
      <c r="W980" s="965"/>
      <c r="X980" s="965"/>
      <c r="Y980" s="965"/>
      <c r="Z980" s="965"/>
    </row>
    <row r="981">
      <c r="A981" s="965"/>
      <c r="B981" s="965"/>
      <c r="C981" s="965"/>
      <c r="D981" s="965"/>
      <c r="E981" s="965"/>
      <c r="F981" s="965"/>
      <c r="G981" s="965"/>
      <c r="H981" s="965"/>
      <c r="I981" s="965"/>
      <c r="J981" s="965"/>
      <c r="K981" s="965"/>
      <c r="L981" s="965"/>
      <c r="M981" s="965"/>
      <c r="N981" s="965"/>
      <c r="O981" s="965"/>
      <c r="P981" s="965"/>
      <c r="Q981" s="965"/>
      <c r="R981" s="965"/>
      <c r="S981" s="965"/>
      <c r="T981" s="965"/>
      <c r="U981" s="965"/>
      <c r="V981" s="965"/>
      <c r="W981" s="965"/>
      <c r="X981" s="965"/>
      <c r="Y981" s="965"/>
      <c r="Z981" s="965"/>
    </row>
    <row r="982">
      <c r="A982" s="965"/>
      <c r="B982" s="965"/>
      <c r="C982" s="965"/>
      <c r="D982" s="965"/>
      <c r="E982" s="965"/>
      <c r="F982" s="965"/>
      <c r="G982" s="965"/>
      <c r="H982" s="965"/>
      <c r="I982" s="965"/>
      <c r="J982" s="965"/>
      <c r="K982" s="965"/>
      <c r="L982" s="965"/>
      <c r="M982" s="965"/>
      <c r="N982" s="965"/>
      <c r="O982" s="965"/>
      <c r="P982" s="965"/>
      <c r="Q982" s="965"/>
      <c r="R982" s="965"/>
      <c r="S982" s="965"/>
      <c r="T982" s="965"/>
      <c r="U982" s="965"/>
      <c r="V982" s="965"/>
      <c r="W982" s="965"/>
      <c r="X982" s="965"/>
      <c r="Y982" s="965"/>
      <c r="Z982" s="965"/>
    </row>
    <row r="983">
      <c r="A983" s="965"/>
      <c r="B983" s="965"/>
      <c r="C983" s="965"/>
      <c r="D983" s="965"/>
      <c r="E983" s="965"/>
      <c r="F983" s="965"/>
      <c r="G983" s="965"/>
      <c r="H983" s="965"/>
      <c r="I983" s="965"/>
      <c r="J983" s="965"/>
      <c r="K983" s="965"/>
      <c r="L983" s="965"/>
      <c r="M983" s="965"/>
      <c r="N983" s="965"/>
      <c r="O983" s="965"/>
      <c r="P983" s="965"/>
      <c r="Q983" s="965"/>
      <c r="R983" s="965"/>
      <c r="S983" s="965"/>
      <c r="T983" s="965"/>
      <c r="U983" s="965"/>
      <c r="V983" s="965"/>
      <c r="W983" s="965"/>
      <c r="X983" s="965"/>
      <c r="Y983" s="965"/>
      <c r="Z983" s="965"/>
    </row>
    <row r="984">
      <c r="A984" s="965"/>
      <c r="B984" s="965"/>
      <c r="C984" s="965"/>
      <c r="D984" s="965"/>
      <c r="E984" s="965"/>
      <c r="F984" s="965"/>
      <c r="G984" s="965"/>
      <c r="H984" s="965"/>
      <c r="I984" s="965"/>
      <c r="J984" s="965"/>
      <c r="K984" s="965"/>
      <c r="L984" s="965"/>
      <c r="M984" s="965"/>
      <c r="N984" s="965"/>
      <c r="O984" s="965"/>
      <c r="P984" s="965"/>
      <c r="Q984" s="965"/>
      <c r="R984" s="965"/>
      <c r="S984" s="965"/>
      <c r="T984" s="965"/>
      <c r="U984" s="965"/>
      <c r="V984" s="965"/>
      <c r="W984" s="965"/>
      <c r="X984" s="965"/>
      <c r="Y984" s="965"/>
      <c r="Z984" s="965"/>
    </row>
    <row r="985">
      <c r="A985" s="965"/>
      <c r="B985" s="965"/>
      <c r="C985" s="965"/>
      <c r="D985" s="965"/>
      <c r="E985" s="965"/>
      <c r="F985" s="965"/>
      <c r="G985" s="965"/>
      <c r="H985" s="965"/>
      <c r="I985" s="965"/>
      <c r="J985" s="965"/>
      <c r="K985" s="965"/>
      <c r="L985" s="965"/>
      <c r="M985" s="965"/>
      <c r="N985" s="965"/>
      <c r="O985" s="965"/>
      <c r="P985" s="965"/>
      <c r="Q985" s="965"/>
      <c r="R985" s="965"/>
      <c r="S985" s="965"/>
      <c r="T985" s="965"/>
      <c r="U985" s="965"/>
      <c r="V985" s="965"/>
      <c r="W985" s="965"/>
      <c r="X985" s="965"/>
      <c r="Y985" s="965"/>
      <c r="Z985" s="965"/>
    </row>
    <row r="986">
      <c r="A986" s="965"/>
      <c r="B986" s="965"/>
      <c r="C986" s="965"/>
      <c r="D986" s="965"/>
      <c r="E986" s="965"/>
      <c r="F986" s="965"/>
      <c r="G986" s="965"/>
      <c r="H986" s="965"/>
      <c r="I986" s="965"/>
      <c r="J986" s="965"/>
      <c r="K986" s="965"/>
      <c r="L986" s="965"/>
      <c r="M986" s="965"/>
      <c r="N986" s="965"/>
      <c r="O986" s="965"/>
      <c r="P986" s="965"/>
      <c r="Q986" s="965"/>
      <c r="R986" s="965"/>
      <c r="S986" s="965"/>
      <c r="T986" s="965"/>
      <c r="U986" s="965"/>
      <c r="V986" s="965"/>
      <c r="W986" s="965"/>
      <c r="X986" s="965"/>
      <c r="Y986" s="965"/>
      <c r="Z986" s="965"/>
    </row>
    <row r="987">
      <c r="A987" s="965"/>
      <c r="B987" s="965"/>
      <c r="C987" s="965"/>
      <c r="D987" s="965"/>
      <c r="E987" s="965"/>
      <c r="F987" s="965"/>
      <c r="G987" s="965"/>
      <c r="H987" s="965"/>
      <c r="I987" s="965"/>
      <c r="J987" s="965"/>
      <c r="K987" s="965"/>
      <c r="L987" s="965"/>
      <c r="M987" s="965"/>
      <c r="N987" s="965"/>
      <c r="O987" s="965"/>
      <c r="P987" s="965"/>
      <c r="Q987" s="965"/>
      <c r="R987" s="965"/>
      <c r="S987" s="965"/>
      <c r="T987" s="965"/>
      <c r="U987" s="965"/>
      <c r="V987" s="965"/>
      <c r="W987" s="965"/>
      <c r="X987" s="965"/>
      <c r="Y987" s="965"/>
      <c r="Z987" s="965"/>
    </row>
    <row r="988">
      <c r="A988" s="965"/>
      <c r="B988" s="965"/>
      <c r="C988" s="965"/>
      <c r="D988" s="965"/>
      <c r="E988" s="965"/>
      <c r="F988" s="965"/>
      <c r="G988" s="965"/>
      <c r="H988" s="965"/>
      <c r="I988" s="965"/>
      <c r="J988" s="965"/>
      <c r="K988" s="965"/>
      <c r="L988" s="965"/>
      <c r="M988" s="965"/>
      <c r="N988" s="965"/>
      <c r="O988" s="965"/>
      <c r="P988" s="965"/>
      <c r="Q988" s="965"/>
      <c r="R988" s="965"/>
      <c r="S988" s="965"/>
      <c r="T988" s="965"/>
      <c r="U988" s="965"/>
      <c r="V988" s="965"/>
      <c r="W988" s="965"/>
      <c r="X988" s="965"/>
      <c r="Y988" s="965"/>
      <c r="Z988" s="965"/>
    </row>
    <row r="989">
      <c r="A989" s="965"/>
      <c r="B989" s="965"/>
      <c r="C989" s="965"/>
      <c r="D989" s="965"/>
      <c r="E989" s="965"/>
      <c r="F989" s="965"/>
      <c r="G989" s="965"/>
      <c r="H989" s="965"/>
      <c r="I989" s="965"/>
      <c r="J989" s="965"/>
      <c r="K989" s="965"/>
      <c r="L989" s="965"/>
      <c r="M989" s="965"/>
      <c r="N989" s="965"/>
      <c r="O989" s="965"/>
      <c r="P989" s="965"/>
      <c r="Q989" s="965"/>
      <c r="R989" s="965"/>
      <c r="S989" s="965"/>
      <c r="T989" s="965"/>
      <c r="U989" s="965"/>
      <c r="V989" s="965"/>
      <c r="W989" s="965"/>
      <c r="X989" s="965"/>
      <c r="Y989" s="965"/>
      <c r="Z989" s="965"/>
    </row>
    <row r="990">
      <c r="A990" s="965"/>
      <c r="B990" s="965"/>
      <c r="C990" s="965"/>
      <c r="D990" s="965"/>
      <c r="E990" s="965"/>
      <c r="F990" s="965"/>
      <c r="G990" s="965"/>
      <c r="H990" s="965"/>
      <c r="I990" s="965"/>
      <c r="J990" s="965"/>
      <c r="K990" s="965"/>
      <c r="L990" s="965"/>
      <c r="M990" s="965"/>
      <c r="N990" s="965"/>
      <c r="O990" s="965"/>
      <c r="P990" s="965"/>
      <c r="Q990" s="965"/>
      <c r="R990" s="965"/>
      <c r="S990" s="965"/>
      <c r="T990" s="965"/>
      <c r="U990" s="965"/>
      <c r="V990" s="965"/>
      <c r="W990" s="965"/>
      <c r="X990" s="965"/>
      <c r="Y990" s="965"/>
      <c r="Z990" s="965"/>
    </row>
    <row r="991">
      <c r="A991" s="965"/>
      <c r="B991" s="965"/>
      <c r="C991" s="965"/>
      <c r="D991" s="965"/>
      <c r="E991" s="965"/>
      <c r="F991" s="965"/>
      <c r="G991" s="965"/>
      <c r="H991" s="965"/>
      <c r="I991" s="965"/>
      <c r="J991" s="965"/>
      <c r="K991" s="965"/>
      <c r="L991" s="965"/>
      <c r="M991" s="965"/>
      <c r="N991" s="965"/>
      <c r="O991" s="965"/>
      <c r="P991" s="965"/>
      <c r="Q991" s="965"/>
      <c r="R991" s="965"/>
      <c r="S991" s="965"/>
      <c r="T991" s="965"/>
      <c r="U991" s="965"/>
      <c r="V991" s="965"/>
      <c r="W991" s="965"/>
      <c r="X991" s="965"/>
      <c r="Y991" s="965"/>
      <c r="Z991" s="965"/>
    </row>
    <row r="992">
      <c r="A992" s="965"/>
      <c r="B992" s="965"/>
      <c r="C992" s="965"/>
      <c r="D992" s="965"/>
      <c r="E992" s="965"/>
      <c r="F992" s="965"/>
      <c r="G992" s="965"/>
      <c r="H992" s="965"/>
      <c r="I992" s="965"/>
      <c r="J992" s="965"/>
      <c r="K992" s="965"/>
      <c r="L992" s="965"/>
      <c r="M992" s="965"/>
      <c r="N992" s="965"/>
      <c r="O992" s="965"/>
      <c r="P992" s="965"/>
      <c r="Q992" s="965"/>
      <c r="R992" s="965"/>
      <c r="S992" s="965"/>
      <c r="T992" s="965"/>
      <c r="U992" s="965"/>
      <c r="V992" s="965"/>
      <c r="W992" s="965"/>
      <c r="X992" s="965"/>
      <c r="Y992" s="965"/>
      <c r="Z992" s="965"/>
    </row>
    <row r="993">
      <c r="A993" s="965"/>
      <c r="B993" s="965"/>
      <c r="C993" s="965"/>
      <c r="D993" s="965"/>
      <c r="E993" s="965"/>
      <c r="F993" s="965"/>
      <c r="G993" s="965"/>
      <c r="H993" s="965"/>
      <c r="I993" s="965"/>
      <c r="J993" s="965"/>
      <c r="K993" s="965"/>
      <c r="L993" s="965"/>
      <c r="M993" s="965"/>
      <c r="N993" s="965"/>
      <c r="O993" s="965"/>
      <c r="P993" s="965"/>
      <c r="Q993" s="965"/>
      <c r="R993" s="965"/>
      <c r="S993" s="965"/>
      <c r="T993" s="965"/>
      <c r="U993" s="965"/>
      <c r="V993" s="965"/>
      <c r="W993" s="965"/>
      <c r="X993" s="965"/>
      <c r="Y993" s="965"/>
      <c r="Z993" s="965"/>
    </row>
    <row r="994">
      <c r="A994" s="965"/>
      <c r="B994" s="965"/>
      <c r="C994" s="965"/>
      <c r="D994" s="965"/>
      <c r="E994" s="965"/>
      <c r="F994" s="965"/>
      <c r="G994" s="965"/>
      <c r="H994" s="965"/>
      <c r="I994" s="965"/>
      <c r="J994" s="965"/>
      <c r="K994" s="965"/>
      <c r="L994" s="965"/>
      <c r="M994" s="965"/>
      <c r="N994" s="965"/>
      <c r="O994" s="965"/>
      <c r="P994" s="965"/>
      <c r="Q994" s="965"/>
      <c r="R994" s="965"/>
      <c r="S994" s="965"/>
      <c r="T994" s="965"/>
      <c r="U994" s="965"/>
      <c r="V994" s="965"/>
      <c r="W994" s="965"/>
      <c r="X994" s="965"/>
      <c r="Y994" s="965"/>
      <c r="Z994" s="965"/>
    </row>
    <row r="995">
      <c r="A995" s="965"/>
      <c r="B995" s="965"/>
      <c r="C995" s="965"/>
      <c r="D995" s="965"/>
      <c r="E995" s="965"/>
      <c r="F995" s="965"/>
      <c r="G995" s="965"/>
      <c r="H995" s="965"/>
      <c r="I995" s="965"/>
      <c r="J995" s="965"/>
      <c r="K995" s="965"/>
      <c r="L995" s="965"/>
      <c r="M995" s="965"/>
      <c r="N995" s="965"/>
      <c r="O995" s="965"/>
      <c r="P995" s="965"/>
      <c r="Q995" s="965"/>
      <c r="R995" s="965"/>
      <c r="S995" s="965"/>
      <c r="T995" s="965"/>
      <c r="U995" s="965"/>
      <c r="V995" s="965"/>
      <c r="W995" s="965"/>
      <c r="X995" s="965"/>
      <c r="Y995" s="965"/>
      <c r="Z995" s="965"/>
    </row>
    <row r="996">
      <c r="A996" s="965"/>
      <c r="B996" s="965"/>
      <c r="C996" s="965"/>
      <c r="D996" s="965"/>
      <c r="E996" s="965"/>
      <c r="F996" s="965"/>
      <c r="G996" s="965"/>
      <c r="H996" s="965"/>
      <c r="I996" s="965"/>
      <c r="J996" s="965"/>
      <c r="K996" s="965"/>
      <c r="L996" s="965"/>
      <c r="M996" s="965"/>
      <c r="N996" s="965"/>
      <c r="O996" s="965"/>
      <c r="P996" s="965"/>
      <c r="Q996" s="965"/>
      <c r="R996" s="965"/>
      <c r="S996" s="965"/>
      <c r="T996" s="965"/>
      <c r="U996" s="965"/>
      <c r="V996" s="965"/>
      <c r="W996" s="965"/>
      <c r="X996" s="965"/>
      <c r="Y996" s="965"/>
      <c r="Z996" s="965"/>
    </row>
    <row r="997">
      <c r="A997" s="965"/>
      <c r="B997" s="965"/>
      <c r="C997" s="965"/>
      <c r="D997" s="965"/>
      <c r="E997" s="965"/>
      <c r="F997" s="965"/>
      <c r="G997" s="965"/>
      <c r="H997" s="965"/>
      <c r="I997" s="965"/>
      <c r="J997" s="965"/>
      <c r="K997" s="965"/>
      <c r="L997" s="965"/>
      <c r="M997" s="965"/>
      <c r="N997" s="965"/>
      <c r="O997" s="965"/>
      <c r="P997" s="965"/>
      <c r="Q997" s="965"/>
      <c r="R997" s="965"/>
      <c r="S997" s="965"/>
      <c r="T997" s="965"/>
      <c r="U997" s="965"/>
      <c r="V997" s="965"/>
      <c r="W997" s="965"/>
      <c r="X997" s="965"/>
      <c r="Y997" s="965"/>
      <c r="Z997" s="965"/>
    </row>
    <row r="998">
      <c r="A998" s="965"/>
      <c r="B998" s="965"/>
      <c r="C998" s="965"/>
      <c r="D998" s="965"/>
      <c r="E998" s="965"/>
      <c r="F998" s="965"/>
      <c r="G998" s="965"/>
      <c r="H998" s="965"/>
      <c r="I998" s="965"/>
      <c r="J998" s="965"/>
      <c r="K998" s="965"/>
      <c r="L998" s="965"/>
      <c r="M998" s="965"/>
      <c r="N998" s="965"/>
      <c r="O998" s="965"/>
      <c r="P998" s="965"/>
      <c r="Q998" s="965"/>
      <c r="R998" s="965"/>
      <c r="S998" s="965"/>
      <c r="T998" s="965"/>
      <c r="U998" s="965"/>
      <c r="V998" s="965"/>
      <c r="W998" s="965"/>
      <c r="X998" s="965"/>
      <c r="Y998" s="965"/>
      <c r="Z998" s="965"/>
    </row>
    <row r="999">
      <c r="A999" s="965"/>
      <c r="B999" s="965"/>
      <c r="C999" s="965"/>
      <c r="D999" s="965"/>
      <c r="E999" s="965"/>
      <c r="F999" s="965"/>
      <c r="G999" s="965"/>
      <c r="H999" s="965"/>
      <c r="I999" s="965"/>
      <c r="J999" s="965"/>
      <c r="K999" s="965"/>
      <c r="L999" s="965"/>
      <c r="M999" s="965"/>
      <c r="N999" s="965"/>
      <c r="O999" s="965"/>
      <c r="P999" s="965"/>
      <c r="Q999" s="965"/>
      <c r="R999" s="965"/>
      <c r="S999" s="965"/>
      <c r="T999" s="965"/>
      <c r="U999" s="965"/>
      <c r="V999" s="965"/>
      <c r="W999" s="965"/>
      <c r="X999" s="965"/>
      <c r="Y999" s="965"/>
      <c r="Z999" s="965"/>
    </row>
    <row r="1000">
      <c r="A1000" s="965"/>
      <c r="B1000" s="965"/>
      <c r="C1000" s="965"/>
      <c r="D1000" s="965"/>
      <c r="E1000" s="965"/>
      <c r="F1000" s="965"/>
      <c r="G1000" s="965"/>
      <c r="H1000" s="965"/>
      <c r="I1000" s="965"/>
      <c r="J1000" s="965"/>
      <c r="K1000" s="965"/>
      <c r="L1000" s="965"/>
      <c r="M1000" s="965"/>
      <c r="N1000" s="965"/>
      <c r="O1000" s="965"/>
      <c r="P1000" s="965"/>
      <c r="Q1000" s="965"/>
      <c r="R1000" s="965"/>
      <c r="S1000" s="965"/>
      <c r="T1000" s="965"/>
      <c r="U1000" s="965"/>
      <c r="V1000" s="965"/>
      <c r="W1000" s="965"/>
      <c r="X1000" s="965"/>
      <c r="Y1000" s="965"/>
      <c r="Z1000" s="965"/>
    </row>
    <row r="1001">
      <c r="A1001" s="965"/>
      <c r="B1001" s="965"/>
      <c r="C1001" s="965"/>
      <c r="D1001" s="965"/>
      <c r="E1001" s="965"/>
      <c r="F1001" s="965"/>
      <c r="G1001" s="965"/>
      <c r="H1001" s="965"/>
      <c r="I1001" s="965"/>
      <c r="J1001" s="965"/>
      <c r="K1001" s="965"/>
      <c r="L1001" s="965"/>
      <c r="M1001" s="965"/>
      <c r="N1001" s="965"/>
      <c r="O1001" s="965"/>
      <c r="P1001" s="965"/>
      <c r="Q1001" s="965"/>
      <c r="R1001" s="965"/>
      <c r="S1001" s="965"/>
      <c r="T1001" s="965"/>
      <c r="U1001" s="965"/>
      <c r="V1001" s="965"/>
      <c r="W1001" s="965"/>
      <c r="X1001" s="965"/>
      <c r="Y1001" s="965"/>
      <c r="Z1001" s="965"/>
    </row>
    <row r="1002">
      <c r="A1002" s="965"/>
      <c r="B1002" s="965"/>
      <c r="C1002" s="965"/>
      <c r="D1002" s="965"/>
      <c r="E1002" s="965"/>
      <c r="F1002" s="965"/>
      <c r="G1002" s="965"/>
      <c r="H1002" s="965"/>
      <c r="I1002" s="965"/>
      <c r="J1002" s="965"/>
      <c r="K1002" s="965"/>
      <c r="L1002" s="965"/>
      <c r="M1002" s="965"/>
      <c r="N1002" s="965"/>
      <c r="O1002" s="965"/>
      <c r="P1002" s="965"/>
      <c r="Q1002" s="965"/>
      <c r="R1002" s="965"/>
      <c r="S1002" s="965"/>
      <c r="T1002" s="965"/>
      <c r="U1002" s="965"/>
      <c r="V1002" s="965"/>
      <c r="W1002" s="965"/>
      <c r="X1002" s="965"/>
      <c r="Y1002" s="965"/>
      <c r="Z1002" s="965"/>
    </row>
    <row r="1003">
      <c r="A1003" s="965"/>
      <c r="B1003" s="965"/>
      <c r="C1003" s="965"/>
      <c r="D1003" s="965"/>
      <c r="E1003" s="965"/>
      <c r="F1003" s="965"/>
      <c r="G1003" s="965"/>
      <c r="H1003" s="965"/>
      <c r="I1003" s="965"/>
      <c r="J1003" s="965"/>
      <c r="K1003" s="965"/>
      <c r="L1003" s="965"/>
      <c r="M1003" s="965"/>
      <c r="N1003" s="965"/>
      <c r="O1003" s="965"/>
      <c r="P1003" s="965"/>
      <c r="Q1003" s="965"/>
      <c r="R1003" s="965"/>
      <c r="S1003" s="965"/>
      <c r="T1003" s="965"/>
      <c r="U1003" s="965"/>
      <c r="V1003" s="965"/>
      <c r="W1003" s="965"/>
      <c r="X1003" s="965"/>
      <c r="Y1003" s="965"/>
      <c r="Z1003" s="965"/>
    </row>
    <row r="1004">
      <c r="A1004" s="965"/>
      <c r="B1004" s="965"/>
      <c r="C1004" s="965"/>
      <c r="D1004" s="965"/>
      <c r="E1004" s="965"/>
      <c r="F1004" s="965"/>
      <c r="G1004" s="965"/>
      <c r="H1004" s="965"/>
      <c r="I1004" s="965"/>
      <c r="J1004" s="965"/>
      <c r="K1004" s="965"/>
      <c r="L1004" s="965"/>
      <c r="M1004" s="965"/>
      <c r="N1004" s="965"/>
      <c r="O1004" s="965"/>
      <c r="P1004" s="965"/>
      <c r="Q1004" s="965"/>
      <c r="R1004" s="965"/>
      <c r="S1004" s="965"/>
      <c r="T1004" s="965"/>
      <c r="U1004" s="965"/>
      <c r="V1004" s="965"/>
      <c r="W1004" s="965"/>
      <c r="X1004" s="965"/>
      <c r="Y1004" s="965"/>
      <c r="Z1004" s="965"/>
    </row>
    <row r="1005">
      <c r="A1005" s="965"/>
      <c r="B1005" s="965"/>
      <c r="C1005" s="965"/>
      <c r="D1005" s="965"/>
      <c r="E1005" s="965"/>
      <c r="F1005" s="965"/>
      <c r="G1005" s="965"/>
      <c r="H1005" s="965"/>
      <c r="I1005" s="965"/>
      <c r="J1005" s="965"/>
      <c r="K1005" s="965"/>
      <c r="L1005" s="965"/>
      <c r="M1005" s="965"/>
      <c r="N1005" s="965"/>
      <c r="O1005" s="965"/>
      <c r="P1005" s="965"/>
      <c r="Q1005" s="965"/>
      <c r="R1005" s="965"/>
      <c r="S1005" s="965"/>
      <c r="T1005" s="965"/>
      <c r="U1005" s="965"/>
      <c r="V1005" s="965"/>
      <c r="W1005" s="965"/>
      <c r="X1005" s="965"/>
      <c r="Y1005" s="965"/>
      <c r="Z1005" s="965"/>
    </row>
    <row r="1006">
      <c r="A1006" s="965"/>
      <c r="B1006" s="965"/>
      <c r="C1006" s="965"/>
      <c r="D1006" s="965"/>
      <c r="E1006" s="965"/>
      <c r="F1006" s="965"/>
      <c r="G1006" s="965"/>
      <c r="H1006" s="965"/>
      <c r="I1006" s="965"/>
      <c r="J1006" s="965"/>
      <c r="K1006" s="965"/>
      <c r="L1006" s="965"/>
      <c r="M1006" s="965"/>
      <c r="N1006" s="965"/>
      <c r="O1006" s="965"/>
      <c r="P1006" s="965"/>
      <c r="Q1006" s="965"/>
      <c r="R1006" s="965"/>
      <c r="S1006" s="965"/>
      <c r="T1006" s="965"/>
      <c r="U1006" s="965"/>
      <c r="V1006" s="965"/>
      <c r="W1006" s="965"/>
      <c r="X1006" s="965"/>
      <c r="Y1006" s="965"/>
      <c r="Z1006" s="965"/>
    </row>
    <row r="1007">
      <c r="A1007" s="965"/>
      <c r="B1007" s="965"/>
      <c r="C1007" s="965"/>
      <c r="D1007" s="965"/>
      <c r="E1007" s="965"/>
      <c r="F1007" s="965"/>
      <c r="G1007" s="965"/>
      <c r="H1007" s="965"/>
      <c r="I1007" s="965"/>
      <c r="J1007" s="965"/>
      <c r="K1007" s="965"/>
      <c r="L1007" s="965"/>
      <c r="M1007" s="965"/>
      <c r="N1007" s="965"/>
      <c r="O1007" s="965"/>
      <c r="P1007" s="965"/>
      <c r="Q1007" s="965"/>
      <c r="R1007" s="965"/>
      <c r="S1007" s="965"/>
      <c r="T1007" s="965"/>
      <c r="U1007" s="965"/>
      <c r="V1007" s="965"/>
      <c r="W1007" s="965"/>
      <c r="X1007" s="965"/>
      <c r="Y1007" s="965"/>
      <c r="Z1007" s="965"/>
    </row>
    <row r="1008">
      <c r="A1008" s="965"/>
      <c r="B1008" s="965"/>
      <c r="C1008" s="965"/>
      <c r="D1008" s="965"/>
      <c r="E1008" s="965"/>
      <c r="F1008" s="965"/>
      <c r="G1008" s="965"/>
      <c r="H1008" s="965"/>
      <c r="I1008" s="965"/>
      <c r="J1008" s="965"/>
      <c r="K1008" s="965"/>
      <c r="L1008" s="965"/>
      <c r="M1008" s="965"/>
      <c r="N1008" s="965"/>
      <c r="O1008" s="965"/>
      <c r="P1008" s="965"/>
      <c r="Q1008" s="965"/>
      <c r="R1008" s="965"/>
      <c r="S1008" s="965"/>
      <c r="T1008" s="965"/>
      <c r="U1008" s="965"/>
      <c r="V1008" s="965"/>
      <c r="W1008" s="965"/>
      <c r="X1008" s="965"/>
      <c r="Y1008" s="965"/>
      <c r="Z1008" s="965"/>
    </row>
    <row r="1009">
      <c r="A1009" s="965"/>
      <c r="B1009" s="965"/>
      <c r="C1009" s="965"/>
      <c r="D1009" s="965"/>
      <c r="E1009" s="965"/>
      <c r="F1009" s="965"/>
      <c r="G1009" s="965"/>
      <c r="H1009" s="965"/>
      <c r="I1009" s="965"/>
      <c r="J1009" s="965"/>
      <c r="K1009" s="965"/>
      <c r="L1009" s="965"/>
      <c r="M1009" s="965"/>
      <c r="N1009" s="965"/>
      <c r="O1009" s="965"/>
      <c r="P1009" s="965"/>
      <c r="Q1009" s="965"/>
      <c r="R1009" s="965"/>
      <c r="S1009" s="965"/>
      <c r="T1009" s="965"/>
      <c r="U1009" s="965"/>
      <c r="V1009" s="965"/>
      <c r="W1009" s="965"/>
      <c r="X1009" s="965"/>
      <c r="Y1009" s="965"/>
      <c r="Z1009" s="965"/>
    </row>
    <row r="1010">
      <c r="A1010" s="965"/>
      <c r="B1010" s="965"/>
      <c r="C1010" s="965"/>
      <c r="D1010" s="965"/>
      <c r="E1010" s="965"/>
      <c r="F1010" s="965"/>
      <c r="G1010" s="965"/>
      <c r="H1010" s="965"/>
      <c r="I1010" s="965"/>
      <c r="J1010" s="965"/>
      <c r="K1010" s="965"/>
      <c r="L1010" s="965"/>
      <c r="M1010" s="965"/>
      <c r="N1010" s="965"/>
      <c r="O1010" s="965"/>
      <c r="P1010" s="965"/>
      <c r="Q1010" s="965"/>
      <c r="R1010" s="965"/>
      <c r="S1010" s="965"/>
      <c r="T1010" s="965"/>
      <c r="U1010" s="965"/>
      <c r="V1010" s="965"/>
      <c r="W1010" s="965"/>
      <c r="X1010" s="965"/>
      <c r="Y1010" s="965"/>
      <c r="Z1010" s="965"/>
    </row>
    <row r="1011">
      <c r="A1011" s="965"/>
      <c r="B1011" s="965"/>
      <c r="C1011" s="965"/>
      <c r="D1011" s="965"/>
      <c r="E1011" s="965"/>
      <c r="F1011" s="965"/>
      <c r="G1011" s="965"/>
      <c r="H1011" s="965"/>
      <c r="I1011" s="965"/>
      <c r="J1011" s="965"/>
      <c r="K1011" s="965"/>
      <c r="L1011" s="965"/>
      <c r="M1011" s="965"/>
      <c r="N1011" s="965"/>
      <c r="O1011" s="965"/>
      <c r="P1011" s="965"/>
      <c r="Q1011" s="965"/>
      <c r="R1011" s="965"/>
      <c r="S1011" s="965"/>
      <c r="T1011" s="965"/>
      <c r="U1011" s="965"/>
      <c r="V1011" s="965"/>
      <c r="W1011" s="965"/>
      <c r="X1011" s="965"/>
      <c r="Y1011" s="965"/>
      <c r="Z1011" s="965"/>
    </row>
    <row r="1012">
      <c r="A1012" s="965"/>
      <c r="B1012" s="965"/>
      <c r="C1012" s="965"/>
      <c r="D1012" s="965"/>
      <c r="E1012" s="965"/>
      <c r="F1012" s="965"/>
      <c r="G1012" s="965"/>
      <c r="H1012" s="965"/>
      <c r="I1012" s="965"/>
      <c r="J1012" s="965"/>
      <c r="K1012" s="965"/>
      <c r="L1012" s="965"/>
      <c r="M1012" s="965"/>
      <c r="N1012" s="965"/>
      <c r="O1012" s="965"/>
      <c r="P1012" s="965"/>
      <c r="Q1012" s="965"/>
      <c r="R1012" s="965"/>
      <c r="S1012" s="965"/>
      <c r="T1012" s="965"/>
      <c r="U1012" s="965"/>
      <c r="V1012" s="965"/>
      <c r="W1012" s="965"/>
      <c r="X1012" s="965"/>
      <c r="Y1012" s="965"/>
      <c r="Z1012" s="965"/>
    </row>
    <row r="1013">
      <c r="A1013" s="965"/>
      <c r="B1013" s="965"/>
      <c r="C1013" s="965"/>
      <c r="D1013" s="965"/>
      <c r="E1013" s="965"/>
      <c r="F1013" s="965"/>
      <c r="G1013" s="965"/>
      <c r="H1013" s="965"/>
      <c r="I1013" s="965"/>
      <c r="J1013" s="965"/>
      <c r="K1013" s="965"/>
      <c r="L1013" s="965"/>
      <c r="M1013" s="965"/>
      <c r="N1013" s="965"/>
      <c r="O1013" s="965"/>
      <c r="P1013" s="965"/>
      <c r="Q1013" s="965"/>
      <c r="R1013" s="965"/>
      <c r="S1013" s="965"/>
      <c r="T1013" s="965"/>
      <c r="U1013" s="965"/>
      <c r="V1013" s="965"/>
      <c r="W1013" s="965"/>
      <c r="X1013" s="965"/>
      <c r="Y1013" s="965"/>
      <c r="Z1013" s="965"/>
    </row>
  </sheetData>
  <mergeCells count="3">
    <mergeCell ref="B4:E4"/>
    <mergeCell ref="A9:E9"/>
    <mergeCell ref="B10:E10"/>
  </mergeCells>
  <hyperlinks>
    <hyperlink r:id="rId2" ref="A17"/>
  </hyperlinks>
  <drawing r:id="rId3"/>
  <legacy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64.43"/>
  </cols>
  <sheetData>
    <row r="1">
      <c r="A1" s="968" t="s">
        <v>820</v>
      </c>
      <c r="B1" s="969"/>
      <c r="C1" s="969"/>
      <c r="D1" s="951"/>
      <c r="E1" s="951"/>
      <c r="F1" s="951"/>
      <c r="G1" s="951"/>
      <c r="H1" s="951"/>
      <c r="I1" s="951"/>
      <c r="J1" s="970"/>
      <c r="K1" s="970"/>
      <c r="L1" s="970"/>
      <c r="M1" s="970"/>
      <c r="N1" s="970"/>
      <c r="O1" s="970"/>
      <c r="P1" s="970"/>
      <c r="Q1" s="970"/>
      <c r="R1" s="970"/>
      <c r="S1" s="970"/>
      <c r="T1" s="970"/>
      <c r="U1" s="970"/>
      <c r="V1" s="970"/>
      <c r="W1" s="970"/>
      <c r="X1" s="970"/>
      <c r="Y1" s="970"/>
      <c r="Z1" s="970"/>
    </row>
    <row r="2">
      <c r="A2" s="971" t="s">
        <v>808</v>
      </c>
      <c r="B2" s="954"/>
      <c r="C2" s="954"/>
      <c r="D2" s="954"/>
      <c r="E2" s="954"/>
      <c r="F2" s="954"/>
      <c r="G2" s="954"/>
      <c r="H2" s="954"/>
      <c r="I2" s="954"/>
      <c r="J2" s="954"/>
      <c r="K2" s="954"/>
      <c r="L2" s="954"/>
      <c r="M2" s="954"/>
      <c r="N2" s="954"/>
      <c r="O2" s="954"/>
      <c r="P2" s="954"/>
      <c r="Q2" s="954"/>
      <c r="R2" s="954"/>
      <c r="S2" s="954"/>
      <c r="T2" s="954"/>
      <c r="U2" s="954"/>
      <c r="V2" s="954"/>
      <c r="W2" s="954"/>
      <c r="X2" s="954"/>
      <c r="Y2" s="954"/>
      <c r="Z2" s="954"/>
    </row>
    <row r="3">
      <c r="A3" s="79"/>
      <c r="B3" s="972" t="s">
        <v>809</v>
      </c>
      <c r="F3" s="79"/>
      <c r="G3" s="79"/>
      <c r="H3" s="79"/>
      <c r="I3" s="79"/>
      <c r="J3" s="79"/>
      <c r="K3" s="79"/>
      <c r="L3" s="79"/>
      <c r="M3" s="79"/>
      <c r="N3" s="79"/>
      <c r="O3" s="79"/>
      <c r="P3" s="79"/>
      <c r="Q3" s="79"/>
      <c r="R3" s="79"/>
      <c r="S3" s="79"/>
      <c r="T3" s="79"/>
      <c r="U3" s="79"/>
      <c r="V3" s="79"/>
      <c r="W3" s="79"/>
      <c r="X3" s="79"/>
      <c r="Y3" s="79"/>
      <c r="Z3" s="79"/>
    </row>
    <row r="4">
      <c r="A4" s="79"/>
      <c r="B4" s="973">
        <v>2021.0</v>
      </c>
      <c r="C4" s="973">
        <v>2022.0</v>
      </c>
      <c r="D4" s="973">
        <v>2023.0</v>
      </c>
      <c r="E4" s="973" t="s">
        <v>63</v>
      </c>
      <c r="F4" s="79"/>
      <c r="G4" s="79"/>
      <c r="H4" s="79"/>
      <c r="I4" s="79"/>
      <c r="J4" s="79"/>
      <c r="K4" s="79"/>
      <c r="L4" s="79"/>
      <c r="M4" s="79"/>
      <c r="N4" s="79"/>
      <c r="O4" s="79"/>
      <c r="P4" s="79"/>
      <c r="Q4" s="79"/>
      <c r="R4" s="79"/>
      <c r="S4" s="79"/>
      <c r="T4" s="79"/>
      <c r="U4" s="79"/>
      <c r="V4" s="79"/>
      <c r="W4" s="79"/>
      <c r="X4" s="79"/>
      <c r="Y4" s="79"/>
      <c r="Z4" s="79"/>
    </row>
    <row r="5">
      <c r="A5" s="974" t="s">
        <v>811</v>
      </c>
      <c r="B5" s="975">
        <f t="shared" ref="B5:E5" si="1">SUM(B10:B1008)</f>
        <v>110.0712176</v>
      </c>
      <c r="C5" s="975">
        <f t="shared" si="1"/>
        <v>146.689808</v>
      </c>
      <c r="D5" s="975">
        <f t="shared" si="1"/>
        <v>198.689808</v>
      </c>
      <c r="E5" s="975">
        <f t="shared" si="1"/>
        <v>455.4508336</v>
      </c>
      <c r="F5" s="79"/>
      <c r="G5" s="79"/>
      <c r="H5" s="79"/>
      <c r="I5" s="79"/>
      <c r="J5" s="79"/>
      <c r="K5" s="79"/>
      <c r="L5" s="79"/>
      <c r="M5" s="79"/>
      <c r="N5" s="79"/>
      <c r="O5" s="79"/>
      <c r="P5" s="79"/>
      <c r="Q5" s="79"/>
      <c r="R5" s="79"/>
      <c r="S5" s="79"/>
      <c r="T5" s="79"/>
      <c r="U5" s="79"/>
      <c r="V5" s="79"/>
      <c r="W5" s="79"/>
      <c r="X5" s="79"/>
      <c r="Y5" s="79"/>
      <c r="Z5" s="79"/>
    </row>
    <row r="6">
      <c r="A6" s="79"/>
      <c r="B6" s="973"/>
      <c r="C6" s="973"/>
      <c r="D6" s="973"/>
      <c r="E6" s="973"/>
      <c r="F6" s="79"/>
      <c r="G6" s="79"/>
      <c r="H6" s="79"/>
      <c r="I6" s="79"/>
      <c r="J6" s="79"/>
      <c r="K6" s="79"/>
      <c r="L6" s="79"/>
      <c r="M6" s="79"/>
      <c r="N6" s="79"/>
      <c r="O6" s="79"/>
      <c r="P6" s="79"/>
      <c r="Q6" s="79"/>
      <c r="R6" s="79"/>
      <c r="S6" s="79"/>
      <c r="T6" s="79"/>
      <c r="U6" s="79"/>
      <c r="V6" s="79"/>
      <c r="W6" s="79"/>
      <c r="X6" s="79"/>
      <c r="Y6" s="79"/>
      <c r="Z6" s="79"/>
    </row>
    <row r="7">
      <c r="A7" s="971" t="s">
        <v>812</v>
      </c>
      <c r="B7" s="954"/>
      <c r="C7" s="954"/>
      <c r="D7" s="954"/>
      <c r="E7" s="954"/>
      <c r="F7" s="954"/>
      <c r="G7" s="954"/>
      <c r="H7" s="954"/>
      <c r="I7" s="954"/>
      <c r="J7" s="954"/>
      <c r="K7" s="954"/>
      <c r="L7" s="954"/>
      <c r="M7" s="954"/>
      <c r="N7" s="954"/>
      <c r="O7" s="954"/>
      <c r="P7" s="954"/>
      <c r="Q7" s="954"/>
      <c r="R7" s="954"/>
      <c r="S7" s="954"/>
      <c r="T7" s="954"/>
      <c r="U7" s="954"/>
      <c r="V7" s="954"/>
      <c r="W7" s="954"/>
      <c r="X7" s="954"/>
      <c r="Y7" s="954"/>
      <c r="Z7" s="954"/>
    </row>
    <row r="8">
      <c r="A8" s="79"/>
      <c r="B8" s="972" t="s">
        <v>809</v>
      </c>
      <c r="F8" s="79"/>
      <c r="G8" s="79"/>
      <c r="H8" s="79"/>
      <c r="I8" s="79"/>
      <c r="J8" s="79"/>
      <c r="K8" s="79"/>
      <c r="L8" s="79"/>
      <c r="M8" s="79"/>
      <c r="N8" s="79"/>
      <c r="O8" s="79"/>
      <c r="P8" s="79"/>
      <c r="Q8" s="79"/>
      <c r="R8" s="79"/>
      <c r="S8" s="79"/>
      <c r="T8" s="79"/>
      <c r="U8" s="79"/>
      <c r="V8" s="79"/>
      <c r="W8" s="79"/>
      <c r="X8" s="79"/>
      <c r="Y8" s="79"/>
      <c r="Z8" s="79"/>
    </row>
    <row r="9">
      <c r="A9" s="974" t="s">
        <v>814</v>
      </c>
      <c r="B9" s="973">
        <v>2021.0</v>
      </c>
      <c r="C9" s="973">
        <v>2022.0</v>
      </c>
      <c r="D9" s="973">
        <v>2023.0</v>
      </c>
      <c r="E9" s="973" t="s">
        <v>63</v>
      </c>
      <c r="F9" s="79"/>
      <c r="G9" s="976" t="s">
        <v>815</v>
      </c>
      <c r="H9" s="972" t="s">
        <v>65</v>
      </c>
      <c r="I9" s="79"/>
      <c r="J9" s="79"/>
      <c r="K9" s="79"/>
      <c r="L9" s="79"/>
      <c r="M9" s="79"/>
      <c r="N9" s="79"/>
      <c r="O9" s="79"/>
      <c r="P9" s="79"/>
      <c r="Q9" s="79"/>
      <c r="R9" s="79"/>
      <c r="S9" s="79"/>
      <c r="T9" s="79"/>
      <c r="U9" s="79"/>
      <c r="V9" s="79"/>
      <c r="W9" s="79"/>
      <c r="X9" s="79"/>
      <c r="Y9" s="79"/>
      <c r="Z9" s="79"/>
    </row>
    <row r="10">
      <c r="A10" s="977" t="s">
        <v>821</v>
      </c>
      <c r="B10" s="975">
        <v>10.071217590000003</v>
      </c>
      <c r="C10" s="975">
        <v>6.689807999999999</v>
      </c>
      <c r="D10" s="975">
        <v>6.689807999999999</v>
      </c>
      <c r="E10" s="975">
        <f t="shared" ref="E10:E12" si="2">SUM(B10:D10)</f>
        <v>23.45083359</v>
      </c>
      <c r="F10" s="79"/>
      <c r="G10" s="978">
        <v>1.0</v>
      </c>
      <c r="H10" s="979" t="s">
        <v>817</v>
      </c>
      <c r="I10" s="79"/>
      <c r="J10" s="79"/>
      <c r="K10" s="79"/>
      <c r="L10" s="79"/>
      <c r="M10" s="79"/>
      <c r="N10" s="79"/>
      <c r="O10" s="79"/>
      <c r="P10" s="79"/>
      <c r="Q10" s="79"/>
      <c r="R10" s="79"/>
      <c r="S10" s="79"/>
      <c r="T10" s="79"/>
      <c r="U10" s="79"/>
      <c r="V10" s="79"/>
      <c r="W10" s="79"/>
      <c r="X10" s="79"/>
      <c r="Y10" s="79"/>
      <c r="Z10" s="79"/>
    </row>
    <row r="11">
      <c r="A11" s="977" t="s">
        <v>822</v>
      </c>
      <c r="B11" s="975">
        <v>88.0</v>
      </c>
      <c r="C11" s="975">
        <v>117.0</v>
      </c>
      <c r="D11" s="975">
        <v>154.0</v>
      </c>
      <c r="E11" s="975">
        <f t="shared" si="2"/>
        <v>359</v>
      </c>
      <c r="G11" s="979">
        <v>2.0</v>
      </c>
      <c r="H11" s="979" t="s">
        <v>823</v>
      </c>
    </row>
    <row r="12">
      <c r="A12" s="980" t="s">
        <v>824</v>
      </c>
      <c r="B12" s="975">
        <v>12.0</v>
      </c>
      <c r="C12" s="975">
        <v>23.0</v>
      </c>
      <c r="D12" s="975">
        <v>38.0</v>
      </c>
      <c r="E12" s="975">
        <f t="shared" si="2"/>
        <v>73</v>
      </c>
      <c r="F12" s="965"/>
      <c r="G12" s="979">
        <v>3.0</v>
      </c>
      <c r="H12" s="979" t="s">
        <v>823</v>
      </c>
      <c r="I12" s="965"/>
    </row>
    <row r="13">
      <c r="A13" s="981"/>
      <c r="B13" s="982"/>
      <c r="C13" s="982"/>
      <c r="D13" s="982"/>
      <c r="F13" s="965"/>
      <c r="G13" s="965"/>
      <c r="H13" s="965"/>
      <c r="I13" s="965"/>
    </row>
    <row r="14">
      <c r="A14" s="983" t="s">
        <v>818</v>
      </c>
      <c r="B14" s="965"/>
      <c r="C14" s="965"/>
      <c r="D14" s="965"/>
      <c r="E14" s="965"/>
      <c r="F14" s="965"/>
      <c r="G14" s="965"/>
      <c r="H14" s="965"/>
      <c r="I14" s="965"/>
    </row>
    <row r="15">
      <c r="A15" s="984" t="s">
        <v>825</v>
      </c>
      <c r="B15" s="985"/>
      <c r="C15" s="985"/>
      <c r="D15" s="985"/>
      <c r="E15" s="985"/>
      <c r="F15" s="965"/>
      <c r="G15" s="965"/>
      <c r="H15" s="965"/>
      <c r="I15" s="965"/>
    </row>
    <row r="16">
      <c r="A16" s="986"/>
      <c r="B16" s="987"/>
      <c r="C16" s="987"/>
      <c r="D16" s="987"/>
      <c r="E16" s="987"/>
      <c r="F16" s="965"/>
      <c r="G16" s="988"/>
      <c r="H16" s="988"/>
      <c r="I16" s="965"/>
    </row>
    <row r="17">
      <c r="A17" s="989"/>
      <c r="B17" s="990"/>
      <c r="C17" s="991"/>
      <c r="D17" s="991"/>
      <c r="E17" s="992"/>
      <c r="F17" s="965"/>
      <c r="G17" s="993"/>
      <c r="H17" s="993"/>
      <c r="I17" s="965"/>
    </row>
    <row r="18">
      <c r="A18" s="965"/>
      <c r="B18" s="965"/>
      <c r="C18" s="965"/>
      <c r="D18" s="965"/>
      <c r="E18" s="965"/>
      <c r="F18" s="965"/>
      <c r="G18" s="965"/>
      <c r="H18" s="965"/>
      <c r="I18" s="965"/>
    </row>
    <row r="19">
      <c r="A19" s="981"/>
      <c r="B19" s="986"/>
      <c r="C19" s="986"/>
      <c r="D19" s="986"/>
      <c r="E19" s="986"/>
      <c r="F19" s="986"/>
      <c r="G19" s="986"/>
      <c r="H19" s="986"/>
      <c r="I19" s="986"/>
      <c r="J19" s="986"/>
      <c r="K19" s="986"/>
      <c r="L19" s="986"/>
      <c r="M19" s="986"/>
      <c r="N19" s="986"/>
      <c r="O19" s="986"/>
      <c r="P19" s="986"/>
      <c r="Q19" s="986"/>
      <c r="R19" s="986"/>
      <c r="S19" s="986"/>
      <c r="T19" s="986"/>
      <c r="U19" s="986"/>
      <c r="V19" s="986"/>
      <c r="W19" s="986"/>
      <c r="X19" s="986"/>
      <c r="Y19" s="986"/>
      <c r="Z19" s="986"/>
    </row>
    <row r="20">
      <c r="A20" s="965"/>
      <c r="B20" s="994"/>
      <c r="C20" s="994"/>
      <c r="D20" s="994"/>
      <c r="E20" s="994"/>
      <c r="F20" s="965"/>
      <c r="G20" s="965"/>
      <c r="H20" s="965"/>
      <c r="I20" s="965"/>
    </row>
    <row r="21">
      <c r="A21" s="965"/>
      <c r="B21" s="987"/>
      <c r="C21" s="987"/>
      <c r="D21" s="987"/>
      <c r="E21" s="987"/>
      <c r="F21" s="965"/>
      <c r="G21" s="965"/>
      <c r="H21" s="965"/>
      <c r="I21" s="965"/>
    </row>
    <row r="22">
      <c r="A22" s="989"/>
      <c r="B22" s="995"/>
      <c r="C22" s="996"/>
      <c r="D22" s="996"/>
      <c r="E22" s="965"/>
      <c r="F22" s="965"/>
      <c r="G22" s="965"/>
      <c r="H22" s="965"/>
      <c r="I22" s="965"/>
    </row>
    <row r="23">
      <c r="A23" s="965"/>
      <c r="B23" s="965"/>
      <c r="C23" s="965"/>
      <c r="D23" s="965"/>
      <c r="E23" s="965"/>
      <c r="F23" s="965"/>
      <c r="G23" s="965"/>
      <c r="H23" s="965"/>
      <c r="I23" s="965"/>
    </row>
  </sheetData>
  <mergeCells count="2">
    <mergeCell ref="B3:E3"/>
    <mergeCell ref="B8:E8"/>
  </mergeCells>
  <hyperlinks>
    <hyperlink r:id="rId2" ref="A15"/>
  </hyperlinks>
  <drawing r:id="rId3"/>
  <legacy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4.57"/>
  </cols>
  <sheetData>
    <row r="1">
      <c r="A1" s="997" t="s">
        <v>826</v>
      </c>
      <c r="B1" s="998"/>
      <c r="C1" s="999"/>
      <c r="D1" s="999"/>
      <c r="E1" s="243"/>
      <c r="F1" s="243"/>
      <c r="G1" s="243"/>
      <c r="H1" s="243"/>
      <c r="I1" s="970"/>
      <c r="J1" s="970"/>
      <c r="K1" s="970"/>
      <c r="L1" s="970"/>
      <c r="M1" s="970"/>
      <c r="N1" s="970"/>
      <c r="O1" s="970"/>
      <c r="P1" s="970"/>
      <c r="Q1" s="970"/>
      <c r="R1" s="970"/>
      <c r="S1" s="970"/>
      <c r="T1" s="970"/>
      <c r="U1" s="970"/>
      <c r="V1" s="970"/>
      <c r="W1" s="970"/>
      <c r="X1" s="970"/>
      <c r="Y1" s="970"/>
      <c r="Z1" s="970"/>
    </row>
    <row r="2">
      <c r="A2" s="971" t="s">
        <v>808</v>
      </c>
      <c r="B2" s="243"/>
      <c r="C2" s="243"/>
      <c r="D2" s="243"/>
      <c r="E2" s="243"/>
      <c r="F2" s="243"/>
      <c r="G2" s="243"/>
      <c r="H2" s="243"/>
      <c r="I2" s="243"/>
      <c r="J2" s="243"/>
      <c r="K2" s="243"/>
      <c r="L2" s="243"/>
      <c r="M2" s="243"/>
      <c r="N2" s="243"/>
      <c r="O2" s="243"/>
      <c r="P2" s="243"/>
      <c r="Q2" s="243"/>
      <c r="R2" s="243"/>
      <c r="S2" s="243"/>
      <c r="T2" s="243"/>
      <c r="U2" s="243"/>
      <c r="V2" s="243"/>
      <c r="W2" s="243"/>
      <c r="X2" s="243"/>
      <c r="Y2" s="243"/>
      <c r="Z2" s="243"/>
    </row>
    <row r="3">
      <c r="A3" s="121"/>
      <c r="B3" s="1000" t="s">
        <v>809</v>
      </c>
      <c r="F3" s="121"/>
      <c r="G3" s="121"/>
      <c r="H3" s="121"/>
      <c r="I3" s="121"/>
      <c r="J3" s="121"/>
      <c r="K3" s="121"/>
      <c r="L3" s="121"/>
      <c r="M3" s="121"/>
      <c r="N3" s="121"/>
      <c r="O3" s="121"/>
      <c r="P3" s="121"/>
      <c r="Q3" s="121"/>
      <c r="R3" s="121"/>
      <c r="S3" s="121"/>
      <c r="T3" s="121"/>
      <c r="U3" s="121"/>
      <c r="V3" s="121"/>
      <c r="W3" s="121"/>
      <c r="X3" s="121"/>
      <c r="Y3" s="121"/>
      <c r="Z3" s="121"/>
    </row>
    <row r="4">
      <c r="A4" s="121"/>
      <c r="B4" s="1001">
        <v>2021.0</v>
      </c>
      <c r="C4" s="1001">
        <v>2022.0</v>
      </c>
      <c r="D4" s="1001">
        <v>2023.0</v>
      </c>
      <c r="E4" s="1001" t="s">
        <v>63</v>
      </c>
      <c r="F4" s="121"/>
      <c r="G4" s="121"/>
      <c r="H4" s="121"/>
      <c r="I4" s="121"/>
      <c r="J4" s="121"/>
      <c r="K4" s="121"/>
      <c r="L4" s="121"/>
      <c r="M4" s="121"/>
      <c r="N4" s="121"/>
      <c r="O4" s="121"/>
      <c r="P4" s="121"/>
      <c r="Q4" s="121"/>
      <c r="R4" s="121"/>
      <c r="S4" s="121"/>
      <c r="T4" s="121"/>
      <c r="U4" s="121"/>
      <c r="V4" s="121"/>
      <c r="W4" s="121"/>
      <c r="X4" s="121"/>
      <c r="Y4" s="121"/>
      <c r="Z4" s="121"/>
    </row>
    <row r="5">
      <c r="A5" s="751" t="s">
        <v>811</v>
      </c>
      <c r="B5" s="1002">
        <f t="shared" ref="B5:E5" si="1">SUM(B10:B1019)</f>
        <v>0</v>
      </c>
      <c r="C5" s="1002">
        <f t="shared" si="1"/>
        <v>0</v>
      </c>
      <c r="D5" s="1002">
        <f t="shared" si="1"/>
        <v>2.518656958</v>
      </c>
      <c r="E5" s="1002">
        <f t="shared" si="1"/>
        <v>2.518656958</v>
      </c>
      <c r="F5" s="121"/>
      <c r="G5" s="121"/>
      <c r="H5" s="121"/>
      <c r="I5" s="121"/>
      <c r="J5" s="121"/>
      <c r="K5" s="121"/>
      <c r="L5" s="121"/>
      <c r="M5" s="121"/>
      <c r="N5" s="121"/>
      <c r="O5" s="121"/>
      <c r="P5" s="121"/>
      <c r="Q5" s="121"/>
      <c r="R5" s="121"/>
      <c r="S5" s="121"/>
      <c r="T5" s="121"/>
      <c r="U5" s="121"/>
      <c r="V5" s="121"/>
      <c r="W5" s="121"/>
      <c r="X5" s="121"/>
      <c r="Y5" s="121"/>
      <c r="Z5" s="121"/>
    </row>
    <row r="6">
      <c r="A6" s="121"/>
      <c r="B6" s="1001"/>
      <c r="C6" s="1001"/>
      <c r="D6" s="1001"/>
      <c r="E6" s="1001"/>
      <c r="F6" s="121"/>
      <c r="G6" s="121"/>
      <c r="H6" s="121"/>
      <c r="I6" s="121"/>
      <c r="J6" s="121"/>
      <c r="K6" s="121"/>
      <c r="L6" s="121"/>
      <c r="M6" s="121"/>
      <c r="N6" s="121"/>
      <c r="O6" s="121"/>
      <c r="P6" s="121"/>
      <c r="Q6" s="121"/>
      <c r="R6" s="121"/>
      <c r="S6" s="121"/>
      <c r="T6" s="121"/>
      <c r="U6" s="121"/>
      <c r="V6" s="121"/>
      <c r="W6" s="121"/>
      <c r="X6" s="121"/>
      <c r="Y6" s="121"/>
      <c r="Z6" s="121"/>
    </row>
    <row r="7">
      <c r="A7" s="971" t="s">
        <v>812</v>
      </c>
      <c r="B7" s="243"/>
      <c r="C7" s="243"/>
      <c r="D7" s="243"/>
      <c r="E7" s="243"/>
      <c r="F7" s="243"/>
      <c r="G7" s="243"/>
      <c r="H7" s="243"/>
      <c r="I7" s="243"/>
      <c r="J7" s="243"/>
      <c r="K7" s="243"/>
      <c r="L7" s="243"/>
      <c r="M7" s="243"/>
      <c r="N7" s="243"/>
      <c r="O7" s="243"/>
      <c r="P7" s="243"/>
      <c r="Q7" s="243"/>
      <c r="R7" s="243"/>
      <c r="S7" s="243"/>
      <c r="T7" s="243"/>
      <c r="U7" s="243"/>
      <c r="V7" s="243"/>
      <c r="W7" s="243"/>
      <c r="X7" s="243"/>
      <c r="Y7" s="243"/>
      <c r="Z7" s="243"/>
    </row>
    <row r="8">
      <c r="A8" s="121"/>
      <c r="B8" s="1000" t="s">
        <v>809</v>
      </c>
      <c r="F8" s="121"/>
      <c r="G8" s="121"/>
      <c r="H8" s="121"/>
      <c r="I8" s="121"/>
      <c r="J8" s="121"/>
      <c r="K8" s="121"/>
      <c r="L8" s="121"/>
      <c r="M8" s="121"/>
      <c r="N8" s="121"/>
      <c r="O8" s="121"/>
      <c r="P8" s="121"/>
      <c r="Q8" s="121"/>
      <c r="R8" s="121"/>
      <c r="S8" s="121"/>
      <c r="T8" s="121"/>
      <c r="U8" s="121"/>
      <c r="V8" s="121"/>
      <c r="W8" s="121"/>
      <c r="X8" s="121"/>
      <c r="Y8" s="121"/>
      <c r="Z8" s="121"/>
    </row>
    <row r="9">
      <c r="A9" s="751" t="s">
        <v>814</v>
      </c>
      <c r="B9" s="1001">
        <v>2021.0</v>
      </c>
      <c r="C9" s="1001">
        <v>2022.0</v>
      </c>
      <c r="D9" s="1001">
        <v>2023.0</v>
      </c>
      <c r="E9" s="1001" t="s">
        <v>63</v>
      </c>
      <c r="F9" s="121"/>
      <c r="G9" s="1003" t="s">
        <v>815</v>
      </c>
      <c r="H9" s="1000" t="s">
        <v>65</v>
      </c>
      <c r="I9" s="121"/>
      <c r="J9" s="121"/>
      <c r="K9" s="121"/>
      <c r="L9" s="121"/>
      <c r="M9" s="121"/>
      <c r="N9" s="121"/>
      <c r="O9" s="121"/>
      <c r="P9" s="121"/>
      <c r="Q9" s="121"/>
      <c r="R9" s="121"/>
      <c r="S9" s="121"/>
      <c r="T9" s="121"/>
      <c r="U9" s="121"/>
      <c r="V9" s="121"/>
      <c r="W9" s="121"/>
      <c r="X9" s="121"/>
      <c r="Y9" s="121"/>
      <c r="Z9" s="121"/>
    </row>
    <row r="10">
      <c r="A10" s="121" t="s">
        <v>827</v>
      </c>
      <c r="B10" s="1002" t="s">
        <v>698</v>
      </c>
      <c r="C10" s="1002" t="s">
        <v>698</v>
      </c>
      <c r="D10" s="1002">
        <v>0.26948486617459355</v>
      </c>
      <c r="E10" s="1004">
        <f t="shared" ref="E10:E11" si="2">SUM(B10:D10)</f>
        <v>0.2694848662</v>
      </c>
      <c r="F10" s="121"/>
      <c r="G10" s="1005" t="s">
        <v>81</v>
      </c>
      <c r="H10" s="1005" t="s">
        <v>828</v>
      </c>
      <c r="I10" s="121"/>
      <c r="J10" s="121"/>
      <c r="K10" s="121"/>
      <c r="L10" s="121"/>
      <c r="M10" s="121"/>
      <c r="N10" s="121"/>
      <c r="O10" s="121"/>
      <c r="P10" s="121"/>
      <c r="Q10" s="121"/>
      <c r="R10" s="121"/>
      <c r="S10" s="121"/>
      <c r="T10" s="121"/>
      <c r="U10" s="121"/>
      <c r="V10" s="121"/>
      <c r="W10" s="121"/>
      <c r="X10" s="121"/>
      <c r="Y10" s="121"/>
      <c r="Z10" s="121"/>
    </row>
    <row r="11">
      <c r="A11" s="121" t="s">
        <v>829</v>
      </c>
      <c r="B11" s="1002" t="s">
        <v>698</v>
      </c>
      <c r="C11" s="1002" t="s">
        <v>698</v>
      </c>
      <c r="D11" s="1002">
        <v>2.249172092248397</v>
      </c>
      <c r="E11" s="1004">
        <f t="shared" si="2"/>
        <v>2.249172092</v>
      </c>
      <c r="F11" s="121"/>
      <c r="G11" s="1005" t="s">
        <v>81</v>
      </c>
      <c r="H11" s="1005" t="s">
        <v>817</v>
      </c>
      <c r="I11" s="121"/>
      <c r="J11" s="121"/>
      <c r="K11" s="121"/>
      <c r="L11" s="121"/>
      <c r="M11" s="121"/>
      <c r="N11" s="121"/>
      <c r="O11" s="121"/>
      <c r="P11" s="121"/>
      <c r="Q11" s="121"/>
      <c r="R11" s="121"/>
      <c r="S11" s="121"/>
      <c r="T11" s="121"/>
      <c r="U11" s="121"/>
      <c r="V11" s="121"/>
      <c r="W11" s="121"/>
      <c r="X11" s="121"/>
      <c r="Y11" s="121"/>
      <c r="Z11" s="121"/>
    </row>
    <row r="12">
      <c r="A12" s="121"/>
      <c r="B12" s="1004"/>
      <c r="C12" s="1004"/>
      <c r="D12" s="1004"/>
      <c r="E12" s="1004"/>
      <c r="F12" s="121"/>
      <c r="G12" s="1005"/>
      <c r="H12" s="1005"/>
      <c r="I12" s="121"/>
      <c r="J12" s="121"/>
      <c r="K12" s="121"/>
      <c r="L12" s="121"/>
      <c r="M12" s="121"/>
      <c r="N12" s="121"/>
      <c r="O12" s="121"/>
      <c r="P12" s="121"/>
      <c r="Q12" s="121"/>
      <c r="R12" s="121"/>
      <c r="S12" s="121"/>
      <c r="T12" s="121"/>
      <c r="U12" s="121"/>
      <c r="V12" s="121"/>
      <c r="W12" s="121"/>
      <c r="X12" s="121"/>
      <c r="Y12" s="121"/>
      <c r="Z12" s="121"/>
    </row>
    <row r="13">
      <c r="A13" s="121"/>
      <c r="B13" s="1006"/>
      <c r="C13" s="1006"/>
      <c r="D13" s="1006"/>
      <c r="E13" s="1006"/>
      <c r="F13" s="121"/>
      <c r="G13" s="1005"/>
      <c r="H13" s="1005"/>
      <c r="I13" s="121"/>
      <c r="J13" s="121"/>
      <c r="K13" s="121"/>
      <c r="L13" s="121"/>
      <c r="M13" s="121"/>
      <c r="N13" s="121"/>
      <c r="O13" s="121"/>
      <c r="P13" s="121"/>
      <c r="Q13" s="121"/>
      <c r="R13" s="121"/>
      <c r="S13" s="121"/>
      <c r="T13" s="121"/>
      <c r="U13" s="121"/>
      <c r="V13" s="121"/>
      <c r="W13" s="121"/>
      <c r="X13" s="121"/>
      <c r="Y13" s="121"/>
      <c r="Z13" s="121"/>
    </row>
    <row r="14">
      <c r="A14" s="121"/>
      <c r="B14" s="1007"/>
      <c r="C14" s="1007"/>
      <c r="D14" s="1007"/>
      <c r="E14" s="1007"/>
      <c r="F14" s="121"/>
      <c r="G14" s="1005"/>
      <c r="H14" s="1005"/>
    </row>
    <row r="15">
      <c r="A15" s="121"/>
      <c r="B15" s="1007"/>
      <c r="C15" s="1007"/>
      <c r="D15" s="1007"/>
      <c r="E15" s="1007"/>
      <c r="F15" s="121"/>
      <c r="G15" s="1005"/>
      <c r="H15" s="1005"/>
    </row>
    <row r="16">
      <c r="A16" s="154" t="s">
        <v>818</v>
      </c>
      <c r="B16" s="1007"/>
      <c r="C16" s="1007"/>
      <c r="D16" s="1007"/>
      <c r="E16" s="1007"/>
      <c r="F16" s="121"/>
      <c r="G16" s="1005"/>
      <c r="H16" s="1005"/>
    </row>
    <row r="17">
      <c r="A17" s="1008" t="s">
        <v>830</v>
      </c>
      <c r="B17" s="1007"/>
      <c r="C17" s="1007"/>
      <c r="D17" s="1007"/>
      <c r="E17" s="1007"/>
      <c r="F17" s="121"/>
      <c r="G17" s="1005"/>
      <c r="H17" s="1005"/>
    </row>
    <row r="18">
      <c r="A18" s="121"/>
      <c r="B18" s="1007"/>
      <c r="C18" s="1007"/>
      <c r="D18" s="1007"/>
      <c r="E18" s="1007"/>
      <c r="F18" s="121"/>
      <c r="G18" s="1005"/>
      <c r="H18" s="1005"/>
    </row>
    <row r="19">
      <c r="A19" s="121"/>
      <c r="B19" s="1007"/>
      <c r="C19" s="1007"/>
      <c r="D19" s="1007"/>
      <c r="E19" s="1007"/>
      <c r="F19" s="121"/>
      <c r="G19" s="1005"/>
      <c r="H19" s="1005"/>
    </row>
    <row r="20">
      <c r="A20" s="121"/>
      <c r="B20" s="1007"/>
      <c r="C20" s="1007"/>
      <c r="D20" s="1007"/>
      <c r="E20" s="1007"/>
      <c r="F20" s="121"/>
      <c r="G20" s="1005"/>
      <c r="H20" s="1005"/>
    </row>
    <row r="21">
      <c r="A21" s="121"/>
      <c r="B21" s="1007"/>
      <c r="C21" s="1007"/>
      <c r="D21" s="1007"/>
      <c r="E21" s="1007"/>
      <c r="F21" s="121"/>
      <c r="G21" s="1005"/>
      <c r="H21" s="1005"/>
    </row>
    <row r="22">
      <c r="A22" s="121"/>
      <c r="B22" s="1007"/>
      <c r="C22" s="1007"/>
      <c r="D22" s="1007"/>
      <c r="E22" s="1007"/>
      <c r="F22" s="121"/>
      <c r="G22" s="1005"/>
      <c r="H22" s="1005"/>
    </row>
    <row r="25">
      <c r="A25" s="981"/>
      <c r="B25" s="986"/>
      <c r="C25" s="986"/>
      <c r="D25" s="986"/>
      <c r="E25" s="986"/>
      <c r="F25" s="986"/>
      <c r="G25" s="986"/>
      <c r="H25" s="986"/>
      <c r="I25" s="986"/>
      <c r="J25" s="986"/>
      <c r="K25" s="986"/>
      <c r="L25" s="986"/>
      <c r="M25" s="986"/>
      <c r="N25" s="986"/>
      <c r="O25" s="986"/>
      <c r="P25" s="986"/>
      <c r="Q25" s="986"/>
      <c r="R25" s="986"/>
      <c r="S25" s="986"/>
      <c r="T25" s="986"/>
      <c r="U25" s="986"/>
      <c r="V25" s="986"/>
      <c r="W25" s="986"/>
      <c r="X25" s="986"/>
      <c r="Y25" s="986"/>
      <c r="Z25" s="986"/>
    </row>
    <row r="26">
      <c r="B26" s="994"/>
      <c r="C26" s="994"/>
      <c r="D26" s="994"/>
      <c r="E26" s="994"/>
    </row>
    <row r="27">
      <c r="B27" s="1001"/>
      <c r="C27" s="1001"/>
      <c r="D27" s="1001"/>
      <c r="E27" s="1001"/>
    </row>
    <row r="28">
      <c r="A28" s="121"/>
      <c r="B28" s="1009"/>
      <c r="C28" s="1009"/>
      <c r="D28" s="1009"/>
    </row>
    <row r="29">
      <c r="A29" s="121"/>
      <c r="B29" s="1009"/>
      <c r="C29" s="1009"/>
      <c r="D29" s="1009"/>
    </row>
    <row r="30">
      <c r="A30" s="121"/>
      <c r="B30" s="1009"/>
      <c r="C30" s="1009"/>
      <c r="D30" s="1009"/>
    </row>
    <row r="31">
      <c r="A31" s="121"/>
      <c r="B31" s="1009"/>
      <c r="C31" s="1009"/>
      <c r="D31" s="1009"/>
    </row>
    <row r="32">
      <c r="A32" s="121"/>
      <c r="B32" s="1009"/>
      <c r="C32" s="1009"/>
      <c r="D32" s="1009"/>
    </row>
    <row r="33">
      <c r="A33" s="121"/>
      <c r="B33" s="1009"/>
      <c r="C33" s="1009"/>
      <c r="D33" s="1009"/>
    </row>
    <row r="34">
      <c r="A34" s="121"/>
      <c r="B34" s="1009"/>
      <c r="C34" s="1009"/>
      <c r="D34" s="1009"/>
    </row>
    <row r="35">
      <c r="A35" s="121"/>
      <c r="B35" s="1009"/>
      <c r="C35" s="1009"/>
      <c r="D35" s="1009"/>
    </row>
    <row r="36">
      <c r="A36" s="121"/>
      <c r="B36" s="1009"/>
      <c r="C36" s="1009"/>
      <c r="D36" s="1009"/>
    </row>
    <row r="38">
      <c r="A38" s="981"/>
      <c r="B38" s="986"/>
      <c r="C38" s="986"/>
      <c r="D38" s="986"/>
      <c r="E38" s="986"/>
      <c r="F38" s="986"/>
      <c r="G38" s="986"/>
      <c r="H38" s="986"/>
      <c r="I38" s="986"/>
      <c r="J38" s="986"/>
      <c r="K38" s="986"/>
      <c r="L38" s="986"/>
      <c r="M38" s="986"/>
      <c r="N38" s="986"/>
      <c r="O38" s="986"/>
      <c r="P38" s="986"/>
      <c r="Q38" s="986"/>
      <c r="R38" s="986"/>
      <c r="S38" s="986"/>
      <c r="T38" s="986"/>
      <c r="U38" s="986"/>
      <c r="V38" s="986"/>
      <c r="W38" s="986"/>
      <c r="X38" s="986"/>
      <c r="Y38" s="986"/>
      <c r="Z38" s="986"/>
    </row>
    <row r="39">
      <c r="B39" s="985"/>
      <c r="C39" s="985"/>
      <c r="D39" s="985"/>
      <c r="E39" s="985"/>
    </row>
    <row r="40">
      <c r="B40" s="1001"/>
      <c r="C40" s="1001"/>
      <c r="D40" s="1001"/>
      <c r="E40" s="1001"/>
    </row>
    <row r="41">
      <c r="A41" s="121"/>
    </row>
    <row r="42">
      <c r="A42" s="121"/>
    </row>
    <row r="43">
      <c r="A43" s="121"/>
    </row>
    <row r="44">
      <c r="A44" s="121"/>
    </row>
    <row r="45">
      <c r="A45" s="121"/>
    </row>
    <row r="46">
      <c r="A46" s="121"/>
    </row>
    <row r="47">
      <c r="A47" s="121"/>
    </row>
    <row r="48">
      <c r="A48" s="121"/>
    </row>
    <row r="49">
      <c r="A49" s="121"/>
    </row>
  </sheetData>
  <mergeCells count="2">
    <mergeCell ref="B3:E3"/>
    <mergeCell ref="B8:E8"/>
  </mergeCells>
  <hyperlinks>
    <hyperlink r:id="rId2" ref="A17"/>
  </hyperlinks>
  <drawing r:id="rId3"/>
  <legacy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8" max="8" width="23.57"/>
  </cols>
  <sheetData>
    <row r="1">
      <c r="A1" s="949" t="s">
        <v>831</v>
      </c>
      <c r="B1" s="950"/>
      <c r="C1" s="951"/>
      <c r="D1" s="951"/>
      <c r="E1" s="951"/>
      <c r="F1" s="951"/>
      <c r="G1" s="951"/>
      <c r="H1" s="951"/>
      <c r="I1" s="951"/>
      <c r="J1" s="951"/>
      <c r="K1" s="951"/>
      <c r="L1" s="951"/>
      <c r="M1" s="951"/>
      <c r="N1" s="951"/>
      <c r="O1" s="951"/>
      <c r="P1" s="951"/>
      <c r="Q1" s="951"/>
      <c r="R1" s="951"/>
      <c r="S1" s="951"/>
      <c r="T1" s="951"/>
      <c r="U1" s="951"/>
      <c r="V1" s="951"/>
      <c r="W1" s="951"/>
      <c r="X1" s="951"/>
      <c r="Y1" s="951"/>
      <c r="Z1" s="951"/>
    </row>
    <row r="2">
      <c r="A2" s="1010" t="s">
        <v>808</v>
      </c>
      <c r="B2" s="954"/>
      <c r="C2" s="954"/>
      <c r="D2" s="954"/>
      <c r="E2" s="954"/>
      <c r="F2" s="954"/>
      <c r="G2" s="954"/>
      <c r="H2" s="954"/>
      <c r="I2" s="954"/>
      <c r="J2" s="954"/>
      <c r="K2" s="954"/>
      <c r="L2" s="954"/>
      <c r="M2" s="954"/>
      <c r="N2" s="954"/>
      <c r="O2" s="954"/>
      <c r="P2" s="954"/>
      <c r="Q2" s="954"/>
      <c r="R2" s="954"/>
      <c r="S2" s="954"/>
      <c r="T2" s="954"/>
      <c r="U2" s="954"/>
      <c r="V2" s="954"/>
      <c r="W2" s="954"/>
      <c r="X2" s="954"/>
      <c r="Y2" s="954"/>
      <c r="Z2" s="954"/>
    </row>
    <row r="3">
      <c r="A3" s="79"/>
      <c r="B3" s="972" t="s">
        <v>809</v>
      </c>
      <c r="F3" s="79"/>
      <c r="G3" s="79"/>
      <c r="H3" s="79"/>
      <c r="I3" s="79"/>
      <c r="J3" s="79"/>
      <c r="K3" s="79"/>
      <c r="L3" s="79"/>
      <c r="M3" s="79"/>
      <c r="N3" s="79"/>
      <c r="O3" s="79"/>
      <c r="P3" s="79"/>
      <c r="Q3" s="79"/>
      <c r="R3" s="79"/>
      <c r="S3" s="79"/>
      <c r="T3" s="79"/>
      <c r="U3" s="79"/>
      <c r="V3" s="79"/>
      <c r="W3" s="79"/>
      <c r="X3" s="79"/>
      <c r="Y3" s="79"/>
      <c r="Z3" s="79"/>
    </row>
    <row r="4">
      <c r="A4" s="79"/>
      <c r="B4" s="973" t="s">
        <v>832</v>
      </c>
      <c r="C4" s="973" t="s">
        <v>833</v>
      </c>
      <c r="D4" s="973" t="s">
        <v>834</v>
      </c>
      <c r="E4" s="973" t="s">
        <v>63</v>
      </c>
      <c r="F4" s="79"/>
      <c r="G4" s="79"/>
      <c r="H4" s="79"/>
      <c r="I4" s="79"/>
      <c r="J4" s="79"/>
      <c r="K4" s="79"/>
      <c r="L4" s="79"/>
      <c r="M4" s="79"/>
      <c r="N4" s="79"/>
      <c r="O4" s="79"/>
      <c r="P4" s="79"/>
      <c r="Q4" s="79"/>
      <c r="R4" s="79"/>
      <c r="S4" s="79"/>
      <c r="T4" s="79"/>
      <c r="U4" s="79"/>
      <c r="V4" s="79"/>
      <c r="W4" s="79"/>
      <c r="X4" s="79"/>
      <c r="Y4" s="79"/>
      <c r="Z4" s="79"/>
    </row>
    <row r="5">
      <c r="A5" s="974" t="s">
        <v>811</v>
      </c>
      <c r="B5" s="975">
        <f t="shared" ref="B5:E5" si="1">sum(B10:B13)</f>
        <v>0</v>
      </c>
      <c r="C5" s="975">
        <f t="shared" si="1"/>
        <v>5.932825688</v>
      </c>
      <c r="D5" s="975">
        <f t="shared" si="1"/>
        <v>16.95354643</v>
      </c>
      <c r="E5" s="975">
        <f t="shared" si="1"/>
        <v>22.88637212</v>
      </c>
      <c r="F5" s="79"/>
      <c r="G5" s="79"/>
      <c r="H5" s="79"/>
      <c r="I5" s="79"/>
      <c r="J5" s="79"/>
      <c r="K5" s="79"/>
      <c r="L5" s="79"/>
      <c r="M5" s="79"/>
      <c r="N5" s="79"/>
      <c r="O5" s="79"/>
      <c r="P5" s="79"/>
      <c r="Q5" s="79"/>
      <c r="R5" s="79"/>
      <c r="S5" s="79"/>
      <c r="T5" s="79"/>
      <c r="U5" s="79"/>
      <c r="V5" s="79"/>
      <c r="W5" s="79"/>
      <c r="X5" s="79"/>
      <c r="Y5" s="79"/>
      <c r="Z5" s="79"/>
    </row>
    <row r="6">
      <c r="A6" s="79"/>
      <c r="B6" s="973"/>
      <c r="C6" s="973"/>
      <c r="D6" s="973"/>
      <c r="E6" s="973"/>
      <c r="F6" s="79"/>
      <c r="G6" s="79"/>
      <c r="H6" s="79"/>
      <c r="I6" s="79"/>
      <c r="J6" s="79"/>
      <c r="K6" s="79"/>
      <c r="L6" s="79"/>
      <c r="M6" s="79"/>
      <c r="N6" s="79"/>
      <c r="O6" s="79"/>
      <c r="P6" s="79"/>
      <c r="Q6" s="79"/>
      <c r="R6" s="79"/>
      <c r="S6" s="79"/>
      <c r="T6" s="79"/>
      <c r="U6" s="79"/>
      <c r="V6" s="79"/>
      <c r="W6" s="79"/>
      <c r="X6" s="79"/>
      <c r="Y6" s="79"/>
      <c r="Z6" s="79"/>
    </row>
    <row r="7">
      <c r="A7" s="1010" t="s">
        <v>812</v>
      </c>
      <c r="B7" s="954"/>
      <c r="C7" s="954"/>
      <c r="D7" s="954"/>
      <c r="E7" s="954"/>
      <c r="F7" s="954"/>
      <c r="G7" s="954"/>
      <c r="H7" s="954"/>
      <c r="I7" s="954"/>
      <c r="J7" s="954"/>
      <c r="K7" s="954"/>
      <c r="L7" s="954"/>
      <c r="M7" s="954"/>
      <c r="N7" s="954"/>
      <c r="O7" s="954"/>
      <c r="P7" s="954"/>
      <c r="Q7" s="954"/>
      <c r="R7" s="954"/>
      <c r="S7" s="954"/>
      <c r="T7" s="954"/>
      <c r="U7" s="954"/>
      <c r="V7" s="954"/>
      <c r="W7" s="954"/>
      <c r="X7" s="954"/>
      <c r="Y7" s="954"/>
      <c r="Z7" s="954"/>
    </row>
    <row r="8">
      <c r="A8" s="79"/>
      <c r="B8" s="972" t="s">
        <v>809</v>
      </c>
      <c r="F8" s="79"/>
      <c r="G8" s="79"/>
      <c r="H8" s="79"/>
      <c r="I8" s="79"/>
      <c r="J8" s="79"/>
      <c r="K8" s="79"/>
      <c r="L8" s="79"/>
      <c r="M8" s="79"/>
      <c r="N8" s="79"/>
      <c r="O8" s="79"/>
      <c r="P8" s="79"/>
      <c r="Q8" s="79"/>
      <c r="R8" s="79"/>
      <c r="S8" s="79"/>
      <c r="T8" s="79"/>
      <c r="U8" s="79"/>
      <c r="V8" s="79"/>
      <c r="W8" s="79"/>
      <c r="X8" s="79"/>
      <c r="Y8" s="79"/>
      <c r="Z8" s="79"/>
    </row>
    <row r="9">
      <c r="A9" s="974" t="s">
        <v>814</v>
      </c>
      <c r="B9" s="1011">
        <v>2021.0</v>
      </c>
      <c r="C9" s="1011">
        <v>2022.0</v>
      </c>
      <c r="D9" s="1011">
        <v>2023.0</v>
      </c>
      <c r="E9" s="973" t="s">
        <v>63</v>
      </c>
      <c r="F9" s="79"/>
      <c r="G9" s="1012" t="s">
        <v>835</v>
      </c>
      <c r="H9" s="972" t="s">
        <v>65</v>
      </c>
      <c r="I9" s="79"/>
      <c r="J9" s="79"/>
      <c r="K9" s="79"/>
      <c r="L9" s="79"/>
      <c r="M9" s="79"/>
      <c r="N9" s="79"/>
      <c r="O9" s="79"/>
      <c r="P9" s="79"/>
      <c r="Q9" s="79"/>
      <c r="R9" s="79"/>
      <c r="S9" s="79"/>
      <c r="T9" s="79"/>
      <c r="U9" s="79"/>
      <c r="V9" s="79"/>
      <c r="W9" s="79"/>
      <c r="X9" s="79"/>
      <c r="Y9" s="79"/>
      <c r="Z9" s="79"/>
    </row>
    <row r="10">
      <c r="A10" s="79" t="s">
        <v>836</v>
      </c>
      <c r="B10" s="975">
        <v>0.0</v>
      </c>
      <c r="C10" s="975">
        <v>0.0</v>
      </c>
      <c r="D10" s="975">
        <v>10.127945272082131</v>
      </c>
      <c r="E10" s="975">
        <f t="shared" ref="E10:E13" si="2">SUM(B10:D10)</f>
        <v>10.12794527</v>
      </c>
      <c r="F10" s="79"/>
      <c r="G10" s="979">
        <v>1.0</v>
      </c>
      <c r="H10" s="978" t="s">
        <v>817</v>
      </c>
      <c r="I10" s="79"/>
      <c r="J10" s="79"/>
      <c r="K10" s="79"/>
      <c r="L10" s="79"/>
      <c r="M10" s="79"/>
      <c r="N10" s="79"/>
      <c r="O10" s="79"/>
      <c r="P10" s="79"/>
      <c r="Q10" s="79"/>
      <c r="R10" s="79"/>
      <c r="S10" s="79"/>
      <c r="T10" s="79"/>
      <c r="U10" s="79"/>
      <c r="V10" s="79"/>
      <c r="W10" s="79"/>
      <c r="X10" s="79"/>
      <c r="Y10" s="79"/>
      <c r="Z10" s="79"/>
    </row>
    <row r="11">
      <c r="A11" s="89" t="s">
        <v>837</v>
      </c>
      <c r="B11" s="975">
        <v>0.0</v>
      </c>
      <c r="C11" s="975">
        <v>5.932825688144515</v>
      </c>
      <c r="D11" s="975">
        <v>0.0</v>
      </c>
      <c r="E11" s="975">
        <f t="shared" si="2"/>
        <v>5.932825688</v>
      </c>
      <c r="F11" s="1013"/>
      <c r="G11" s="1014">
        <v>2.0</v>
      </c>
      <c r="H11" s="978" t="s">
        <v>823</v>
      </c>
      <c r="I11" s="965"/>
      <c r="J11" s="965"/>
      <c r="K11" s="965"/>
      <c r="L11" s="965"/>
      <c r="M11" s="965"/>
      <c r="N11" s="965"/>
      <c r="O11" s="965"/>
      <c r="P11" s="965"/>
      <c r="Q11" s="965"/>
      <c r="R11" s="965"/>
      <c r="S11" s="965"/>
      <c r="T11" s="965"/>
      <c r="U11" s="965"/>
      <c r="V11" s="965"/>
      <c r="W11" s="965"/>
      <c r="X11" s="965"/>
      <c r="Y11" s="965"/>
      <c r="Z11" s="965"/>
    </row>
    <row r="12">
      <c r="A12" s="79" t="s">
        <v>838</v>
      </c>
      <c r="B12" s="975">
        <v>0.0</v>
      </c>
      <c r="C12" s="975">
        <v>0.0</v>
      </c>
      <c r="D12" s="975">
        <v>5.327941173264406</v>
      </c>
      <c r="E12" s="975">
        <f t="shared" si="2"/>
        <v>5.327941173</v>
      </c>
      <c r="F12" s="965"/>
      <c r="G12" s="1015">
        <v>3.0</v>
      </c>
      <c r="H12" s="978" t="s">
        <v>817</v>
      </c>
      <c r="I12" s="965"/>
      <c r="J12" s="965"/>
      <c r="K12" s="965"/>
      <c r="L12" s="965"/>
      <c r="M12" s="965"/>
      <c r="N12" s="965"/>
      <c r="O12" s="965"/>
      <c r="P12" s="965"/>
      <c r="Q12" s="965"/>
      <c r="R12" s="965"/>
      <c r="S12" s="965"/>
      <c r="T12" s="965"/>
      <c r="U12" s="965"/>
      <c r="V12" s="965"/>
      <c r="W12" s="965"/>
      <c r="X12" s="965"/>
      <c r="Y12" s="965"/>
      <c r="Z12" s="965"/>
    </row>
    <row r="13">
      <c r="A13" s="79" t="s">
        <v>839</v>
      </c>
      <c r="B13" s="975">
        <v>0.0</v>
      </c>
      <c r="C13" s="975">
        <v>0.0</v>
      </c>
      <c r="D13" s="975">
        <v>1.4976599853001524</v>
      </c>
      <c r="E13" s="975">
        <f t="shared" si="2"/>
        <v>1.497659985</v>
      </c>
      <c r="F13" s="965"/>
      <c r="G13" s="1015">
        <v>4.0</v>
      </c>
      <c r="H13" s="978" t="s">
        <v>823</v>
      </c>
      <c r="I13" s="965"/>
      <c r="J13" s="965"/>
      <c r="K13" s="965"/>
      <c r="L13" s="965"/>
      <c r="M13" s="965"/>
      <c r="N13" s="965"/>
      <c r="O13" s="965"/>
      <c r="P13" s="965"/>
      <c r="Q13" s="965"/>
      <c r="R13" s="965"/>
      <c r="S13" s="965"/>
      <c r="T13" s="965"/>
      <c r="U13" s="965"/>
      <c r="V13" s="965"/>
      <c r="W13" s="965"/>
      <c r="X13" s="965"/>
      <c r="Y13" s="965"/>
      <c r="Z13" s="965"/>
    </row>
    <row r="14">
      <c r="A14" s="965"/>
      <c r="B14" s="965"/>
      <c r="C14" s="965"/>
      <c r="D14" s="965"/>
      <c r="E14" s="965"/>
      <c r="F14" s="965"/>
      <c r="G14" s="965"/>
      <c r="H14" s="965"/>
      <c r="I14" s="965"/>
      <c r="J14" s="965"/>
      <c r="K14" s="965"/>
      <c r="L14" s="965"/>
      <c r="M14" s="965"/>
      <c r="N14" s="965"/>
      <c r="O14" s="965"/>
      <c r="P14" s="965"/>
      <c r="Q14" s="965"/>
      <c r="R14" s="965"/>
      <c r="S14" s="965"/>
      <c r="T14" s="965"/>
      <c r="U14" s="965"/>
      <c r="V14" s="965"/>
      <c r="W14" s="965"/>
      <c r="X14" s="965"/>
      <c r="Y14" s="965"/>
      <c r="Z14" s="965"/>
    </row>
    <row r="15">
      <c r="A15" s="965"/>
      <c r="B15" s="965"/>
      <c r="C15" s="965"/>
      <c r="D15" s="965"/>
      <c r="E15" s="965"/>
      <c r="F15" s="965"/>
      <c r="G15" s="965"/>
      <c r="H15" s="965"/>
      <c r="I15" s="965"/>
      <c r="J15" s="965"/>
      <c r="K15" s="965"/>
      <c r="L15" s="965"/>
      <c r="M15" s="965"/>
      <c r="N15" s="965"/>
      <c r="O15" s="965"/>
      <c r="P15" s="965"/>
      <c r="Q15" s="965"/>
      <c r="R15" s="965"/>
      <c r="S15" s="965"/>
      <c r="T15" s="965"/>
      <c r="U15" s="965"/>
      <c r="V15" s="965"/>
      <c r="W15" s="965"/>
      <c r="X15" s="965"/>
      <c r="Y15" s="965"/>
      <c r="Z15" s="965"/>
    </row>
    <row r="16">
      <c r="A16" s="965"/>
      <c r="B16" s="965"/>
      <c r="C16" s="965"/>
      <c r="D16" s="965"/>
      <c r="E16" s="965"/>
      <c r="F16" s="965"/>
      <c r="G16" s="965"/>
      <c r="H16" s="965"/>
      <c r="I16" s="965"/>
      <c r="J16" s="965"/>
      <c r="K16" s="965"/>
      <c r="L16" s="965"/>
      <c r="M16" s="965"/>
      <c r="N16" s="965"/>
      <c r="O16" s="965"/>
      <c r="P16" s="965"/>
      <c r="Q16" s="965"/>
      <c r="R16" s="965"/>
      <c r="S16" s="965"/>
      <c r="T16" s="965"/>
      <c r="U16" s="965"/>
      <c r="V16" s="965"/>
      <c r="W16" s="965"/>
      <c r="X16" s="965"/>
      <c r="Y16" s="965"/>
      <c r="Z16" s="965"/>
    </row>
    <row r="17">
      <c r="A17" s="79" t="s">
        <v>818</v>
      </c>
      <c r="B17" s="965"/>
      <c r="C17" s="965"/>
      <c r="D17" s="965"/>
      <c r="E17" s="965"/>
      <c r="F17" s="965"/>
      <c r="G17" s="965"/>
      <c r="H17" s="965"/>
      <c r="I17" s="965"/>
      <c r="J17" s="965"/>
      <c r="K17" s="965"/>
      <c r="L17" s="965"/>
      <c r="M17" s="965"/>
      <c r="N17" s="965"/>
      <c r="O17" s="965"/>
      <c r="P17" s="965"/>
      <c r="Q17" s="965"/>
      <c r="R17" s="965"/>
      <c r="S17" s="965"/>
      <c r="T17" s="965"/>
      <c r="U17" s="965"/>
      <c r="V17" s="965"/>
      <c r="W17" s="965"/>
      <c r="X17" s="965"/>
      <c r="Y17" s="965"/>
      <c r="Z17" s="965"/>
    </row>
    <row r="18">
      <c r="A18" s="1016" t="s">
        <v>840</v>
      </c>
      <c r="B18" s="965"/>
      <c r="C18" s="965"/>
      <c r="D18" s="965"/>
      <c r="E18" s="965"/>
      <c r="F18" s="965"/>
      <c r="G18" s="965"/>
      <c r="H18" s="965"/>
      <c r="I18" s="965"/>
      <c r="J18" s="965"/>
      <c r="K18" s="965"/>
      <c r="L18" s="965"/>
      <c r="M18" s="965"/>
      <c r="N18" s="965"/>
      <c r="O18" s="965"/>
      <c r="P18" s="965"/>
      <c r="Q18" s="965"/>
      <c r="R18" s="965"/>
      <c r="S18" s="965"/>
      <c r="T18" s="965"/>
      <c r="U18" s="965"/>
      <c r="V18" s="965"/>
      <c r="W18" s="965"/>
      <c r="X18" s="965"/>
      <c r="Y18" s="965"/>
      <c r="Z18" s="965"/>
    </row>
    <row r="19">
      <c r="A19" s="965"/>
      <c r="B19" s="965"/>
      <c r="C19" s="965"/>
      <c r="D19" s="965"/>
      <c r="E19" s="965"/>
      <c r="F19" s="965"/>
      <c r="G19" s="965"/>
      <c r="H19" s="965"/>
      <c r="I19" s="965"/>
      <c r="J19" s="965"/>
      <c r="K19" s="965"/>
      <c r="L19" s="965"/>
      <c r="M19" s="965"/>
      <c r="N19" s="965"/>
      <c r="O19" s="965"/>
      <c r="P19" s="965"/>
      <c r="Q19" s="965"/>
      <c r="R19" s="965"/>
      <c r="S19" s="965"/>
      <c r="T19" s="965"/>
      <c r="U19" s="965"/>
      <c r="V19" s="965"/>
      <c r="W19" s="965"/>
      <c r="X19" s="965"/>
      <c r="Y19" s="965"/>
      <c r="Z19" s="965"/>
    </row>
    <row r="20">
      <c r="A20" s="965"/>
      <c r="B20" s="965"/>
      <c r="C20" s="965"/>
      <c r="D20" s="965"/>
      <c r="E20" s="965"/>
      <c r="F20" s="965"/>
      <c r="G20" s="965"/>
      <c r="H20" s="965"/>
      <c r="I20" s="965"/>
      <c r="J20" s="965"/>
      <c r="K20" s="965"/>
      <c r="L20" s="965"/>
      <c r="M20" s="965"/>
      <c r="N20" s="965"/>
      <c r="O20" s="965"/>
      <c r="P20" s="965"/>
      <c r="Q20" s="965"/>
      <c r="R20" s="965"/>
      <c r="S20" s="965"/>
      <c r="T20" s="965"/>
      <c r="U20" s="965"/>
      <c r="V20" s="965"/>
      <c r="W20" s="965"/>
      <c r="X20" s="965"/>
      <c r="Y20" s="965"/>
      <c r="Z20" s="965"/>
    </row>
    <row r="21">
      <c r="A21" s="965"/>
      <c r="B21" s="965"/>
      <c r="C21" s="965"/>
      <c r="D21" s="965"/>
      <c r="E21" s="965"/>
      <c r="F21" s="965"/>
      <c r="G21" s="965"/>
      <c r="H21" s="965"/>
      <c r="I21" s="965"/>
      <c r="J21" s="965"/>
      <c r="K21" s="965"/>
      <c r="L21" s="965"/>
      <c r="M21" s="965"/>
      <c r="N21" s="965"/>
      <c r="O21" s="965"/>
      <c r="P21" s="965"/>
      <c r="Q21" s="965"/>
      <c r="R21" s="965"/>
      <c r="S21" s="965"/>
      <c r="T21" s="965"/>
      <c r="U21" s="965"/>
      <c r="V21" s="965"/>
      <c r="W21" s="965"/>
      <c r="X21" s="965"/>
      <c r="Y21" s="965"/>
      <c r="Z21" s="965"/>
    </row>
    <row r="22">
      <c r="A22" s="965"/>
      <c r="B22" s="965"/>
      <c r="C22" s="965"/>
      <c r="D22" s="965"/>
      <c r="E22" s="965"/>
      <c r="F22" s="965"/>
      <c r="G22" s="965"/>
      <c r="H22" s="965"/>
      <c r="I22" s="965"/>
      <c r="J22" s="965"/>
      <c r="K22" s="965"/>
      <c r="L22" s="965"/>
      <c r="M22" s="965"/>
      <c r="N22" s="965"/>
      <c r="O22" s="965"/>
      <c r="P22" s="965"/>
      <c r="Q22" s="965"/>
      <c r="R22" s="965"/>
      <c r="S22" s="965"/>
      <c r="T22" s="965"/>
      <c r="U22" s="965"/>
      <c r="V22" s="965"/>
      <c r="W22" s="965"/>
      <c r="X22" s="965"/>
      <c r="Y22" s="965"/>
      <c r="Z22" s="965"/>
    </row>
    <row r="23">
      <c r="A23" s="965"/>
      <c r="B23" s="965"/>
      <c r="C23" s="965"/>
      <c r="D23" s="965"/>
      <c r="E23" s="965"/>
      <c r="F23" s="965"/>
      <c r="G23" s="965"/>
      <c r="H23" s="965"/>
      <c r="I23" s="965"/>
      <c r="J23" s="965"/>
      <c r="K23" s="965"/>
      <c r="L23" s="965"/>
      <c r="M23" s="965"/>
      <c r="N23" s="965"/>
      <c r="O23" s="965"/>
      <c r="P23" s="965"/>
      <c r="Q23" s="965"/>
      <c r="R23" s="965"/>
      <c r="S23" s="965"/>
      <c r="T23" s="965"/>
      <c r="U23" s="965"/>
      <c r="V23" s="965"/>
      <c r="W23" s="965"/>
      <c r="X23" s="965"/>
      <c r="Y23" s="965"/>
      <c r="Z23" s="965"/>
    </row>
    <row r="24">
      <c r="A24" s="965"/>
      <c r="B24" s="965"/>
      <c r="C24" s="965"/>
      <c r="D24" s="965"/>
      <c r="E24" s="965"/>
      <c r="F24" s="965"/>
      <c r="G24" s="965"/>
      <c r="H24" s="965"/>
      <c r="I24" s="965"/>
      <c r="J24" s="965"/>
      <c r="K24" s="965"/>
      <c r="L24" s="965"/>
      <c r="M24" s="965"/>
      <c r="N24" s="965"/>
      <c r="O24" s="965"/>
      <c r="P24" s="965"/>
      <c r="Q24" s="965"/>
      <c r="R24" s="965"/>
      <c r="S24" s="965"/>
      <c r="T24" s="965"/>
      <c r="U24" s="965"/>
      <c r="V24" s="965"/>
      <c r="W24" s="965"/>
      <c r="X24" s="965"/>
      <c r="Y24" s="965"/>
      <c r="Z24" s="965"/>
    </row>
    <row r="25">
      <c r="A25" s="965"/>
      <c r="B25" s="965"/>
      <c r="C25" s="965"/>
      <c r="D25" s="965"/>
      <c r="E25" s="965"/>
      <c r="F25" s="965"/>
      <c r="G25" s="965"/>
      <c r="H25" s="965"/>
      <c r="I25" s="965"/>
      <c r="J25" s="965"/>
      <c r="K25" s="965"/>
      <c r="L25" s="965"/>
      <c r="M25" s="965"/>
      <c r="N25" s="965"/>
      <c r="O25" s="965"/>
      <c r="P25" s="965"/>
      <c r="Q25" s="965"/>
      <c r="R25" s="965"/>
      <c r="S25" s="965"/>
      <c r="T25" s="965"/>
      <c r="U25" s="965"/>
      <c r="V25" s="965"/>
      <c r="W25" s="965"/>
      <c r="X25" s="965"/>
      <c r="Y25" s="965"/>
      <c r="Z25" s="965"/>
    </row>
    <row r="26">
      <c r="A26" s="965"/>
      <c r="B26" s="965"/>
      <c r="C26" s="965"/>
      <c r="D26" s="965"/>
      <c r="E26" s="965"/>
      <c r="F26" s="965"/>
      <c r="G26" s="965"/>
      <c r="H26" s="965"/>
      <c r="I26" s="965"/>
      <c r="J26" s="965"/>
      <c r="K26" s="965"/>
      <c r="L26" s="965"/>
      <c r="M26" s="965"/>
      <c r="N26" s="965"/>
      <c r="O26" s="965"/>
      <c r="P26" s="965"/>
      <c r="Q26" s="965"/>
      <c r="R26" s="965"/>
      <c r="S26" s="965"/>
      <c r="T26" s="965"/>
      <c r="U26" s="965"/>
      <c r="V26" s="965"/>
      <c r="W26" s="965"/>
      <c r="X26" s="965"/>
      <c r="Y26" s="965"/>
      <c r="Z26" s="965"/>
    </row>
    <row r="27">
      <c r="A27" s="965"/>
      <c r="B27" s="965"/>
      <c r="C27" s="965"/>
      <c r="D27" s="965"/>
      <c r="E27" s="965"/>
      <c r="F27" s="965"/>
      <c r="G27" s="965"/>
      <c r="H27" s="965"/>
      <c r="I27" s="965"/>
      <c r="J27" s="965"/>
      <c r="K27" s="965"/>
      <c r="L27" s="965"/>
      <c r="M27" s="965"/>
      <c r="N27" s="965"/>
      <c r="O27" s="965"/>
      <c r="P27" s="965"/>
      <c r="Q27" s="965"/>
      <c r="R27" s="965"/>
      <c r="S27" s="965"/>
      <c r="T27" s="965"/>
      <c r="U27" s="965"/>
      <c r="V27" s="965"/>
      <c r="W27" s="965"/>
      <c r="X27" s="965"/>
      <c r="Y27" s="965"/>
      <c r="Z27" s="965"/>
    </row>
    <row r="28">
      <c r="A28" s="965"/>
      <c r="B28" s="965"/>
      <c r="C28" s="965"/>
      <c r="D28" s="965"/>
      <c r="E28" s="965"/>
      <c r="F28" s="965"/>
      <c r="G28" s="965"/>
      <c r="H28" s="965"/>
      <c r="I28" s="965"/>
      <c r="J28" s="965"/>
      <c r="K28" s="965"/>
      <c r="L28" s="965"/>
      <c r="M28" s="965"/>
      <c r="N28" s="965"/>
      <c r="O28" s="965"/>
      <c r="P28" s="965"/>
      <c r="Q28" s="965"/>
      <c r="R28" s="965"/>
      <c r="S28" s="965"/>
      <c r="T28" s="965"/>
      <c r="U28" s="965"/>
      <c r="V28" s="965"/>
      <c r="W28" s="965"/>
      <c r="X28" s="965"/>
      <c r="Y28" s="965"/>
      <c r="Z28" s="965"/>
    </row>
    <row r="29">
      <c r="A29" s="965"/>
      <c r="B29" s="965"/>
      <c r="C29" s="965"/>
      <c r="D29" s="965"/>
      <c r="E29" s="965"/>
      <c r="F29" s="965"/>
      <c r="G29" s="965"/>
      <c r="H29" s="965"/>
      <c r="I29" s="965"/>
      <c r="J29" s="965"/>
      <c r="K29" s="965"/>
      <c r="L29" s="965"/>
      <c r="M29" s="965"/>
      <c r="N29" s="965"/>
      <c r="O29" s="965"/>
      <c r="P29" s="965"/>
      <c r="Q29" s="965"/>
      <c r="R29" s="965"/>
      <c r="S29" s="965"/>
      <c r="T29" s="965"/>
      <c r="U29" s="965"/>
      <c r="V29" s="965"/>
      <c r="W29" s="965"/>
      <c r="X29" s="965"/>
      <c r="Y29" s="965"/>
      <c r="Z29" s="965"/>
    </row>
    <row r="30">
      <c r="A30" s="965"/>
      <c r="B30" s="965"/>
      <c r="C30" s="965"/>
      <c r="D30" s="965"/>
      <c r="E30" s="965"/>
      <c r="F30" s="965"/>
      <c r="G30" s="965"/>
      <c r="H30" s="965"/>
      <c r="I30" s="965"/>
      <c r="J30" s="965"/>
      <c r="K30" s="965"/>
      <c r="L30" s="965"/>
      <c r="M30" s="965"/>
      <c r="N30" s="965"/>
      <c r="O30" s="965"/>
      <c r="P30" s="965"/>
      <c r="Q30" s="965"/>
      <c r="R30" s="965"/>
      <c r="S30" s="965"/>
      <c r="T30" s="965"/>
      <c r="U30" s="965"/>
      <c r="V30" s="965"/>
      <c r="W30" s="965"/>
      <c r="X30" s="965"/>
      <c r="Y30" s="965"/>
      <c r="Z30" s="965"/>
    </row>
    <row r="31">
      <c r="A31" s="965"/>
      <c r="B31" s="965"/>
      <c r="C31" s="965"/>
      <c r="D31" s="965"/>
      <c r="E31" s="965"/>
      <c r="F31" s="965"/>
      <c r="G31" s="965"/>
      <c r="H31" s="965"/>
      <c r="I31" s="965"/>
      <c r="J31" s="965"/>
      <c r="K31" s="965"/>
      <c r="L31" s="965"/>
      <c r="M31" s="965"/>
      <c r="N31" s="965"/>
      <c r="O31" s="965"/>
      <c r="P31" s="965"/>
      <c r="Q31" s="965"/>
      <c r="R31" s="965"/>
      <c r="S31" s="965"/>
      <c r="T31" s="965"/>
      <c r="U31" s="965"/>
      <c r="V31" s="965"/>
      <c r="W31" s="965"/>
      <c r="X31" s="965"/>
      <c r="Y31" s="965"/>
      <c r="Z31" s="965"/>
    </row>
    <row r="32">
      <c r="A32" s="965"/>
      <c r="B32" s="965"/>
      <c r="C32" s="965"/>
      <c r="D32" s="965"/>
      <c r="E32" s="965"/>
      <c r="F32" s="965"/>
      <c r="G32" s="965"/>
      <c r="H32" s="965"/>
      <c r="I32" s="965"/>
      <c r="J32" s="965"/>
      <c r="K32" s="965"/>
      <c r="L32" s="965"/>
      <c r="M32" s="965"/>
      <c r="N32" s="965"/>
      <c r="O32" s="965"/>
      <c r="P32" s="965"/>
      <c r="Q32" s="965"/>
      <c r="R32" s="965"/>
      <c r="S32" s="965"/>
      <c r="T32" s="965"/>
      <c r="U32" s="965"/>
      <c r="V32" s="965"/>
      <c r="W32" s="965"/>
      <c r="X32" s="965"/>
      <c r="Y32" s="965"/>
      <c r="Z32" s="965"/>
    </row>
    <row r="33">
      <c r="A33" s="965"/>
      <c r="B33" s="965"/>
      <c r="C33" s="965"/>
      <c r="D33" s="965"/>
      <c r="E33" s="965"/>
      <c r="F33" s="965"/>
      <c r="G33" s="965"/>
      <c r="H33" s="965"/>
      <c r="I33" s="965"/>
      <c r="J33" s="965"/>
      <c r="K33" s="965"/>
      <c r="L33" s="965"/>
      <c r="M33" s="965"/>
      <c r="N33" s="965"/>
      <c r="O33" s="965"/>
      <c r="P33" s="965"/>
      <c r="Q33" s="965"/>
      <c r="R33" s="965"/>
      <c r="S33" s="965"/>
      <c r="T33" s="965"/>
      <c r="U33" s="965"/>
      <c r="V33" s="965"/>
      <c r="W33" s="965"/>
      <c r="X33" s="965"/>
      <c r="Y33" s="965"/>
      <c r="Z33" s="965"/>
    </row>
    <row r="34">
      <c r="A34" s="965"/>
      <c r="B34" s="965"/>
      <c r="C34" s="965"/>
      <c r="D34" s="965"/>
      <c r="E34" s="965"/>
      <c r="F34" s="965"/>
      <c r="G34" s="965"/>
      <c r="H34" s="965"/>
      <c r="I34" s="965"/>
      <c r="J34" s="965"/>
      <c r="K34" s="965"/>
      <c r="L34" s="965"/>
      <c r="M34" s="965"/>
      <c r="N34" s="965"/>
      <c r="O34" s="965"/>
      <c r="P34" s="965"/>
      <c r="Q34" s="965"/>
      <c r="R34" s="965"/>
      <c r="S34" s="965"/>
      <c r="T34" s="965"/>
      <c r="U34" s="965"/>
      <c r="V34" s="965"/>
      <c r="W34" s="965"/>
      <c r="X34" s="965"/>
      <c r="Y34" s="965"/>
      <c r="Z34" s="965"/>
    </row>
    <row r="35">
      <c r="A35" s="965"/>
      <c r="B35" s="965"/>
      <c r="C35" s="965"/>
      <c r="D35" s="965"/>
      <c r="E35" s="965"/>
      <c r="F35" s="965"/>
      <c r="G35" s="965"/>
      <c r="H35" s="965"/>
      <c r="I35" s="965"/>
      <c r="J35" s="965"/>
      <c r="K35" s="965"/>
      <c r="L35" s="965"/>
      <c r="M35" s="965"/>
      <c r="N35" s="965"/>
      <c r="O35" s="965"/>
      <c r="P35" s="965"/>
      <c r="Q35" s="965"/>
      <c r="R35" s="965"/>
      <c r="S35" s="965"/>
      <c r="T35" s="965"/>
      <c r="U35" s="965"/>
      <c r="V35" s="965"/>
      <c r="W35" s="965"/>
      <c r="X35" s="965"/>
      <c r="Y35" s="965"/>
      <c r="Z35" s="965"/>
    </row>
    <row r="36">
      <c r="A36" s="965"/>
      <c r="B36" s="965"/>
      <c r="C36" s="965"/>
      <c r="D36" s="965"/>
      <c r="E36" s="965"/>
      <c r="F36" s="965"/>
      <c r="G36" s="965"/>
      <c r="H36" s="965"/>
      <c r="I36" s="965"/>
      <c r="J36" s="965"/>
      <c r="K36" s="965"/>
      <c r="L36" s="965"/>
      <c r="M36" s="965"/>
      <c r="N36" s="965"/>
      <c r="O36" s="965"/>
      <c r="P36" s="965"/>
      <c r="Q36" s="965"/>
      <c r="R36" s="965"/>
      <c r="S36" s="965"/>
      <c r="T36" s="965"/>
      <c r="U36" s="965"/>
      <c r="V36" s="965"/>
      <c r="W36" s="965"/>
      <c r="X36" s="965"/>
      <c r="Y36" s="965"/>
      <c r="Z36" s="965"/>
    </row>
    <row r="37">
      <c r="A37" s="965"/>
      <c r="B37" s="965"/>
      <c r="C37" s="965"/>
      <c r="D37" s="965"/>
      <c r="E37" s="965"/>
      <c r="F37" s="965"/>
      <c r="G37" s="965"/>
      <c r="H37" s="965"/>
      <c r="I37" s="965"/>
      <c r="J37" s="965"/>
      <c r="K37" s="965"/>
      <c r="L37" s="965"/>
      <c r="M37" s="965"/>
      <c r="N37" s="965"/>
      <c r="O37" s="965"/>
      <c r="P37" s="965"/>
      <c r="Q37" s="965"/>
      <c r="R37" s="965"/>
      <c r="S37" s="965"/>
      <c r="T37" s="965"/>
      <c r="U37" s="965"/>
      <c r="V37" s="965"/>
      <c r="W37" s="965"/>
      <c r="X37" s="965"/>
      <c r="Y37" s="965"/>
      <c r="Z37" s="965"/>
    </row>
    <row r="38">
      <c r="A38" s="965"/>
      <c r="B38" s="965"/>
      <c r="C38" s="965"/>
      <c r="D38" s="965"/>
      <c r="E38" s="965"/>
      <c r="F38" s="965"/>
      <c r="G38" s="965"/>
      <c r="H38" s="965"/>
      <c r="I38" s="965"/>
      <c r="J38" s="965"/>
      <c r="K38" s="965"/>
      <c r="L38" s="965"/>
      <c r="M38" s="965"/>
      <c r="N38" s="965"/>
      <c r="O38" s="965"/>
      <c r="P38" s="965"/>
      <c r="Q38" s="965"/>
      <c r="R38" s="965"/>
      <c r="S38" s="965"/>
      <c r="T38" s="965"/>
      <c r="U38" s="965"/>
      <c r="V38" s="965"/>
      <c r="W38" s="965"/>
      <c r="X38" s="965"/>
      <c r="Y38" s="965"/>
      <c r="Z38" s="965"/>
    </row>
    <row r="39">
      <c r="A39" s="965"/>
      <c r="B39" s="965"/>
      <c r="C39" s="965"/>
      <c r="D39" s="965"/>
      <c r="E39" s="965"/>
      <c r="F39" s="965"/>
      <c r="G39" s="965"/>
      <c r="H39" s="965"/>
      <c r="I39" s="965"/>
      <c r="J39" s="965"/>
      <c r="K39" s="965"/>
      <c r="L39" s="965"/>
      <c r="M39" s="965"/>
      <c r="N39" s="965"/>
      <c r="O39" s="965"/>
      <c r="P39" s="965"/>
      <c r="Q39" s="965"/>
      <c r="R39" s="965"/>
      <c r="S39" s="965"/>
      <c r="T39" s="965"/>
      <c r="U39" s="965"/>
      <c r="V39" s="965"/>
      <c r="W39" s="965"/>
      <c r="X39" s="965"/>
      <c r="Y39" s="965"/>
      <c r="Z39" s="965"/>
    </row>
    <row r="40">
      <c r="A40" s="965"/>
      <c r="B40" s="965"/>
      <c r="C40" s="965"/>
      <c r="D40" s="965"/>
      <c r="E40" s="965"/>
      <c r="F40" s="965"/>
      <c r="G40" s="965"/>
      <c r="H40" s="965"/>
      <c r="I40" s="965"/>
      <c r="J40" s="965"/>
      <c r="K40" s="965"/>
      <c r="L40" s="965"/>
      <c r="M40" s="965"/>
      <c r="N40" s="965"/>
      <c r="O40" s="965"/>
      <c r="P40" s="965"/>
      <c r="Q40" s="965"/>
      <c r="R40" s="965"/>
      <c r="S40" s="965"/>
      <c r="T40" s="965"/>
      <c r="U40" s="965"/>
      <c r="V40" s="965"/>
      <c r="W40" s="965"/>
      <c r="X40" s="965"/>
      <c r="Y40" s="965"/>
      <c r="Z40" s="965"/>
    </row>
    <row r="41">
      <c r="A41" s="965"/>
      <c r="B41" s="965"/>
      <c r="C41" s="965"/>
      <c r="D41" s="965"/>
      <c r="E41" s="965"/>
      <c r="F41" s="965"/>
      <c r="G41" s="965"/>
      <c r="H41" s="965"/>
      <c r="I41" s="965"/>
      <c r="J41" s="965"/>
      <c r="K41" s="965"/>
      <c r="L41" s="965"/>
      <c r="M41" s="965"/>
      <c r="N41" s="965"/>
      <c r="O41" s="965"/>
      <c r="P41" s="965"/>
      <c r="Q41" s="965"/>
      <c r="R41" s="965"/>
      <c r="S41" s="965"/>
      <c r="T41" s="965"/>
      <c r="U41" s="965"/>
      <c r="V41" s="965"/>
      <c r="W41" s="965"/>
      <c r="X41" s="965"/>
      <c r="Y41" s="965"/>
      <c r="Z41" s="965"/>
    </row>
    <row r="42">
      <c r="A42" s="965"/>
      <c r="B42" s="965"/>
      <c r="C42" s="965"/>
      <c r="D42" s="965"/>
      <c r="E42" s="965"/>
      <c r="F42" s="965"/>
      <c r="G42" s="965"/>
      <c r="H42" s="965"/>
      <c r="I42" s="965"/>
      <c r="J42" s="965"/>
      <c r="K42" s="965"/>
      <c r="L42" s="965"/>
      <c r="M42" s="965"/>
      <c r="N42" s="965"/>
      <c r="O42" s="965"/>
      <c r="P42" s="965"/>
      <c r="Q42" s="965"/>
      <c r="R42" s="965"/>
      <c r="S42" s="965"/>
      <c r="T42" s="965"/>
      <c r="U42" s="965"/>
      <c r="V42" s="965"/>
      <c r="W42" s="965"/>
      <c r="X42" s="965"/>
      <c r="Y42" s="965"/>
      <c r="Z42" s="965"/>
    </row>
    <row r="43">
      <c r="A43" s="965"/>
      <c r="B43" s="965"/>
      <c r="C43" s="965"/>
      <c r="D43" s="965"/>
      <c r="E43" s="965"/>
      <c r="F43" s="965"/>
      <c r="G43" s="965"/>
      <c r="H43" s="965"/>
      <c r="I43" s="965"/>
      <c r="J43" s="965"/>
      <c r="K43" s="965"/>
      <c r="L43" s="965"/>
      <c r="M43" s="965"/>
      <c r="N43" s="965"/>
      <c r="O43" s="965"/>
      <c r="P43" s="965"/>
      <c r="Q43" s="965"/>
      <c r="R43" s="965"/>
      <c r="S43" s="965"/>
      <c r="T43" s="965"/>
      <c r="U43" s="965"/>
      <c r="V43" s="965"/>
      <c r="W43" s="965"/>
      <c r="X43" s="965"/>
      <c r="Y43" s="965"/>
      <c r="Z43" s="965"/>
    </row>
    <row r="44">
      <c r="A44" s="965"/>
      <c r="B44" s="965"/>
      <c r="C44" s="965"/>
      <c r="D44" s="965"/>
      <c r="E44" s="965"/>
      <c r="F44" s="965"/>
      <c r="G44" s="965"/>
      <c r="H44" s="965"/>
      <c r="I44" s="965"/>
      <c r="J44" s="965"/>
      <c r="K44" s="965"/>
      <c r="L44" s="965"/>
      <c r="M44" s="965"/>
      <c r="N44" s="965"/>
      <c r="O44" s="965"/>
      <c r="P44" s="965"/>
      <c r="Q44" s="965"/>
      <c r="R44" s="965"/>
      <c r="S44" s="965"/>
      <c r="T44" s="965"/>
      <c r="U44" s="965"/>
      <c r="V44" s="965"/>
      <c r="W44" s="965"/>
      <c r="X44" s="965"/>
      <c r="Y44" s="965"/>
      <c r="Z44" s="965"/>
    </row>
    <row r="45">
      <c r="A45" s="965"/>
      <c r="B45" s="965"/>
      <c r="C45" s="965"/>
      <c r="D45" s="965"/>
      <c r="E45" s="965"/>
      <c r="F45" s="965"/>
      <c r="G45" s="965"/>
      <c r="H45" s="965"/>
      <c r="I45" s="965"/>
      <c r="J45" s="965"/>
      <c r="K45" s="965"/>
      <c r="L45" s="965"/>
      <c r="M45" s="965"/>
      <c r="N45" s="965"/>
      <c r="O45" s="965"/>
      <c r="P45" s="965"/>
      <c r="Q45" s="965"/>
      <c r="R45" s="965"/>
      <c r="S45" s="965"/>
      <c r="T45" s="965"/>
      <c r="U45" s="965"/>
      <c r="V45" s="965"/>
      <c r="W45" s="965"/>
      <c r="X45" s="965"/>
      <c r="Y45" s="965"/>
      <c r="Z45" s="965"/>
    </row>
    <row r="46">
      <c r="A46" s="965"/>
      <c r="B46" s="965"/>
      <c r="C46" s="965"/>
      <c r="D46" s="965"/>
      <c r="E46" s="965"/>
      <c r="F46" s="965"/>
      <c r="G46" s="965"/>
      <c r="H46" s="965"/>
      <c r="I46" s="965"/>
      <c r="J46" s="965"/>
      <c r="K46" s="965"/>
      <c r="L46" s="965"/>
      <c r="M46" s="965"/>
      <c r="N46" s="965"/>
      <c r="O46" s="965"/>
      <c r="P46" s="965"/>
      <c r="Q46" s="965"/>
      <c r="R46" s="965"/>
      <c r="S46" s="965"/>
      <c r="T46" s="965"/>
      <c r="U46" s="965"/>
      <c r="V46" s="965"/>
      <c r="W46" s="965"/>
      <c r="X46" s="965"/>
      <c r="Y46" s="965"/>
      <c r="Z46" s="965"/>
    </row>
    <row r="47">
      <c r="A47" s="965"/>
      <c r="B47" s="965"/>
      <c r="C47" s="965"/>
      <c r="D47" s="965"/>
      <c r="E47" s="965"/>
      <c r="F47" s="965"/>
      <c r="G47" s="965"/>
      <c r="H47" s="965"/>
      <c r="I47" s="965"/>
      <c r="J47" s="965"/>
      <c r="K47" s="965"/>
      <c r="L47" s="965"/>
      <c r="M47" s="965"/>
      <c r="N47" s="965"/>
      <c r="O47" s="965"/>
      <c r="P47" s="965"/>
      <c r="Q47" s="965"/>
      <c r="R47" s="965"/>
      <c r="S47" s="965"/>
      <c r="T47" s="965"/>
      <c r="U47" s="965"/>
      <c r="V47" s="965"/>
      <c r="W47" s="965"/>
      <c r="X47" s="965"/>
      <c r="Y47" s="965"/>
      <c r="Z47" s="965"/>
    </row>
    <row r="48">
      <c r="A48" s="965"/>
      <c r="B48" s="965"/>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row>
    <row r="49">
      <c r="A49" s="965"/>
      <c r="B49" s="965"/>
      <c r="C49" s="965"/>
      <c r="D49" s="965"/>
      <c r="E49" s="965"/>
      <c r="F49" s="965"/>
      <c r="G49" s="965"/>
      <c r="H49" s="965"/>
      <c r="I49" s="965"/>
      <c r="J49" s="965"/>
      <c r="K49" s="965"/>
      <c r="L49" s="965"/>
      <c r="M49" s="965"/>
      <c r="N49" s="965"/>
      <c r="O49" s="965"/>
      <c r="P49" s="965"/>
      <c r="Q49" s="965"/>
      <c r="R49" s="965"/>
      <c r="S49" s="965"/>
      <c r="T49" s="965"/>
      <c r="U49" s="965"/>
      <c r="V49" s="965"/>
      <c r="W49" s="965"/>
      <c r="X49" s="965"/>
      <c r="Y49" s="965"/>
      <c r="Z49" s="965"/>
    </row>
    <row r="50">
      <c r="A50" s="965"/>
      <c r="B50" s="965"/>
      <c r="C50" s="965"/>
      <c r="D50" s="965"/>
      <c r="E50" s="965"/>
      <c r="F50" s="965"/>
      <c r="G50" s="965"/>
      <c r="H50" s="965"/>
      <c r="I50" s="965"/>
      <c r="J50" s="965"/>
      <c r="K50" s="965"/>
      <c r="L50" s="965"/>
      <c r="M50" s="965"/>
      <c r="N50" s="965"/>
      <c r="O50" s="965"/>
      <c r="P50" s="965"/>
      <c r="Q50" s="965"/>
      <c r="R50" s="965"/>
      <c r="S50" s="965"/>
      <c r="T50" s="965"/>
      <c r="U50" s="965"/>
      <c r="V50" s="965"/>
      <c r="W50" s="965"/>
      <c r="X50" s="965"/>
      <c r="Y50" s="965"/>
      <c r="Z50" s="965"/>
    </row>
    <row r="51">
      <c r="A51" s="965"/>
      <c r="B51" s="965"/>
      <c r="C51" s="965"/>
      <c r="D51" s="965"/>
      <c r="E51" s="965"/>
      <c r="F51" s="965"/>
      <c r="G51" s="965"/>
      <c r="H51" s="965"/>
      <c r="I51" s="965"/>
      <c r="J51" s="965"/>
      <c r="K51" s="965"/>
      <c r="L51" s="965"/>
      <c r="M51" s="965"/>
      <c r="N51" s="965"/>
      <c r="O51" s="965"/>
      <c r="P51" s="965"/>
      <c r="Q51" s="965"/>
      <c r="R51" s="965"/>
      <c r="S51" s="965"/>
      <c r="T51" s="965"/>
      <c r="U51" s="965"/>
      <c r="V51" s="965"/>
      <c r="W51" s="965"/>
      <c r="X51" s="965"/>
      <c r="Y51" s="965"/>
      <c r="Z51" s="965"/>
    </row>
    <row r="52">
      <c r="A52" s="965"/>
      <c r="B52" s="965"/>
      <c r="C52" s="965"/>
      <c r="D52" s="965"/>
      <c r="E52" s="965"/>
      <c r="F52" s="965"/>
      <c r="G52" s="965"/>
      <c r="H52" s="965"/>
      <c r="I52" s="965"/>
      <c r="J52" s="965"/>
      <c r="K52" s="965"/>
      <c r="L52" s="965"/>
      <c r="M52" s="965"/>
      <c r="N52" s="965"/>
      <c r="O52" s="965"/>
      <c r="P52" s="965"/>
      <c r="Q52" s="965"/>
      <c r="R52" s="965"/>
      <c r="S52" s="965"/>
      <c r="T52" s="965"/>
      <c r="U52" s="965"/>
      <c r="V52" s="965"/>
      <c r="W52" s="965"/>
      <c r="X52" s="965"/>
      <c r="Y52" s="965"/>
      <c r="Z52" s="965"/>
    </row>
    <row r="53">
      <c r="A53" s="965"/>
      <c r="B53" s="965"/>
      <c r="C53" s="965"/>
      <c r="D53" s="965"/>
      <c r="E53" s="965"/>
      <c r="F53" s="965"/>
      <c r="G53" s="965"/>
      <c r="H53" s="965"/>
      <c r="I53" s="965"/>
      <c r="J53" s="965"/>
      <c r="K53" s="965"/>
      <c r="L53" s="965"/>
      <c r="M53" s="965"/>
      <c r="N53" s="965"/>
      <c r="O53" s="965"/>
      <c r="P53" s="965"/>
      <c r="Q53" s="965"/>
      <c r="R53" s="965"/>
      <c r="S53" s="965"/>
      <c r="T53" s="965"/>
      <c r="U53" s="965"/>
      <c r="V53" s="965"/>
      <c r="W53" s="965"/>
      <c r="X53" s="965"/>
      <c r="Y53" s="965"/>
      <c r="Z53" s="965"/>
    </row>
    <row r="54">
      <c r="A54" s="965"/>
      <c r="B54" s="965"/>
      <c r="C54" s="965"/>
      <c r="D54" s="965"/>
      <c r="E54" s="965"/>
      <c r="F54" s="965"/>
      <c r="G54" s="965"/>
      <c r="H54" s="965"/>
      <c r="I54" s="965"/>
      <c r="J54" s="965"/>
      <c r="K54" s="965"/>
      <c r="L54" s="965"/>
      <c r="M54" s="965"/>
      <c r="N54" s="965"/>
      <c r="O54" s="965"/>
      <c r="P54" s="965"/>
      <c r="Q54" s="965"/>
      <c r="R54" s="965"/>
      <c r="S54" s="965"/>
      <c r="T54" s="965"/>
      <c r="U54" s="965"/>
      <c r="V54" s="965"/>
      <c r="W54" s="965"/>
      <c r="X54" s="965"/>
      <c r="Y54" s="965"/>
      <c r="Z54" s="965"/>
    </row>
    <row r="55">
      <c r="A55" s="965"/>
      <c r="B55" s="965"/>
      <c r="C55" s="965"/>
      <c r="D55" s="965"/>
      <c r="E55" s="965"/>
      <c r="F55" s="965"/>
      <c r="G55" s="965"/>
      <c r="H55" s="965"/>
      <c r="I55" s="965"/>
      <c r="J55" s="965"/>
      <c r="K55" s="965"/>
      <c r="L55" s="965"/>
      <c r="M55" s="965"/>
      <c r="N55" s="965"/>
      <c r="O55" s="965"/>
      <c r="P55" s="965"/>
      <c r="Q55" s="965"/>
      <c r="R55" s="965"/>
      <c r="S55" s="965"/>
      <c r="T55" s="965"/>
      <c r="U55" s="965"/>
      <c r="V55" s="965"/>
      <c r="W55" s="965"/>
      <c r="X55" s="965"/>
      <c r="Y55" s="965"/>
      <c r="Z55" s="965"/>
    </row>
    <row r="56">
      <c r="A56" s="965"/>
      <c r="B56" s="965"/>
      <c r="C56" s="965"/>
      <c r="D56" s="965"/>
      <c r="E56" s="965"/>
      <c r="F56" s="965"/>
      <c r="G56" s="965"/>
      <c r="H56" s="965"/>
      <c r="I56" s="965"/>
      <c r="J56" s="965"/>
      <c r="K56" s="965"/>
      <c r="L56" s="965"/>
      <c r="M56" s="965"/>
      <c r="N56" s="965"/>
      <c r="O56" s="965"/>
      <c r="P56" s="965"/>
      <c r="Q56" s="965"/>
      <c r="R56" s="965"/>
      <c r="S56" s="965"/>
      <c r="T56" s="965"/>
      <c r="U56" s="965"/>
      <c r="V56" s="965"/>
      <c r="W56" s="965"/>
      <c r="X56" s="965"/>
      <c r="Y56" s="965"/>
      <c r="Z56" s="965"/>
    </row>
    <row r="57">
      <c r="A57" s="965"/>
      <c r="B57" s="965"/>
      <c r="C57" s="965"/>
      <c r="D57" s="965"/>
      <c r="E57" s="965"/>
      <c r="F57" s="965"/>
      <c r="G57" s="965"/>
      <c r="H57" s="965"/>
      <c r="I57" s="965"/>
      <c r="J57" s="965"/>
      <c r="K57" s="965"/>
      <c r="L57" s="965"/>
      <c r="M57" s="965"/>
      <c r="N57" s="965"/>
      <c r="O57" s="965"/>
      <c r="P57" s="965"/>
      <c r="Q57" s="965"/>
      <c r="R57" s="965"/>
      <c r="S57" s="965"/>
      <c r="T57" s="965"/>
      <c r="U57" s="965"/>
      <c r="V57" s="965"/>
      <c r="W57" s="965"/>
      <c r="X57" s="965"/>
      <c r="Y57" s="965"/>
      <c r="Z57" s="965"/>
    </row>
    <row r="58">
      <c r="A58" s="965"/>
      <c r="B58" s="965"/>
      <c r="C58" s="965"/>
      <c r="D58" s="965"/>
      <c r="E58" s="965"/>
      <c r="F58" s="965"/>
      <c r="G58" s="965"/>
      <c r="H58" s="965"/>
      <c r="I58" s="965"/>
      <c r="J58" s="965"/>
      <c r="K58" s="965"/>
      <c r="L58" s="965"/>
      <c r="M58" s="965"/>
      <c r="N58" s="965"/>
      <c r="O58" s="965"/>
      <c r="P58" s="965"/>
      <c r="Q58" s="965"/>
      <c r="R58" s="965"/>
      <c r="S58" s="965"/>
      <c r="T58" s="965"/>
      <c r="U58" s="965"/>
      <c r="V58" s="965"/>
      <c r="W58" s="965"/>
      <c r="X58" s="965"/>
      <c r="Y58" s="965"/>
      <c r="Z58" s="965"/>
    </row>
    <row r="59">
      <c r="A59" s="965"/>
      <c r="B59" s="965"/>
      <c r="C59" s="965"/>
      <c r="D59" s="965"/>
      <c r="E59" s="965"/>
      <c r="F59" s="965"/>
      <c r="G59" s="965"/>
      <c r="H59" s="965"/>
      <c r="I59" s="965"/>
      <c r="J59" s="965"/>
      <c r="K59" s="965"/>
      <c r="L59" s="965"/>
      <c r="M59" s="965"/>
      <c r="N59" s="965"/>
      <c r="O59" s="965"/>
      <c r="P59" s="965"/>
      <c r="Q59" s="965"/>
      <c r="R59" s="965"/>
      <c r="S59" s="965"/>
      <c r="T59" s="965"/>
      <c r="U59" s="965"/>
      <c r="V59" s="965"/>
      <c r="W59" s="965"/>
      <c r="X59" s="965"/>
      <c r="Y59" s="965"/>
      <c r="Z59" s="965"/>
    </row>
    <row r="60">
      <c r="A60" s="965"/>
      <c r="B60" s="965"/>
      <c r="C60" s="965"/>
      <c r="D60" s="965"/>
      <c r="E60" s="965"/>
      <c r="F60" s="965"/>
      <c r="G60" s="965"/>
      <c r="H60" s="965"/>
      <c r="I60" s="965"/>
      <c r="J60" s="965"/>
      <c r="K60" s="965"/>
      <c r="L60" s="965"/>
      <c r="M60" s="965"/>
      <c r="N60" s="965"/>
      <c r="O60" s="965"/>
      <c r="P60" s="965"/>
      <c r="Q60" s="965"/>
      <c r="R60" s="965"/>
      <c r="S60" s="965"/>
      <c r="T60" s="965"/>
      <c r="U60" s="965"/>
      <c r="V60" s="965"/>
      <c r="W60" s="965"/>
      <c r="X60" s="965"/>
      <c r="Y60" s="965"/>
      <c r="Z60" s="965"/>
    </row>
    <row r="61">
      <c r="A61" s="965"/>
      <c r="B61" s="965"/>
      <c r="C61" s="965"/>
      <c r="D61" s="965"/>
      <c r="E61" s="965"/>
      <c r="F61" s="965"/>
      <c r="G61" s="965"/>
      <c r="H61" s="965"/>
      <c r="I61" s="965"/>
      <c r="J61" s="965"/>
      <c r="K61" s="965"/>
      <c r="L61" s="965"/>
      <c r="M61" s="965"/>
      <c r="N61" s="965"/>
      <c r="O61" s="965"/>
      <c r="P61" s="965"/>
      <c r="Q61" s="965"/>
      <c r="R61" s="965"/>
      <c r="S61" s="965"/>
      <c r="T61" s="965"/>
      <c r="U61" s="965"/>
      <c r="V61" s="965"/>
      <c r="W61" s="965"/>
      <c r="X61" s="965"/>
      <c r="Y61" s="965"/>
      <c r="Z61" s="965"/>
    </row>
    <row r="62">
      <c r="A62" s="965"/>
      <c r="B62" s="965"/>
      <c r="C62" s="965"/>
      <c r="D62" s="965"/>
      <c r="E62" s="965"/>
      <c r="F62" s="965"/>
      <c r="G62" s="965"/>
      <c r="H62" s="965"/>
      <c r="I62" s="965"/>
      <c r="J62" s="965"/>
      <c r="K62" s="965"/>
      <c r="L62" s="965"/>
      <c r="M62" s="965"/>
      <c r="N62" s="965"/>
      <c r="O62" s="965"/>
      <c r="P62" s="965"/>
      <c r="Q62" s="965"/>
      <c r="R62" s="965"/>
      <c r="S62" s="965"/>
      <c r="T62" s="965"/>
      <c r="U62" s="965"/>
      <c r="V62" s="965"/>
      <c r="W62" s="965"/>
      <c r="X62" s="965"/>
      <c r="Y62" s="965"/>
      <c r="Z62" s="965"/>
    </row>
    <row r="63">
      <c r="A63" s="965"/>
      <c r="B63" s="965"/>
      <c r="C63" s="965"/>
      <c r="D63" s="965"/>
      <c r="E63" s="965"/>
      <c r="F63" s="965"/>
      <c r="G63" s="965"/>
      <c r="H63" s="965"/>
      <c r="I63" s="965"/>
      <c r="J63" s="965"/>
      <c r="K63" s="965"/>
      <c r="L63" s="965"/>
      <c r="M63" s="965"/>
      <c r="N63" s="965"/>
      <c r="O63" s="965"/>
      <c r="P63" s="965"/>
      <c r="Q63" s="965"/>
      <c r="R63" s="965"/>
      <c r="S63" s="965"/>
      <c r="T63" s="965"/>
      <c r="U63" s="965"/>
      <c r="V63" s="965"/>
      <c r="W63" s="965"/>
      <c r="X63" s="965"/>
      <c r="Y63" s="965"/>
      <c r="Z63" s="965"/>
    </row>
    <row r="64">
      <c r="A64" s="965"/>
      <c r="B64" s="965"/>
      <c r="C64" s="965"/>
      <c r="D64" s="965"/>
      <c r="E64" s="965"/>
      <c r="F64" s="965"/>
      <c r="G64" s="965"/>
      <c r="H64" s="965"/>
      <c r="I64" s="965"/>
      <c r="J64" s="965"/>
      <c r="K64" s="965"/>
      <c r="L64" s="965"/>
      <c r="M64" s="965"/>
      <c r="N64" s="965"/>
      <c r="O64" s="965"/>
      <c r="P64" s="965"/>
      <c r="Q64" s="965"/>
      <c r="R64" s="965"/>
      <c r="S64" s="965"/>
      <c r="T64" s="965"/>
      <c r="U64" s="965"/>
      <c r="V64" s="965"/>
      <c r="W64" s="965"/>
      <c r="X64" s="965"/>
      <c r="Y64" s="965"/>
      <c r="Z64" s="965"/>
    </row>
    <row r="65">
      <c r="A65" s="965"/>
      <c r="B65" s="965"/>
      <c r="C65" s="965"/>
      <c r="D65" s="965"/>
      <c r="E65" s="965"/>
      <c r="F65" s="965"/>
      <c r="G65" s="965"/>
      <c r="H65" s="965"/>
      <c r="I65" s="965"/>
      <c r="J65" s="965"/>
      <c r="K65" s="965"/>
      <c r="L65" s="965"/>
      <c r="M65" s="965"/>
      <c r="N65" s="965"/>
      <c r="O65" s="965"/>
      <c r="P65" s="965"/>
      <c r="Q65" s="965"/>
      <c r="R65" s="965"/>
      <c r="S65" s="965"/>
      <c r="T65" s="965"/>
      <c r="U65" s="965"/>
      <c r="V65" s="965"/>
      <c r="W65" s="965"/>
      <c r="X65" s="965"/>
      <c r="Y65" s="965"/>
      <c r="Z65" s="965"/>
    </row>
    <row r="66">
      <c r="A66" s="965"/>
      <c r="B66" s="965"/>
      <c r="C66" s="965"/>
      <c r="D66" s="965"/>
      <c r="E66" s="965"/>
      <c r="F66" s="965"/>
      <c r="G66" s="965"/>
      <c r="H66" s="965"/>
      <c r="I66" s="965"/>
      <c r="J66" s="965"/>
      <c r="K66" s="965"/>
      <c r="L66" s="965"/>
      <c r="M66" s="965"/>
      <c r="N66" s="965"/>
      <c r="O66" s="965"/>
      <c r="P66" s="965"/>
      <c r="Q66" s="965"/>
      <c r="R66" s="965"/>
      <c r="S66" s="965"/>
      <c r="T66" s="965"/>
      <c r="U66" s="965"/>
      <c r="V66" s="965"/>
      <c r="W66" s="965"/>
      <c r="X66" s="965"/>
      <c r="Y66" s="965"/>
      <c r="Z66" s="965"/>
    </row>
    <row r="67">
      <c r="A67" s="965"/>
      <c r="B67" s="965"/>
      <c r="C67" s="965"/>
      <c r="D67" s="965"/>
      <c r="E67" s="965"/>
      <c r="F67" s="965"/>
      <c r="G67" s="965"/>
      <c r="H67" s="965"/>
      <c r="I67" s="965"/>
      <c r="J67" s="965"/>
      <c r="K67" s="965"/>
      <c r="L67" s="965"/>
      <c r="M67" s="965"/>
      <c r="N67" s="965"/>
      <c r="O67" s="965"/>
      <c r="P67" s="965"/>
      <c r="Q67" s="965"/>
      <c r="R67" s="965"/>
      <c r="S67" s="965"/>
      <c r="T67" s="965"/>
      <c r="U67" s="965"/>
      <c r="V67" s="965"/>
      <c r="W67" s="965"/>
      <c r="X67" s="965"/>
      <c r="Y67" s="965"/>
      <c r="Z67" s="965"/>
    </row>
    <row r="68">
      <c r="A68" s="965"/>
      <c r="B68" s="965"/>
      <c r="C68" s="965"/>
      <c r="D68" s="965"/>
      <c r="E68" s="965"/>
      <c r="F68" s="965"/>
      <c r="G68" s="965"/>
      <c r="H68" s="965"/>
      <c r="I68" s="965"/>
      <c r="J68" s="965"/>
      <c r="K68" s="965"/>
      <c r="L68" s="965"/>
      <c r="M68" s="965"/>
      <c r="N68" s="965"/>
      <c r="O68" s="965"/>
      <c r="P68" s="965"/>
      <c r="Q68" s="965"/>
      <c r="R68" s="965"/>
      <c r="S68" s="965"/>
      <c r="T68" s="965"/>
      <c r="U68" s="965"/>
      <c r="V68" s="965"/>
      <c r="W68" s="965"/>
      <c r="X68" s="965"/>
      <c r="Y68" s="965"/>
      <c r="Z68" s="965"/>
    </row>
    <row r="69">
      <c r="A69" s="965"/>
      <c r="B69" s="965"/>
      <c r="C69" s="965"/>
      <c r="D69" s="965"/>
      <c r="E69" s="965"/>
      <c r="F69" s="965"/>
      <c r="G69" s="965"/>
      <c r="H69" s="965"/>
      <c r="I69" s="965"/>
      <c r="J69" s="965"/>
      <c r="K69" s="965"/>
      <c r="L69" s="965"/>
      <c r="M69" s="965"/>
      <c r="N69" s="965"/>
      <c r="O69" s="965"/>
      <c r="P69" s="965"/>
      <c r="Q69" s="965"/>
      <c r="R69" s="965"/>
      <c r="S69" s="965"/>
      <c r="T69" s="965"/>
      <c r="U69" s="965"/>
      <c r="V69" s="965"/>
      <c r="W69" s="965"/>
      <c r="X69" s="965"/>
      <c r="Y69" s="965"/>
      <c r="Z69" s="965"/>
    </row>
    <row r="70">
      <c r="A70" s="965"/>
      <c r="B70" s="965"/>
      <c r="C70" s="965"/>
      <c r="D70" s="965"/>
      <c r="E70" s="965"/>
      <c r="F70" s="965"/>
      <c r="G70" s="965"/>
      <c r="H70" s="965"/>
      <c r="I70" s="965"/>
      <c r="J70" s="965"/>
      <c r="K70" s="965"/>
      <c r="L70" s="965"/>
      <c r="M70" s="965"/>
      <c r="N70" s="965"/>
      <c r="O70" s="965"/>
      <c r="P70" s="965"/>
      <c r="Q70" s="965"/>
      <c r="R70" s="965"/>
      <c r="S70" s="965"/>
      <c r="T70" s="965"/>
      <c r="U70" s="965"/>
      <c r="V70" s="965"/>
      <c r="W70" s="965"/>
      <c r="X70" s="965"/>
      <c r="Y70" s="965"/>
      <c r="Z70" s="965"/>
    </row>
    <row r="71">
      <c r="A71" s="965"/>
      <c r="B71" s="965"/>
      <c r="C71" s="965"/>
      <c r="D71" s="965"/>
      <c r="E71" s="965"/>
      <c r="F71" s="965"/>
      <c r="G71" s="965"/>
      <c r="H71" s="965"/>
      <c r="I71" s="965"/>
      <c r="J71" s="965"/>
      <c r="K71" s="965"/>
      <c r="L71" s="965"/>
      <c r="M71" s="965"/>
      <c r="N71" s="965"/>
      <c r="O71" s="965"/>
      <c r="P71" s="965"/>
      <c r="Q71" s="965"/>
      <c r="R71" s="965"/>
      <c r="S71" s="965"/>
      <c r="T71" s="965"/>
      <c r="U71" s="965"/>
      <c r="V71" s="965"/>
      <c r="W71" s="965"/>
      <c r="X71" s="965"/>
      <c r="Y71" s="965"/>
      <c r="Z71" s="965"/>
    </row>
    <row r="72">
      <c r="A72" s="965"/>
      <c r="B72" s="965"/>
      <c r="C72" s="965"/>
      <c r="D72" s="965"/>
      <c r="E72" s="965"/>
      <c r="F72" s="965"/>
      <c r="G72" s="965"/>
      <c r="H72" s="965"/>
      <c r="I72" s="965"/>
      <c r="J72" s="965"/>
      <c r="K72" s="965"/>
      <c r="L72" s="965"/>
      <c r="M72" s="965"/>
      <c r="N72" s="965"/>
      <c r="O72" s="965"/>
      <c r="P72" s="965"/>
      <c r="Q72" s="965"/>
      <c r="R72" s="965"/>
      <c r="S72" s="965"/>
      <c r="T72" s="965"/>
      <c r="U72" s="965"/>
      <c r="V72" s="965"/>
      <c r="W72" s="965"/>
      <c r="X72" s="965"/>
      <c r="Y72" s="965"/>
      <c r="Z72" s="965"/>
    </row>
    <row r="73">
      <c r="A73" s="965"/>
      <c r="B73" s="965"/>
      <c r="C73" s="965"/>
      <c r="D73" s="965"/>
      <c r="E73" s="965"/>
      <c r="F73" s="965"/>
      <c r="G73" s="965"/>
      <c r="H73" s="965"/>
      <c r="I73" s="965"/>
      <c r="J73" s="965"/>
      <c r="K73" s="965"/>
      <c r="L73" s="965"/>
      <c r="M73" s="965"/>
      <c r="N73" s="965"/>
      <c r="O73" s="965"/>
      <c r="P73" s="965"/>
      <c r="Q73" s="965"/>
      <c r="R73" s="965"/>
      <c r="S73" s="965"/>
      <c r="T73" s="965"/>
      <c r="U73" s="965"/>
      <c r="V73" s="965"/>
      <c r="W73" s="965"/>
      <c r="X73" s="965"/>
      <c r="Y73" s="965"/>
      <c r="Z73" s="965"/>
    </row>
    <row r="74">
      <c r="A74" s="965"/>
      <c r="B74" s="965"/>
      <c r="C74" s="965"/>
      <c r="D74" s="965"/>
      <c r="E74" s="965"/>
      <c r="F74" s="965"/>
      <c r="G74" s="965"/>
      <c r="H74" s="965"/>
      <c r="I74" s="965"/>
      <c r="J74" s="965"/>
      <c r="K74" s="965"/>
      <c r="L74" s="965"/>
      <c r="M74" s="965"/>
      <c r="N74" s="965"/>
      <c r="O74" s="965"/>
      <c r="P74" s="965"/>
      <c r="Q74" s="965"/>
      <c r="R74" s="965"/>
      <c r="S74" s="965"/>
      <c r="T74" s="965"/>
      <c r="U74" s="965"/>
      <c r="V74" s="965"/>
      <c r="W74" s="965"/>
      <c r="X74" s="965"/>
      <c r="Y74" s="965"/>
      <c r="Z74" s="965"/>
    </row>
    <row r="75">
      <c r="A75" s="965"/>
      <c r="B75" s="965"/>
      <c r="C75" s="965"/>
      <c r="D75" s="965"/>
      <c r="E75" s="965"/>
      <c r="F75" s="965"/>
      <c r="G75" s="965"/>
      <c r="H75" s="965"/>
      <c r="I75" s="965"/>
      <c r="J75" s="965"/>
      <c r="K75" s="965"/>
      <c r="L75" s="965"/>
      <c r="M75" s="965"/>
      <c r="N75" s="965"/>
      <c r="O75" s="965"/>
      <c r="P75" s="965"/>
      <c r="Q75" s="965"/>
      <c r="R75" s="965"/>
      <c r="S75" s="965"/>
      <c r="T75" s="965"/>
      <c r="U75" s="965"/>
      <c r="V75" s="965"/>
      <c r="W75" s="965"/>
      <c r="X75" s="965"/>
      <c r="Y75" s="965"/>
      <c r="Z75" s="965"/>
    </row>
    <row r="76">
      <c r="A76" s="965"/>
      <c r="B76" s="965"/>
      <c r="C76" s="965"/>
      <c r="D76" s="965"/>
      <c r="E76" s="965"/>
      <c r="F76" s="965"/>
      <c r="G76" s="965"/>
      <c r="H76" s="965"/>
      <c r="I76" s="965"/>
      <c r="J76" s="965"/>
      <c r="K76" s="965"/>
      <c r="L76" s="965"/>
      <c r="M76" s="965"/>
      <c r="N76" s="965"/>
      <c r="O76" s="965"/>
      <c r="P76" s="965"/>
      <c r="Q76" s="965"/>
      <c r="R76" s="965"/>
      <c r="S76" s="965"/>
      <c r="T76" s="965"/>
      <c r="U76" s="965"/>
      <c r="V76" s="965"/>
      <c r="W76" s="965"/>
      <c r="X76" s="965"/>
      <c r="Y76" s="965"/>
      <c r="Z76" s="965"/>
    </row>
    <row r="77">
      <c r="A77" s="965"/>
      <c r="B77" s="965"/>
      <c r="C77" s="965"/>
      <c r="D77" s="965"/>
      <c r="E77" s="965"/>
      <c r="F77" s="965"/>
      <c r="G77" s="965"/>
      <c r="H77" s="965"/>
      <c r="I77" s="965"/>
      <c r="J77" s="965"/>
      <c r="K77" s="965"/>
      <c r="L77" s="965"/>
      <c r="M77" s="965"/>
      <c r="N77" s="965"/>
      <c r="O77" s="965"/>
      <c r="P77" s="965"/>
      <c r="Q77" s="965"/>
      <c r="R77" s="965"/>
      <c r="S77" s="965"/>
      <c r="T77" s="965"/>
      <c r="U77" s="965"/>
      <c r="V77" s="965"/>
      <c r="W77" s="965"/>
      <c r="X77" s="965"/>
      <c r="Y77" s="965"/>
      <c r="Z77" s="965"/>
    </row>
    <row r="78">
      <c r="A78" s="965"/>
      <c r="B78" s="965"/>
      <c r="C78" s="965"/>
      <c r="D78" s="965"/>
      <c r="E78" s="965"/>
      <c r="F78" s="965"/>
      <c r="G78" s="965"/>
      <c r="H78" s="965"/>
      <c r="I78" s="965"/>
      <c r="J78" s="965"/>
      <c r="K78" s="965"/>
      <c r="L78" s="965"/>
      <c r="M78" s="965"/>
      <c r="N78" s="965"/>
      <c r="O78" s="965"/>
      <c r="P78" s="965"/>
      <c r="Q78" s="965"/>
      <c r="R78" s="965"/>
      <c r="S78" s="965"/>
      <c r="T78" s="965"/>
      <c r="U78" s="965"/>
      <c r="V78" s="965"/>
      <c r="W78" s="965"/>
      <c r="X78" s="965"/>
      <c r="Y78" s="965"/>
      <c r="Z78" s="965"/>
    </row>
    <row r="79">
      <c r="A79" s="965"/>
      <c r="B79" s="965"/>
      <c r="C79" s="965"/>
      <c r="D79" s="965"/>
      <c r="E79" s="965"/>
      <c r="F79" s="965"/>
      <c r="G79" s="965"/>
      <c r="H79" s="965"/>
      <c r="I79" s="965"/>
      <c r="J79" s="965"/>
      <c r="K79" s="965"/>
      <c r="L79" s="965"/>
      <c r="M79" s="965"/>
      <c r="N79" s="965"/>
      <c r="O79" s="965"/>
      <c r="P79" s="965"/>
      <c r="Q79" s="965"/>
      <c r="R79" s="965"/>
      <c r="S79" s="965"/>
      <c r="T79" s="965"/>
      <c r="U79" s="965"/>
      <c r="V79" s="965"/>
      <c r="W79" s="965"/>
      <c r="X79" s="965"/>
      <c r="Y79" s="965"/>
      <c r="Z79" s="965"/>
    </row>
    <row r="80">
      <c r="A80" s="965"/>
      <c r="B80" s="965"/>
      <c r="C80" s="965"/>
      <c r="D80" s="965"/>
      <c r="E80" s="965"/>
      <c r="F80" s="965"/>
      <c r="G80" s="965"/>
      <c r="H80" s="965"/>
      <c r="I80" s="965"/>
      <c r="J80" s="965"/>
      <c r="K80" s="965"/>
      <c r="L80" s="965"/>
      <c r="M80" s="965"/>
      <c r="N80" s="965"/>
      <c r="O80" s="965"/>
      <c r="P80" s="965"/>
      <c r="Q80" s="965"/>
      <c r="R80" s="965"/>
      <c r="S80" s="965"/>
      <c r="T80" s="965"/>
      <c r="U80" s="965"/>
      <c r="V80" s="965"/>
      <c r="W80" s="965"/>
      <c r="X80" s="965"/>
      <c r="Y80" s="965"/>
      <c r="Z80" s="965"/>
    </row>
    <row r="81">
      <c r="A81" s="965"/>
      <c r="B81" s="965"/>
      <c r="C81" s="965"/>
      <c r="D81" s="965"/>
      <c r="E81" s="965"/>
      <c r="F81" s="965"/>
      <c r="G81" s="965"/>
      <c r="H81" s="965"/>
      <c r="I81" s="965"/>
      <c r="J81" s="965"/>
      <c r="K81" s="965"/>
      <c r="L81" s="965"/>
      <c r="M81" s="965"/>
      <c r="N81" s="965"/>
      <c r="O81" s="965"/>
      <c r="P81" s="965"/>
      <c r="Q81" s="965"/>
      <c r="R81" s="965"/>
      <c r="S81" s="965"/>
      <c r="T81" s="965"/>
      <c r="U81" s="965"/>
      <c r="V81" s="965"/>
      <c r="W81" s="965"/>
      <c r="X81" s="965"/>
      <c r="Y81" s="965"/>
      <c r="Z81" s="965"/>
    </row>
    <row r="82">
      <c r="A82" s="965"/>
      <c r="B82" s="965"/>
      <c r="C82" s="965"/>
      <c r="D82" s="965"/>
      <c r="E82" s="965"/>
      <c r="F82" s="965"/>
      <c r="G82" s="965"/>
      <c r="H82" s="965"/>
      <c r="I82" s="965"/>
      <c r="J82" s="965"/>
      <c r="K82" s="965"/>
      <c r="L82" s="965"/>
      <c r="M82" s="965"/>
      <c r="N82" s="965"/>
      <c r="O82" s="965"/>
      <c r="P82" s="965"/>
      <c r="Q82" s="965"/>
      <c r="R82" s="965"/>
      <c r="S82" s="965"/>
      <c r="T82" s="965"/>
      <c r="U82" s="965"/>
      <c r="V82" s="965"/>
      <c r="W82" s="965"/>
      <c r="X82" s="965"/>
      <c r="Y82" s="965"/>
      <c r="Z82" s="965"/>
    </row>
    <row r="83">
      <c r="A83" s="965"/>
      <c r="B83" s="965"/>
      <c r="C83" s="965"/>
      <c r="D83" s="965"/>
      <c r="E83" s="965"/>
      <c r="F83" s="965"/>
      <c r="G83" s="965"/>
      <c r="H83" s="965"/>
      <c r="I83" s="965"/>
      <c r="J83" s="965"/>
      <c r="K83" s="965"/>
      <c r="L83" s="965"/>
      <c r="M83" s="965"/>
      <c r="N83" s="965"/>
      <c r="O83" s="965"/>
      <c r="P83" s="965"/>
      <c r="Q83" s="965"/>
      <c r="R83" s="965"/>
      <c r="S83" s="965"/>
      <c r="T83" s="965"/>
      <c r="U83" s="965"/>
      <c r="V83" s="965"/>
      <c r="W83" s="965"/>
      <c r="X83" s="965"/>
      <c r="Y83" s="965"/>
      <c r="Z83" s="965"/>
    </row>
    <row r="84">
      <c r="A84" s="965"/>
      <c r="B84" s="965"/>
      <c r="C84" s="965"/>
      <c r="D84" s="965"/>
      <c r="E84" s="965"/>
      <c r="F84" s="965"/>
      <c r="G84" s="965"/>
      <c r="H84" s="965"/>
      <c r="I84" s="965"/>
      <c r="J84" s="965"/>
      <c r="K84" s="965"/>
      <c r="L84" s="965"/>
      <c r="M84" s="965"/>
      <c r="N84" s="965"/>
      <c r="O84" s="965"/>
      <c r="P84" s="965"/>
      <c r="Q84" s="965"/>
      <c r="R84" s="965"/>
      <c r="S84" s="965"/>
      <c r="T84" s="965"/>
      <c r="U84" s="965"/>
      <c r="V84" s="965"/>
      <c r="W84" s="965"/>
      <c r="X84" s="965"/>
      <c r="Y84" s="965"/>
      <c r="Z84" s="965"/>
    </row>
    <row r="85">
      <c r="A85" s="965"/>
      <c r="B85" s="965"/>
      <c r="C85" s="965"/>
      <c r="D85" s="965"/>
      <c r="E85" s="965"/>
      <c r="F85" s="965"/>
      <c r="G85" s="965"/>
      <c r="H85" s="965"/>
      <c r="I85" s="965"/>
      <c r="J85" s="965"/>
      <c r="K85" s="965"/>
      <c r="L85" s="965"/>
      <c r="M85" s="965"/>
      <c r="N85" s="965"/>
      <c r="O85" s="965"/>
      <c r="P85" s="965"/>
      <c r="Q85" s="965"/>
      <c r="R85" s="965"/>
      <c r="S85" s="965"/>
      <c r="T85" s="965"/>
      <c r="U85" s="965"/>
      <c r="V85" s="965"/>
      <c r="W85" s="965"/>
      <c r="X85" s="965"/>
      <c r="Y85" s="965"/>
      <c r="Z85" s="965"/>
    </row>
    <row r="86">
      <c r="A86" s="965"/>
      <c r="B86" s="965"/>
      <c r="C86" s="965"/>
      <c r="D86" s="965"/>
      <c r="E86" s="965"/>
      <c r="F86" s="965"/>
      <c r="G86" s="965"/>
      <c r="H86" s="965"/>
      <c r="I86" s="965"/>
      <c r="J86" s="965"/>
      <c r="K86" s="965"/>
      <c r="L86" s="965"/>
      <c r="M86" s="965"/>
      <c r="N86" s="965"/>
      <c r="O86" s="965"/>
      <c r="P86" s="965"/>
      <c r="Q86" s="965"/>
      <c r="R86" s="965"/>
      <c r="S86" s="965"/>
      <c r="T86" s="965"/>
      <c r="U86" s="965"/>
      <c r="V86" s="965"/>
      <c r="W86" s="965"/>
      <c r="X86" s="965"/>
      <c r="Y86" s="965"/>
      <c r="Z86" s="965"/>
    </row>
    <row r="87">
      <c r="A87" s="965"/>
      <c r="B87" s="965"/>
      <c r="C87" s="965"/>
      <c r="D87" s="965"/>
      <c r="E87" s="965"/>
      <c r="F87" s="965"/>
      <c r="G87" s="965"/>
      <c r="H87" s="965"/>
      <c r="I87" s="965"/>
      <c r="J87" s="965"/>
      <c r="K87" s="965"/>
      <c r="L87" s="965"/>
      <c r="M87" s="965"/>
      <c r="N87" s="965"/>
      <c r="O87" s="965"/>
      <c r="P87" s="965"/>
      <c r="Q87" s="965"/>
      <c r="R87" s="965"/>
      <c r="S87" s="965"/>
      <c r="T87" s="965"/>
      <c r="U87" s="965"/>
      <c r="V87" s="965"/>
      <c r="W87" s="965"/>
      <c r="X87" s="965"/>
      <c r="Y87" s="965"/>
      <c r="Z87" s="965"/>
    </row>
    <row r="88">
      <c r="A88" s="965"/>
      <c r="B88" s="965"/>
      <c r="C88" s="965"/>
      <c r="D88" s="965"/>
      <c r="E88" s="965"/>
      <c r="F88" s="965"/>
      <c r="G88" s="965"/>
      <c r="H88" s="965"/>
      <c r="I88" s="965"/>
      <c r="J88" s="965"/>
      <c r="K88" s="965"/>
      <c r="L88" s="965"/>
      <c r="M88" s="965"/>
      <c r="N88" s="965"/>
      <c r="O88" s="965"/>
      <c r="P88" s="965"/>
      <c r="Q88" s="965"/>
      <c r="R88" s="965"/>
      <c r="S88" s="965"/>
      <c r="T88" s="965"/>
      <c r="U88" s="965"/>
      <c r="V88" s="965"/>
      <c r="W88" s="965"/>
      <c r="X88" s="965"/>
      <c r="Y88" s="965"/>
      <c r="Z88" s="965"/>
    </row>
    <row r="89">
      <c r="A89" s="965"/>
      <c r="B89" s="965"/>
      <c r="C89" s="965"/>
      <c r="D89" s="965"/>
      <c r="E89" s="965"/>
      <c r="F89" s="965"/>
      <c r="G89" s="965"/>
      <c r="H89" s="965"/>
      <c r="I89" s="965"/>
      <c r="J89" s="965"/>
      <c r="K89" s="965"/>
      <c r="L89" s="965"/>
      <c r="M89" s="965"/>
      <c r="N89" s="965"/>
      <c r="O89" s="965"/>
      <c r="P89" s="965"/>
      <c r="Q89" s="965"/>
      <c r="R89" s="965"/>
      <c r="S89" s="965"/>
      <c r="T89" s="965"/>
      <c r="U89" s="965"/>
      <c r="V89" s="965"/>
      <c r="W89" s="965"/>
      <c r="X89" s="965"/>
      <c r="Y89" s="965"/>
      <c r="Z89" s="965"/>
    </row>
    <row r="90">
      <c r="A90" s="965"/>
      <c r="B90" s="965"/>
      <c r="C90" s="965"/>
      <c r="D90" s="965"/>
      <c r="E90" s="965"/>
      <c r="F90" s="965"/>
      <c r="G90" s="965"/>
      <c r="H90" s="965"/>
      <c r="I90" s="965"/>
      <c r="J90" s="965"/>
      <c r="K90" s="965"/>
      <c r="L90" s="965"/>
      <c r="M90" s="965"/>
      <c r="N90" s="965"/>
      <c r="O90" s="965"/>
      <c r="P90" s="965"/>
      <c r="Q90" s="965"/>
      <c r="R90" s="965"/>
      <c r="S90" s="965"/>
      <c r="T90" s="965"/>
      <c r="U90" s="965"/>
      <c r="V90" s="965"/>
      <c r="W90" s="965"/>
      <c r="X90" s="965"/>
      <c r="Y90" s="965"/>
      <c r="Z90" s="965"/>
    </row>
    <row r="91">
      <c r="A91" s="965"/>
      <c r="B91" s="965"/>
      <c r="C91" s="965"/>
      <c r="D91" s="965"/>
      <c r="E91" s="965"/>
      <c r="F91" s="965"/>
      <c r="G91" s="965"/>
      <c r="H91" s="965"/>
      <c r="I91" s="965"/>
      <c r="J91" s="965"/>
      <c r="K91" s="965"/>
      <c r="L91" s="965"/>
      <c r="M91" s="965"/>
      <c r="N91" s="965"/>
      <c r="O91" s="965"/>
      <c r="P91" s="965"/>
      <c r="Q91" s="965"/>
      <c r="R91" s="965"/>
      <c r="S91" s="965"/>
      <c r="T91" s="965"/>
      <c r="U91" s="965"/>
      <c r="V91" s="965"/>
      <c r="W91" s="965"/>
      <c r="X91" s="965"/>
      <c r="Y91" s="965"/>
      <c r="Z91" s="965"/>
    </row>
    <row r="92">
      <c r="A92" s="965"/>
      <c r="B92" s="965"/>
      <c r="C92" s="965"/>
      <c r="D92" s="965"/>
      <c r="E92" s="965"/>
      <c r="F92" s="965"/>
      <c r="G92" s="965"/>
      <c r="H92" s="965"/>
      <c r="I92" s="965"/>
      <c r="J92" s="965"/>
      <c r="K92" s="965"/>
      <c r="L92" s="965"/>
      <c r="M92" s="965"/>
      <c r="N92" s="965"/>
      <c r="O92" s="965"/>
      <c r="P92" s="965"/>
      <c r="Q92" s="965"/>
      <c r="R92" s="965"/>
      <c r="S92" s="965"/>
      <c r="T92" s="965"/>
      <c r="U92" s="965"/>
      <c r="V92" s="965"/>
      <c r="W92" s="965"/>
      <c r="X92" s="965"/>
      <c r="Y92" s="965"/>
      <c r="Z92" s="965"/>
    </row>
    <row r="93">
      <c r="A93" s="965"/>
      <c r="B93" s="965"/>
      <c r="C93" s="965"/>
      <c r="D93" s="965"/>
      <c r="E93" s="965"/>
      <c r="F93" s="965"/>
      <c r="G93" s="965"/>
      <c r="H93" s="965"/>
      <c r="I93" s="965"/>
      <c r="J93" s="965"/>
      <c r="K93" s="965"/>
      <c r="L93" s="965"/>
      <c r="M93" s="965"/>
      <c r="N93" s="965"/>
      <c r="O93" s="965"/>
      <c r="P93" s="965"/>
      <c r="Q93" s="965"/>
      <c r="R93" s="965"/>
      <c r="S93" s="965"/>
      <c r="T93" s="965"/>
      <c r="U93" s="965"/>
      <c r="V93" s="965"/>
      <c r="W93" s="965"/>
      <c r="X93" s="965"/>
      <c r="Y93" s="965"/>
      <c r="Z93" s="965"/>
    </row>
    <row r="94">
      <c r="A94" s="965"/>
      <c r="B94" s="965"/>
      <c r="C94" s="965"/>
      <c r="D94" s="965"/>
      <c r="E94" s="965"/>
      <c r="F94" s="965"/>
      <c r="G94" s="965"/>
      <c r="H94" s="965"/>
      <c r="I94" s="965"/>
      <c r="J94" s="965"/>
      <c r="K94" s="965"/>
      <c r="L94" s="965"/>
      <c r="M94" s="965"/>
      <c r="N94" s="965"/>
      <c r="O94" s="965"/>
      <c r="P94" s="965"/>
      <c r="Q94" s="965"/>
      <c r="R94" s="965"/>
      <c r="S94" s="965"/>
      <c r="T94" s="965"/>
      <c r="U94" s="965"/>
      <c r="V94" s="965"/>
      <c r="W94" s="965"/>
      <c r="X94" s="965"/>
      <c r="Y94" s="965"/>
      <c r="Z94" s="965"/>
    </row>
    <row r="95">
      <c r="A95" s="965"/>
      <c r="B95" s="965"/>
      <c r="C95" s="965"/>
      <c r="D95" s="965"/>
      <c r="E95" s="965"/>
      <c r="F95" s="965"/>
      <c r="G95" s="965"/>
      <c r="H95" s="965"/>
      <c r="I95" s="965"/>
      <c r="J95" s="965"/>
      <c r="K95" s="965"/>
      <c r="L95" s="965"/>
      <c r="M95" s="965"/>
      <c r="N95" s="965"/>
      <c r="O95" s="965"/>
      <c r="P95" s="965"/>
      <c r="Q95" s="965"/>
      <c r="R95" s="965"/>
      <c r="S95" s="965"/>
      <c r="T95" s="965"/>
      <c r="U95" s="965"/>
      <c r="V95" s="965"/>
      <c r="W95" s="965"/>
      <c r="X95" s="965"/>
      <c r="Y95" s="965"/>
      <c r="Z95" s="965"/>
    </row>
    <row r="96">
      <c r="A96" s="965"/>
      <c r="B96" s="965"/>
      <c r="C96" s="965"/>
      <c r="D96" s="965"/>
      <c r="E96" s="965"/>
      <c r="F96" s="965"/>
      <c r="G96" s="965"/>
      <c r="H96" s="965"/>
      <c r="I96" s="965"/>
      <c r="J96" s="965"/>
      <c r="K96" s="965"/>
      <c r="L96" s="965"/>
      <c r="M96" s="965"/>
      <c r="N96" s="965"/>
      <c r="O96" s="965"/>
      <c r="P96" s="965"/>
      <c r="Q96" s="965"/>
      <c r="R96" s="965"/>
      <c r="S96" s="965"/>
      <c r="T96" s="965"/>
      <c r="U96" s="965"/>
      <c r="V96" s="965"/>
      <c r="W96" s="965"/>
      <c r="X96" s="965"/>
      <c r="Y96" s="965"/>
      <c r="Z96" s="965"/>
    </row>
    <row r="97">
      <c r="A97" s="965"/>
      <c r="B97" s="965"/>
      <c r="C97" s="965"/>
      <c r="D97" s="965"/>
      <c r="E97" s="965"/>
      <c r="F97" s="965"/>
      <c r="G97" s="965"/>
      <c r="H97" s="965"/>
      <c r="I97" s="965"/>
      <c r="J97" s="965"/>
      <c r="K97" s="965"/>
      <c r="L97" s="965"/>
      <c r="M97" s="965"/>
      <c r="N97" s="965"/>
      <c r="O97" s="965"/>
      <c r="P97" s="965"/>
      <c r="Q97" s="965"/>
      <c r="R97" s="965"/>
      <c r="S97" s="965"/>
      <c r="T97" s="965"/>
      <c r="U97" s="965"/>
      <c r="V97" s="965"/>
      <c r="W97" s="965"/>
      <c r="X97" s="965"/>
      <c r="Y97" s="965"/>
      <c r="Z97" s="965"/>
    </row>
    <row r="98">
      <c r="A98" s="965"/>
      <c r="B98" s="965"/>
      <c r="C98" s="965"/>
      <c r="D98" s="965"/>
      <c r="E98" s="965"/>
      <c r="F98" s="965"/>
      <c r="G98" s="965"/>
      <c r="H98" s="965"/>
      <c r="I98" s="965"/>
      <c r="J98" s="965"/>
      <c r="K98" s="965"/>
      <c r="L98" s="965"/>
      <c r="M98" s="965"/>
      <c r="N98" s="965"/>
      <c r="O98" s="965"/>
      <c r="P98" s="965"/>
      <c r="Q98" s="965"/>
      <c r="R98" s="965"/>
      <c r="S98" s="965"/>
      <c r="T98" s="965"/>
      <c r="U98" s="965"/>
      <c r="V98" s="965"/>
      <c r="W98" s="965"/>
      <c r="X98" s="965"/>
      <c r="Y98" s="965"/>
      <c r="Z98" s="965"/>
    </row>
    <row r="99">
      <c r="A99" s="965"/>
      <c r="B99" s="965"/>
      <c r="C99" s="965"/>
      <c r="D99" s="965"/>
      <c r="E99" s="965"/>
      <c r="F99" s="965"/>
      <c r="G99" s="965"/>
      <c r="H99" s="965"/>
      <c r="I99" s="965"/>
      <c r="J99" s="965"/>
      <c r="K99" s="965"/>
      <c r="L99" s="965"/>
      <c r="M99" s="965"/>
      <c r="N99" s="965"/>
      <c r="O99" s="965"/>
      <c r="P99" s="965"/>
      <c r="Q99" s="965"/>
      <c r="R99" s="965"/>
      <c r="S99" s="965"/>
      <c r="T99" s="965"/>
      <c r="U99" s="965"/>
      <c r="V99" s="965"/>
      <c r="W99" s="965"/>
      <c r="X99" s="965"/>
      <c r="Y99" s="965"/>
      <c r="Z99" s="965"/>
    </row>
    <row r="100">
      <c r="A100" s="965"/>
      <c r="B100" s="965"/>
      <c r="C100" s="965"/>
      <c r="D100" s="965"/>
      <c r="E100" s="965"/>
      <c r="F100" s="965"/>
      <c r="G100" s="965"/>
      <c r="H100" s="965"/>
      <c r="I100" s="965"/>
      <c r="J100" s="965"/>
      <c r="K100" s="965"/>
      <c r="L100" s="965"/>
      <c r="M100" s="965"/>
      <c r="N100" s="965"/>
      <c r="O100" s="965"/>
      <c r="P100" s="965"/>
      <c r="Q100" s="965"/>
      <c r="R100" s="965"/>
      <c r="S100" s="965"/>
      <c r="T100" s="965"/>
      <c r="U100" s="965"/>
      <c r="V100" s="965"/>
      <c r="W100" s="965"/>
      <c r="X100" s="965"/>
      <c r="Y100" s="965"/>
      <c r="Z100" s="965"/>
    </row>
    <row r="101">
      <c r="A101" s="965"/>
      <c r="B101" s="965"/>
      <c r="C101" s="965"/>
      <c r="D101" s="965"/>
      <c r="E101" s="965"/>
      <c r="F101" s="965"/>
      <c r="G101" s="965"/>
      <c r="H101" s="965"/>
      <c r="I101" s="965"/>
      <c r="J101" s="965"/>
      <c r="K101" s="965"/>
      <c r="L101" s="965"/>
      <c r="M101" s="965"/>
      <c r="N101" s="965"/>
      <c r="O101" s="965"/>
      <c r="P101" s="965"/>
      <c r="Q101" s="965"/>
      <c r="R101" s="965"/>
      <c r="S101" s="965"/>
      <c r="T101" s="965"/>
      <c r="U101" s="965"/>
      <c r="V101" s="965"/>
      <c r="W101" s="965"/>
      <c r="X101" s="965"/>
      <c r="Y101" s="965"/>
      <c r="Z101" s="965"/>
    </row>
    <row r="102">
      <c r="A102" s="965"/>
      <c r="B102" s="965"/>
      <c r="C102" s="965"/>
      <c r="D102" s="965"/>
      <c r="E102" s="965"/>
      <c r="F102" s="965"/>
      <c r="G102" s="965"/>
      <c r="H102" s="965"/>
      <c r="I102" s="965"/>
      <c r="J102" s="965"/>
      <c r="K102" s="965"/>
      <c r="L102" s="965"/>
      <c r="M102" s="965"/>
      <c r="N102" s="965"/>
      <c r="O102" s="965"/>
      <c r="P102" s="965"/>
      <c r="Q102" s="965"/>
      <c r="R102" s="965"/>
      <c r="S102" s="965"/>
      <c r="T102" s="965"/>
      <c r="U102" s="965"/>
      <c r="V102" s="965"/>
      <c r="W102" s="965"/>
      <c r="X102" s="965"/>
      <c r="Y102" s="965"/>
      <c r="Z102" s="965"/>
    </row>
    <row r="103">
      <c r="A103" s="965"/>
      <c r="B103" s="965"/>
      <c r="C103" s="965"/>
      <c r="D103" s="965"/>
      <c r="E103" s="965"/>
      <c r="F103" s="965"/>
      <c r="G103" s="965"/>
      <c r="H103" s="965"/>
      <c r="I103" s="965"/>
      <c r="J103" s="965"/>
      <c r="K103" s="965"/>
      <c r="L103" s="965"/>
      <c r="M103" s="965"/>
      <c r="N103" s="965"/>
      <c r="O103" s="965"/>
      <c r="P103" s="965"/>
      <c r="Q103" s="965"/>
      <c r="R103" s="965"/>
      <c r="S103" s="965"/>
      <c r="T103" s="965"/>
      <c r="U103" s="965"/>
      <c r="V103" s="965"/>
      <c r="W103" s="965"/>
      <c r="X103" s="965"/>
      <c r="Y103" s="965"/>
      <c r="Z103" s="965"/>
    </row>
    <row r="104">
      <c r="A104" s="965"/>
      <c r="B104" s="965"/>
      <c r="C104" s="965"/>
      <c r="D104" s="965"/>
      <c r="E104" s="965"/>
      <c r="F104" s="965"/>
      <c r="G104" s="965"/>
      <c r="H104" s="965"/>
      <c r="I104" s="965"/>
      <c r="J104" s="965"/>
      <c r="K104" s="965"/>
      <c r="L104" s="965"/>
      <c r="M104" s="965"/>
      <c r="N104" s="965"/>
      <c r="O104" s="965"/>
      <c r="P104" s="965"/>
      <c r="Q104" s="965"/>
      <c r="R104" s="965"/>
      <c r="S104" s="965"/>
      <c r="T104" s="965"/>
      <c r="U104" s="965"/>
      <c r="V104" s="965"/>
      <c r="W104" s="965"/>
      <c r="X104" s="965"/>
      <c r="Y104" s="965"/>
      <c r="Z104" s="965"/>
    </row>
    <row r="105">
      <c r="A105" s="965"/>
      <c r="B105" s="965"/>
      <c r="C105" s="965"/>
      <c r="D105" s="965"/>
      <c r="E105" s="965"/>
      <c r="F105" s="965"/>
      <c r="G105" s="965"/>
      <c r="H105" s="965"/>
      <c r="I105" s="965"/>
      <c r="J105" s="965"/>
      <c r="K105" s="965"/>
      <c r="L105" s="965"/>
      <c r="M105" s="965"/>
      <c r="N105" s="965"/>
      <c r="O105" s="965"/>
      <c r="P105" s="965"/>
      <c r="Q105" s="965"/>
      <c r="R105" s="965"/>
      <c r="S105" s="965"/>
      <c r="T105" s="965"/>
      <c r="U105" s="965"/>
      <c r="V105" s="965"/>
      <c r="W105" s="965"/>
      <c r="X105" s="965"/>
      <c r="Y105" s="965"/>
      <c r="Z105" s="965"/>
    </row>
    <row r="106">
      <c r="A106" s="965"/>
      <c r="B106" s="965"/>
      <c r="C106" s="965"/>
      <c r="D106" s="965"/>
      <c r="E106" s="965"/>
      <c r="F106" s="965"/>
      <c r="G106" s="965"/>
      <c r="H106" s="965"/>
      <c r="I106" s="965"/>
      <c r="J106" s="965"/>
      <c r="K106" s="965"/>
      <c r="L106" s="965"/>
      <c r="M106" s="965"/>
      <c r="N106" s="965"/>
      <c r="O106" s="965"/>
      <c r="P106" s="965"/>
      <c r="Q106" s="965"/>
      <c r="R106" s="965"/>
      <c r="S106" s="965"/>
      <c r="T106" s="965"/>
      <c r="U106" s="965"/>
      <c r="V106" s="965"/>
      <c r="W106" s="965"/>
      <c r="X106" s="965"/>
      <c r="Y106" s="965"/>
      <c r="Z106" s="965"/>
    </row>
    <row r="107">
      <c r="A107" s="965"/>
      <c r="B107" s="965"/>
      <c r="C107" s="965"/>
      <c r="D107" s="965"/>
      <c r="E107" s="965"/>
      <c r="F107" s="965"/>
      <c r="G107" s="965"/>
      <c r="H107" s="965"/>
      <c r="I107" s="965"/>
      <c r="J107" s="965"/>
      <c r="K107" s="965"/>
      <c r="L107" s="965"/>
      <c r="M107" s="965"/>
      <c r="N107" s="965"/>
      <c r="O107" s="965"/>
      <c r="P107" s="965"/>
      <c r="Q107" s="965"/>
      <c r="R107" s="965"/>
      <c r="S107" s="965"/>
      <c r="T107" s="965"/>
      <c r="U107" s="965"/>
      <c r="V107" s="965"/>
      <c r="W107" s="965"/>
      <c r="X107" s="965"/>
      <c r="Y107" s="965"/>
      <c r="Z107" s="965"/>
    </row>
    <row r="108">
      <c r="A108" s="965"/>
      <c r="B108" s="965"/>
      <c r="C108" s="965"/>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row>
    <row r="109">
      <c r="A109" s="965"/>
      <c r="B109" s="965"/>
      <c r="C109" s="965"/>
      <c r="D109" s="965"/>
      <c r="E109" s="965"/>
      <c r="F109" s="965"/>
      <c r="G109" s="965"/>
      <c r="H109" s="965"/>
      <c r="I109" s="965"/>
      <c r="J109" s="965"/>
      <c r="K109" s="965"/>
      <c r="L109" s="965"/>
      <c r="M109" s="965"/>
      <c r="N109" s="965"/>
      <c r="O109" s="965"/>
      <c r="P109" s="965"/>
      <c r="Q109" s="965"/>
      <c r="R109" s="965"/>
      <c r="S109" s="965"/>
      <c r="T109" s="965"/>
      <c r="U109" s="965"/>
      <c r="V109" s="965"/>
      <c r="W109" s="965"/>
      <c r="X109" s="965"/>
      <c r="Y109" s="965"/>
      <c r="Z109" s="965"/>
    </row>
    <row r="110">
      <c r="A110" s="965"/>
      <c r="B110" s="965"/>
      <c r="C110" s="965"/>
      <c r="D110" s="965"/>
      <c r="E110" s="965"/>
      <c r="F110" s="965"/>
      <c r="G110" s="965"/>
      <c r="H110" s="965"/>
      <c r="I110" s="965"/>
      <c r="J110" s="965"/>
      <c r="K110" s="965"/>
      <c r="L110" s="965"/>
      <c r="M110" s="965"/>
      <c r="N110" s="965"/>
      <c r="O110" s="965"/>
      <c r="P110" s="965"/>
      <c r="Q110" s="965"/>
      <c r="R110" s="965"/>
      <c r="S110" s="965"/>
      <c r="T110" s="965"/>
      <c r="U110" s="965"/>
      <c r="V110" s="965"/>
      <c r="W110" s="965"/>
      <c r="X110" s="965"/>
      <c r="Y110" s="965"/>
      <c r="Z110" s="965"/>
    </row>
    <row r="111">
      <c r="A111" s="965"/>
      <c r="B111" s="965"/>
      <c r="C111" s="965"/>
      <c r="D111" s="965"/>
      <c r="E111" s="965"/>
      <c r="F111" s="965"/>
      <c r="G111" s="965"/>
      <c r="H111" s="965"/>
      <c r="I111" s="965"/>
      <c r="J111" s="965"/>
      <c r="K111" s="965"/>
      <c r="L111" s="965"/>
      <c r="M111" s="965"/>
      <c r="N111" s="965"/>
      <c r="O111" s="965"/>
      <c r="P111" s="965"/>
      <c r="Q111" s="965"/>
      <c r="R111" s="965"/>
      <c r="S111" s="965"/>
      <c r="T111" s="965"/>
      <c r="U111" s="965"/>
      <c r="V111" s="965"/>
      <c r="W111" s="965"/>
      <c r="X111" s="965"/>
      <c r="Y111" s="965"/>
      <c r="Z111" s="965"/>
    </row>
    <row r="112">
      <c r="A112" s="965"/>
      <c r="B112" s="965"/>
      <c r="C112" s="965"/>
      <c r="D112" s="965"/>
      <c r="E112" s="965"/>
      <c r="F112" s="965"/>
      <c r="G112" s="965"/>
      <c r="H112" s="965"/>
      <c r="I112" s="965"/>
      <c r="J112" s="965"/>
      <c r="K112" s="965"/>
      <c r="L112" s="965"/>
      <c r="M112" s="965"/>
      <c r="N112" s="965"/>
      <c r="O112" s="965"/>
      <c r="P112" s="965"/>
      <c r="Q112" s="965"/>
      <c r="R112" s="965"/>
      <c r="S112" s="965"/>
      <c r="T112" s="965"/>
      <c r="U112" s="965"/>
      <c r="V112" s="965"/>
      <c r="W112" s="965"/>
      <c r="X112" s="965"/>
      <c r="Y112" s="965"/>
      <c r="Z112" s="965"/>
    </row>
    <row r="113">
      <c r="A113" s="965"/>
      <c r="B113" s="965"/>
      <c r="C113" s="965"/>
      <c r="D113" s="965"/>
      <c r="E113" s="965"/>
      <c r="F113" s="965"/>
      <c r="G113" s="965"/>
      <c r="H113" s="965"/>
      <c r="I113" s="965"/>
      <c r="J113" s="965"/>
      <c r="K113" s="965"/>
      <c r="L113" s="965"/>
      <c r="M113" s="965"/>
      <c r="N113" s="965"/>
      <c r="O113" s="965"/>
      <c r="P113" s="965"/>
      <c r="Q113" s="965"/>
      <c r="R113" s="965"/>
      <c r="S113" s="965"/>
      <c r="T113" s="965"/>
      <c r="U113" s="965"/>
      <c r="V113" s="965"/>
      <c r="W113" s="965"/>
      <c r="X113" s="965"/>
      <c r="Y113" s="965"/>
      <c r="Z113" s="965"/>
    </row>
    <row r="114">
      <c r="A114" s="965"/>
      <c r="B114" s="965"/>
      <c r="C114" s="965"/>
      <c r="D114" s="965"/>
      <c r="E114" s="965"/>
      <c r="F114" s="965"/>
      <c r="G114" s="965"/>
      <c r="H114" s="965"/>
      <c r="I114" s="965"/>
      <c r="J114" s="965"/>
      <c r="K114" s="965"/>
      <c r="L114" s="965"/>
      <c r="M114" s="965"/>
      <c r="N114" s="965"/>
      <c r="O114" s="965"/>
      <c r="P114" s="965"/>
      <c r="Q114" s="965"/>
      <c r="R114" s="965"/>
      <c r="S114" s="965"/>
      <c r="T114" s="965"/>
      <c r="U114" s="965"/>
      <c r="V114" s="965"/>
      <c r="W114" s="965"/>
      <c r="X114" s="965"/>
      <c r="Y114" s="965"/>
      <c r="Z114" s="965"/>
    </row>
    <row r="115">
      <c r="A115" s="965"/>
      <c r="B115" s="965"/>
      <c r="C115" s="965"/>
      <c r="D115" s="965"/>
      <c r="E115" s="965"/>
      <c r="F115" s="965"/>
      <c r="G115" s="965"/>
      <c r="H115" s="965"/>
      <c r="I115" s="965"/>
      <c r="J115" s="965"/>
      <c r="K115" s="965"/>
      <c r="L115" s="965"/>
      <c r="M115" s="965"/>
      <c r="N115" s="965"/>
      <c r="O115" s="965"/>
      <c r="P115" s="965"/>
      <c r="Q115" s="965"/>
      <c r="R115" s="965"/>
      <c r="S115" s="965"/>
      <c r="T115" s="965"/>
      <c r="U115" s="965"/>
      <c r="V115" s="965"/>
      <c r="W115" s="965"/>
      <c r="X115" s="965"/>
      <c r="Y115" s="965"/>
      <c r="Z115" s="965"/>
    </row>
    <row r="116">
      <c r="A116" s="965"/>
      <c r="B116" s="965"/>
      <c r="C116" s="965"/>
      <c r="D116" s="965"/>
      <c r="E116" s="965"/>
      <c r="F116" s="965"/>
      <c r="G116" s="965"/>
      <c r="H116" s="965"/>
      <c r="I116" s="965"/>
      <c r="J116" s="965"/>
      <c r="K116" s="965"/>
      <c r="L116" s="965"/>
      <c r="M116" s="965"/>
      <c r="N116" s="965"/>
      <c r="O116" s="965"/>
      <c r="P116" s="965"/>
      <c r="Q116" s="965"/>
      <c r="R116" s="965"/>
      <c r="S116" s="965"/>
      <c r="T116" s="965"/>
      <c r="U116" s="965"/>
      <c r="V116" s="965"/>
      <c r="W116" s="965"/>
      <c r="X116" s="965"/>
      <c r="Y116" s="965"/>
      <c r="Z116" s="965"/>
    </row>
    <row r="117">
      <c r="A117" s="965"/>
      <c r="B117" s="965"/>
      <c r="C117" s="965"/>
      <c r="D117" s="965"/>
      <c r="E117" s="965"/>
      <c r="F117" s="965"/>
      <c r="G117" s="965"/>
      <c r="H117" s="965"/>
      <c r="I117" s="965"/>
      <c r="J117" s="965"/>
      <c r="K117" s="965"/>
      <c r="L117" s="965"/>
      <c r="M117" s="965"/>
      <c r="N117" s="965"/>
      <c r="O117" s="965"/>
      <c r="P117" s="965"/>
      <c r="Q117" s="965"/>
      <c r="R117" s="965"/>
      <c r="S117" s="965"/>
      <c r="T117" s="965"/>
      <c r="U117" s="965"/>
      <c r="V117" s="965"/>
      <c r="W117" s="965"/>
      <c r="X117" s="965"/>
      <c r="Y117" s="965"/>
      <c r="Z117" s="965"/>
    </row>
    <row r="118">
      <c r="A118" s="965"/>
      <c r="B118" s="965"/>
      <c r="C118" s="965"/>
      <c r="D118" s="965"/>
      <c r="E118" s="965"/>
      <c r="F118" s="965"/>
      <c r="G118" s="965"/>
      <c r="H118" s="965"/>
      <c r="I118" s="965"/>
      <c r="J118" s="965"/>
      <c r="K118" s="965"/>
      <c r="L118" s="965"/>
      <c r="M118" s="965"/>
      <c r="N118" s="965"/>
      <c r="O118" s="965"/>
      <c r="P118" s="965"/>
      <c r="Q118" s="965"/>
      <c r="R118" s="965"/>
      <c r="S118" s="965"/>
      <c r="T118" s="965"/>
      <c r="U118" s="965"/>
      <c r="V118" s="965"/>
      <c r="W118" s="965"/>
      <c r="X118" s="965"/>
      <c r="Y118" s="965"/>
      <c r="Z118" s="965"/>
    </row>
    <row r="119">
      <c r="A119" s="965"/>
      <c r="B119" s="965"/>
      <c r="C119" s="965"/>
      <c r="D119" s="965"/>
      <c r="E119" s="965"/>
      <c r="F119" s="965"/>
      <c r="G119" s="965"/>
      <c r="H119" s="965"/>
      <c r="I119" s="965"/>
      <c r="J119" s="965"/>
      <c r="K119" s="965"/>
      <c r="L119" s="965"/>
      <c r="M119" s="965"/>
      <c r="N119" s="965"/>
      <c r="O119" s="965"/>
      <c r="P119" s="965"/>
      <c r="Q119" s="965"/>
      <c r="R119" s="965"/>
      <c r="S119" s="965"/>
      <c r="T119" s="965"/>
      <c r="U119" s="965"/>
      <c r="V119" s="965"/>
      <c r="W119" s="965"/>
      <c r="X119" s="965"/>
      <c r="Y119" s="965"/>
      <c r="Z119" s="965"/>
    </row>
    <row r="120">
      <c r="A120" s="965"/>
      <c r="B120" s="965"/>
      <c r="C120" s="965"/>
      <c r="D120" s="965"/>
      <c r="E120" s="965"/>
      <c r="F120" s="965"/>
      <c r="G120" s="965"/>
      <c r="H120" s="965"/>
      <c r="I120" s="965"/>
      <c r="J120" s="965"/>
      <c r="K120" s="965"/>
      <c r="L120" s="965"/>
      <c r="M120" s="965"/>
      <c r="N120" s="965"/>
      <c r="O120" s="965"/>
      <c r="P120" s="965"/>
      <c r="Q120" s="965"/>
      <c r="R120" s="965"/>
      <c r="S120" s="965"/>
      <c r="T120" s="965"/>
      <c r="U120" s="965"/>
      <c r="V120" s="965"/>
      <c r="W120" s="965"/>
      <c r="X120" s="965"/>
      <c r="Y120" s="965"/>
      <c r="Z120" s="965"/>
    </row>
    <row r="121">
      <c r="A121" s="965"/>
      <c r="B121" s="965"/>
      <c r="C121" s="965"/>
      <c r="D121" s="965"/>
      <c r="E121" s="965"/>
      <c r="F121" s="965"/>
      <c r="G121" s="965"/>
      <c r="H121" s="965"/>
      <c r="I121" s="965"/>
      <c r="J121" s="965"/>
      <c r="K121" s="965"/>
      <c r="L121" s="965"/>
      <c r="M121" s="965"/>
      <c r="N121" s="965"/>
      <c r="O121" s="965"/>
      <c r="P121" s="965"/>
      <c r="Q121" s="965"/>
      <c r="R121" s="965"/>
      <c r="S121" s="965"/>
      <c r="T121" s="965"/>
      <c r="U121" s="965"/>
      <c r="V121" s="965"/>
      <c r="W121" s="965"/>
      <c r="X121" s="965"/>
      <c r="Y121" s="965"/>
      <c r="Z121" s="965"/>
    </row>
    <row r="122">
      <c r="A122" s="965"/>
      <c r="B122" s="965"/>
      <c r="C122" s="965"/>
      <c r="D122" s="965"/>
      <c r="E122" s="965"/>
      <c r="F122" s="965"/>
      <c r="G122" s="965"/>
      <c r="H122" s="965"/>
      <c r="I122" s="965"/>
      <c r="J122" s="965"/>
      <c r="K122" s="965"/>
      <c r="L122" s="965"/>
      <c r="M122" s="965"/>
      <c r="N122" s="965"/>
      <c r="O122" s="965"/>
      <c r="P122" s="965"/>
      <c r="Q122" s="965"/>
      <c r="R122" s="965"/>
      <c r="S122" s="965"/>
      <c r="T122" s="965"/>
      <c r="U122" s="965"/>
      <c r="V122" s="965"/>
      <c r="W122" s="965"/>
      <c r="X122" s="965"/>
      <c r="Y122" s="965"/>
      <c r="Z122" s="965"/>
    </row>
    <row r="123">
      <c r="A123" s="965"/>
      <c r="B123" s="965"/>
      <c r="C123" s="965"/>
      <c r="D123" s="965"/>
      <c r="E123" s="965"/>
      <c r="F123" s="965"/>
      <c r="G123" s="965"/>
      <c r="H123" s="965"/>
      <c r="I123" s="965"/>
      <c r="J123" s="965"/>
      <c r="K123" s="965"/>
      <c r="L123" s="965"/>
      <c r="M123" s="965"/>
      <c r="N123" s="965"/>
      <c r="O123" s="965"/>
      <c r="P123" s="965"/>
      <c r="Q123" s="965"/>
      <c r="R123" s="965"/>
      <c r="S123" s="965"/>
      <c r="T123" s="965"/>
      <c r="U123" s="965"/>
      <c r="V123" s="965"/>
      <c r="W123" s="965"/>
      <c r="X123" s="965"/>
      <c r="Y123" s="965"/>
      <c r="Z123" s="965"/>
    </row>
    <row r="124">
      <c r="A124" s="965"/>
      <c r="B124" s="965"/>
      <c r="C124" s="965"/>
      <c r="D124" s="965"/>
      <c r="E124" s="965"/>
      <c r="F124" s="965"/>
      <c r="G124" s="965"/>
      <c r="H124" s="965"/>
      <c r="I124" s="965"/>
      <c r="J124" s="965"/>
      <c r="K124" s="965"/>
      <c r="L124" s="965"/>
      <c r="M124" s="965"/>
      <c r="N124" s="965"/>
      <c r="O124" s="965"/>
      <c r="P124" s="965"/>
      <c r="Q124" s="965"/>
      <c r="R124" s="965"/>
      <c r="S124" s="965"/>
      <c r="T124" s="965"/>
      <c r="U124" s="965"/>
      <c r="V124" s="965"/>
      <c r="W124" s="965"/>
      <c r="X124" s="965"/>
      <c r="Y124" s="965"/>
      <c r="Z124" s="965"/>
    </row>
    <row r="125">
      <c r="A125" s="965"/>
      <c r="B125" s="965"/>
      <c r="C125" s="965"/>
      <c r="D125" s="965"/>
      <c r="E125" s="965"/>
      <c r="F125" s="965"/>
      <c r="G125" s="965"/>
      <c r="H125" s="965"/>
      <c r="I125" s="965"/>
      <c r="J125" s="965"/>
      <c r="K125" s="965"/>
      <c r="L125" s="965"/>
      <c r="M125" s="965"/>
      <c r="N125" s="965"/>
      <c r="O125" s="965"/>
      <c r="P125" s="965"/>
      <c r="Q125" s="965"/>
      <c r="R125" s="965"/>
      <c r="S125" s="965"/>
      <c r="T125" s="965"/>
      <c r="U125" s="965"/>
      <c r="V125" s="965"/>
      <c r="W125" s="965"/>
      <c r="X125" s="965"/>
      <c r="Y125" s="965"/>
      <c r="Z125" s="965"/>
    </row>
    <row r="126">
      <c r="A126" s="965"/>
      <c r="B126" s="965"/>
      <c r="C126" s="965"/>
      <c r="D126" s="965"/>
      <c r="E126" s="965"/>
      <c r="F126" s="965"/>
      <c r="G126" s="965"/>
      <c r="H126" s="965"/>
      <c r="I126" s="965"/>
      <c r="J126" s="965"/>
      <c r="K126" s="965"/>
      <c r="L126" s="965"/>
      <c r="M126" s="965"/>
      <c r="N126" s="965"/>
      <c r="O126" s="965"/>
      <c r="P126" s="965"/>
      <c r="Q126" s="965"/>
      <c r="R126" s="965"/>
      <c r="S126" s="965"/>
      <c r="T126" s="965"/>
      <c r="U126" s="965"/>
      <c r="V126" s="965"/>
      <c r="W126" s="965"/>
      <c r="X126" s="965"/>
      <c r="Y126" s="965"/>
      <c r="Z126" s="965"/>
    </row>
    <row r="127">
      <c r="A127" s="965"/>
      <c r="B127" s="965"/>
      <c r="C127" s="965"/>
      <c r="D127" s="965"/>
      <c r="E127" s="965"/>
      <c r="F127" s="965"/>
      <c r="G127" s="965"/>
      <c r="H127" s="965"/>
      <c r="I127" s="965"/>
      <c r="J127" s="965"/>
      <c r="K127" s="965"/>
      <c r="L127" s="965"/>
      <c r="M127" s="965"/>
      <c r="N127" s="965"/>
      <c r="O127" s="965"/>
      <c r="P127" s="965"/>
      <c r="Q127" s="965"/>
      <c r="R127" s="965"/>
      <c r="S127" s="965"/>
      <c r="T127" s="965"/>
      <c r="U127" s="965"/>
      <c r="V127" s="965"/>
      <c r="W127" s="965"/>
      <c r="X127" s="965"/>
      <c r="Y127" s="965"/>
      <c r="Z127" s="965"/>
    </row>
    <row r="128">
      <c r="A128" s="965"/>
      <c r="B128" s="965"/>
      <c r="C128" s="965"/>
      <c r="D128" s="965"/>
      <c r="E128" s="965"/>
      <c r="F128" s="965"/>
      <c r="G128" s="965"/>
      <c r="H128" s="965"/>
      <c r="I128" s="965"/>
      <c r="J128" s="965"/>
      <c r="K128" s="965"/>
      <c r="L128" s="965"/>
      <c r="M128" s="965"/>
      <c r="N128" s="965"/>
      <c r="O128" s="965"/>
      <c r="P128" s="965"/>
      <c r="Q128" s="965"/>
      <c r="R128" s="965"/>
      <c r="S128" s="965"/>
      <c r="T128" s="965"/>
      <c r="U128" s="965"/>
      <c r="V128" s="965"/>
      <c r="W128" s="965"/>
      <c r="X128" s="965"/>
      <c r="Y128" s="965"/>
      <c r="Z128" s="965"/>
    </row>
    <row r="129">
      <c r="A129" s="965"/>
      <c r="B129" s="965"/>
      <c r="C129" s="965"/>
      <c r="D129" s="965"/>
      <c r="E129" s="965"/>
      <c r="F129" s="965"/>
      <c r="G129" s="965"/>
      <c r="H129" s="965"/>
      <c r="I129" s="965"/>
      <c r="J129" s="965"/>
      <c r="K129" s="965"/>
      <c r="L129" s="965"/>
      <c r="M129" s="965"/>
      <c r="N129" s="965"/>
      <c r="O129" s="965"/>
      <c r="P129" s="965"/>
      <c r="Q129" s="965"/>
      <c r="R129" s="965"/>
      <c r="S129" s="965"/>
      <c r="T129" s="965"/>
      <c r="U129" s="965"/>
      <c r="V129" s="965"/>
      <c r="W129" s="965"/>
      <c r="X129" s="965"/>
      <c r="Y129" s="965"/>
      <c r="Z129" s="965"/>
    </row>
    <row r="130">
      <c r="A130" s="965"/>
      <c r="B130" s="965"/>
      <c r="C130" s="965"/>
      <c r="D130" s="965"/>
      <c r="E130" s="965"/>
      <c r="F130" s="965"/>
      <c r="G130" s="965"/>
      <c r="H130" s="965"/>
      <c r="I130" s="965"/>
      <c r="J130" s="965"/>
      <c r="K130" s="965"/>
      <c r="L130" s="965"/>
      <c r="M130" s="965"/>
      <c r="N130" s="965"/>
      <c r="O130" s="965"/>
      <c r="P130" s="965"/>
      <c r="Q130" s="965"/>
      <c r="R130" s="965"/>
      <c r="S130" s="965"/>
      <c r="T130" s="965"/>
      <c r="U130" s="965"/>
      <c r="V130" s="965"/>
      <c r="W130" s="965"/>
      <c r="X130" s="965"/>
      <c r="Y130" s="965"/>
      <c r="Z130" s="965"/>
    </row>
    <row r="131">
      <c r="A131" s="965"/>
      <c r="B131" s="965"/>
      <c r="C131" s="965"/>
      <c r="D131" s="965"/>
      <c r="E131" s="965"/>
      <c r="F131" s="965"/>
      <c r="G131" s="965"/>
      <c r="H131" s="965"/>
      <c r="I131" s="965"/>
      <c r="J131" s="965"/>
      <c r="K131" s="965"/>
      <c r="L131" s="965"/>
      <c r="M131" s="965"/>
      <c r="N131" s="965"/>
      <c r="O131" s="965"/>
      <c r="P131" s="965"/>
      <c r="Q131" s="965"/>
      <c r="R131" s="965"/>
      <c r="S131" s="965"/>
      <c r="T131" s="965"/>
      <c r="U131" s="965"/>
      <c r="V131" s="965"/>
      <c r="W131" s="965"/>
      <c r="X131" s="965"/>
      <c r="Y131" s="965"/>
      <c r="Z131" s="965"/>
    </row>
    <row r="132">
      <c r="A132" s="965"/>
      <c r="B132" s="965"/>
      <c r="C132" s="965"/>
      <c r="D132" s="965"/>
      <c r="E132" s="965"/>
      <c r="F132" s="965"/>
      <c r="G132" s="965"/>
      <c r="H132" s="965"/>
      <c r="I132" s="965"/>
      <c r="J132" s="965"/>
      <c r="K132" s="965"/>
      <c r="L132" s="965"/>
      <c r="M132" s="965"/>
      <c r="N132" s="965"/>
      <c r="O132" s="965"/>
      <c r="P132" s="965"/>
      <c r="Q132" s="965"/>
      <c r="R132" s="965"/>
      <c r="S132" s="965"/>
      <c r="T132" s="965"/>
      <c r="U132" s="965"/>
      <c r="V132" s="965"/>
      <c r="W132" s="965"/>
      <c r="X132" s="965"/>
      <c r="Y132" s="965"/>
      <c r="Z132" s="965"/>
    </row>
    <row r="133">
      <c r="A133" s="965"/>
      <c r="B133" s="965"/>
      <c r="C133" s="965"/>
      <c r="D133" s="965"/>
      <c r="E133" s="965"/>
      <c r="F133" s="965"/>
      <c r="G133" s="965"/>
      <c r="H133" s="965"/>
      <c r="I133" s="965"/>
      <c r="J133" s="965"/>
      <c r="K133" s="965"/>
      <c r="L133" s="965"/>
      <c r="M133" s="965"/>
      <c r="N133" s="965"/>
      <c r="O133" s="965"/>
      <c r="P133" s="965"/>
      <c r="Q133" s="965"/>
      <c r="R133" s="965"/>
      <c r="S133" s="965"/>
      <c r="T133" s="965"/>
      <c r="U133" s="965"/>
      <c r="V133" s="965"/>
      <c r="W133" s="965"/>
      <c r="X133" s="965"/>
      <c r="Y133" s="965"/>
      <c r="Z133" s="965"/>
    </row>
    <row r="134">
      <c r="A134" s="965"/>
      <c r="B134" s="965"/>
      <c r="C134" s="965"/>
      <c r="D134" s="965"/>
      <c r="E134" s="965"/>
      <c r="F134" s="965"/>
      <c r="G134" s="965"/>
      <c r="H134" s="965"/>
      <c r="I134" s="965"/>
      <c r="J134" s="965"/>
      <c r="K134" s="965"/>
      <c r="L134" s="965"/>
      <c r="M134" s="965"/>
      <c r="N134" s="965"/>
      <c r="O134" s="965"/>
      <c r="P134" s="965"/>
      <c r="Q134" s="965"/>
      <c r="R134" s="965"/>
      <c r="S134" s="965"/>
      <c r="T134" s="965"/>
      <c r="U134" s="965"/>
      <c r="V134" s="965"/>
      <c r="W134" s="965"/>
      <c r="X134" s="965"/>
      <c r="Y134" s="965"/>
      <c r="Z134" s="965"/>
    </row>
    <row r="135">
      <c r="A135" s="965"/>
      <c r="B135" s="965"/>
      <c r="C135" s="965"/>
      <c r="D135" s="965"/>
      <c r="E135" s="965"/>
      <c r="F135" s="965"/>
      <c r="G135" s="965"/>
      <c r="H135" s="965"/>
      <c r="I135" s="965"/>
      <c r="J135" s="965"/>
      <c r="K135" s="965"/>
      <c r="L135" s="965"/>
      <c r="M135" s="965"/>
      <c r="N135" s="965"/>
      <c r="O135" s="965"/>
      <c r="P135" s="965"/>
      <c r="Q135" s="965"/>
      <c r="R135" s="965"/>
      <c r="S135" s="965"/>
      <c r="T135" s="965"/>
      <c r="U135" s="965"/>
      <c r="V135" s="965"/>
      <c r="W135" s="965"/>
      <c r="X135" s="965"/>
      <c r="Y135" s="965"/>
      <c r="Z135" s="965"/>
    </row>
    <row r="136">
      <c r="A136" s="965"/>
      <c r="B136" s="965"/>
      <c r="C136" s="965"/>
      <c r="D136" s="965"/>
      <c r="E136" s="965"/>
      <c r="F136" s="965"/>
      <c r="G136" s="965"/>
      <c r="H136" s="965"/>
      <c r="I136" s="965"/>
      <c r="J136" s="965"/>
      <c r="K136" s="965"/>
      <c r="L136" s="965"/>
      <c r="M136" s="965"/>
      <c r="N136" s="965"/>
      <c r="O136" s="965"/>
      <c r="P136" s="965"/>
      <c r="Q136" s="965"/>
      <c r="R136" s="965"/>
      <c r="S136" s="965"/>
      <c r="T136" s="965"/>
      <c r="U136" s="965"/>
      <c r="V136" s="965"/>
      <c r="W136" s="965"/>
      <c r="X136" s="965"/>
      <c r="Y136" s="965"/>
      <c r="Z136" s="965"/>
    </row>
    <row r="137">
      <c r="A137" s="965"/>
      <c r="B137" s="965"/>
      <c r="C137" s="965"/>
      <c r="D137" s="965"/>
      <c r="E137" s="965"/>
      <c r="F137" s="965"/>
      <c r="G137" s="965"/>
      <c r="H137" s="965"/>
      <c r="I137" s="965"/>
      <c r="J137" s="965"/>
      <c r="K137" s="965"/>
      <c r="L137" s="965"/>
      <c r="M137" s="965"/>
      <c r="N137" s="965"/>
      <c r="O137" s="965"/>
      <c r="P137" s="965"/>
      <c r="Q137" s="965"/>
      <c r="R137" s="965"/>
      <c r="S137" s="965"/>
      <c r="T137" s="965"/>
      <c r="U137" s="965"/>
      <c r="V137" s="965"/>
      <c r="W137" s="965"/>
      <c r="X137" s="965"/>
      <c r="Y137" s="965"/>
      <c r="Z137" s="965"/>
    </row>
    <row r="138">
      <c r="A138" s="965"/>
      <c r="B138" s="965"/>
      <c r="C138" s="965"/>
      <c r="D138" s="965"/>
      <c r="E138" s="965"/>
      <c r="F138" s="965"/>
      <c r="G138" s="965"/>
      <c r="H138" s="965"/>
      <c r="I138" s="965"/>
      <c r="J138" s="965"/>
      <c r="K138" s="965"/>
      <c r="L138" s="965"/>
      <c r="M138" s="965"/>
      <c r="N138" s="965"/>
      <c r="O138" s="965"/>
      <c r="P138" s="965"/>
      <c r="Q138" s="965"/>
      <c r="R138" s="965"/>
      <c r="S138" s="965"/>
      <c r="T138" s="965"/>
      <c r="U138" s="965"/>
      <c r="V138" s="965"/>
      <c r="W138" s="965"/>
      <c r="X138" s="965"/>
      <c r="Y138" s="965"/>
      <c r="Z138" s="965"/>
    </row>
    <row r="139">
      <c r="A139" s="965"/>
      <c r="B139" s="965"/>
      <c r="C139" s="965"/>
      <c r="D139" s="965"/>
      <c r="E139" s="965"/>
      <c r="F139" s="965"/>
      <c r="G139" s="965"/>
      <c r="H139" s="965"/>
      <c r="I139" s="965"/>
      <c r="J139" s="965"/>
      <c r="K139" s="965"/>
      <c r="L139" s="965"/>
      <c r="M139" s="965"/>
      <c r="N139" s="965"/>
      <c r="O139" s="965"/>
      <c r="P139" s="965"/>
      <c r="Q139" s="965"/>
      <c r="R139" s="965"/>
      <c r="S139" s="965"/>
      <c r="T139" s="965"/>
      <c r="U139" s="965"/>
      <c r="V139" s="965"/>
      <c r="W139" s="965"/>
      <c r="X139" s="965"/>
      <c r="Y139" s="965"/>
      <c r="Z139" s="965"/>
    </row>
    <row r="140">
      <c r="A140" s="965"/>
      <c r="B140" s="965"/>
      <c r="C140" s="965"/>
      <c r="D140" s="965"/>
      <c r="E140" s="965"/>
      <c r="F140" s="965"/>
      <c r="G140" s="965"/>
      <c r="H140" s="965"/>
      <c r="I140" s="965"/>
      <c r="J140" s="965"/>
      <c r="K140" s="965"/>
      <c r="L140" s="965"/>
      <c r="M140" s="965"/>
      <c r="N140" s="965"/>
      <c r="O140" s="965"/>
      <c r="P140" s="965"/>
      <c r="Q140" s="965"/>
      <c r="R140" s="965"/>
      <c r="S140" s="965"/>
      <c r="T140" s="965"/>
      <c r="U140" s="965"/>
      <c r="V140" s="965"/>
      <c r="W140" s="965"/>
      <c r="X140" s="965"/>
      <c r="Y140" s="965"/>
      <c r="Z140" s="965"/>
    </row>
    <row r="141">
      <c r="A141" s="965"/>
      <c r="B141" s="965"/>
      <c r="C141" s="965"/>
      <c r="D141" s="965"/>
      <c r="E141" s="965"/>
      <c r="F141" s="965"/>
      <c r="G141" s="965"/>
      <c r="H141" s="965"/>
      <c r="I141" s="965"/>
      <c r="J141" s="965"/>
      <c r="K141" s="965"/>
      <c r="L141" s="965"/>
      <c r="M141" s="965"/>
      <c r="N141" s="965"/>
      <c r="O141" s="965"/>
      <c r="P141" s="965"/>
      <c r="Q141" s="965"/>
      <c r="R141" s="965"/>
      <c r="S141" s="965"/>
      <c r="T141" s="965"/>
      <c r="U141" s="965"/>
      <c r="V141" s="965"/>
      <c r="W141" s="965"/>
      <c r="X141" s="965"/>
      <c r="Y141" s="965"/>
      <c r="Z141" s="965"/>
    </row>
    <row r="142">
      <c r="A142" s="965"/>
      <c r="B142" s="965"/>
      <c r="C142" s="965"/>
      <c r="D142" s="965"/>
      <c r="E142" s="965"/>
      <c r="F142" s="965"/>
      <c r="G142" s="965"/>
      <c r="H142" s="965"/>
      <c r="I142" s="965"/>
      <c r="J142" s="965"/>
      <c r="K142" s="965"/>
      <c r="L142" s="965"/>
      <c r="M142" s="965"/>
      <c r="N142" s="965"/>
      <c r="O142" s="965"/>
      <c r="P142" s="965"/>
      <c r="Q142" s="965"/>
      <c r="R142" s="965"/>
      <c r="S142" s="965"/>
      <c r="T142" s="965"/>
      <c r="U142" s="965"/>
      <c r="V142" s="965"/>
      <c r="W142" s="965"/>
      <c r="X142" s="965"/>
      <c r="Y142" s="965"/>
      <c r="Z142" s="965"/>
    </row>
    <row r="143">
      <c r="A143" s="965"/>
      <c r="B143" s="965"/>
      <c r="C143" s="965"/>
      <c r="D143" s="965"/>
      <c r="E143" s="965"/>
      <c r="F143" s="965"/>
      <c r="G143" s="965"/>
      <c r="H143" s="965"/>
      <c r="I143" s="965"/>
      <c r="J143" s="965"/>
      <c r="K143" s="965"/>
      <c r="L143" s="965"/>
      <c r="M143" s="965"/>
      <c r="N143" s="965"/>
      <c r="O143" s="965"/>
      <c r="P143" s="965"/>
      <c r="Q143" s="965"/>
      <c r="R143" s="965"/>
      <c r="S143" s="965"/>
      <c r="T143" s="965"/>
      <c r="U143" s="965"/>
      <c r="V143" s="965"/>
      <c r="W143" s="965"/>
      <c r="X143" s="965"/>
      <c r="Y143" s="965"/>
      <c r="Z143" s="965"/>
    </row>
    <row r="144">
      <c r="A144" s="965"/>
      <c r="B144" s="965"/>
      <c r="C144" s="965"/>
      <c r="D144" s="965"/>
      <c r="E144" s="965"/>
      <c r="F144" s="965"/>
      <c r="G144" s="965"/>
      <c r="H144" s="965"/>
      <c r="I144" s="965"/>
      <c r="J144" s="965"/>
      <c r="K144" s="965"/>
      <c r="L144" s="965"/>
      <c r="M144" s="965"/>
      <c r="N144" s="965"/>
      <c r="O144" s="965"/>
      <c r="P144" s="965"/>
      <c r="Q144" s="965"/>
      <c r="R144" s="965"/>
      <c r="S144" s="965"/>
      <c r="T144" s="965"/>
      <c r="U144" s="965"/>
      <c r="V144" s="965"/>
      <c r="W144" s="965"/>
      <c r="X144" s="965"/>
      <c r="Y144" s="965"/>
      <c r="Z144" s="965"/>
    </row>
    <row r="145">
      <c r="A145" s="965"/>
      <c r="B145" s="965"/>
      <c r="C145" s="965"/>
      <c r="D145" s="965"/>
      <c r="E145" s="965"/>
      <c r="F145" s="965"/>
      <c r="G145" s="965"/>
      <c r="H145" s="965"/>
      <c r="I145" s="965"/>
      <c r="J145" s="965"/>
      <c r="K145" s="965"/>
      <c r="L145" s="965"/>
      <c r="M145" s="965"/>
      <c r="N145" s="965"/>
      <c r="O145" s="965"/>
      <c r="P145" s="965"/>
      <c r="Q145" s="965"/>
      <c r="R145" s="965"/>
      <c r="S145" s="965"/>
      <c r="T145" s="965"/>
      <c r="U145" s="965"/>
      <c r="V145" s="965"/>
      <c r="W145" s="965"/>
      <c r="X145" s="965"/>
      <c r="Y145" s="965"/>
      <c r="Z145" s="965"/>
    </row>
    <row r="146">
      <c r="A146" s="965"/>
      <c r="B146" s="965"/>
      <c r="C146" s="965"/>
      <c r="D146" s="965"/>
      <c r="E146" s="965"/>
      <c r="F146" s="965"/>
      <c r="G146" s="965"/>
      <c r="H146" s="965"/>
      <c r="I146" s="965"/>
      <c r="J146" s="965"/>
      <c r="K146" s="965"/>
      <c r="L146" s="965"/>
      <c r="M146" s="965"/>
      <c r="N146" s="965"/>
      <c r="O146" s="965"/>
      <c r="P146" s="965"/>
      <c r="Q146" s="965"/>
      <c r="R146" s="965"/>
      <c r="S146" s="965"/>
      <c r="T146" s="965"/>
      <c r="U146" s="965"/>
      <c r="V146" s="965"/>
      <c r="W146" s="965"/>
      <c r="X146" s="965"/>
      <c r="Y146" s="965"/>
      <c r="Z146" s="965"/>
    </row>
    <row r="147">
      <c r="A147" s="965"/>
      <c r="B147" s="965"/>
      <c r="C147" s="965"/>
      <c r="D147" s="965"/>
      <c r="E147" s="965"/>
      <c r="F147" s="965"/>
      <c r="G147" s="965"/>
      <c r="H147" s="965"/>
      <c r="I147" s="965"/>
      <c r="J147" s="965"/>
      <c r="K147" s="965"/>
      <c r="L147" s="965"/>
      <c r="M147" s="965"/>
      <c r="N147" s="965"/>
      <c r="O147" s="965"/>
      <c r="P147" s="965"/>
      <c r="Q147" s="965"/>
      <c r="R147" s="965"/>
      <c r="S147" s="965"/>
      <c r="T147" s="965"/>
      <c r="U147" s="965"/>
      <c r="V147" s="965"/>
      <c r="W147" s="965"/>
      <c r="X147" s="965"/>
      <c r="Y147" s="965"/>
      <c r="Z147" s="965"/>
    </row>
    <row r="148">
      <c r="A148" s="965"/>
      <c r="B148" s="965"/>
      <c r="C148" s="965"/>
      <c r="D148" s="965"/>
      <c r="E148" s="965"/>
      <c r="F148" s="965"/>
      <c r="G148" s="965"/>
      <c r="H148" s="965"/>
      <c r="I148" s="965"/>
      <c r="J148" s="965"/>
      <c r="K148" s="965"/>
      <c r="L148" s="965"/>
      <c r="M148" s="965"/>
      <c r="N148" s="965"/>
      <c r="O148" s="965"/>
      <c r="P148" s="965"/>
      <c r="Q148" s="965"/>
      <c r="R148" s="965"/>
      <c r="S148" s="965"/>
      <c r="T148" s="965"/>
      <c r="U148" s="965"/>
      <c r="V148" s="965"/>
      <c r="W148" s="965"/>
      <c r="X148" s="965"/>
      <c r="Y148" s="965"/>
      <c r="Z148" s="965"/>
    </row>
    <row r="149">
      <c r="A149" s="965"/>
      <c r="B149" s="965"/>
      <c r="C149" s="965"/>
      <c r="D149" s="965"/>
      <c r="E149" s="965"/>
      <c r="F149" s="965"/>
      <c r="G149" s="965"/>
      <c r="H149" s="965"/>
      <c r="I149" s="965"/>
      <c r="J149" s="965"/>
      <c r="K149" s="965"/>
      <c r="L149" s="965"/>
      <c r="M149" s="965"/>
      <c r="N149" s="965"/>
      <c r="O149" s="965"/>
      <c r="P149" s="965"/>
      <c r="Q149" s="965"/>
      <c r="R149" s="965"/>
      <c r="S149" s="965"/>
      <c r="T149" s="965"/>
      <c r="U149" s="965"/>
      <c r="V149" s="965"/>
      <c r="W149" s="965"/>
      <c r="X149" s="965"/>
      <c r="Y149" s="965"/>
      <c r="Z149" s="965"/>
    </row>
    <row r="150">
      <c r="A150" s="965"/>
      <c r="B150" s="965"/>
      <c r="C150" s="965"/>
      <c r="D150" s="965"/>
      <c r="E150" s="965"/>
      <c r="F150" s="965"/>
      <c r="G150" s="965"/>
      <c r="H150" s="965"/>
      <c r="I150" s="965"/>
      <c r="J150" s="965"/>
      <c r="K150" s="965"/>
      <c r="L150" s="965"/>
      <c r="M150" s="965"/>
      <c r="N150" s="965"/>
      <c r="O150" s="965"/>
      <c r="P150" s="965"/>
      <c r="Q150" s="965"/>
      <c r="R150" s="965"/>
      <c r="S150" s="965"/>
      <c r="T150" s="965"/>
      <c r="U150" s="965"/>
      <c r="V150" s="965"/>
      <c r="W150" s="965"/>
      <c r="X150" s="965"/>
      <c r="Y150" s="965"/>
      <c r="Z150" s="965"/>
    </row>
    <row r="151">
      <c r="A151" s="965"/>
      <c r="B151" s="965"/>
      <c r="C151" s="965"/>
      <c r="D151" s="965"/>
      <c r="E151" s="965"/>
      <c r="F151" s="965"/>
      <c r="G151" s="965"/>
      <c r="H151" s="965"/>
      <c r="I151" s="965"/>
      <c r="J151" s="965"/>
      <c r="K151" s="965"/>
      <c r="L151" s="965"/>
      <c r="M151" s="965"/>
      <c r="N151" s="965"/>
      <c r="O151" s="965"/>
      <c r="P151" s="965"/>
      <c r="Q151" s="965"/>
      <c r="R151" s="965"/>
      <c r="S151" s="965"/>
      <c r="T151" s="965"/>
      <c r="U151" s="965"/>
      <c r="V151" s="965"/>
      <c r="W151" s="965"/>
      <c r="X151" s="965"/>
      <c r="Y151" s="965"/>
      <c r="Z151" s="965"/>
    </row>
    <row r="152">
      <c r="A152" s="965"/>
      <c r="B152" s="965"/>
      <c r="C152" s="965"/>
      <c r="D152" s="965"/>
      <c r="E152" s="965"/>
      <c r="F152" s="965"/>
      <c r="G152" s="965"/>
      <c r="H152" s="965"/>
      <c r="I152" s="965"/>
      <c r="J152" s="965"/>
      <c r="K152" s="965"/>
      <c r="L152" s="965"/>
      <c r="M152" s="965"/>
      <c r="N152" s="965"/>
      <c r="O152" s="965"/>
      <c r="P152" s="965"/>
      <c r="Q152" s="965"/>
      <c r="R152" s="965"/>
      <c r="S152" s="965"/>
      <c r="T152" s="965"/>
      <c r="U152" s="965"/>
      <c r="V152" s="965"/>
      <c r="W152" s="965"/>
      <c r="X152" s="965"/>
      <c r="Y152" s="965"/>
      <c r="Z152" s="965"/>
    </row>
    <row r="153">
      <c r="A153" s="965"/>
      <c r="B153" s="965"/>
      <c r="C153" s="965"/>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row>
    <row r="154">
      <c r="A154" s="965"/>
      <c r="B154" s="965"/>
      <c r="C154" s="965"/>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row>
    <row r="155">
      <c r="A155" s="965"/>
      <c r="B155" s="965"/>
      <c r="C155" s="965"/>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row>
    <row r="156">
      <c r="A156" s="965"/>
      <c r="B156" s="965"/>
      <c r="C156" s="965"/>
      <c r="D156" s="965"/>
      <c r="E156" s="965"/>
      <c r="F156" s="965"/>
      <c r="G156" s="965"/>
      <c r="H156" s="965"/>
      <c r="I156" s="965"/>
      <c r="J156" s="965"/>
      <c r="K156" s="965"/>
      <c r="L156" s="965"/>
      <c r="M156" s="965"/>
      <c r="N156" s="965"/>
      <c r="O156" s="965"/>
      <c r="P156" s="965"/>
      <c r="Q156" s="965"/>
      <c r="R156" s="965"/>
      <c r="S156" s="965"/>
      <c r="T156" s="965"/>
      <c r="U156" s="965"/>
      <c r="V156" s="965"/>
      <c r="W156" s="965"/>
      <c r="X156" s="965"/>
      <c r="Y156" s="965"/>
      <c r="Z156" s="965"/>
    </row>
    <row r="157">
      <c r="A157" s="965"/>
      <c r="B157" s="965"/>
      <c r="C157" s="965"/>
      <c r="D157" s="965"/>
      <c r="E157" s="965"/>
      <c r="F157" s="965"/>
      <c r="G157" s="965"/>
      <c r="H157" s="965"/>
      <c r="I157" s="965"/>
      <c r="J157" s="965"/>
      <c r="K157" s="965"/>
      <c r="L157" s="965"/>
      <c r="M157" s="965"/>
      <c r="N157" s="965"/>
      <c r="O157" s="965"/>
      <c r="P157" s="965"/>
      <c r="Q157" s="965"/>
      <c r="R157" s="965"/>
      <c r="S157" s="965"/>
      <c r="T157" s="965"/>
      <c r="U157" s="965"/>
      <c r="V157" s="965"/>
      <c r="W157" s="965"/>
      <c r="X157" s="965"/>
      <c r="Y157" s="965"/>
      <c r="Z157" s="965"/>
    </row>
    <row r="158">
      <c r="A158" s="965"/>
      <c r="B158" s="965"/>
      <c r="C158" s="965"/>
      <c r="D158" s="965"/>
      <c r="E158" s="965"/>
      <c r="F158" s="965"/>
      <c r="G158" s="965"/>
      <c r="H158" s="965"/>
      <c r="I158" s="965"/>
      <c r="J158" s="965"/>
      <c r="K158" s="965"/>
      <c r="L158" s="965"/>
      <c r="M158" s="965"/>
      <c r="N158" s="965"/>
      <c r="O158" s="965"/>
      <c r="P158" s="965"/>
      <c r="Q158" s="965"/>
      <c r="R158" s="965"/>
      <c r="S158" s="965"/>
      <c r="T158" s="965"/>
      <c r="U158" s="965"/>
      <c r="V158" s="965"/>
      <c r="W158" s="965"/>
      <c r="X158" s="965"/>
      <c r="Y158" s="965"/>
      <c r="Z158" s="965"/>
    </row>
    <row r="159">
      <c r="A159" s="965"/>
      <c r="B159" s="965"/>
      <c r="C159" s="965"/>
      <c r="D159" s="965"/>
      <c r="E159" s="965"/>
      <c r="F159" s="965"/>
      <c r="G159" s="965"/>
      <c r="H159" s="965"/>
      <c r="I159" s="965"/>
      <c r="J159" s="965"/>
      <c r="K159" s="965"/>
      <c r="L159" s="965"/>
      <c r="M159" s="965"/>
      <c r="N159" s="965"/>
      <c r="O159" s="965"/>
      <c r="P159" s="965"/>
      <c r="Q159" s="965"/>
      <c r="R159" s="965"/>
      <c r="S159" s="965"/>
      <c r="T159" s="965"/>
      <c r="U159" s="965"/>
      <c r="V159" s="965"/>
      <c r="W159" s="965"/>
      <c r="X159" s="965"/>
      <c r="Y159" s="965"/>
      <c r="Z159" s="965"/>
    </row>
    <row r="160">
      <c r="A160" s="965"/>
      <c r="B160" s="965"/>
      <c r="C160" s="965"/>
      <c r="D160" s="965"/>
      <c r="E160" s="965"/>
      <c r="F160" s="965"/>
      <c r="G160" s="965"/>
      <c r="H160" s="965"/>
      <c r="I160" s="965"/>
      <c r="J160" s="965"/>
      <c r="K160" s="965"/>
      <c r="L160" s="965"/>
      <c r="M160" s="965"/>
      <c r="N160" s="965"/>
      <c r="O160" s="965"/>
      <c r="P160" s="965"/>
      <c r="Q160" s="965"/>
      <c r="R160" s="965"/>
      <c r="S160" s="965"/>
      <c r="T160" s="965"/>
      <c r="U160" s="965"/>
      <c r="V160" s="965"/>
      <c r="W160" s="965"/>
      <c r="X160" s="965"/>
      <c r="Y160" s="965"/>
      <c r="Z160" s="965"/>
    </row>
    <row r="161">
      <c r="A161" s="965"/>
      <c r="B161" s="965"/>
      <c r="C161" s="965"/>
      <c r="D161" s="965"/>
      <c r="E161" s="965"/>
      <c r="F161" s="965"/>
      <c r="G161" s="965"/>
      <c r="H161" s="965"/>
      <c r="I161" s="965"/>
      <c r="J161" s="965"/>
      <c r="K161" s="965"/>
      <c r="L161" s="965"/>
      <c r="M161" s="965"/>
      <c r="N161" s="965"/>
      <c r="O161" s="965"/>
      <c r="P161" s="965"/>
      <c r="Q161" s="965"/>
      <c r="R161" s="965"/>
      <c r="S161" s="965"/>
      <c r="T161" s="965"/>
      <c r="U161" s="965"/>
      <c r="V161" s="965"/>
      <c r="W161" s="965"/>
      <c r="X161" s="965"/>
      <c r="Y161" s="965"/>
      <c r="Z161" s="965"/>
    </row>
    <row r="162">
      <c r="A162" s="965"/>
      <c r="B162" s="965"/>
      <c r="C162" s="965"/>
      <c r="D162" s="965"/>
      <c r="E162" s="965"/>
      <c r="F162" s="965"/>
      <c r="G162" s="965"/>
      <c r="H162" s="965"/>
      <c r="I162" s="965"/>
      <c r="J162" s="965"/>
      <c r="K162" s="965"/>
      <c r="L162" s="965"/>
      <c r="M162" s="965"/>
      <c r="N162" s="965"/>
      <c r="O162" s="965"/>
      <c r="P162" s="965"/>
      <c r="Q162" s="965"/>
      <c r="R162" s="965"/>
      <c r="S162" s="965"/>
      <c r="T162" s="965"/>
      <c r="U162" s="965"/>
      <c r="V162" s="965"/>
      <c r="W162" s="965"/>
      <c r="X162" s="965"/>
      <c r="Y162" s="965"/>
      <c r="Z162" s="965"/>
    </row>
    <row r="163">
      <c r="A163" s="965"/>
      <c r="B163" s="965"/>
      <c r="C163" s="965"/>
      <c r="D163" s="965"/>
      <c r="E163" s="965"/>
      <c r="F163" s="965"/>
      <c r="G163" s="965"/>
      <c r="H163" s="965"/>
      <c r="I163" s="965"/>
      <c r="J163" s="965"/>
      <c r="K163" s="965"/>
      <c r="L163" s="965"/>
      <c r="M163" s="965"/>
      <c r="N163" s="965"/>
      <c r="O163" s="965"/>
      <c r="P163" s="965"/>
      <c r="Q163" s="965"/>
      <c r="R163" s="965"/>
      <c r="S163" s="965"/>
      <c r="T163" s="965"/>
      <c r="U163" s="965"/>
      <c r="V163" s="965"/>
      <c r="W163" s="965"/>
      <c r="X163" s="965"/>
      <c r="Y163" s="965"/>
      <c r="Z163" s="965"/>
    </row>
    <row r="164">
      <c r="A164" s="965"/>
      <c r="B164" s="965"/>
      <c r="C164" s="965"/>
      <c r="D164" s="965"/>
      <c r="E164" s="965"/>
      <c r="F164" s="965"/>
      <c r="G164" s="965"/>
      <c r="H164" s="965"/>
      <c r="I164" s="965"/>
      <c r="J164" s="965"/>
      <c r="K164" s="965"/>
      <c r="L164" s="965"/>
      <c r="M164" s="965"/>
      <c r="N164" s="965"/>
      <c r="O164" s="965"/>
      <c r="P164" s="965"/>
      <c r="Q164" s="965"/>
      <c r="R164" s="965"/>
      <c r="S164" s="965"/>
      <c r="T164" s="965"/>
      <c r="U164" s="965"/>
      <c r="V164" s="965"/>
      <c r="W164" s="965"/>
      <c r="X164" s="965"/>
      <c r="Y164" s="965"/>
      <c r="Z164" s="965"/>
    </row>
    <row r="165">
      <c r="A165" s="965"/>
      <c r="B165" s="965"/>
      <c r="C165" s="965"/>
      <c r="D165" s="965"/>
      <c r="E165" s="965"/>
      <c r="F165" s="965"/>
      <c r="G165" s="965"/>
      <c r="H165" s="965"/>
      <c r="I165" s="965"/>
      <c r="J165" s="965"/>
      <c r="K165" s="965"/>
      <c r="L165" s="965"/>
      <c r="M165" s="965"/>
      <c r="N165" s="965"/>
      <c r="O165" s="965"/>
      <c r="P165" s="965"/>
      <c r="Q165" s="965"/>
      <c r="R165" s="965"/>
      <c r="S165" s="965"/>
      <c r="T165" s="965"/>
      <c r="U165" s="965"/>
      <c r="V165" s="965"/>
      <c r="W165" s="965"/>
      <c r="X165" s="965"/>
      <c r="Y165" s="965"/>
      <c r="Z165" s="965"/>
    </row>
    <row r="166">
      <c r="A166" s="965"/>
      <c r="B166" s="965"/>
      <c r="C166" s="965"/>
      <c r="D166" s="965"/>
      <c r="E166" s="965"/>
      <c r="F166" s="965"/>
      <c r="G166" s="965"/>
      <c r="H166" s="965"/>
      <c r="I166" s="965"/>
      <c r="J166" s="965"/>
      <c r="K166" s="965"/>
      <c r="L166" s="965"/>
      <c r="M166" s="965"/>
      <c r="N166" s="965"/>
      <c r="O166" s="965"/>
      <c r="P166" s="965"/>
      <c r="Q166" s="965"/>
      <c r="R166" s="965"/>
      <c r="S166" s="965"/>
      <c r="T166" s="965"/>
      <c r="U166" s="965"/>
      <c r="V166" s="965"/>
      <c r="W166" s="965"/>
      <c r="X166" s="965"/>
      <c r="Y166" s="965"/>
      <c r="Z166" s="965"/>
    </row>
    <row r="167">
      <c r="A167" s="965"/>
      <c r="B167" s="965"/>
      <c r="C167" s="965"/>
      <c r="D167" s="965"/>
      <c r="E167" s="965"/>
      <c r="F167" s="965"/>
      <c r="G167" s="965"/>
      <c r="H167" s="965"/>
      <c r="I167" s="965"/>
      <c r="J167" s="965"/>
      <c r="K167" s="965"/>
      <c r="L167" s="965"/>
      <c r="M167" s="965"/>
      <c r="N167" s="965"/>
      <c r="O167" s="965"/>
      <c r="P167" s="965"/>
      <c r="Q167" s="965"/>
      <c r="R167" s="965"/>
      <c r="S167" s="965"/>
      <c r="T167" s="965"/>
      <c r="U167" s="965"/>
      <c r="V167" s="965"/>
      <c r="W167" s="965"/>
      <c r="X167" s="965"/>
      <c r="Y167" s="965"/>
      <c r="Z167" s="965"/>
    </row>
    <row r="168">
      <c r="A168" s="965"/>
      <c r="B168" s="965"/>
      <c r="C168" s="965"/>
      <c r="D168" s="965"/>
      <c r="E168" s="965"/>
      <c r="F168" s="965"/>
      <c r="G168" s="965"/>
      <c r="H168" s="965"/>
      <c r="I168" s="965"/>
      <c r="J168" s="965"/>
      <c r="K168" s="965"/>
      <c r="L168" s="965"/>
      <c r="M168" s="965"/>
      <c r="N168" s="965"/>
      <c r="O168" s="965"/>
      <c r="P168" s="965"/>
      <c r="Q168" s="965"/>
      <c r="R168" s="965"/>
      <c r="S168" s="965"/>
      <c r="T168" s="965"/>
      <c r="U168" s="965"/>
      <c r="V168" s="965"/>
      <c r="W168" s="965"/>
      <c r="X168" s="965"/>
      <c r="Y168" s="965"/>
      <c r="Z168" s="965"/>
    </row>
    <row r="169">
      <c r="A169" s="965"/>
      <c r="B169" s="965"/>
      <c r="C169" s="965"/>
      <c r="D169" s="965"/>
      <c r="E169" s="965"/>
      <c r="F169" s="965"/>
      <c r="G169" s="965"/>
      <c r="H169" s="965"/>
      <c r="I169" s="965"/>
      <c r="J169" s="965"/>
      <c r="K169" s="965"/>
      <c r="L169" s="965"/>
      <c r="M169" s="965"/>
      <c r="N169" s="965"/>
      <c r="O169" s="965"/>
      <c r="P169" s="965"/>
      <c r="Q169" s="965"/>
      <c r="R169" s="965"/>
      <c r="S169" s="965"/>
      <c r="T169" s="965"/>
      <c r="U169" s="965"/>
      <c r="V169" s="965"/>
      <c r="W169" s="965"/>
      <c r="X169" s="965"/>
      <c r="Y169" s="965"/>
      <c r="Z169" s="965"/>
    </row>
    <row r="170">
      <c r="A170" s="965"/>
      <c r="B170" s="965"/>
      <c r="C170" s="965"/>
      <c r="D170" s="965"/>
      <c r="E170" s="965"/>
      <c r="F170" s="965"/>
      <c r="G170" s="965"/>
      <c r="H170" s="965"/>
      <c r="I170" s="965"/>
      <c r="J170" s="965"/>
      <c r="K170" s="965"/>
      <c r="L170" s="965"/>
      <c r="M170" s="965"/>
      <c r="N170" s="965"/>
      <c r="O170" s="965"/>
      <c r="P170" s="965"/>
      <c r="Q170" s="965"/>
      <c r="R170" s="965"/>
      <c r="S170" s="965"/>
      <c r="T170" s="965"/>
      <c r="U170" s="965"/>
      <c r="V170" s="965"/>
      <c r="W170" s="965"/>
      <c r="X170" s="965"/>
      <c r="Y170" s="965"/>
      <c r="Z170" s="965"/>
    </row>
    <row r="171">
      <c r="A171" s="965"/>
      <c r="B171" s="965"/>
      <c r="C171" s="965"/>
      <c r="D171" s="965"/>
      <c r="E171" s="965"/>
      <c r="F171" s="965"/>
      <c r="G171" s="965"/>
      <c r="H171" s="965"/>
      <c r="I171" s="965"/>
      <c r="J171" s="965"/>
      <c r="K171" s="965"/>
      <c r="L171" s="965"/>
      <c r="M171" s="965"/>
      <c r="N171" s="965"/>
      <c r="O171" s="965"/>
      <c r="P171" s="965"/>
      <c r="Q171" s="965"/>
      <c r="R171" s="965"/>
      <c r="S171" s="965"/>
      <c r="T171" s="965"/>
      <c r="U171" s="965"/>
      <c r="V171" s="965"/>
      <c r="W171" s="965"/>
      <c r="X171" s="965"/>
      <c r="Y171" s="965"/>
      <c r="Z171" s="965"/>
    </row>
    <row r="172">
      <c r="A172" s="965"/>
      <c r="B172" s="965"/>
      <c r="C172" s="965"/>
      <c r="D172" s="965"/>
      <c r="E172" s="965"/>
      <c r="F172" s="965"/>
      <c r="G172" s="965"/>
      <c r="H172" s="965"/>
      <c r="I172" s="965"/>
      <c r="J172" s="965"/>
      <c r="K172" s="965"/>
      <c r="L172" s="965"/>
      <c r="M172" s="965"/>
      <c r="N172" s="965"/>
      <c r="O172" s="965"/>
      <c r="P172" s="965"/>
      <c r="Q172" s="965"/>
      <c r="R172" s="965"/>
      <c r="S172" s="965"/>
      <c r="T172" s="965"/>
      <c r="U172" s="965"/>
      <c r="V172" s="965"/>
      <c r="W172" s="965"/>
      <c r="X172" s="965"/>
      <c r="Y172" s="965"/>
      <c r="Z172" s="965"/>
    </row>
    <row r="173">
      <c r="A173" s="965"/>
      <c r="B173" s="965"/>
      <c r="C173" s="965"/>
      <c r="D173" s="965"/>
      <c r="E173" s="965"/>
      <c r="F173" s="965"/>
      <c r="G173" s="965"/>
      <c r="H173" s="965"/>
      <c r="I173" s="965"/>
      <c r="J173" s="965"/>
      <c r="K173" s="965"/>
      <c r="L173" s="965"/>
      <c r="M173" s="965"/>
      <c r="N173" s="965"/>
      <c r="O173" s="965"/>
      <c r="P173" s="965"/>
      <c r="Q173" s="965"/>
      <c r="R173" s="965"/>
      <c r="S173" s="965"/>
      <c r="T173" s="965"/>
      <c r="U173" s="965"/>
      <c r="V173" s="965"/>
      <c r="W173" s="965"/>
      <c r="X173" s="965"/>
      <c r="Y173" s="965"/>
      <c r="Z173" s="965"/>
    </row>
    <row r="174">
      <c r="A174" s="965"/>
      <c r="B174" s="965"/>
      <c r="C174" s="965"/>
      <c r="D174" s="965"/>
      <c r="E174" s="965"/>
      <c r="F174" s="965"/>
      <c r="G174" s="965"/>
      <c r="H174" s="965"/>
      <c r="I174" s="965"/>
      <c r="J174" s="965"/>
      <c r="K174" s="965"/>
      <c r="L174" s="965"/>
      <c r="M174" s="965"/>
      <c r="N174" s="965"/>
      <c r="O174" s="965"/>
      <c r="P174" s="965"/>
      <c r="Q174" s="965"/>
      <c r="R174" s="965"/>
      <c r="S174" s="965"/>
      <c r="T174" s="965"/>
      <c r="U174" s="965"/>
      <c r="V174" s="965"/>
      <c r="W174" s="965"/>
      <c r="X174" s="965"/>
      <c r="Y174" s="965"/>
      <c r="Z174" s="965"/>
    </row>
    <row r="175">
      <c r="A175" s="965"/>
      <c r="B175" s="965"/>
      <c r="C175" s="965"/>
      <c r="D175" s="965"/>
      <c r="E175" s="965"/>
      <c r="F175" s="965"/>
      <c r="G175" s="965"/>
      <c r="H175" s="965"/>
      <c r="I175" s="965"/>
      <c r="J175" s="965"/>
      <c r="K175" s="965"/>
      <c r="L175" s="965"/>
      <c r="M175" s="965"/>
      <c r="N175" s="965"/>
      <c r="O175" s="965"/>
      <c r="P175" s="965"/>
      <c r="Q175" s="965"/>
      <c r="R175" s="965"/>
      <c r="S175" s="965"/>
      <c r="T175" s="965"/>
      <c r="U175" s="965"/>
      <c r="V175" s="965"/>
      <c r="W175" s="965"/>
      <c r="X175" s="965"/>
      <c r="Y175" s="965"/>
      <c r="Z175" s="965"/>
    </row>
    <row r="176">
      <c r="A176" s="965"/>
      <c r="B176" s="965"/>
      <c r="C176" s="965"/>
      <c r="D176" s="965"/>
      <c r="E176" s="965"/>
      <c r="F176" s="965"/>
      <c r="G176" s="965"/>
      <c r="H176" s="965"/>
      <c r="I176" s="965"/>
      <c r="J176" s="965"/>
      <c r="K176" s="965"/>
      <c r="L176" s="965"/>
      <c r="M176" s="965"/>
      <c r="N176" s="965"/>
      <c r="O176" s="965"/>
      <c r="P176" s="965"/>
      <c r="Q176" s="965"/>
      <c r="R176" s="965"/>
      <c r="S176" s="965"/>
      <c r="T176" s="965"/>
      <c r="U176" s="965"/>
      <c r="V176" s="965"/>
      <c r="W176" s="965"/>
      <c r="X176" s="965"/>
      <c r="Y176" s="965"/>
      <c r="Z176" s="965"/>
    </row>
    <row r="177">
      <c r="A177" s="965"/>
      <c r="B177" s="965"/>
      <c r="C177" s="965"/>
      <c r="D177" s="965"/>
      <c r="E177" s="965"/>
      <c r="F177" s="965"/>
      <c r="G177" s="965"/>
      <c r="H177" s="965"/>
      <c r="I177" s="965"/>
      <c r="J177" s="965"/>
      <c r="K177" s="965"/>
      <c r="L177" s="965"/>
      <c r="M177" s="965"/>
      <c r="N177" s="965"/>
      <c r="O177" s="965"/>
      <c r="P177" s="965"/>
      <c r="Q177" s="965"/>
      <c r="R177" s="965"/>
      <c r="S177" s="965"/>
      <c r="T177" s="965"/>
      <c r="U177" s="965"/>
      <c r="V177" s="965"/>
      <c r="W177" s="965"/>
      <c r="X177" s="965"/>
      <c r="Y177" s="965"/>
      <c r="Z177" s="965"/>
    </row>
    <row r="178">
      <c r="A178" s="965"/>
      <c r="B178" s="965"/>
      <c r="C178" s="965"/>
      <c r="D178" s="965"/>
      <c r="E178" s="965"/>
      <c r="F178" s="965"/>
      <c r="G178" s="965"/>
      <c r="H178" s="965"/>
      <c r="I178" s="965"/>
      <c r="J178" s="965"/>
      <c r="K178" s="965"/>
      <c r="L178" s="965"/>
      <c r="M178" s="965"/>
      <c r="N178" s="965"/>
      <c r="O178" s="965"/>
      <c r="P178" s="965"/>
      <c r="Q178" s="965"/>
      <c r="R178" s="965"/>
      <c r="S178" s="965"/>
      <c r="T178" s="965"/>
      <c r="U178" s="965"/>
      <c r="V178" s="965"/>
      <c r="W178" s="965"/>
      <c r="X178" s="965"/>
      <c r="Y178" s="965"/>
      <c r="Z178" s="965"/>
    </row>
    <row r="179">
      <c r="A179" s="965"/>
      <c r="B179" s="965"/>
      <c r="C179" s="965"/>
      <c r="D179" s="965"/>
      <c r="E179" s="965"/>
      <c r="F179" s="965"/>
      <c r="G179" s="965"/>
      <c r="H179" s="965"/>
      <c r="I179" s="965"/>
      <c r="J179" s="965"/>
      <c r="K179" s="965"/>
      <c r="L179" s="965"/>
      <c r="M179" s="965"/>
      <c r="N179" s="965"/>
      <c r="O179" s="965"/>
      <c r="P179" s="965"/>
      <c r="Q179" s="965"/>
      <c r="R179" s="965"/>
      <c r="S179" s="965"/>
      <c r="T179" s="965"/>
      <c r="U179" s="965"/>
      <c r="V179" s="965"/>
      <c r="W179" s="965"/>
      <c r="X179" s="965"/>
      <c r="Y179" s="965"/>
      <c r="Z179" s="965"/>
    </row>
    <row r="180">
      <c r="A180" s="965"/>
      <c r="B180" s="965"/>
      <c r="C180" s="965"/>
      <c r="D180" s="965"/>
      <c r="E180" s="965"/>
      <c r="F180" s="965"/>
      <c r="G180" s="965"/>
      <c r="H180" s="965"/>
      <c r="I180" s="965"/>
      <c r="J180" s="965"/>
      <c r="K180" s="965"/>
      <c r="L180" s="965"/>
      <c r="M180" s="965"/>
      <c r="N180" s="965"/>
      <c r="O180" s="965"/>
      <c r="P180" s="965"/>
      <c r="Q180" s="965"/>
      <c r="R180" s="965"/>
      <c r="S180" s="965"/>
      <c r="T180" s="965"/>
      <c r="U180" s="965"/>
      <c r="V180" s="965"/>
      <c r="W180" s="965"/>
      <c r="X180" s="965"/>
      <c r="Y180" s="965"/>
      <c r="Z180" s="965"/>
    </row>
    <row r="181">
      <c r="A181" s="965"/>
      <c r="B181" s="965"/>
      <c r="C181" s="965"/>
      <c r="D181" s="965"/>
      <c r="E181" s="965"/>
      <c r="F181" s="965"/>
      <c r="G181" s="965"/>
      <c r="H181" s="965"/>
      <c r="I181" s="965"/>
      <c r="J181" s="965"/>
      <c r="K181" s="965"/>
      <c r="L181" s="965"/>
      <c r="M181" s="965"/>
      <c r="N181" s="965"/>
      <c r="O181" s="965"/>
      <c r="P181" s="965"/>
      <c r="Q181" s="965"/>
      <c r="R181" s="965"/>
      <c r="S181" s="965"/>
      <c r="T181" s="965"/>
      <c r="U181" s="965"/>
      <c r="V181" s="965"/>
      <c r="W181" s="965"/>
      <c r="X181" s="965"/>
      <c r="Y181" s="965"/>
      <c r="Z181" s="965"/>
    </row>
    <row r="182">
      <c r="A182" s="965"/>
      <c r="B182" s="965"/>
      <c r="C182" s="965"/>
      <c r="D182" s="965"/>
      <c r="E182" s="965"/>
      <c r="F182" s="965"/>
      <c r="G182" s="965"/>
      <c r="H182" s="965"/>
      <c r="I182" s="965"/>
      <c r="J182" s="965"/>
      <c r="K182" s="965"/>
      <c r="L182" s="965"/>
      <c r="M182" s="965"/>
      <c r="N182" s="965"/>
      <c r="O182" s="965"/>
      <c r="P182" s="965"/>
      <c r="Q182" s="965"/>
      <c r="R182" s="965"/>
      <c r="S182" s="965"/>
      <c r="T182" s="965"/>
      <c r="U182" s="965"/>
      <c r="V182" s="965"/>
      <c r="W182" s="965"/>
      <c r="X182" s="965"/>
      <c r="Y182" s="965"/>
      <c r="Z182" s="965"/>
    </row>
    <row r="183">
      <c r="A183" s="965"/>
      <c r="B183" s="965"/>
      <c r="C183" s="965"/>
      <c r="D183" s="965"/>
      <c r="E183" s="965"/>
      <c r="F183" s="965"/>
      <c r="G183" s="965"/>
      <c r="H183" s="965"/>
      <c r="I183" s="965"/>
      <c r="J183" s="965"/>
      <c r="K183" s="965"/>
      <c r="L183" s="965"/>
      <c r="M183" s="965"/>
      <c r="N183" s="965"/>
      <c r="O183" s="965"/>
      <c r="P183" s="965"/>
      <c r="Q183" s="965"/>
      <c r="R183" s="965"/>
      <c r="S183" s="965"/>
      <c r="T183" s="965"/>
      <c r="U183" s="965"/>
      <c r="V183" s="965"/>
      <c r="W183" s="965"/>
      <c r="X183" s="965"/>
      <c r="Y183" s="965"/>
      <c r="Z183" s="965"/>
    </row>
    <row r="184">
      <c r="A184" s="965"/>
      <c r="B184" s="965"/>
      <c r="C184" s="965"/>
      <c r="D184" s="965"/>
      <c r="E184" s="965"/>
      <c r="F184" s="965"/>
      <c r="G184" s="965"/>
      <c r="H184" s="965"/>
      <c r="I184" s="965"/>
      <c r="J184" s="965"/>
      <c r="K184" s="965"/>
      <c r="L184" s="965"/>
      <c r="M184" s="965"/>
      <c r="N184" s="965"/>
      <c r="O184" s="965"/>
      <c r="P184" s="965"/>
      <c r="Q184" s="965"/>
      <c r="R184" s="965"/>
      <c r="S184" s="965"/>
      <c r="T184" s="965"/>
      <c r="U184" s="965"/>
      <c r="V184" s="965"/>
      <c r="W184" s="965"/>
      <c r="X184" s="965"/>
      <c r="Y184" s="965"/>
      <c r="Z184" s="965"/>
    </row>
    <row r="185">
      <c r="A185" s="965"/>
      <c r="B185" s="965"/>
      <c r="C185" s="965"/>
      <c r="D185" s="965"/>
      <c r="E185" s="965"/>
      <c r="F185" s="965"/>
      <c r="G185" s="965"/>
      <c r="H185" s="965"/>
      <c r="I185" s="965"/>
      <c r="J185" s="965"/>
      <c r="K185" s="965"/>
      <c r="L185" s="965"/>
      <c r="M185" s="965"/>
      <c r="N185" s="965"/>
      <c r="O185" s="965"/>
      <c r="P185" s="965"/>
      <c r="Q185" s="965"/>
      <c r="R185" s="965"/>
      <c r="S185" s="965"/>
      <c r="T185" s="965"/>
      <c r="U185" s="965"/>
      <c r="V185" s="965"/>
      <c r="W185" s="965"/>
      <c r="X185" s="965"/>
      <c r="Y185" s="965"/>
      <c r="Z185" s="965"/>
    </row>
    <row r="186">
      <c r="A186" s="965"/>
      <c r="B186" s="965"/>
      <c r="C186" s="965"/>
      <c r="D186" s="965"/>
      <c r="E186" s="965"/>
      <c r="F186" s="965"/>
      <c r="G186" s="965"/>
      <c r="H186" s="965"/>
      <c r="I186" s="965"/>
      <c r="J186" s="965"/>
      <c r="K186" s="965"/>
      <c r="L186" s="965"/>
      <c r="M186" s="965"/>
      <c r="N186" s="965"/>
      <c r="O186" s="965"/>
      <c r="P186" s="965"/>
      <c r="Q186" s="965"/>
      <c r="R186" s="965"/>
      <c r="S186" s="965"/>
      <c r="T186" s="965"/>
      <c r="U186" s="965"/>
      <c r="V186" s="965"/>
      <c r="W186" s="965"/>
      <c r="X186" s="965"/>
      <c r="Y186" s="965"/>
      <c r="Z186" s="965"/>
    </row>
    <row r="187">
      <c r="A187" s="965"/>
      <c r="B187" s="965"/>
      <c r="C187" s="965"/>
      <c r="D187" s="965"/>
      <c r="E187" s="965"/>
      <c r="F187" s="965"/>
      <c r="G187" s="965"/>
      <c r="H187" s="965"/>
      <c r="I187" s="965"/>
      <c r="J187" s="965"/>
      <c r="K187" s="965"/>
      <c r="L187" s="965"/>
      <c r="M187" s="965"/>
      <c r="N187" s="965"/>
      <c r="O187" s="965"/>
      <c r="P187" s="965"/>
      <c r="Q187" s="965"/>
      <c r="R187" s="965"/>
      <c r="S187" s="965"/>
      <c r="T187" s="965"/>
      <c r="U187" s="965"/>
      <c r="V187" s="965"/>
      <c r="W187" s="965"/>
      <c r="X187" s="965"/>
      <c r="Y187" s="965"/>
      <c r="Z187" s="965"/>
    </row>
    <row r="188">
      <c r="A188" s="965"/>
      <c r="B188" s="965"/>
      <c r="C188" s="965"/>
      <c r="D188" s="965"/>
      <c r="E188" s="965"/>
      <c r="F188" s="965"/>
      <c r="G188" s="965"/>
      <c r="H188" s="965"/>
      <c r="I188" s="965"/>
      <c r="J188" s="965"/>
      <c r="K188" s="965"/>
      <c r="L188" s="965"/>
      <c r="M188" s="965"/>
      <c r="N188" s="965"/>
      <c r="O188" s="965"/>
      <c r="P188" s="965"/>
      <c r="Q188" s="965"/>
      <c r="R188" s="965"/>
      <c r="S188" s="965"/>
      <c r="T188" s="965"/>
      <c r="U188" s="965"/>
      <c r="V188" s="965"/>
      <c r="W188" s="965"/>
      <c r="X188" s="965"/>
      <c r="Y188" s="965"/>
      <c r="Z188" s="965"/>
    </row>
    <row r="189">
      <c r="A189" s="965"/>
      <c r="B189" s="965"/>
      <c r="C189" s="965"/>
      <c r="D189" s="965"/>
      <c r="E189" s="965"/>
      <c r="F189" s="965"/>
      <c r="G189" s="965"/>
      <c r="H189" s="965"/>
      <c r="I189" s="965"/>
      <c r="J189" s="965"/>
      <c r="K189" s="965"/>
      <c r="L189" s="965"/>
      <c r="M189" s="965"/>
      <c r="N189" s="965"/>
      <c r="O189" s="965"/>
      <c r="P189" s="965"/>
      <c r="Q189" s="965"/>
      <c r="R189" s="965"/>
      <c r="S189" s="965"/>
      <c r="T189" s="965"/>
      <c r="U189" s="965"/>
      <c r="V189" s="965"/>
      <c r="W189" s="965"/>
      <c r="X189" s="965"/>
      <c r="Y189" s="965"/>
      <c r="Z189" s="965"/>
    </row>
    <row r="190">
      <c r="A190" s="965"/>
      <c r="B190" s="965"/>
      <c r="C190" s="965"/>
      <c r="D190" s="965"/>
      <c r="E190" s="965"/>
      <c r="F190" s="965"/>
      <c r="G190" s="965"/>
      <c r="H190" s="965"/>
      <c r="I190" s="965"/>
      <c r="J190" s="965"/>
      <c r="K190" s="965"/>
      <c r="L190" s="965"/>
      <c r="M190" s="965"/>
      <c r="N190" s="965"/>
      <c r="O190" s="965"/>
      <c r="P190" s="965"/>
      <c r="Q190" s="965"/>
      <c r="R190" s="965"/>
      <c r="S190" s="965"/>
      <c r="T190" s="965"/>
      <c r="U190" s="965"/>
      <c r="V190" s="965"/>
      <c r="W190" s="965"/>
      <c r="X190" s="965"/>
      <c r="Y190" s="965"/>
      <c r="Z190" s="965"/>
    </row>
    <row r="191">
      <c r="A191" s="965"/>
      <c r="B191" s="965"/>
      <c r="C191" s="965"/>
      <c r="D191" s="965"/>
      <c r="E191" s="965"/>
      <c r="F191" s="965"/>
      <c r="G191" s="965"/>
      <c r="H191" s="965"/>
      <c r="I191" s="965"/>
      <c r="J191" s="965"/>
      <c r="K191" s="965"/>
      <c r="L191" s="965"/>
      <c r="M191" s="965"/>
      <c r="N191" s="965"/>
      <c r="O191" s="965"/>
      <c r="P191" s="965"/>
      <c r="Q191" s="965"/>
      <c r="R191" s="965"/>
      <c r="S191" s="965"/>
      <c r="T191" s="965"/>
      <c r="U191" s="965"/>
      <c r="V191" s="965"/>
      <c r="W191" s="965"/>
      <c r="X191" s="965"/>
      <c r="Y191" s="965"/>
      <c r="Z191" s="965"/>
    </row>
    <row r="192">
      <c r="A192" s="965"/>
      <c r="B192" s="965"/>
      <c r="C192" s="965"/>
      <c r="D192" s="965"/>
      <c r="E192" s="965"/>
      <c r="F192" s="965"/>
      <c r="G192" s="965"/>
      <c r="H192" s="965"/>
      <c r="I192" s="965"/>
      <c r="J192" s="965"/>
      <c r="K192" s="965"/>
      <c r="L192" s="965"/>
      <c r="M192" s="965"/>
      <c r="N192" s="965"/>
      <c r="O192" s="965"/>
      <c r="P192" s="965"/>
      <c r="Q192" s="965"/>
      <c r="R192" s="965"/>
      <c r="S192" s="965"/>
      <c r="T192" s="965"/>
      <c r="U192" s="965"/>
      <c r="V192" s="965"/>
      <c r="W192" s="965"/>
      <c r="X192" s="965"/>
      <c r="Y192" s="965"/>
      <c r="Z192" s="965"/>
    </row>
    <row r="193">
      <c r="A193" s="965"/>
      <c r="B193" s="965"/>
      <c r="C193" s="965"/>
      <c r="D193" s="965"/>
      <c r="E193" s="965"/>
      <c r="F193" s="965"/>
      <c r="G193" s="965"/>
      <c r="H193" s="965"/>
      <c r="I193" s="965"/>
      <c r="J193" s="965"/>
      <c r="K193" s="965"/>
      <c r="L193" s="965"/>
      <c r="M193" s="965"/>
      <c r="N193" s="965"/>
      <c r="O193" s="965"/>
      <c r="P193" s="965"/>
      <c r="Q193" s="965"/>
      <c r="R193" s="965"/>
      <c r="S193" s="965"/>
      <c r="T193" s="965"/>
      <c r="U193" s="965"/>
      <c r="V193" s="965"/>
      <c r="W193" s="965"/>
      <c r="X193" s="965"/>
      <c r="Y193" s="965"/>
      <c r="Z193" s="965"/>
    </row>
    <row r="194">
      <c r="A194" s="965"/>
      <c r="B194" s="965"/>
      <c r="C194" s="965"/>
      <c r="D194" s="965"/>
      <c r="E194" s="965"/>
      <c r="F194" s="965"/>
      <c r="G194" s="965"/>
      <c r="H194" s="965"/>
      <c r="I194" s="965"/>
      <c r="J194" s="965"/>
      <c r="K194" s="965"/>
      <c r="L194" s="965"/>
      <c r="M194" s="965"/>
      <c r="N194" s="965"/>
      <c r="O194" s="965"/>
      <c r="P194" s="965"/>
      <c r="Q194" s="965"/>
      <c r="R194" s="965"/>
      <c r="S194" s="965"/>
      <c r="T194" s="965"/>
      <c r="U194" s="965"/>
      <c r="V194" s="965"/>
      <c r="W194" s="965"/>
      <c r="X194" s="965"/>
      <c r="Y194" s="965"/>
      <c r="Z194" s="965"/>
    </row>
    <row r="195">
      <c r="A195" s="965"/>
      <c r="B195" s="965"/>
      <c r="C195" s="965"/>
      <c r="D195" s="965"/>
      <c r="E195" s="965"/>
      <c r="F195" s="965"/>
      <c r="G195" s="965"/>
      <c r="H195" s="965"/>
      <c r="I195" s="965"/>
      <c r="J195" s="965"/>
      <c r="K195" s="965"/>
      <c r="L195" s="965"/>
      <c r="M195" s="965"/>
      <c r="N195" s="965"/>
      <c r="O195" s="965"/>
      <c r="P195" s="965"/>
      <c r="Q195" s="965"/>
      <c r="R195" s="965"/>
      <c r="S195" s="965"/>
      <c r="T195" s="965"/>
      <c r="U195" s="965"/>
      <c r="V195" s="965"/>
      <c r="W195" s="965"/>
      <c r="X195" s="965"/>
      <c r="Y195" s="965"/>
      <c r="Z195" s="965"/>
    </row>
    <row r="196">
      <c r="A196" s="965"/>
      <c r="B196" s="965"/>
      <c r="C196" s="965"/>
      <c r="D196" s="965"/>
      <c r="E196" s="965"/>
      <c r="F196" s="965"/>
      <c r="G196" s="965"/>
      <c r="H196" s="965"/>
      <c r="I196" s="965"/>
      <c r="J196" s="965"/>
      <c r="K196" s="965"/>
      <c r="L196" s="965"/>
      <c r="M196" s="965"/>
      <c r="N196" s="965"/>
      <c r="O196" s="965"/>
      <c r="P196" s="965"/>
      <c r="Q196" s="965"/>
      <c r="R196" s="965"/>
      <c r="S196" s="965"/>
      <c r="T196" s="965"/>
      <c r="U196" s="965"/>
      <c r="V196" s="965"/>
      <c r="W196" s="965"/>
      <c r="X196" s="965"/>
      <c r="Y196" s="965"/>
      <c r="Z196" s="965"/>
    </row>
    <row r="197">
      <c r="A197" s="965"/>
      <c r="B197" s="965"/>
      <c r="C197" s="965"/>
      <c r="D197" s="965"/>
      <c r="E197" s="965"/>
      <c r="F197" s="965"/>
      <c r="G197" s="965"/>
      <c r="H197" s="965"/>
      <c r="I197" s="965"/>
      <c r="J197" s="965"/>
      <c r="K197" s="965"/>
      <c r="L197" s="965"/>
      <c r="M197" s="965"/>
      <c r="N197" s="965"/>
      <c r="O197" s="965"/>
      <c r="P197" s="965"/>
      <c r="Q197" s="965"/>
      <c r="R197" s="965"/>
      <c r="S197" s="965"/>
      <c r="T197" s="965"/>
      <c r="U197" s="965"/>
      <c r="V197" s="965"/>
      <c r="W197" s="965"/>
      <c r="X197" s="965"/>
      <c r="Y197" s="965"/>
      <c r="Z197" s="965"/>
    </row>
    <row r="198">
      <c r="A198" s="965"/>
      <c r="B198" s="965"/>
      <c r="C198" s="965"/>
      <c r="D198" s="965"/>
      <c r="E198" s="965"/>
      <c r="F198" s="965"/>
      <c r="G198" s="965"/>
      <c r="H198" s="965"/>
      <c r="I198" s="965"/>
      <c r="J198" s="965"/>
      <c r="K198" s="965"/>
      <c r="L198" s="965"/>
      <c r="M198" s="965"/>
      <c r="N198" s="965"/>
      <c r="O198" s="965"/>
      <c r="P198" s="965"/>
      <c r="Q198" s="965"/>
      <c r="R198" s="965"/>
      <c r="S198" s="965"/>
      <c r="T198" s="965"/>
      <c r="U198" s="965"/>
      <c r="V198" s="965"/>
      <c r="W198" s="965"/>
      <c r="X198" s="965"/>
      <c r="Y198" s="965"/>
      <c r="Z198" s="965"/>
    </row>
    <row r="199">
      <c r="A199" s="965"/>
      <c r="B199" s="965"/>
      <c r="C199" s="965"/>
      <c r="D199" s="965"/>
      <c r="E199" s="965"/>
      <c r="F199" s="965"/>
      <c r="G199" s="965"/>
      <c r="H199" s="965"/>
      <c r="I199" s="965"/>
      <c r="J199" s="965"/>
      <c r="K199" s="965"/>
      <c r="L199" s="965"/>
      <c r="M199" s="965"/>
      <c r="N199" s="965"/>
      <c r="O199" s="965"/>
      <c r="P199" s="965"/>
      <c r="Q199" s="965"/>
      <c r="R199" s="965"/>
      <c r="S199" s="965"/>
      <c r="T199" s="965"/>
      <c r="U199" s="965"/>
      <c r="V199" s="965"/>
      <c r="W199" s="965"/>
      <c r="X199" s="965"/>
      <c r="Y199" s="965"/>
      <c r="Z199" s="965"/>
    </row>
    <row r="200">
      <c r="A200" s="965"/>
      <c r="B200" s="965"/>
      <c r="C200" s="965"/>
      <c r="D200" s="965"/>
      <c r="E200" s="965"/>
      <c r="F200" s="965"/>
      <c r="G200" s="965"/>
      <c r="H200" s="965"/>
      <c r="I200" s="965"/>
      <c r="J200" s="965"/>
      <c r="K200" s="965"/>
      <c r="L200" s="965"/>
      <c r="M200" s="965"/>
      <c r="N200" s="965"/>
      <c r="O200" s="965"/>
      <c r="P200" s="965"/>
      <c r="Q200" s="965"/>
      <c r="R200" s="965"/>
      <c r="S200" s="965"/>
      <c r="T200" s="965"/>
      <c r="U200" s="965"/>
      <c r="V200" s="965"/>
      <c r="W200" s="965"/>
      <c r="X200" s="965"/>
      <c r="Y200" s="965"/>
      <c r="Z200" s="965"/>
    </row>
    <row r="201">
      <c r="A201" s="965"/>
      <c r="B201" s="965"/>
      <c r="C201" s="965"/>
      <c r="D201" s="965"/>
      <c r="E201" s="965"/>
      <c r="F201" s="965"/>
      <c r="G201" s="965"/>
      <c r="H201" s="965"/>
      <c r="I201" s="965"/>
      <c r="J201" s="965"/>
      <c r="K201" s="965"/>
      <c r="L201" s="965"/>
      <c r="M201" s="965"/>
      <c r="N201" s="965"/>
      <c r="O201" s="965"/>
      <c r="P201" s="965"/>
      <c r="Q201" s="965"/>
      <c r="R201" s="965"/>
      <c r="S201" s="965"/>
      <c r="T201" s="965"/>
      <c r="U201" s="965"/>
      <c r="V201" s="965"/>
      <c r="W201" s="965"/>
      <c r="X201" s="965"/>
      <c r="Y201" s="965"/>
      <c r="Z201" s="965"/>
    </row>
    <row r="202">
      <c r="A202" s="965"/>
      <c r="B202" s="965"/>
      <c r="C202" s="965"/>
      <c r="D202" s="965"/>
      <c r="E202" s="965"/>
      <c r="F202" s="965"/>
      <c r="G202" s="965"/>
      <c r="H202" s="965"/>
      <c r="I202" s="965"/>
      <c r="J202" s="965"/>
      <c r="K202" s="965"/>
      <c r="L202" s="965"/>
      <c r="M202" s="965"/>
      <c r="N202" s="965"/>
      <c r="O202" s="965"/>
      <c r="P202" s="965"/>
      <c r="Q202" s="965"/>
      <c r="R202" s="965"/>
      <c r="S202" s="965"/>
      <c r="T202" s="965"/>
      <c r="U202" s="965"/>
      <c r="V202" s="965"/>
      <c r="W202" s="965"/>
      <c r="X202" s="965"/>
      <c r="Y202" s="965"/>
      <c r="Z202" s="965"/>
    </row>
    <row r="203">
      <c r="A203" s="965"/>
      <c r="B203" s="965"/>
      <c r="C203" s="965"/>
      <c r="D203" s="965"/>
      <c r="E203" s="965"/>
      <c r="F203" s="965"/>
      <c r="G203" s="965"/>
      <c r="H203" s="965"/>
      <c r="I203" s="965"/>
      <c r="J203" s="965"/>
      <c r="K203" s="965"/>
      <c r="L203" s="965"/>
      <c r="M203" s="965"/>
      <c r="N203" s="965"/>
      <c r="O203" s="965"/>
      <c r="P203" s="965"/>
      <c r="Q203" s="965"/>
      <c r="R203" s="965"/>
      <c r="S203" s="965"/>
      <c r="T203" s="965"/>
      <c r="U203" s="965"/>
      <c r="V203" s="965"/>
      <c r="W203" s="965"/>
      <c r="X203" s="965"/>
      <c r="Y203" s="965"/>
      <c r="Z203" s="965"/>
    </row>
    <row r="204">
      <c r="A204" s="965"/>
      <c r="B204" s="965"/>
      <c r="C204" s="965"/>
      <c r="D204" s="965"/>
      <c r="E204" s="965"/>
      <c r="F204" s="965"/>
      <c r="G204" s="965"/>
      <c r="H204" s="965"/>
      <c r="I204" s="965"/>
      <c r="J204" s="965"/>
      <c r="K204" s="965"/>
      <c r="L204" s="965"/>
      <c r="M204" s="965"/>
      <c r="N204" s="965"/>
      <c r="O204" s="965"/>
      <c r="P204" s="965"/>
      <c r="Q204" s="965"/>
      <c r="R204" s="965"/>
      <c r="S204" s="965"/>
      <c r="T204" s="965"/>
      <c r="U204" s="965"/>
      <c r="V204" s="965"/>
      <c r="W204" s="965"/>
      <c r="X204" s="965"/>
      <c r="Y204" s="965"/>
      <c r="Z204" s="965"/>
    </row>
    <row r="205">
      <c r="A205" s="965"/>
      <c r="B205" s="965"/>
      <c r="C205" s="965"/>
      <c r="D205" s="965"/>
      <c r="E205" s="965"/>
      <c r="F205" s="965"/>
      <c r="G205" s="965"/>
      <c r="H205" s="965"/>
      <c r="I205" s="965"/>
      <c r="J205" s="965"/>
      <c r="K205" s="965"/>
      <c r="L205" s="965"/>
      <c r="M205" s="965"/>
      <c r="N205" s="965"/>
      <c r="O205" s="965"/>
      <c r="P205" s="965"/>
      <c r="Q205" s="965"/>
      <c r="R205" s="965"/>
      <c r="S205" s="965"/>
      <c r="T205" s="965"/>
      <c r="U205" s="965"/>
      <c r="V205" s="965"/>
      <c r="W205" s="965"/>
      <c r="X205" s="965"/>
      <c r="Y205" s="965"/>
      <c r="Z205" s="965"/>
    </row>
    <row r="206">
      <c r="A206" s="965"/>
      <c r="B206" s="965"/>
      <c r="C206" s="965"/>
      <c r="D206" s="965"/>
      <c r="E206" s="965"/>
      <c r="F206" s="965"/>
      <c r="G206" s="965"/>
      <c r="H206" s="965"/>
      <c r="I206" s="965"/>
      <c r="J206" s="965"/>
      <c r="K206" s="965"/>
      <c r="L206" s="965"/>
      <c r="M206" s="965"/>
      <c r="N206" s="965"/>
      <c r="O206" s="965"/>
      <c r="P206" s="965"/>
      <c r="Q206" s="965"/>
      <c r="R206" s="965"/>
      <c r="S206" s="965"/>
      <c r="T206" s="965"/>
      <c r="U206" s="965"/>
      <c r="V206" s="965"/>
      <c r="W206" s="965"/>
      <c r="X206" s="965"/>
      <c r="Y206" s="965"/>
      <c r="Z206" s="965"/>
    </row>
    <row r="207">
      <c r="A207" s="965"/>
      <c r="B207" s="965"/>
      <c r="C207" s="965"/>
      <c r="D207" s="965"/>
      <c r="E207" s="965"/>
      <c r="F207" s="965"/>
      <c r="G207" s="965"/>
      <c r="H207" s="965"/>
      <c r="I207" s="965"/>
      <c r="J207" s="965"/>
      <c r="K207" s="965"/>
      <c r="L207" s="965"/>
      <c r="M207" s="965"/>
      <c r="N207" s="965"/>
      <c r="O207" s="965"/>
      <c r="P207" s="965"/>
      <c r="Q207" s="965"/>
      <c r="R207" s="965"/>
      <c r="S207" s="965"/>
      <c r="T207" s="965"/>
      <c r="U207" s="965"/>
      <c r="V207" s="965"/>
      <c r="W207" s="965"/>
      <c r="X207" s="965"/>
      <c r="Y207" s="965"/>
      <c r="Z207" s="965"/>
    </row>
    <row r="208">
      <c r="A208" s="965"/>
      <c r="B208" s="965"/>
      <c r="C208" s="965"/>
      <c r="D208" s="965"/>
      <c r="E208" s="965"/>
      <c r="F208" s="965"/>
      <c r="G208" s="965"/>
      <c r="H208" s="965"/>
      <c r="I208" s="965"/>
      <c r="J208" s="965"/>
      <c r="K208" s="965"/>
      <c r="L208" s="965"/>
      <c r="M208" s="965"/>
      <c r="N208" s="965"/>
      <c r="O208" s="965"/>
      <c r="P208" s="965"/>
      <c r="Q208" s="965"/>
      <c r="R208" s="965"/>
      <c r="S208" s="965"/>
      <c r="T208" s="965"/>
      <c r="U208" s="965"/>
      <c r="V208" s="965"/>
      <c r="W208" s="965"/>
      <c r="X208" s="965"/>
      <c r="Y208" s="965"/>
      <c r="Z208" s="965"/>
    </row>
    <row r="209">
      <c r="A209" s="965"/>
      <c r="B209" s="965"/>
      <c r="C209" s="965"/>
      <c r="D209" s="965"/>
      <c r="E209" s="965"/>
      <c r="F209" s="965"/>
      <c r="G209" s="965"/>
      <c r="H209" s="965"/>
      <c r="I209" s="965"/>
      <c r="J209" s="965"/>
      <c r="K209" s="965"/>
      <c r="L209" s="965"/>
      <c r="M209" s="965"/>
      <c r="N209" s="965"/>
      <c r="O209" s="965"/>
      <c r="P209" s="965"/>
      <c r="Q209" s="965"/>
      <c r="R209" s="965"/>
      <c r="S209" s="965"/>
      <c r="T209" s="965"/>
      <c r="U209" s="965"/>
      <c r="V209" s="965"/>
      <c r="W209" s="965"/>
      <c r="X209" s="965"/>
      <c r="Y209" s="965"/>
      <c r="Z209" s="965"/>
    </row>
    <row r="210">
      <c r="A210" s="965"/>
      <c r="B210" s="965"/>
      <c r="C210" s="965"/>
      <c r="D210" s="965"/>
      <c r="E210" s="965"/>
      <c r="F210" s="965"/>
      <c r="G210" s="965"/>
      <c r="H210" s="965"/>
      <c r="I210" s="965"/>
      <c r="J210" s="965"/>
      <c r="K210" s="965"/>
      <c r="L210" s="965"/>
      <c r="M210" s="965"/>
      <c r="N210" s="965"/>
      <c r="O210" s="965"/>
      <c r="P210" s="965"/>
      <c r="Q210" s="965"/>
      <c r="R210" s="965"/>
      <c r="S210" s="965"/>
      <c r="T210" s="965"/>
      <c r="U210" s="965"/>
      <c r="V210" s="965"/>
      <c r="W210" s="965"/>
      <c r="X210" s="965"/>
      <c r="Y210" s="965"/>
      <c r="Z210" s="965"/>
    </row>
    <row r="211">
      <c r="A211" s="965"/>
      <c r="B211" s="965"/>
      <c r="C211" s="965"/>
      <c r="D211" s="965"/>
      <c r="E211" s="965"/>
      <c r="F211" s="965"/>
      <c r="G211" s="965"/>
      <c r="H211" s="965"/>
      <c r="I211" s="965"/>
      <c r="J211" s="965"/>
      <c r="K211" s="965"/>
      <c r="L211" s="965"/>
      <c r="M211" s="965"/>
      <c r="N211" s="965"/>
      <c r="O211" s="965"/>
      <c r="P211" s="965"/>
      <c r="Q211" s="965"/>
      <c r="R211" s="965"/>
      <c r="S211" s="965"/>
      <c r="T211" s="965"/>
      <c r="U211" s="965"/>
      <c r="V211" s="965"/>
      <c r="W211" s="965"/>
      <c r="X211" s="965"/>
      <c r="Y211" s="965"/>
      <c r="Z211" s="965"/>
    </row>
    <row r="212">
      <c r="A212" s="965"/>
      <c r="B212" s="965"/>
      <c r="C212" s="965"/>
      <c r="D212" s="965"/>
      <c r="E212" s="965"/>
      <c r="F212" s="965"/>
      <c r="G212" s="965"/>
      <c r="H212" s="965"/>
      <c r="I212" s="965"/>
      <c r="J212" s="965"/>
      <c r="K212" s="965"/>
      <c r="L212" s="965"/>
      <c r="M212" s="965"/>
      <c r="N212" s="965"/>
      <c r="O212" s="965"/>
      <c r="P212" s="965"/>
      <c r="Q212" s="965"/>
      <c r="R212" s="965"/>
      <c r="S212" s="965"/>
      <c r="T212" s="965"/>
      <c r="U212" s="965"/>
      <c r="V212" s="965"/>
      <c r="W212" s="965"/>
      <c r="X212" s="965"/>
      <c r="Y212" s="965"/>
      <c r="Z212" s="965"/>
    </row>
    <row r="213">
      <c r="A213" s="965"/>
      <c r="B213" s="965"/>
      <c r="C213" s="965"/>
      <c r="D213" s="965"/>
      <c r="E213" s="965"/>
      <c r="F213" s="965"/>
      <c r="G213" s="965"/>
      <c r="H213" s="965"/>
      <c r="I213" s="965"/>
      <c r="J213" s="965"/>
      <c r="K213" s="965"/>
      <c r="L213" s="965"/>
      <c r="M213" s="965"/>
      <c r="N213" s="965"/>
      <c r="O213" s="965"/>
      <c r="P213" s="965"/>
      <c r="Q213" s="965"/>
      <c r="R213" s="965"/>
      <c r="S213" s="965"/>
      <c r="T213" s="965"/>
      <c r="U213" s="965"/>
      <c r="V213" s="965"/>
      <c r="W213" s="965"/>
      <c r="X213" s="965"/>
      <c r="Y213" s="965"/>
      <c r="Z213" s="965"/>
    </row>
    <row r="214">
      <c r="A214" s="965"/>
      <c r="B214" s="965"/>
      <c r="C214" s="965"/>
      <c r="D214" s="965"/>
      <c r="E214" s="965"/>
      <c r="F214" s="965"/>
      <c r="G214" s="965"/>
      <c r="H214" s="965"/>
      <c r="I214" s="965"/>
      <c r="J214" s="965"/>
      <c r="K214" s="965"/>
      <c r="L214" s="965"/>
      <c r="M214" s="965"/>
      <c r="N214" s="965"/>
      <c r="O214" s="965"/>
      <c r="P214" s="965"/>
      <c r="Q214" s="965"/>
      <c r="R214" s="965"/>
      <c r="S214" s="965"/>
      <c r="T214" s="965"/>
      <c r="U214" s="965"/>
      <c r="V214" s="965"/>
      <c r="W214" s="965"/>
      <c r="X214" s="965"/>
      <c r="Y214" s="965"/>
      <c r="Z214" s="965"/>
    </row>
    <row r="215">
      <c r="A215" s="965"/>
      <c r="B215" s="965"/>
      <c r="C215" s="965"/>
      <c r="D215" s="965"/>
      <c r="E215" s="965"/>
      <c r="F215" s="965"/>
      <c r="G215" s="965"/>
      <c r="H215" s="965"/>
      <c r="I215" s="965"/>
      <c r="J215" s="965"/>
      <c r="K215" s="965"/>
      <c r="L215" s="965"/>
      <c r="M215" s="965"/>
      <c r="N215" s="965"/>
      <c r="O215" s="965"/>
      <c r="P215" s="965"/>
      <c r="Q215" s="965"/>
      <c r="R215" s="965"/>
      <c r="S215" s="965"/>
      <c r="T215" s="965"/>
      <c r="U215" s="965"/>
      <c r="V215" s="965"/>
      <c r="W215" s="965"/>
      <c r="X215" s="965"/>
      <c r="Y215" s="965"/>
      <c r="Z215" s="965"/>
    </row>
    <row r="216">
      <c r="A216" s="965"/>
      <c r="B216" s="965"/>
      <c r="C216" s="965"/>
      <c r="D216" s="965"/>
      <c r="E216" s="965"/>
      <c r="F216" s="965"/>
      <c r="G216" s="965"/>
      <c r="H216" s="965"/>
      <c r="I216" s="965"/>
      <c r="J216" s="965"/>
      <c r="K216" s="965"/>
      <c r="L216" s="965"/>
      <c r="M216" s="965"/>
      <c r="N216" s="965"/>
      <c r="O216" s="965"/>
      <c r="P216" s="965"/>
      <c r="Q216" s="965"/>
      <c r="R216" s="965"/>
      <c r="S216" s="965"/>
      <c r="T216" s="965"/>
      <c r="U216" s="965"/>
      <c r="V216" s="965"/>
      <c r="W216" s="965"/>
      <c r="X216" s="965"/>
      <c r="Y216" s="965"/>
      <c r="Z216" s="965"/>
    </row>
    <row r="217">
      <c r="A217" s="965"/>
      <c r="B217" s="965"/>
      <c r="C217" s="965"/>
      <c r="D217" s="965"/>
      <c r="E217" s="965"/>
      <c r="F217" s="965"/>
      <c r="G217" s="965"/>
      <c r="H217" s="965"/>
      <c r="I217" s="965"/>
      <c r="J217" s="965"/>
      <c r="K217" s="965"/>
      <c r="L217" s="965"/>
      <c r="M217" s="965"/>
      <c r="N217" s="965"/>
      <c r="O217" s="965"/>
      <c r="P217" s="965"/>
      <c r="Q217" s="965"/>
      <c r="R217" s="965"/>
      <c r="S217" s="965"/>
      <c r="T217" s="965"/>
      <c r="U217" s="965"/>
      <c r="V217" s="965"/>
      <c r="W217" s="965"/>
      <c r="X217" s="965"/>
      <c r="Y217" s="965"/>
      <c r="Z217" s="965"/>
    </row>
    <row r="218">
      <c r="A218" s="965"/>
      <c r="B218" s="965"/>
      <c r="C218" s="965"/>
      <c r="D218" s="965"/>
      <c r="E218" s="965"/>
      <c r="F218" s="965"/>
      <c r="G218" s="965"/>
      <c r="H218" s="965"/>
      <c r="I218" s="965"/>
      <c r="J218" s="965"/>
      <c r="K218" s="965"/>
      <c r="L218" s="965"/>
      <c r="M218" s="965"/>
      <c r="N218" s="965"/>
      <c r="O218" s="965"/>
      <c r="P218" s="965"/>
      <c r="Q218" s="965"/>
      <c r="R218" s="965"/>
      <c r="S218" s="965"/>
      <c r="T218" s="965"/>
      <c r="U218" s="965"/>
      <c r="V218" s="965"/>
      <c r="W218" s="965"/>
      <c r="X218" s="965"/>
      <c r="Y218" s="965"/>
      <c r="Z218" s="965"/>
    </row>
    <row r="219">
      <c r="A219" s="965"/>
      <c r="B219" s="965"/>
      <c r="C219" s="965"/>
      <c r="D219" s="965"/>
      <c r="E219" s="965"/>
      <c r="F219" s="965"/>
      <c r="G219" s="965"/>
      <c r="H219" s="965"/>
      <c r="I219" s="965"/>
      <c r="J219" s="965"/>
      <c r="K219" s="965"/>
      <c r="L219" s="965"/>
      <c r="M219" s="965"/>
      <c r="N219" s="965"/>
      <c r="O219" s="965"/>
      <c r="P219" s="965"/>
      <c r="Q219" s="965"/>
      <c r="R219" s="965"/>
      <c r="S219" s="965"/>
      <c r="T219" s="965"/>
      <c r="U219" s="965"/>
      <c r="V219" s="965"/>
      <c r="W219" s="965"/>
      <c r="X219" s="965"/>
      <c r="Y219" s="965"/>
      <c r="Z219" s="965"/>
    </row>
    <row r="220">
      <c r="A220" s="965"/>
      <c r="B220" s="965"/>
      <c r="C220" s="965"/>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row>
    <row r="221">
      <c r="A221" s="965"/>
      <c r="B221" s="965"/>
      <c r="C221" s="965"/>
      <c r="D221" s="965"/>
      <c r="E221" s="965"/>
      <c r="F221" s="965"/>
      <c r="G221" s="965"/>
      <c r="H221" s="965"/>
      <c r="I221" s="965"/>
      <c r="J221" s="965"/>
      <c r="K221" s="965"/>
      <c r="L221" s="965"/>
      <c r="M221" s="965"/>
      <c r="N221" s="965"/>
      <c r="O221" s="965"/>
      <c r="P221" s="965"/>
      <c r="Q221" s="965"/>
      <c r="R221" s="965"/>
      <c r="S221" s="965"/>
      <c r="T221" s="965"/>
      <c r="U221" s="965"/>
      <c r="V221" s="965"/>
      <c r="W221" s="965"/>
      <c r="X221" s="965"/>
      <c r="Y221" s="965"/>
      <c r="Z221" s="965"/>
    </row>
    <row r="222">
      <c r="A222" s="965"/>
      <c r="B222" s="965"/>
      <c r="C222" s="965"/>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row>
    <row r="223">
      <c r="A223" s="965"/>
      <c r="B223" s="965"/>
      <c r="C223" s="965"/>
      <c r="D223" s="965"/>
      <c r="E223" s="965"/>
      <c r="F223" s="965"/>
      <c r="G223" s="965"/>
      <c r="H223" s="965"/>
      <c r="I223" s="965"/>
      <c r="J223" s="965"/>
      <c r="K223" s="965"/>
      <c r="L223" s="965"/>
      <c r="M223" s="965"/>
      <c r="N223" s="965"/>
      <c r="O223" s="965"/>
      <c r="P223" s="965"/>
      <c r="Q223" s="965"/>
      <c r="R223" s="965"/>
      <c r="S223" s="965"/>
      <c r="T223" s="965"/>
      <c r="U223" s="965"/>
      <c r="V223" s="965"/>
      <c r="W223" s="965"/>
      <c r="X223" s="965"/>
      <c r="Y223" s="965"/>
      <c r="Z223" s="965"/>
    </row>
    <row r="224">
      <c r="A224" s="965"/>
      <c r="B224" s="965"/>
      <c r="C224" s="965"/>
      <c r="D224" s="965"/>
      <c r="E224" s="965"/>
      <c r="F224" s="965"/>
      <c r="G224" s="965"/>
      <c r="H224" s="965"/>
      <c r="I224" s="965"/>
      <c r="J224" s="965"/>
      <c r="K224" s="965"/>
      <c r="L224" s="965"/>
      <c r="M224" s="965"/>
      <c r="N224" s="965"/>
      <c r="O224" s="965"/>
      <c r="P224" s="965"/>
      <c r="Q224" s="965"/>
      <c r="R224" s="965"/>
      <c r="S224" s="965"/>
      <c r="T224" s="965"/>
      <c r="U224" s="965"/>
      <c r="V224" s="965"/>
      <c r="W224" s="965"/>
      <c r="X224" s="965"/>
      <c r="Y224" s="965"/>
      <c r="Z224" s="965"/>
    </row>
    <row r="225">
      <c r="A225" s="965"/>
      <c r="B225" s="965"/>
      <c r="C225" s="965"/>
      <c r="D225" s="965"/>
      <c r="E225" s="965"/>
      <c r="F225" s="965"/>
      <c r="G225" s="965"/>
      <c r="H225" s="965"/>
      <c r="I225" s="965"/>
      <c r="J225" s="965"/>
      <c r="K225" s="965"/>
      <c r="L225" s="965"/>
      <c r="M225" s="965"/>
      <c r="N225" s="965"/>
      <c r="O225" s="965"/>
      <c r="P225" s="965"/>
      <c r="Q225" s="965"/>
      <c r="R225" s="965"/>
      <c r="S225" s="965"/>
      <c r="T225" s="965"/>
      <c r="U225" s="965"/>
      <c r="V225" s="965"/>
      <c r="W225" s="965"/>
      <c r="X225" s="965"/>
      <c r="Y225" s="965"/>
      <c r="Z225" s="965"/>
    </row>
    <row r="226">
      <c r="A226" s="965"/>
      <c r="B226" s="965"/>
      <c r="C226" s="965"/>
      <c r="D226" s="965"/>
      <c r="E226" s="965"/>
      <c r="F226" s="965"/>
      <c r="G226" s="965"/>
      <c r="H226" s="965"/>
      <c r="I226" s="965"/>
      <c r="J226" s="965"/>
      <c r="K226" s="965"/>
      <c r="L226" s="965"/>
      <c r="M226" s="965"/>
      <c r="N226" s="965"/>
      <c r="O226" s="965"/>
      <c r="P226" s="965"/>
      <c r="Q226" s="965"/>
      <c r="R226" s="965"/>
      <c r="S226" s="965"/>
      <c r="T226" s="965"/>
      <c r="U226" s="965"/>
      <c r="V226" s="965"/>
      <c r="W226" s="965"/>
      <c r="X226" s="965"/>
      <c r="Y226" s="965"/>
      <c r="Z226" s="965"/>
    </row>
    <row r="227">
      <c r="A227" s="965"/>
      <c r="B227" s="965"/>
      <c r="C227" s="965"/>
      <c r="D227" s="965"/>
      <c r="E227" s="965"/>
      <c r="F227" s="965"/>
      <c r="G227" s="965"/>
      <c r="H227" s="965"/>
      <c r="I227" s="965"/>
      <c r="J227" s="965"/>
      <c r="K227" s="965"/>
      <c r="L227" s="965"/>
      <c r="M227" s="965"/>
      <c r="N227" s="965"/>
      <c r="O227" s="965"/>
      <c r="P227" s="965"/>
      <c r="Q227" s="965"/>
      <c r="R227" s="965"/>
      <c r="S227" s="965"/>
      <c r="T227" s="965"/>
      <c r="U227" s="965"/>
      <c r="V227" s="965"/>
      <c r="W227" s="965"/>
      <c r="X227" s="965"/>
      <c r="Y227" s="965"/>
      <c r="Z227" s="965"/>
    </row>
    <row r="228">
      <c r="A228" s="965"/>
      <c r="B228" s="965"/>
      <c r="C228" s="965"/>
      <c r="D228" s="965"/>
      <c r="E228" s="965"/>
      <c r="F228" s="965"/>
      <c r="G228" s="965"/>
      <c r="H228" s="965"/>
      <c r="I228" s="965"/>
      <c r="J228" s="965"/>
      <c r="K228" s="965"/>
      <c r="L228" s="965"/>
      <c r="M228" s="965"/>
      <c r="N228" s="965"/>
      <c r="O228" s="965"/>
      <c r="P228" s="965"/>
      <c r="Q228" s="965"/>
      <c r="R228" s="965"/>
      <c r="S228" s="965"/>
      <c r="T228" s="965"/>
      <c r="U228" s="965"/>
      <c r="V228" s="965"/>
      <c r="W228" s="965"/>
      <c r="X228" s="965"/>
      <c r="Y228" s="965"/>
      <c r="Z228" s="965"/>
    </row>
    <row r="229">
      <c r="A229" s="965"/>
      <c r="B229" s="965"/>
      <c r="C229" s="965"/>
      <c r="D229" s="965"/>
      <c r="E229" s="965"/>
      <c r="F229" s="965"/>
      <c r="G229" s="965"/>
      <c r="H229" s="965"/>
      <c r="I229" s="965"/>
      <c r="J229" s="965"/>
      <c r="K229" s="965"/>
      <c r="L229" s="965"/>
      <c r="M229" s="965"/>
      <c r="N229" s="965"/>
      <c r="O229" s="965"/>
      <c r="P229" s="965"/>
      <c r="Q229" s="965"/>
      <c r="R229" s="965"/>
      <c r="S229" s="965"/>
      <c r="T229" s="965"/>
      <c r="U229" s="965"/>
      <c r="V229" s="965"/>
      <c r="W229" s="965"/>
      <c r="X229" s="965"/>
      <c r="Y229" s="965"/>
      <c r="Z229" s="965"/>
    </row>
    <row r="230">
      <c r="A230" s="965"/>
      <c r="B230" s="965"/>
      <c r="C230" s="965"/>
      <c r="D230" s="965"/>
      <c r="E230" s="965"/>
      <c r="F230" s="965"/>
      <c r="G230" s="965"/>
      <c r="H230" s="965"/>
      <c r="I230" s="965"/>
      <c r="J230" s="965"/>
      <c r="K230" s="965"/>
      <c r="L230" s="965"/>
      <c r="M230" s="965"/>
      <c r="N230" s="965"/>
      <c r="O230" s="965"/>
      <c r="P230" s="965"/>
      <c r="Q230" s="965"/>
      <c r="R230" s="965"/>
      <c r="S230" s="965"/>
      <c r="T230" s="965"/>
      <c r="U230" s="965"/>
      <c r="V230" s="965"/>
      <c r="W230" s="965"/>
      <c r="X230" s="965"/>
      <c r="Y230" s="965"/>
      <c r="Z230" s="965"/>
    </row>
    <row r="231">
      <c r="A231" s="965"/>
      <c r="B231" s="965"/>
      <c r="C231" s="965"/>
      <c r="D231" s="965"/>
      <c r="E231" s="965"/>
      <c r="F231" s="965"/>
      <c r="G231" s="965"/>
      <c r="H231" s="965"/>
      <c r="I231" s="965"/>
      <c r="J231" s="965"/>
      <c r="K231" s="965"/>
      <c r="L231" s="965"/>
      <c r="M231" s="965"/>
      <c r="N231" s="965"/>
      <c r="O231" s="965"/>
      <c r="P231" s="965"/>
      <c r="Q231" s="965"/>
      <c r="R231" s="965"/>
      <c r="S231" s="965"/>
      <c r="T231" s="965"/>
      <c r="U231" s="965"/>
      <c r="V231" s="965"/>
      <c r="W231" s="965"/>
      <c r="X231" s="965"/>
      <c r="Y231" s="965"/>
      <c r="Z231" s="965"/>
    </row>
    <row r="232">
      <c r="A232" s="965"/>
      <c r="B232" s="965"/>
      <c r="C232" s="965"/>
      <c r="D232" s="965"/>
      <c r="E232" s="965"/>
      <c r="F232" s="965"/>
      <c r="G232" s="965"/>
      <c r="H232" s="965"/>
      <c r="I232" s="965"/>
      <c r="J232" s="965"/>
      <c r="K232" s="965"/>
      <c r="L232" s="965"/>
      <c r="M232" s="965"/>
      <c r="N232" s="965"/>
      <c r="O232" s="965"/>
      <c r="P232" s="965"/>
      <c r="Q232" s="965"/>
      <c r="R232" s="965"/>
      <c r="S232" s="965"/>
      <c r="T232" s="965"/>
      <c r="U232" s="965"/>
      <c r="V232" s="965"/>
      <c r="W232" s="965"/>
      <c r="X232" s="965"/>
      <c r="Y232" s="965"/>
      <c r="Z232" s="965"/>
    </row>
    <row r="233">
      <c r="A233" s="965"/>
      <c r="B233" s="965"/>
      <c r="C233" s="965"/>
      <c r="D233" s="965"/>
      <c r="E233" s="965"/>
      <c r="F233" s="965"/>
      <c r="G233" s="965"/>
      <c r="H233" s="965"/>
      <c r="I233" s="965"/>
      <c r="J233" s="965"/>
      <c r="K233" s="965"/>
      <c r="L233" s="965"/>
      <c r="M233" s="965"/>
      <c r="N233" s="965"/>
      <c r="O233" s="965"/>
      <c r="P233" s="965"/>
      <c r="Q233" s="965"/>
      <c r="R233" s="965"/>
      <c r="S233" s="965"/>
      <c r="T233" s="965"/>
      <c r="U233" s="965"/>
      <c r="V233" s="965"/>
      <c r="W233" s="965"/>
      <c r="X233" s="965"/>
      <c r="Y233" s="965"/>
      <c r="Z233" s="965"/>
    </row>
    <row r="234">
      <c r="A234" s="965"/>
      <c r="B234" s="965"/>
      <c r="C234" s="965"/>
      <c r="D234" s="965"/>
      <c r="E234" s="965"/>
      <c r="F234" s="965"/>
      <c r="G234" s="965"/>
      <c r="H234" s="965"/>
      <c r="I234" s="965"/>
      <c r="J234" s="965"/>
      <c r="K234" s="965"/>
      <c r="L234" s="965"/>
      <c r="M234" s="965"/>
      <c r="N234" s="965"/>
      <c r="O234" s="965"/>
      <c r="P234" s="965"/>
      <c r="Q234" s="965"/>
      <c r="R234" s="965"/>
      <c r="S234" s="965"/>
      <c r="T234" s="965"/>
      <c r="U234" s="965"/>
      <c r="V234" s="965"/>
      <c r="W234" s="965"/>
      <c r="X234" s="965"/>
      <c r="Y234" s="965"/>
      <c r="Z234" s="965"/>
    </row>
    <row r="235">
      <c r="A235" s="965"/>
      <c r="B235" s="965"/>
      <c r="C235" s="965"/>
      <c r="D235" s="965"/>
      <c r="E235" s="965"/>
      <c r="F235" s="965"/>
      <c r="G235" s="965"/>
      <c r="H235" s="965"/>
      <c r="I235" s="965"/>
      <c r="J235" s="965"/>
      <c r="K235" s="965"/>
      <c r="L235" s="965"/>
      <c r="M235" s="965"/>
      <c r="N235" s="965"/>
      <c r="O235" s="965"/>
      <c r="P235" s="965"/>
      <c r="Q235" s="965"/>
      <c r="R235" s="965"/>
      <c r="S235" s="965"/>
      <c r="T235" s="965"/>
      <c r="U235" s="965"/>
      <c r="V235" s="965"/>
      <c r="W235" s="965"/>
      <c r="X235" s="965"/>
      <c r="Y235" s="965"/>
      <c r="Z235" s="965"/>
    </row>
    <row r="236">
      <c r="A236" s="965"/>
      <c r="B236" s="965"/>
      <c r="C236" s="965"/>
      <c r="D236" s="965"/>
      <c r="E236" s="965"/>
      <c r="F236" s="965"/>
      <c r="G236" s="965"/>
      <c r="H236" s="965"/>
      <c r="I236" s="965"/>
      <c r="J236" s="965"/>
      <c r="K236" s="965"/>
      <c r="L236" s="965"/>
      <c r="M236" s="965"/>
      <c r="N236" s="965"/>
      <c r="O236" s="965"/>
      <c r="P236" s="965"/>
      <c r="Q236" s="965"/>
      <c r="R236" s="965"/>
      <c r="S236" s="965"/>
      <c r="T236" s="965"/>
      <c r="U236" s="965"/>
      <c r="V236" s="965"/>
      <c r="W236" s="965"/>
      <c r="X236" s="965"/>
      <c r="Y236" s="965"/>
      <c r="Z236" s="965"/>
    </row>
    <row r="237">
      <c r="A237" s="965"/>
      <c r="B237" s="965"/>
      <c r="C237" s="965"/>
      <c r="D237" s="965"/>
      <c r="E237" s="965"/>
      <c r="F237" s="965"/>
      <c r="G237" s="965"/>
      <c r="H237" s="965"/>
      <c r="I237" s="965"/>
      <c r="J237" s="965"/>
      <c r="K237" s="965"/>
      <c r="L237" s="965"/>
      <c r="M237" s="965"/>
      <c r="N237" s="965"/>
      <c r="O237" s="965"/>
      <c r="P237" s="965"/>
      <c r="Q237" s="965"/>
      <c r="R237" s="965"/>
      <c r="S237" s="965"/>
      <c r="T237" s="965"/>
      <c r="U237" s="965"/>
      <c r="V237" s="965"/>
      <c r="W237" s="965"/>
      <c r="X237" s="965"/>
      <c r="Y237" s="965"/>
      <c r="Z237" s="965"/>
    </row>
    <row r="238">
      <c r="A238" s="965"/>
      <c r="B238" s="965"/>
      <c r="C238" s="965"/>
      <c r="D238" s="965"/>
      <c r="E238" s="965"/>
      <c r="F238" s="965"/>
      <c r="G238" s="965"/>
      <c r="H238" s="965"/>
      <c r="I238" s="965"/>
      <c r="J238" s="965"/>
      <c r="K238" s="965"/>
      <c r="L238" s="965"/>
      <c r="M238" s="965"/>
      <c r="N238" s="965"/>
      <c r="O238" s="965"/>
      <c r="P238" s="965"/>
      <c r="Q238" s="965"/>
      <c r="R238" s="965"/>
      <c r="S238" s="965"/>
      <c r="T238" s="965"/>
      <c r="U238" s="965"/>
      <c r="V238" s="965"/>
      <c r="W238" s="965"/>
      <c r="X238" s="965"/>
      <c r="Y238" s="965"/>
      <c r="Z238" s="965"/>
    </row>
    <row r="239">
      <c r="A239" s="965"/>
      <c r="B239" s="965"/>
      <c r="C239" s="965"/>
      <c r="D239" s="965"/>
      <c r="E239" s="965"/>
      <c r="F239" s="965"/>
      <c r="G239" s="965"/>
      <c r="H239" s="965"/>
      <c r="I239" s="965"/>
      <c r="J239" s="965"/>
      <c r="K239" s="965"/>
      <c r="L239" s="965"/>
      <c r="M239" s="965"/>
      <c r="N239" s="965"/>
      <c r="O239" s="965"/>
      <c r="P239" s="965"/>
      <c r="Q239" s="965"/>
      <c r="R239" s="965"/>
      <c r="S239" s="965"/>
      <c r="T239" s="965"/>
      <c r="U239" s="965"/>
      <c r="V239" s="965"/>
      <c r="W239" s="965"/>
      <c r="X239" s="965"/>
      <c r="Y239" s="965"/>
      <c r="Z239" s="965"/>
    </row>
    <row r="240">
      <c r="A240" s="965"/>
      <c r="B240" s="965"/>
      <c r="C240" s="965"/>
      <c r="D240" s="965"/>
      <c r="E240" s="965"/>
      <c r="F240" s="965"/>
      <c r="G240" s="965"/>
      <c r="H240" s="965"/>
      <c r="I240" s="965"/>
      <c r="J240" s="965"/>
      <c r="K240" s="965"/>
      <c r="L240" s="965"/>
      <c r="M240" s="965"/>
      <c r="N240" s="965"/>
      <c r="O240" s="965"/>
      <c r="P240" s="965"/>
      <c r="Q240" s="965"/>
      <c r="R240" s="965"/>
      <c r="S240" s="965"/>
      <c r="T240" s="965"/>
      <c r="U240" s="965"/>
      <c r="V240" s="965"/>
      <c r="W240" s="965"/>
      <c r="X240" s="965"/>
      <c r="Y240" s="965"/>
      <c r="Z240" s="965"/>
    </row>
    <row r="241">
      <c r="A241" s="965"/>
      <c r="B241" s="965"/>
      <c r="C241" s="965"/>
      <c r="D241" s="965"/>
      <c r="E241" s="965"/>
      <c r="F241" s="965"/>
      <c r="G241" s="965"/>
      <c r="H241" s="965"/>
      <c r="I241" s="965"/>
      <c r="J241" s="965"/>
      <c r="K241" s="965"/>
      <c r="L241" s="965"/>
      <c r="M241" s="965"/>
      <c r="N241" s="965"/>
      <c r="O241" s="965"/>
      <c r="P241" s="965"/>
      <c r="Q241" s="965"/>
      <c r="R241" s="965"/>
      <c r="S241" s="965"/>
      <c r="T241" s="965"/>
      <c r="U241" s="965"/>
      <c r="V241" s="965"/>
      <c r="W241" s="965"/>
      <c r="X241" s="965"/>
      <c r="Y241" s="965"/>
      <c r="Z241" s="965"/>
    </row>
    <row r="242">
      <c r="A242" s="965"/>
      <c r="B242" s="965"/>
      <c r="C242" s="965"/>
      <c r="D242" s="965"/>
      <c r="E242" s="965"/>
      <c r="F242" s="965"/>
      <c r="G242" s="965"/>
      <c r="H242" s="965"/>
      <c r="I242" s="965"/>
      <c r="J242" s="965"/>
      <c r="K242" s="965"/>
      <c r="L242" s="965"/>
      <c r="M242" s="965"/>
      <c r="N242" s="965"/>
      <c r="O242" s="965"/>
      <c r="P242" s="965"/>
      <c r="Q242" s="965"/>
      <c r="R242" s="965"/>
      <c r="S242" s="965"/>
      <c r="T242" s="965"/>
      <c r="U242" s="965"/>
      <c r="V242" s="965"/>
      <c r="W242" s="965"/>
      <c r="X242" s="965"/>
      <c r="Y242" s="965"/>
      <c r="Z242" s="965"/>
    </row>
    <row r="243">
      <c r="A243" s="965"/>
      <c r="B243" s="965"/>
      <c r="C243" s="965"/>
      <c r="D243" s="965"/>
      <c r="E243" s="965"/>
      <c r="F243" s="965"/>
      <c r="G243" s="965"/>
      <c r="H243" s="965"/>
      <c r="I243" s="965"/>
      <c r="J243" s="965"/>
      <c r="K243" s="965"/>
      <c r="L243" s="965"/>
      <c r="M243" s="965"/>
      <c r="N243" s="965"/>
      <c r="O243" s="965"/>
      <c r="P243" s="965"/>
      <c r="Q243" s="965"/>
      <c r="R243" s="965"/>
      <c r="S243" s="965"/>
      <c r="T243" s="965"/>
      <c r="U243" s="965"/>
      <c r="V243" s="965"/>
      <c r="W243" s="965"/>
      <c r="X243" s="965"/>
      <c r="Y243" s="965"/>
      <c r="Z243" s="965"/>
    </row>
    <row r="244">
      <c r="A244" s="965"/>
      <c r="B244" s="965"/>
      <c r="C244" s="965"/>
      <c r="D244" s="965"/>
      <c r="E244" s="965"/>
      <c r="F244" s="965"/>
      <c r="G244" s="965"/>
      <c r="H244" s="965"/>
      <c r="I244" s="965"/>
      <c r="J244" s="965"/>
      <c r="K244" s="965"/>
      <c r="L244" s="965"/>
      <c r="M244" s="965"/>
      <c r="N244" s="965"/>
      <c r="O244" s="965"/>
      <c r="P244" s="965"/>
      <c r="Q244" s="965"/>
      <c r="R244" s="965"/>
      <c r="S244" s="965"/>
      <c r="T244" s="965"/>
      <c r="U244" s="965"/>
      <c r="V244" s="965"/>
      <c r="W244" s="965"/>
      <c r="X244" s="965"/>
      <c r="Y244" s="965"/>
      <c r="Z244" s="965"/>
    </row>
    <row r="245">
      <c r="A245" s="965"/>
      <c r="B245" s="965"/>
      <c r="C245" s="965"/>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row>
    <row r="246">
      <c r="A246" s="965"/>
      <c r="B246" s="965"/>
      <c r="C246" s="965"/>
      <c r="D246" s="965"/>
      <c r="E246" s="965"/>
      <c r="F246" s="965"/>
      <c r="G246" s="965"/>
      <c r="H246" s="965"/>
      <c r="I246" s="965"/>
      <c r="J246" s="965"/>
      <c r="K246" s="965"/>
      <c r="L246" s="965"/>
      <c r="M246" s="965"/>
      <c r="N246" s="965"/>
      <c r="O246" s="965"/>
      <c r="P246" s="965"/>
      <c r="Q246" s="965"/>
      <c r="R246" s="965"/>
      <c r="S246" s="965"/>
      <c r="T246" s="965"/>
      <c r="U246" s="965"/>
      <c r="V246" s="965"/>
      <c r="W246" s="965"/>
      <c r="X246" s="965"/>
      <c r="Y246" s="965"/>
      <c r="Z246" s="965"/>
    </row>
    <row r="247">
      <c r="A247" s="965"/>
      <c r="B247" s="965"/>
      <c r="C247" s="965"/>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row>
    <row r="248">
      <c r="A248" s="965"/>
      <c r="B248" s="965"/>
      <c r="C248" s="965"/>
      <c r="D248" s="965"/>
      <c r="E248" s="965"/>
      <c r="F248" s="965"/>
      <c r="G248" s="965"/>
      <c r="H248" s="965"/>
      <c r="I248" s="965"/>
      <c r="J248" s="965"/>
      <c r="K248" s="965"/>
      <c r="L248" s="965"/>
      <c r="M248" s="965"/>
      <c r="N248" s="965"/>
      <c r="O248" s="965"/>
      <c r="P248" s="965"/>
      <c r="Q248" s="965"/>
      <c r="R248" s="965"/>
      <c r="S248" s="965"/>
      <c r="T248" s="965"/>
      <c r="U248" s="965"/>
      <c r="V248" s="965"/>
      <c r="W248" s="965"/>
      <c r="X248" s="965"/>
      <c r="Y248" s="965"/>
      <c r="Z248" s="965"/>
    </row>
    <row r="249">
      <c r="A249" s="965"/>
      <c r="B249" s="965"/>
      <c r="C249" s="965"/>
      <c r="D249" s="965"/>
      <c r="E249" s="965"/>
      <c r="F249" s="965"/>
      <c r="G249" s="965"/>
      <c r="H249" s="965"/>
      <c r="I249" s="965"/>
      <c r="J249" s="965"/>
      <c r="K249" s="965"/>
      <c r="L249" s="965"/>
      <c r="M249" s="965"/>
      <c r="N249" s="965"/>
      <c r="O249" s="965"/>
      <c r="P249" s="965"/>
      <c r="Q249" s="965"/>
      <c r="R249" s="965"/>
      <c r="S249" s="965"/>
      <c r="T249" s="965"/>
      <c r="U249" s="965"/>
      <c r="V249" s="965"/>
      <c r="W249" s="965"/>
      <c r="X249" s="965"/>
      <c r="Y249" s="965"/>
      <c r="Z249" s="965"/>
    </row>
    <row r="250">
      <c r="A250" s="965"/>
      <c r="B250" s="965"/>
      <c r="C250" s="965"/>
      <c r="D250" s="965"/>
      <c r="E250" s="965"/>
      <c r="F250" s="965"/>
      <c r="G250" s="965"/>
      <c r="H250" s="965"/>
      <c r="I250" s="965"/>
      <c r="J250" s="965"/>
      <c r="K250" s="965"/>
      <c r="L250" s="965"/>
      <c r="M250" s="965"/>
      <c r="N250" s="965"/>
      <c r="O250" s="965"/>
      <c r="P250" s="965"/>
      <c r="Q250" s="965"/>
      <c r="R250" s="965"/>
      <c r="S250" s="965"/>
      <c r="T250" s="965"/>
      <c r="U250" s="965"/>
      <c r="V250" s="965"/>
      <c r="W250" s="965"/>
      <c r="X250" s="965"/>
      <c r="Y250" s="965"/>
      <c r="Z250" s="965"/>
    </row>
    <row r="251">
      <c r="A251" s="965"/>
      <c r="B251" s="965"/>
      <c r="C251" s="965"/>
      <c r="D251" s="965"/>
      <c r="E251" s="965"/>
      <c r="F251" s="965"/>
      <c r="G251" s="965"/>
      <c r="H251" s="965"/>
      <c r="I251" s="965"/>
      <c r="J251" s="965"/>
      <c r="K251" s="965"/>
      <c r="L251" s="965"/>
      <c r="M251" s="965"/>
      <c r="N251" s="965"/>
      <c r="O251" s="965"/>
      <c r="P251" s="965"/>
      <c r="Q251" s="965"/>
      <c r="R251" s="965"/>
      <c r="S251" s="965"/>
      <c r="T251" s="965"/>
      <c r="U251" s="965"/>
      <c r="V251" s="965"/>
      <c r="W251" s="965"/>
      <c r="X251" s="965"/>
      <c r="Y251" s="965"/>
      <c r="Z251" s="965"/>
    </row>
    <row r="252">
      <c r="A252" s="965"/>
      <c r="B252" s="965"/>
      <c r="C252" s="965"/>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row>
    <row r="253">
      <c r="A253" s="965"/>
      <c r="B253" s="965"/>
      <c r="C253" s="965"/>
      <c r="D253" s="965"/>
      <c r="E253" s="965"/>
      <c r="F253" s="965"/>
      <c r="G253" s="965"/>
      <c r="H253" s="965"/>
      <c r="I253" s="965"/>
      <c r="J253" s="965"/>
      <c r="K253" s="965"/>
      <c r="L253" s="965"/>
      <c r="M253" s="965"/>
      <c r="N253" s="965"/>
      <c r="O253" s="965"/>
      <c r="P253" s="965"/>
      <c r="Q253" s="965"/>
      <c r="R253" s="965"/>
      <c r="S253" s="965"/>
      <c r="T253" s="965"/>
      <c r="U253" s="965"/>
      <c r="V253" s="965"/>
      <c r="W253" s="965"/>
      <c r="X253" s="965"/>
      <c r="Y253" s="965"/>
      <c r="Z253" s="965"/>
    </row>
    <row r="254">
      <c r="A254" s="965"/>
      <c r="B254" s="965"/>
      <c r="C254" s="965"/>
      <c r="D254" s="965"/>
      <c r="E254" s="965"/>
      <c r="F254" s="965"/>
      <c r="G254" s="965"/>
      <c r="H254" s="965"/>
      <c r="I254" s="965"/>
      <c r="J254" s="965"/>
      <c r="K254" s="965"/>
      <c r="L254" s="965"/>
      <c r="M254" s="965"/>
      <c r="N254" s="965"/>
      <c r="O254" s="965"/>
      <c r="P254" s="965"/>
      <c r="Q254" s="965"/>
      <c r="R254" s="965"/>
      <c r="S254" s="965"/>
      <c r="T254" s="965"/>
      <c r="U254" s="965"/>
      <c r="V254" s="965"/>
      <c r="W254" s="965"/>
      <c r="X254" s="965"/>
      <c r="Y254" s="965"/>
      <c r="Z254" s="965"/>
    </row>
    <row r="255">
      <c r="A255" s="965"/>
      <c r="B255" s="965"/>
      <c r="C255" s="965"/>
      <c r="D255" s="965"/>
      <c r="E255" s="965"/>
      <c r="F255" s="965"/>
      <c r="G255" s="965"/>
      <c r="H255" s="965"/>
      <c r="I255" s="965"/>
      <c r="J255" s="965"/>
      <c r="K255" s="965"/>
      <c r="L255" s="965"/>
      <c r="M255" s="965"/>
      <c r="N255" s="965"/>
      <c r="O255" s="965"/>
      <c r="P255" s="965"/>
      <c r="Q255" s="965"/>
      <c r="R255" s="965"/>
      <c r="S255" s="965"/>
      <c r="T255" s="965"/>
      <c r="U255" s="965"/>
      <c r="V255" s="965"/>
      <c r="W255" s="965"/>
      <c r="X255" s="965"/>
      <c r="Y255" s="965"/>
      <c r="Z255" s="965"/>
    </row>
    <row r="256">
      <c r="A256" s="965"/>
      <c r="B256" s="965"/>
      <c r="C256" s="965"/>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row>
    <row r="257">
      <c r="A257" s="965"/>
      <c r="B257" s="965"/>
      <c r="C257" s="965"/>
      <c r="D257" s="965"/>
      <c r="E257" s="965"/>
      <c r="F257" s="965"/>
      <c r="G257" s="965"/>
      <c r="H257" s="965"/>
      <c r="I257" s="965"/>
      <c r="J257" s="965"/>
      <c r="K257" s="965"/>
      <c r="L257" s="965"/>
      <c r="M257" s="965"/>
      <c r="N257" s="965"/>
      <c r="O257" s="965"/>
      <c r="P257" s="965"/>
      <c r="Q257" s="965"/>
      <c r="R257" s="965"/>
      <c r="S257" s="965"/>
      <c r="T257" s="965"/>
      <c r="U257" s="965"/>
      <c r="V257" s="965"/>
      <c r="W257" s="965"/>
      <c r="X257" s="965"/>
      <c r="Y257" s="965"/>
      <c r="Z257" s="965"/>
    </row>
    <row r="258">
      <c r="A258" s="965"/>
      <c r="B258" s="965"/>
      <c r="C258" s="965"/>
      <c r="D258" s="965"/>
      <c r="E258" s="965"/>
      <c r="F258" s="965"/>
      <c r="G258" s="965"/>
      <c r="H258" s="965"/>
      <c r="I258" s="965"/>
      <c r="J258" s="965"/>
      <c r="K258" s="965"/>
      <c r="L258" s="965"/>
      <c r="M258" s="965"/>
      <c r="N258" s="965"/>
      <c r="O258" s="965"/>
      <c r="P258" s="965"/>
      <c r="Q258" s="965"/>
      <c r="R258" s="965"/>
      <c r="S258" s="965"/>
      <c r="T258" s="965"/>
      <c r="U258" s="965"/>
      <c r="V258" s="965"/>
      <c r="W258" s="965"/>
      <c r="X258" s="965"/>
      <c r="Y258" s="965"/>
      <c r="Z258" s="965"/>
    </row>
    <row r="259">
      <c r="A259" s="965"/>
      <c r="B259" s="965"/>
      <c r="C259" s="965"/>
      <c r="D259" s="965"/>
      <c r="E259" s="965"/>
      <c r="F259" s="965"/>
      <c r="G259" s="965"/>
      <c r="H259" s="965"/>
      <c r="I259" s="965"/>
      <c r="J259" s="965"/>
      <c r="K259" s="965"/>
      <c r="L259" s="965"/>
      <c r="M259" s="965"/>
      <c r="N259" s="965"/>
      <c r="O259" s="965"/>
      <c r="P259" s="965"/>
      <c r="Q259" s="965"/>
      <c r="R259" s="965"/>
      <c r="S259" s="965"/>
      <c r="T259" s="965"/>
      <c r="U259" s="965"/>
      <c r="V259" s="965"/>
      <c r="W259" s="965"/>
      <c r="X259" s="965"/>
      <c r="Y259" s="965"/>
      <c r="Z259" s="965"/>
    </row>
    <row r="260">
      <c r="A260" s="965"/>
      <c r="B260" s="965"/>
      <c r="C260" s="965"/>
      <c r="D260" s="965"/>
      <c r="E260" s="965"/>
      <c r="F260" s="965"/>
      <c r="G260" s="965"/>
      <c r="H260" s="965"/>
      <c r="I260" s="965"/>
      <c r="J260" s="965"/>
      <c r="K260" s="965"/>
      <c r="L260" s="965"/>
      <c r="M260" s="965"/>
      <c r="N260" s="965"/>
      <c r="O260" s="965"/>
      <c r="P260" s="965"/>
      <c r="Q260" s="965"/>
      <c r="R260" s="965"/>
      <c r="S260" s="965"/>
      <c r="T260" s="965"/>
      <c r="U260" s="965"/>
      <c r="V260" s="965"/>
      <c r="W260" s="965"/>
      <c r="X260" s="965"/>
      <c r="Y260" s="965"/>
      <c r="Z260" s="965"/>
    </row>
    <row r="261">
      <c r="A261" s="965"/>
      <c r="B261" s="965"/>
      <c r="C261" s="965"/>
      <c r="D261" s="965"/>
      <c r="E261" s="965"/>
      <c r="F261" s="965"/>
      <c r="G261" s="965"/>
      <c r="H261" s="965"/>
      <c r="I261" s="965"/>
      <c r="J261" s="965"/>
      <c r="K261" s="965"/>
      <c r="L261" s="965"/>
      <c r="M261" s="965"/>
      <c r="N261" s="965"/>
      <c r="O261" s="965"/>
      <c r="P261" s="965"/>
      <c r="Q261" s="965"/>
      <c r="R261" s="965"/>
      <c r="S261" s="965"/>
      <c r="T261" s="965"/>
      <c r="U261" s="965"/>
      <c r="V261" s="965"/>
      <c r="W261" s="965"/>
      <c r="X261" s="965"/>
      <c r="Y261" s="965"/>
      <c r="Z261" s="965"/>
    </row>
    <row r="262">
      <c r="A262" s="965"/>
      <c r="B262" s="965"/>
      <c r="C262" s="965"/>
      <c r="D262" s="965"/>
      <c r="E262" s="965"/>
      <c r="F262" s="965"/>
      <c r="G262" s="965"/>
      <c r="H262" s="965"/>
      <c r="I262" s="965"/>
      <c r="J262" s="965"/>
      <c r="K262" s="965"/>
      <c r="L262" s="965"/>
      <c r="M262" s="965"/>
      <c r="N262" s="965"/>
      <c r="O262" s="965"/>
      <c r="P262" s="965"/>
      <c r="Q262" s="965"/>
      <c r="R262" s="965"/>
      <c r="S262" s="965"/>
      <c r="T262" s="965"/>
      <c r="U262" s="965"/>
      <c r="V262" s="965"/>
      <c r="W262" s="965"/>
      <c r="X262" s="965"/>
      <c r="Y262" s="965"/>
      <c r="Z262" s="965"/>
    </row>
    <row r="263">
      <c r="A263" s="965"/>
      <c r="B263" s="965"/>
      <c r="C263" s="965"/>
      <c r="D263" s="965"/>
      <c r="E263" s="965"/>
      <c r="F263" s="965"/>
      <c r="G263" s="965"/>
      <c r="H263" s="965"/>
      <c r="I263" s="965"/>
      <c r="J263" s="965"/>
      <c r="K263" s="965"/>
      <c r="L263" s="965"/>
      <c r="M263" s="965"/>
      <c r="N263" s="965"/>
      <c r="O263" s="965"/>
      <c r="P263" s="965"/>
      <c r="Q263" s="965"/>
      <c r="R263" s="965"/>
      <c r="S263" s="965"/>
      <c r="T263" s="965"/>
      <c r="U263" s="965"/>
      <c r="V263" s="965"/>
      <c r="W263" s="965"/>
      <c r="X263" s="965"/>
      <c r="Y263" s="965"/>
      <c r="Z263" s="965"/>
    </row>
    <row r="264">
      <c r="A264" s="965"/>
      <c r="B264" s="965"/>
      <c r="C264" s="965"/>
      <c r="D264" s="965"/>
      <c r="E264" s="965"/>
      <c r="F264" s="965"/>
      <c r="G264" s="965"/>
      <c r="H264" s="965"/>
      <c r="I264" s="965"/>
      <c r="J264" s="965"/>
      <c r="K264" s="965"/>
      <c r="L264" s="965"/>
      <c r="M264" s="965"/>
      <c r="N264" s="965"/>
      <c r="O264" s="965"/>
      <c r="P264" s="965"/>
      <c r="Q264" s="965"/>
      <c r="R264" s="965"/>
      <c r="S264" s="965"/>
      <c r="T264" s="965"/>
      <c r="U264" s="965"/>
      <c r="V264" s="965"/>
      <c r="W264" s="965"/>
      <c r="X264" s="965"/>
      <c r="Y264" s="965"/>
      <c r="Z264" s="965"/>
    </row>
    <row r="265">
      <c r="A265" s="965"/>
      <c r="B265" s="965"/>
      <c r="C265" s="965"/>
      <c r="D265" s="965"/>
      <c r="E265" s="965"/>
      <c r="F265" s="965"/>
      <c r="G265" s="965"/>
      <c r="H265" s="965"/>
      <c r="I265" s="965"/>
      <c r="J265" s="965"/>
      <c r="K265" s="965"/>
      <c r="L265" s="965"/>
      <c r="M265" s="965"/>
      <c r="N265" s="965"/>
      <c r="O265" s="965"/>
      <c r="P265" s="965"/>
      <c r="Q265" s="965"/>
      <c r="R265" s="965"/>
      <c r="S265" s="965"/>
      <c r="T265" s="965"/>
      <c r="U265" s="965"/>
      <c r="V265" s="965"/>
      <c r="W265" s="965"/>
      <c r="X265" s="965"/>
      <c r="Y265" s="965"/>
      <c r="Z265" s="965"/>
    </row>
    <row r="266">
      <c r="A266" s="965"/>
      <c r="B266" s="965"/>
      <c r="C266" s="965"/>
      <c r="D266" s="965"/>
      <c r="E266" s="965"/>
      <c r="F266" s="965"/>
      <c r="G266" s="965"/>
      <c r="H266" s="965"/>
      <c r="I266" s="965"/>
      <c r="J266" s="965"/>
      <c r="K266" s="965"/>
      <c r="L266" s="965"/>
      <c r="M266" s="965"/>
      <c r="N266" s="965"/>
      <c r="O266" s="965"/>
      <c r="P266" s="965"/>
      <c r="Q266" s="965"/>
      <c r="R266" s="965"/>
      <c r="S266" s="965"/>
      <c r="T266" s="965"/>
      <c r="U266" s="965"/>
      <c r="V266" s="965"/>
      <c r="W266" s="965"/>
      <c r="X266" s="965"/>
      <c r="Y266" s="965"/>
      <c r="Z266" s="965"/>
    </row>
    <row r="267">
      <c r="A267" s="965"/>
      <c r="B267" s="965"/>
      <c r="C267" s="965"/>
      <c r="D267" s="965"/>
      <c r="E267" s="965"/>
      <c r="F267" s="965"/>
      <c r="G267" s="965"/>
      <c r="H267" s="965"/>
      <c r="I267" s="965"/>
      <c r="J267" s="965"/>
      <c r="K267" s="965"/>
      <c r="L267" s="965"/>
      <c r="M267" s="965"/>
      <c r="N267" s="965"/>
      <c r="O267" s="965"/>
      <c r="P267" s="965"/>
      <c r="Q267" s="965"/>
      <c r="R267" s="965"/>
      <c r="S267" s="965"/>
      <c r="T267" s="965"/>
      <c r="U267" s="965"/>
      <c r="V267" s="965"/>
      <c r="W267" s="965"/>
      <c r="X267" s="965"/>
      <c r="Y267" s="965"/>
      <c r="Z267" s="965"/>
    </row>
    <row r="268">
      <c r="A268" s="965"/>
      <c r="B268" s="965"/>
      <c r="C268" s="965"/>
      <c r="D268" s="965"/>
      <c r="E268" s="965"/>
      <c r="F268" s="965"/>
      <c r="G268" s="965"/>
      <c r="H268" s="965"/>
      <c r="I268" s="965"/>
      <c r="J268" s="965"/>
      <c r="K268" s="965"/>
      <c r="L268" s="965"/>
      <c r="M268" s="965"/>
      <c r="N268" s="965"/>
      <c r="O268" s="965"/>
      <c r="P268" s="965"/>
      <c r="Q268" s="965"/>
      <c r="R268" s="965"/>
      <c r="S268" s="965"/>
      <c r="T268" s="965"/>
      <c r="U268" s="965"/>
      <c r="V268" s="965"/>
      <c r="W268" s="965"/>
      <c r="X268" s="965"/>
      <c r="Y268" s="965"/>
      <c r="Z268" s="965"/>
    </row>
    <row r="269">
      <c r="A269" s="965"/>
      <c r="B269" s="965"/>
      <c r="C269" s="965"/>
      <c r="D269" s="965"/>
      <c r="E269" s="965"/>
      <c r="F269" s="965"/>
      <c r="G269" s="965"/>
      <c r="H269" s="965"/>
      <c r="I269" s="965"/>
      <c r="J269" s="965"/>
      <c r="K269" s="965"/>
      <c r="L269" s="965"/>
      <c r="M269" s="965"/>
      <c r="N269" s="965"/>
      <c r="O269" s="965"/>
      <c r="P269" s="965"/>
      <c r="Q269" s="965"/>
      <c r="R269" s="965"/>
      <c r="S269" s="965"/>
      <c r="T269" s="965"/>
      <c r="U269" s="965"/>
      <c r="V269" s="965"/>
      <c r="W269" s="965"/>
      <c r="X269" s="965"/>
      <c r="Y269" s="965"/>
      <c r="Z269" s="965"/>
    </row>
    <row r="270">
      <c r="A270" s="965"/>
      <c r="B270" s="965"/>
      <c r="C270" s="965"/>
      <c r="D270" s="965"/>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row>
    <row r="271">
      <c r="A271" s="965"/>
      <c r="B271" s="965"/>
      <c r="C271" s="965"/>
      <c r="D271" s="965"/>
      <c r="E271" s="965"/>
      <c r="F271" s="965"/>
      <c r="G271" s="965"/>
      <c r="H271" s="965"/>
      <c r="I271" s="965"/>
      <c r="J271" s="965"/>
      <c r="K271" s="965"/>
      <c r="L271" s="965"/>
      <c r="M271" s="965"/>
      <c r="N271" s="965"/>
      <c r="O271" s="965"/>
      <c r="P271" s="965"/>
      <c r="Q271" s="965"/>
      <c r="R271" s="965"/>
      <c r="S271" s="965"/>
      <c r="T271" s="965"/>
      <c r="U271" s="965"/>
      <c r="V271" s="965"/>
      <c r="W271" s="965"/>
      <c r="X271" s="965"/>
      <c r="Y271" s="965"/>
      <c r="Z271" s="965"/>
    </row>
    <row r="272">
      <c r="A272" s="965"/>
      <c r="B272" s="965"/>
      <c r="C272" s="965"/>
      <c r="D272" s="965"/>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row>
    <row r="273">
      <c r="A273" s="965"/>
      <c r="B273" s="965"/>
      <c r="C273" s="965"/>
      <c r="D273" s="965"/>
      <c r="E273" s="965"/>
      <c r="F273" s="965"/>
      <c r="G273" s="965"/>
      <c r="H273" s="965"/>
      <c r="I273" s="965"/>
      <c r="J273" s="965"/>
      <c r="K273" s="965"/>
      <c r="L273" s="965"/>
      <c r="M273" s="965"/>
      <c r="N273" s="965"/>
      <c r="O273" s="965"/>
      <c r="P273" s="965"/>
      <c r="Q273" s="965"/>
      <c r="R273" s="965"/>
      <c r="S273" s="965"/>
      <c r="T273" s="965"/>
      <c r="U273" s="965"/>
      <c r="V273" s="965"/>
      <c r="W273" s="965"/>
      <c r="X273" s="965"/>
      <c r="Y273" s="965"/>
      <c r="Z273" s="965"/>
    </row>
    <row r="274">
      <c r="A274" s="965"/>
      <c r="B274" s="965"/>
      <c r="C274" s="965"/>
      <c r="D274" s="965"/>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row>
    <row r="275">
      <c r="A275" s="965"/>
      <c r="B275" s="965"/>
      <c r="C275" s="965"/>
      <c r="D275" s="965"/>
      <c r="E275" s="965"/>
      <c r="F275" s="965"/>
      <c r="G275" s="965"/>
      <c r="H275" s="965"/>
      <c r="I275" s="965"/>
      <c r="J275" s="965"/>
      <c r="K275" s="965"/>
      <c r="L275" s="965"/>
      <c r="M275" s="965"/>
      <c r="N275" s="965"/>
      <c r="O275" s="965"/>
      <c r="P275" s="965"/>
      <c r="Q275" s="965"/>
      <c r="R275" s="965"/>
      <c r="S275" s="965"/>
      <c r="T275" s="965"/>
      <c r="U275" s="965"/>
      <c r="V275" s="965"/>
      <c r="W275" s="965"/>
      <c r="X275" s="965"/>
      <c r="Y275" s="965"/>
      <c r="Z275" s="965"/>
    </row>
    <row r="276">
      <c r="A276" s="965"/>
      <c r="B276" s="965"/>
      <c r="C276" s="965"/>
      <c r="D276" s="965"/>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row>
    <row r="277">
      <c r="A277" s="965"/>
      <c r="B277" s="965"/>
      <c r="C277" s="965"/>
      <c r="D277" s="965"/>
      <c r="E277" s="965"/>
      <c r="F277" s="965"/>
      <c r="G277" s="965"/>
      <c r="H277" s="965"/>
      <c r="I277" s="965"/>
      <c r="J277" s="965"/>
      <c r="K277" s="965"/>
      <c r="L277" s="965"/>
      <c r="M277" s="965"/>
      <c r="N277" s="965"/>
      <c r="O277" s="965"/>
      <c r="P277" s="965"/>
      <c r="Q277" s="965"/>
      <c r="R277" s="965"/>
      <c r="S277" s="965"/>
      <c r="T277" s="965"/>
      <c r="U277" s="965"/>
      <c r="V277" s="965"/>
      <c r="W277" s="965"/>
      <c r="X277" s="965"/>
      <c r="Y277" s="965"/>
      <c r="Z277" s="965"/>
    </row>
    <row r="278">
      <c r="A278" s="965"/>
      <c r="B278" s="965"/>
      <c r="C278" s="965"/>
      <c r="D278" s="965"/>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row>
    <row r="279">
      <c r="A279" s="965"/>
      <c r="B279" s="965"/>
      <c r="C279" s="965"/>
      <c r="D279" s="965"/>
      <c r="E279" s="965"/>
      <c r="F279" s="965"/>
      <c r="G279" s="965"/>
      <c r="H279" s="965"/>
      <c r="I279" s="965"/>
      <c r="J279" s="965"/>
      <c r="K279" s="965"/>
      <c r="L279" s="965"/>
      <c r="M279" s="965"/>
      <c r="N279" s="965"/>
      <c r="O279" s="965"/>
      <c r="P279" s="965"/>
      <c r="Q279" s="965"/>
      <c r="R279" s="965"/>
      <c r="S279" s="965"/>
      <c r="T279" s="965"/>
      <c r="U279" s="965"/>
      <c r="V279" s="965"/>
      <c r="W279" s="965"/>
      <c r="X279" s="965"/>
      <c r="Y279" s="965"/>
      <c r="Z279" s="965"/>
    </row>
    <row r="280">
      <c r="A280" s="965"/>
      <c r="B280" s="965"/>
      <c r="C280" s="965"/>
      <c r="D280" s="965"/>
      <c r="E280" s="965"/>
      <c r="F280" s="965"/>
      <c r="G280" s="965"/>
      <c r="H280" s="965"/>
      <c r="I280" s="965"/>
      <c r="J280" s="965"/>
      <c r="K280" s="965"/>
      <c r="L280" s="965"/>
      <c r="M280" s="965"/>
      <c r="N280" s="965"/>
      <c r="O280" s="965"/>
      <c r="P280" s="965"/>
      <c r="Q280" s="965"/>
      <c r="R280" s="965"/>
      <c r="S280" s="965"/>
      <c r="T280" s="965"/>
      <c r="U280" s="965"/>
      <c r="V280" s="965"/>
      <c r="W280" s="965"/>
      <c r="X280" s="965"/>
      <c r="Y280" s="965"/>
      <c r="Z280" s="965"/>
    </row>
    <row r="281">
      <c r="A281" s="965"/>
      <c r="B281" s="965"/>
      <c r="C281" s="965"/>
      <c r="D281" s="965"/>
      <c r="E281" s="965"/>
      <c r="F281" s="965"/>
      <c r="G281" s="965"/>
      <c r="H281" s="965"/>
      <c r="I281" s="965"/>
      <c r="J281" s="965"/>
      <c r="K281" s="965"/>
      <c r="L281" s="965"/>
      <c r="M281" s="965"/>
      <c r="N281" s="965"/>
      <c r="O281" s="965"/>
      <c r="P281" s="965"/>
      <c r="Q281" s="965"/>
      <c r="R281" s="965"/>
      <c r="S281" s="965"/>
      <c r="T281" s="965"/>
      <c r="U281" s="965"/>
      <c r="V281" s="965"/>
      <c r="W281" s="965"/>
      <c r="X281" s="965"/>
      <c r="Y281" s="965"/>
      <c r="Z281" s="965"/>
    </row>
    <row r="282">
      <c r="A282" s="965"/>
      <c r="B282" s="965"/>
      <c r="C282" s="965"/>
      <c r="D282" s="965"/>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row>
    <row r="283">
      <c r="A283" s="965"/>
      <c r="B283" s="965"/>
      <c r="C283" s="965"/>
      <c r="D283" s="965"/>
      <c r="E283" s="965"/>
      <c r="F283" s="965"/>
      <c r="G283" s="965"/>
      <c r="H283" s="965"/>
      <c r="I283" s="965"/>
      <c r="J283" s="965"/>
      <c r="K283" s="965"/>
      <c r="L283" s="965"/>
      <c r="M283" s="965"/>
      <c r="N283" s="965"/>
      <c r="O283" s="965"/>
      <c r="P283" s="965"/>
      <c r="Q283" s="965"/>
      <c r="R283" s="965"/>
      <c r="S283" s="965"/>
      <c r="T283" s="965"/>
      <c r="U283" s="965"/>
      <c r="V283" s="965"/>
      <c r="W283" s="965"/>
      <c r="X283" s="965"/>
      <c r="Y283" s="965"/>
      <c r="Z283" s="965"/>
    </row>
    <row r="284">
      <c r="A284" s="965"/>
      <c r="B284" s="965"/>
      <c r="C284" s="965"/>
      <c r="D284" s="965"/>
      <c r="E284" s="965"/>
      <c r="F284" s="965"/>
      <c r="G284" s="965"/>
      <c r="H284" s="965"/>
      <c r="I284" s="965"/>
      <c r="J284" s="965"/>
      <c r="K284" s="965"/>
      <c r="L284" s="965"/>
      <c r="M284" s="965"/>
      <c r="N284" s="965"/>
      <c r="O284" s="965"/>
      <c r="P284" s="965"/>
      <c r="Q284" s="965"/>
      <c r="R284" s="965"/>
      <c r="S284" s="965"/>
      <c r="T284" s="965"/>
      <c r="U284" s="965"/>
      <c r="V284" s="965"/>
      <c r="W284" s="965"/>
      <c r="X284" s="965"/>
      <c r="Y284" s="965"/>
      <c r="Z284" s="965"/>
    </row>
    <row r="285">
      <c r="A285" s="965"/>
      <c r="B285" s="965"/>
      <c r="C285" s="965"/>
      <c r="D285" s="965"/>
      <c r="E285" s="965"/>
      <c r="F285" s="965"/>
      <c r="G285" s="965"/>
      <c r="H285" s="965"/>
      <c r="I285" s="965"/>
      <c r="J285" s="965"/>
      <c r="K285" s="965"/>
      <c r="L285" s="965"/>
      <c r="M285" s="965"/>
      <c r="N285" s="965"/>
      <c r="O285" s="965"/>
      <c r="P285" s="965"/>
      <c r="Q285" s="965"/>
      <c r="R285" s="965"/>
      <c r="S285" s="965"/>
      <c r="T285" s="965"/>
      <c r="U285" s="965"/>
      <c r="V285" s="965"/>
      <c r="W285" s="965"/>
      <c r="X285" s="965"/>
      <c r="Y285" s="965"/>
      <c r="Z285" s="965"/>
    </row>
    <row r="286">
      <c r="A286" s="965"/>
      <c r="B286" s="965"/>
      <c r="C286" s="965"/>
      <c r="D286" s="965"/>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row>
    <row r="287">
      <c r="A287" s="965"/>
      <c r="B287" s="965"/>
      <c r="C287" s="965"/>
      <c r="D287" s="965"/>
      <c r="E287" s="965"/>
      <c r="F287" s="965"/>
      <c r="G287" s="965"/>
      <c r="H287" s="965"/>
      <c r="I287" s="965"/>
      <c r="J287" s="965"/>
      <c r="K287" s="965"/>
      <c r="L287" s="965"/>
      <c r="M287" s="965"/>
      <c r="N287" s="965"/>
      <c r="O287" s="965"/>
      <c r="P287" s="965"/>
      <c r="Q287" s="965"/>
      <c r="R287" s="965"/>
      <c r="S287" s="965"/>
      <c r="T287" s="965"/>
      <c r="U287" s="965"/>
      <c r="V287" s="965"/>
      <c r="W287" s="965"/>
      <c r="X287" s="965"/>
      <c r="Y287" s="965"/>
      <c r="Z287" s="965"/>
    </row>
    <row r="288">
      <c r="A288" s="965"/>
      <c r="B288" s="965"/>
      <c r="C288" s="965"/>
      <c r="D288" s="965"/>
      <c r="E288" s="965"/>
      <c r="F288" s="965"/>
      <c r="G288" s="965"/>
      <c r="H288" s="965"/>
      <c r="I288" s="965"/>
      <c r="J288" s="965"/>
      <c r="K288" s="965"/>
      <c r="L288" s="965"/>
      <c r="M288" s="965"/>
      <c r="N288" s="965"/>
      <c r="O288" s="965"/>
      <c r="P288" s="965"/>
      <c r="Q288" s="965"/>
      <c r="R288" s="965"/>
      <c r="S288" s="965"/>
      <c r="T288" s="965"/>
      <c r="U288" s="965"/>
      <c r="V288" s="965"/>
      <c r="W288" s="965"/>
      <c r="X288" s="965"/>
      <c r="Y288" s="965"/>
      <c r="Z288" s="965"/>
    </row>
    <row r="289">
      <c r="A289" s="965"/>
      <c r="B289" s="965"/>
      <c r="C289" s="965"/>
      <c r="D289" s="965"/>
      <c r="E289" s="965"/>
      <c r="F289" s="965"/>
      <c r="G289" s="965"/>
      <c r="H289" s="965"/>
      <c r="I289" s="965"/>
      <c r="J289" s="965"/>
      <c r="K289" s="965"/>
      <c r="L289" s="965"/>
      <c r="M289" s="965"/>
      <c r="N289" s="965"/>
      <c r="O289" s="965"/>
      <c r="P289" s="965"/>
      <c r="Q289" s="965"/>
      <c r="R289" s="965"/>
      <c r="S289" s="965"/>
      <c r="T289" s="965"/>
      <c r="U289" s="965"/>
      <c r="V289" s="965"/>
      <c r="W289" s="965"/>
      <c r="X289" s="965"/>
      <c r="Y289" s="965"/>
      <c r="Z289" s="965"/>
    </row>
    <row r="290">
      <c r="A290" s="965"/>
      <c r="B290" s="965"/>
      <c r="C290" s="965"/>
      <c r="D290" s="965"/>
      <c r="E290" s="965"/>
      <c r="F290" s="965"/>
      <c r="G290" s="965"/>
      <c r="H290" s="965"/>
      <c r="I290" s="965"/>
      <c r="J290" s="965"/>
      <c r="K290" s="965"/>
      <c r="L290" s="965"/>
      <c r="M290" s="965"/>
      <c r="N290" s="965"/>
      <c r="O290" s="965"/>
      <c r="P290" s="965"/>
      <c r="Q290" s="965"/>
      <c r="R290" s="965"/>
      <c r="S290" s="965"/>
      <c r="T290" s="965"/>
      <c r="U290" s="965"/>
      <c r="V290" s="965"/>
      <c r="W290" s="965"/>
      <c r="X290" s="965"/>
      <c r="Y290" s="965"/>
      <c r="Z290" s="965"/>
    </row>
    <row r="291">
      <c r="A291" s="965"/>
      <c r="B291" s="965"/>
      <c r="C291" s="965"/>
      <c r="D291" s="965"/>
      <c r="E291" s="965"/>
      <c r="F291" s="965"/>
      <c r="G291" s="965"/>
      <c r="H291" s="965"/>
      <c r="I291" s="965"/>
      <c r="J291" s="965"/>
      <c r="K291" s="965"/>
      <c r="L291" s="965"/>
      <c r="M291" s="965"/>
      <c r="N291" s="965"/>
      <c r="O291" s="965"/>
      <c r="P291" s="965"/>
      <c r="Q291" s="965"/>
      <c r="R291" s="965"/>
      <c r="S291" s="965"/>
      <c r="T291" s="965"/>
      <c r="U291" s="965"/>
      <c r="V291" s="965"/>
      <c r="W291" s="965"/>
      <c r="X291" s="965"/>
      <c r="Y291" s="965"/>
      <c r="Z291" s="965"/>
    </row>
    <row r="292">
      <c r="A292" s="965"/>
      <c r="B292" s="965"/>
      <c r="C292" s="965"/>
      <c r="D292" s="965"/>
      <c r="E292" s="965"/>
      <c r="F292" s="965"/>
      <c r="G292" s="965"/>
      <c r="H292" s="965"/>
      <c r="I292" s="965"/>
      <c r="J292" s="965"/>
      <c r="K292" s="965"/>
      <c r="L292" s="965"/>
      <c r="M292" s="965"/>
      <c r="N292" s="965"/>
      <c r="O292" s="965"/>
      <c r="P292" s="965"/>
      <c r="Q292" s="965"/>
      <c r="R292" s="965"/>
      <c r="S292" s="965"/>
      <c r="T292" s="965"/>
      <c r="U292" s="965"/>
      <c r="V292" s="965"/>
      <c r="W292" s="965"/>
      <c r="X292" s="965"/>
      <c r="Y292" s="965"/>
      <c r="Z292" s="965"/>
    </row>
    <row r="293">
      <c r="A293" s="965"/>
      <c r="B293" s="965"/>
      <c r="C293" s="965"/>
      <c r="D293" s="965"/>
      <c r="E293" s="965"/>
      <c r="F293" s="965"/>
      <c r="G293" s="965"/>
      <c r="H293" s="965"/>
      <c r="I293" s="965"/>
      <c r="J293" s="965"/>
      <c r="K293" s="965"/>
      <c r="L293" s="965"/>
      <c r="M293" s="965"/>
      <c r="N293" s="965"/>
      <c r="O293" s="965"/>
      <c r="P293" s="965"/>
      <c r="Q293" s="965"/>
      <c r="R293" s="965"/>
      <c r="S293" s="965"/>
      <c r="T293" s="965"/>
      <c r="U293" s="965"/>
      <c r="V293" s="965"/>
      <c r="W293" s="965"/>
      <c r="X293" s="965"/>
      <c r="Y293" s="965"/>
      <c r="Z293" s="965"/>
    </row>
    <row r="294">
      <c r="A294" s="965"/>
      <c r="B294" s="965"/>
      <c r="C294" s="965"/>
      <c r="D294" s="965"/>
      <c r="E294" s="965"/>
      <c r="F294" s="965"/>
      <c r="G294" s="965"/>
      <c r="H294" s="965"/>
      <c r="I294" s="965"/>
      <c r="J294" s="965"/>
      <c r="K294" s="965"/>
      <c r="L294" s="965"/>
      <c r="M294" s="965"/>
      <c r="N294" s="965"/>
      <c r="O294" s="965"/>
      <c r="P294" s="965"/>
      <c r="Q294" s="965"/>
      <c r="R294" s="965"/>
      <c r="S294" s="965"/>
      <c r="T294" s="965"/>
      <c r="U294" s="965"/>
      <c r="V294" s="965"/>
      <c r="W294" s="965"/>
      <c r="X294" s="965"/>
      <c r="Y294" s="965"/>
      <c r="Z294" s="965"/>
    </row>
    <row r="295">
      <c r="A295" s="965"/>
      <c r="B295" s="965"/>
      <c r="C295" s="965"/>
      <c r="D295" s="965"/>
      <c r="E295" s="965"/>
      <c r="F295" s="965"/>
      <c r="G295" s="965"/>
      <c r="H295" s="965"/>
      <c r="I295" s="965"/>
      <c r="J295" s="965"/>
      <c r="K295" s="965"/>
      <c r="L295" s="965"/>
      <c r="M295" s="965"/>
      <c r="N295" s="965"/>
      <c r="O295" s="965"/>
      <c r="P295" s="965"/>
      <c r="Q295" s="965"/>
      <c r="R295" s="965"/>
      <c r="S295" s="965"/>
      <c r="T295" s="965"/>
      <c r="U295" s="965"/>
      <c r="V295" s="965"/>
      <c r="W295" s="965"/>
      <c r="X295" s="965"/>
      <c r="Y295" s="965"/>
      <c r="Z295" s="965"/>
    </row>
    <row r="296">
      <c r="A296" s="965"/>
      <c r="B296" s="965"/>
      <c r="C296" s="965"/>
      <c r="D296" s="965"/>
      <c r="E296" s="965"/>
      <c r="F296" s="965"/>
      <c r="G296" s="965"/>
      <c r="H296" s="965"/>
      <c r="I296" s="965"/>
      <c r="J296" s="965"/>
      <c r="K296" s="965"/>
      <c r="L296" s="965"/>
      <c r="M296" s="965"/>
      <c r="N296" s="965"/>
      <c r="O296" s="965"/>
      <c r="P296" s="965"/>
      <c r="Q296" s="965"/>
      <c r="R296" s="965"/>
      <c r="S296" s="965"/>
      <c r="T296" s="965"/>
      <c r="U296" s="965"/>
      <c r="V296" s="965"/>
      <c r="W296" s="965"/>
      <c r="X296" s="965"/>
      <c r="Y296" s="965"/>
      <c r="Z296" s="965"/>
    </row>
    <row r="297">
      <c r="A297" s="965"/>
      <c r="B297" s="965"/>
      <c r="C297" s="965"/>
      <c r="D297" s="965"/>
      <c r="E297" s="965"/>
      <c r="F297" s="965"/>
      <c r="G297" s="965"/>
      <c r="H297" s="965"/>
      <c r="I297" s="965"/>
      <c r="J297" s="965"/>
      <c r="K297" s="965"/>
      <c r="L297" s="965"/>
      <c r="M297" s="965"/>
      <c r="N297" s="965"/>
      <c r="O297" s="965"/>
      <c r="P297" s="965"/>
      <c r="Q297" s="965"/>
      <c r="R297" s="965"/>
      <c r="S297" s="965"/>
      <c r="T297" s="965"/>
      <c r="U297" s="965"/>
      <c r="V297" s="965"/>
      <c r="W297" s="965"/>
      <c r="X297" s="965"/>
      <c r="Y297" s="965"/>
      <c r="Z297" s="965"/>
    </row>
    <row r="298">
      <c r="A298" s="965"/>
      <c r="B298" s="965"/>
      <c r="C298" s="965"/>
      <c r="D298" s="965"/>
      <c r="E298" s="965"/>
      <c r="F298" s="965"/>
      <c r="G298" s="965"/>
      <c r="H298" s="965"/>
      <c r="I298" s="965"/>
      <c r="J298" s="965"/>
      <c r="K298" s="965"/>
      <c r="L298" s="965"/>
      <c r="M298" s="965"/>
      <c r="N298" s="965"/>
      <c r="O298" s="965"/>
      <c r="P298" s="965"/>
      <c r="Q298" s="965"/>
      <c r="R298" s="965"/>
      <c r="S298" s="965"/>
      <c r="T298" s="965"/>
      <c r="U298" s="965"/>
      <c r="V298" s="965"/>
      <c r="W298" s="965"/>
      <c r="X298" s="965"/>
      <c r="Y298" s="965"/>
      <c r="Z298" s="965"/>
    </row>
    <row r="299">
      <c r="A299" s="965"/>
      <c r="B299" s="965"/>
      <c r="C299" s="965"/>
      <c r="D299" s="965"/>
      <c r="E299" s="965"/>
      <c r="F299" s="965"/>
      <c r="G299" s="965"/>
      <c r="H299" s="965"/>
      <c r="I299" s="965"/>
      <c r="J299" s="965"/>
      <c r="K299" s="965"/>
      <c r="L299" s="965"/>
      <c r="M299" s="965"/>
      <c r="N299" s="965"/>
      <c r="O299" s="965"/>
      <c r="P299" s="965"/>
      <c r="Q299" s="965"/>
      <c r="R299" s="965"/>
      <c r="S299" s="965"/>
      <c r="T299" s="965"/>
      <c r="U299" s="965"/>
      <c r="V299" s="965"/>
      <c r="W299" s="965"/>
      <c r="X299" s="965"/>
      <c r="Y299" s="965"/>
      <c r="Z299" s="965"/>
    </row>
    <row r="300">
      <c r="A300" s="965"/>
      <c r="B300" s="965"/>
      <c r="C300" s="965"/>
      <c r="D300" s="965"/>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row>
    <row r="301">
      <c r="A301" s="965"/>
      <c r="B301" s="965"/>
      <c r="C301" s="965"/>
      <c r="D301" s="965"/>
      <c r="E301" s="965"/>
      <c r="F301" s="965"/>
      <c r="G301" s="965"/>
      <c r="H301" s="965"/>
      <c r="I301" s="965"/>
      <c r="J301" s="965"/>
      <c r="K301" s="965"/>
      <c r="L301" s="965"/>
      <c r="M301" s="965"/>
      <c r="N301" s="965"/>
      <c r="O301" s="965"/>
      <c r="P301" s="965"/>
      <c r="Q301" s="965"/>
      <c r="R301" s="965"/>
      <c r="S301" s="965"/>
      <c r="T301" s="965"/>
      <c r="U301" s="965"/>
      <c r="V301" s="965"/>
      <c r="W301" s="965"/>
      <c r="X301" s="965"/>
      <c r="Y301" s="965"/>
      <c r="Z301" s="965"/>
    </row>
    <row r="302">
      <c r="A302" s="965"/>
      <c r="B302" s="965"/>
      <c r="C302" s="965"/>
      <c r="D302" s="965"/>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row>
    <row r="303">
      <c r="A303" s="965"/>
      <c r="B303" s="965"/>
      <c r="C303" s="965"/>
      <c r="D303" s="965"/>
      <c r="E303" s="965"/>
      <c r="F303" s="965"/>
      <c r="G303" s="965"/>
      <c r="H303" s="965"/>
      <c r="I303" s="965"/>
      <c r="J303" s="965"/>
      <c r="K303" s="965"/>
      <c r="L303" s="965"/>
      <c r="M303" s="965"/>
      <c r="N303" s="965"/>
      <c r="O303" s="965"/>
      <c r="P303" s="965"/>
      <c r="Q303" s="965"/>
      <c r="R303" s="965"/>
      <c r="S303" s="965"/>
      <c r="T303" s="965"/>
      <c r="U303" s="965"/>
      <c r="V303" s="965"/>
      <c r="W303" s="965"/>
      <c r="X303" s="965"/>
      <c r="Y303" s="965"/>
      <c r="Z303" s="965"/>
    </row>
    <row r="304">
      <c r="A304" s="965"/>
      <c r="B304" s="965"/>
      <c r="C304" s="965"/>
      <c r="D304" s="965"/>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row>
    <row r="305">
      <c r="A305" s="965"/>
      <c r="B305" s="965"/>
      <c r="C305" s="965"/>
      <c r="D305" s="965"/>
      <c r="E305" s="965"/>
      <c r="F305" s="965"/>
      <c r="G305" s="965"/>
      <c r="H305" s="965"/>
      <c r="I305" s="965"/>
      <c r="J305" s="965"/>
      <c r="K305" s="965"/>
      <c r="L305" s="965"/>
      <c r="M305" s="965"/>
      <c r="N305" s="965"/>
      <c r="O305" s="965"/>
      <c r="P305" s="965"/>
      <c r="Q305" s="965"/>
      <c r="R305" s="965"/>
      <c r="S305" s="965"/>
      <c r="T305" s="965"/>
      <c r="U305" s="965"/>
      <c r="V305" s="965"/>
      <c r="W305" s="965"/>
      <c r="X305" s="965"/>
      <c r="Y305" s="965"/>
      <c r="Z305" s="965"/>
    </row>
    <row r="306">
      <c r="A306" s="965"/>
      <c r="B306" s="965"/>
      <c r="C306" s="965"/>
      <c r="D306" s="965"/>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row>
    <row r="307">
      <c r="A307" s="965"/>
      <c r="B307" s="965"/>
      <c r="C307" s="965"/>
      <c r="D307" s="965"/>
      <c r="E307" s="965"/>
      <c r="F307" s="965"/>
      <c r="G307" s="965"/>
      <c r="H307" s="965"/>
      <c r="I307" s="965"/>
      <c r="J307" s="965"/>
      <c r="K307" s="965"/>
      <c r="L307" s="965"/>
      <c r="M307" s="965"/>
      <c r="N307" s="965"/>
      <c r="O307" s="965"/>
      <c r="P307" s="965"/>
      <c r="Q307" s="965"/>
      <c r="R307" s="965"/>
      <c r="S307" s="965"/>
      <c r="T307" s="965"/>
      <c r="U307" s="965"/>
      <c r="V307" s="965"/>
      <c r="W307" s="965"/>
      <c r="X307" s="965"/>
      <c r="Y307" s="965"/>
      <c r="Z307" s="965"/>
    </row>
    <row r="308">
      <c r="A308" s="965"/>
      <c r="B308" s="965"/>
      <c r="C308" s="965"/>
      <c r="D308" s="965"/>
      <c r="E308" s="965"/>
      <c r="F308" s="965"/>
      <c r="G308" s="965"/>
      <c r="H308" s="965"/>
      <c r="I308" s="965"/>
      <c r="J308" s="965"/>
      <c r="K308" s="965"/>
      <c r="L308" s="965"/>
      <c r="M308" s="965"/>
      <c r="N308" s="965"/>
      <c r="O308" s="965"/>
      <c r="P308" s="965"/>
      <c r="Q308" s="965"/>
      <c r="R308" s="965"/>
      <c r="S308" s="965"/>
      <c r="T308" s="965"/>
      <c r="U308" s="965"/>
      <c r="V308" s="965"/>
      <c r="W308" s="965"/>
      <c r="X308" s="965"/>
      <c r="Y308" s="965"/>
      <c r="Z308" s="965"/>
    </row>
    <row r="309">
      <c r="A309" s="965"/>
      <c r="B309" s="965"/>
      <c r="C309" s="965"/>
      <c r="D309" s="965"/>
      <c r="E309" s="965"/>
      <c r="F309" s="965"/>
      <c r="G309" s="965"/>
      <c r="H309" s="965"/>
      <c r="I309" s="965"/>
      <c r="J309" s="965"/>
      <c r="K309" s="965"/>
      <c r="L309" s="965"/>
      <c r="M309" s="965"/>
      <c r="N309" s="965"/>
      <c r="O309" s="965"/>
      <c r="P309" s="965"/>
      <c r="Q309" s="965"/>
      <c r="R309" s="965"/>
      <c r="S309" s="965"/>
      <c r="T309" s="965"/>
      <c r="U309" s="965"/>
      <c r="V309" s="965"/>
      <c r="W309" s="965"/>
      <c r="X309" s="965"/>
      <c r="Y309" s="965"/>
      <c r="Z309" s="965"/>
    </row>
    <row r="310">
      <c r="A310" s="965"/>
      <c r="B310" s="965"/>
      <c r="C310" s="965"/>
      <c r="D310" s="965"/>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row>
    <row r="311">
      <c r="A311" s="965"/>
      <c r="B311" s="965"/>
      <c r="C311" s="965"/>
      <c r="D311" s="965"/>
      <c r="E311" s="965"/>
      <c r="F311" s="965"/>
      <c r="G311" s="965"/>
      <c r="H311" s="965"/>
      <c r="I311" s="965"/>
      <c r="J311" s="965"/>
      <c r="K311" s="965"/>
      <c r="L311" s="965"/>
      <c r="M311" s="965"/>
      <c r="N311" s="965"/>
      <c r="O311" s="965"/>
      <c r="P311" s="965"/>
      <c r="Q311" s="965"/>
      <c r="R311" s="965"/>
      <c r="S311" s="965"/>
      <c r="T311" s="965"/>
      <c r="U311" s="965"/>
      <c r="V311" s="965"/>
      <c r="W311" s="965"/>
      <c r="X311" s="965"/>
      <c r="Y311" s="965"/>
      <c r="Z311" s="965"/>
    </row>
    <row r="312">
      <c r="A312" s="965"/>
      <c r="B312" s="965"/>
      <c r="C312" s="965"/>
      <c r="D312" s="965"/>
      <c r="E312" s="965"/>
      <c r="F312" s="965"/>
      <c r="G312" s="965"/>
      <c r="H312" s="965"/>
      <c r="I312" s="965"/>
      <c r="J312" s="965"/>
      <c r="K312" s="965"/>
      <c r="L312" s="965"/>
      <c r="M312" s="965"/>
      <c r="N312" s="965"/>
      <c r="O312" s="965"/>
      <c r="P312" s="965"/>
      <c r="Q312" s="965"/>
      <c r="R312" s="965"/>
      <c r="S312" s="965"/>
      <c r="T312" s="965"/>
      <c r="U312" s="965"/>
      <c r="V312" s="965"/>
      <c r="W312" s="965"/>
      <c r="X312" s="965"/>
      <c r="Y312" s="965"/>
      <c r="Z312" s="965"/>
    </row>
    <row r="313">
      <c r="A313" s="965"/>
      <c r="B313" s="965"/>
      <c r="C313" s="965"/>
      <c r="D313" s="965"/>
      <c r="E313" s="965"/>
      <c r="F313" s="965"/>
      <c r="G313" s="965"/>
      <c r="H313" s="965"/>
      <c r="I313" s="965"/>
      <c r="J313" s="965"/>
      <c r="K313" s="965"/>
      <c r="L313" s="965"/>
      <c r="M313" s="965"/>
      <c r="N313" s="965"/>
      <c r="O313" s="965"/>
      <c r="P313" s="965"/>
      <c r="Q313" s="965"/>
      <c r="R313" s="965"/>
      <c r="S313" s="965"/>
      <c r="T313" s="965"/>
      <c r="U313" s="965"/>
      <c r="V313" s="965"/>
      <c r="W313" s="965"/>
      <c r="X313" s="965"/>
      <c r="Y313" s="965"/>
      <c r="Z313" s="965"/>
    </row>
    <row r="314">
      <c r="A314" s="965"/>
      <c r="B314" s="965"/>
      <c r="C314" s="965"/>
      <c r="D314" s="965"/>
      <c r="E314" s="965"/>
      <c r="F314" s="965"/>
      <c r="G314" s="965"/>
      <c r="H314" s="965"/>
      <c r="I314" s="965"/>
      <c r="J314" s="965"/>
      <c r="K314" s="965"/>
      <c r="L314" s="965"/>
      <c r="M314" s="965"/>
      <c r="N314" s="965"/>
      <c r="O314" s="965"/>
      <c r="P314" s="965"/>
      <c r="Q314" s="965"/>
      <c r="R314" s="965"/>
      <c r="S314" s="965"/>
      <c r="T314" s="965"/>
      <c r="U314" s="965"/>
      <c r="V314" s="965"/>
      <c r="W314" s="965"/>
      <c r="X314" s="965"/>
      <c r="Y314" s="965"/>
      <c r="Z314" s="965"/>
    </row>
    <row r="315">
      <c r="A315" s="965"/>
      <c r="B315" s="965"/>
      <c r="C315" s="965"/>
      <c r="D315" s="965"/>
      <c r="E315" s="965"/>
      <c r="F315" s="965"/>
      <c r="G315" s="965"/>
      <c r="H315" s="965"/>
      <c r="I315" s="965"/>
      <c r="J315" s="965"/>
      <c r="K315" s="965"/>
      <c r="L315" s="965"/>
      <c r="M315" s="965"/>
      <c r="N315" s="965"/>
      <c r="O315" s="965"/>
      <c r="P315" s="965"/>
      <c r="Q315" s="965"/>
      <c r="R315" s="965"/>
      <c r="S315" s="965"/>
      <c r="T315" s="965"/>
      <c r="U315" s="965"/>
      <c r="V315" s="965"/>
      <c r="W315" s="965"/>
      <c r="X315" s="965"/>
      <c r="Y315" s="965"/>
      <c r="Z315" s="965"/>
    </row>
    <row r="316">
      <c r="A316" s="965"/>
      <c r="B316" s="965"/>
      <c r="C316" s="965"/>
      <c r="D316" s="965"/>
      <c r="E316" s="965"/>
      <c r="F316" s="965"/>
      <c r="G316" s="965"/>
      <c r="H316" s="965"/>
      <c r="I316" s="965"/>
      <c r="J316" s="965"/>
      <c r="K316" s="965"/>
      <c r="L316" s="965"/>
      <c r="M316" s="965"/>
      <c r="N316" s="965"/>
      <c r="O316" s="965"/>
      <c r="P316" s="965"/>
      <c r="Q316" s="965"/>
      <c r="R316" s="965"/>
      <c r="S316" s="965"/>
      <c r="T316" s="965"/>
      <c r="U316" s="965"/>
      <c r="V316" s="965"/>
      <c r="W316" s="965"/>
      <c r="X316" s="965"/>
      <c r="Y316" s="965"/>
      <c r="Z316" s="965"/>
    </row>
    <row r="317">
      <c r="A317" s="965"/>
      <c r="B317" s="965"/>
      <c r="C317" s="965"/>
      <c r="D317" s="965"/>
      <c r="E317" s="965"/>
      <c r="F317" s="965"/>
      <c r="G317" s="965"/>
      <c r="H317" s="965"/>
      <c r="I317" s="965"/>
      <c r="J317" s="965"/>
      <c r="K317" s="965"/>
      <c r="L317" s="965"/>
      <c r="M317" s="965"/>
      <c r="N317" s="965"/>
      <c r="O317" s="965"/>
      <c r="P317" s="965"/>
      <c r="Q317" s="965"/>
      <c r="R317" s="965"/>
      <c r="S317" s="965"/>
      <c r="T317" s="965"/>
      <c r="U317" s="965"/>
      <c r="V317" s="965"/>
      <c r="W317" s="965"/>
      <c r="X317" s="965"/>
      <c r="Y317" s="965"/>
      <c r="Z317" s="965"/>
    </row>
    <row r="318">
      <c r="A318" s="965"/>
      <c r="B318" s="965"/>
      <c r="C318" s="965"/>
      <c r="D318" s="965"/>
      <c r="E318" s="965"/>
      <c r="F318" s="965"/>
      <c r="G318" s="965"/>
      <c r="H318" s="965"/>
      <c r="I318" s="965"/>
      <c r="J318" s="965"/>
      <c r="K318" s="965"/>
      <c r="L318" s="965"/>
      <c r="M318" s="965"/>
      <c r="N318" s="965"/>
      <c r="O318" s="965"/>
      <c r="P318" s="965"/>
      <c r="Q318" s="965"/>
      <c r="R318" s="965"/>
      <c r="S318" s="965"/>
      <c r="T318" s="965"/>
      <c r="U318" s="965"/>
      <c r="V318" s="965"/>
      <c r="W318" s="965"/>
      <c r="X318" s="965"/>
      <c r="Y318" s="965"/>
      <c r="Z318" s="965"/>
    </row>
    <row r="319">
      <c r="A319" s="965"/>
      <c r="B319" s="965"/>
      <c r="C319" s="965"/>
      <c r="D319" s="965"/>
      <c r="E319" s="965"/>
      <c r="F319" s="965"/>
      <c r="G319" s="965"/>
      <c r="H319" s="965"/>
      <c r="I319" s="965"/>
      <c r="J319" s="965"/>
      <c r="K319" s="965"/>
      <c r="L319" s="965"/>
      <c r="M319" s="965"/>
      <c r="N319" s="965"/>
      <c r="O319" s="965"/>
      <c r="P319" s="965"/>
      <c r="Q319" s="965"/>
      <c r="R319" s="965"/>
      <c r="S319" s="965"/>
      <c r="T319" s="965"/>
      <c r="U319" s="965"/>
      <c r="V319" s="965"/>
      <c r="W319" s="965"/>
      <c r="X319" s="965"/>
      <c r="Y319" s="965"/>
      <c r="Z319" s="965"/>
    </row>
    <row r="320">
      <c r="A320" s="965"/>
      <c r="B320" s="965"/>
      <c r="C320" s="965"/>
      <c r="D320" s="965"/>
      <c r="E320" s="965"/>
      <c r="F320" s="965"/>
      <c r="G320" s="965"/>
      <c r="H320" s="965"/>
      <c r="I320" s="965"/>
      <c r="J320" s="965"/>
      <c r="K320" s="965"/>
      <c r="L320" s="965"/>
      <c r="M320" s="965"/>
      <c r="N320" s="965"/>
      <c r="O320" s="965"/>
      <c r="P320" s="965"/>
      <c r="Q320" s="965"/>
      <c r="R320" s="965"/>
      <c r="S320" s="965"/>
      <c r="T320" s="965"/>
      <c r="U320" s="965"/>
      <c r="V320" s="965"/>
      <c r="W320" s="965"/>
      <c r="X320" s="965"/>
      <c r="Y320" s="965"/>
      <c r="Z320" s="965"/>
    </row>
    <row r="321">
      <c r="A321" s="965"/>
      <c r="B321" s="965"/>
      <c r="C321" s="965"/>
      <c r="D321" s="965"/>
      <c r="E321" s="965"/>
      <c r="F321" s="965"/>
      <c r="G321" s="965"/>
      <c r="H321" s="965"/>
      <c r="I321" s="965"/>
      <c r="J321" s="965"/>
      <c r="K321" s="965"/>
      <c r="L321" s="965"/>
      <c r="M321" s="965"/>
      <c r="N321" s="965"/>
      <c r="O321" s="965"/>
      <c r="P321" s="965"/>
      <c r="Q321" s="965"/>
      <c r="R321" s="965"/>
      <c r="S321" s="965"/>
      <c r="T321" s="965"/>
      <c r="U321" s="965"/>
      <c r="V321" s="965"/>
      <c r="W321" s="965"/>
      <c r="X321" s="965"/>
      <c r="Y321" s="965"/>
      <c r="Z321" s="965"/>
    </row>
    <row r="322">
      <c r="A322" s="965"/>
      <c r="B322" s="965"/>
      <c r="C322" s="965"/>
      <c r="D322" s="965"/>
      <c r="E322" s="965"/>
      <c r="F322" s="965"/>
      <c r="G322" s="965"/>
      <c r="H322" s="965"/>
      <c r="I322" s="965"/>
      <c r="J322" s="965"/>
      <c r="K322" s="965"/>
      <c r="L322" s="965"/>
      <c r="M322" s="965"/>
      <c r="N322" s="965"/>
      <c r="O322" s="965"/>
      <c r="P322" s="965"/>
      <c r="Q322" s="965"/>
      <c r="R322" s="965"/>
      <c r="S322" s="965"/>
      <c r="T322" s="965"/>
      <c r="U322" s="965"/>
      <c r="V322" s="965"/>
      <c r="W322" s="965"/>
      <c r="X322" s="965"/>
      <c r="Y322" s="965"/>
      <c r="Z322" s="965"/>
    </row>
    <row r="323">
      <c r="A323" s="965"/>
      <c r="B323" s="965"/>
      <c r="C323" s="965"/>
      <c r="D323" s="965"/>
      <c r="E323" s="965"/>
      <c r="F323" s="965"/>
      <c r="G323" s="965"/>
      <c r="H323" s="965"/>
      <c r="I323" s="965"/>
      <c r="J323" s="965"/>
      <c r="K323" s="965"/>
      <c r="L323" s="965"/>
      <c r="M323" s="965"/>
      <c r="N323" s="965"/>
      <c r="O323" s="965"/>
      <c r="P323" s="965"/>
      <c r="Q323" s="965"/>
      <c r="R323" s="965"/>
      <c r="S323" s="965"/>
      <c r="T323" s="965"/>
      <c r="U323" s="965"/>
      <c r="V323" s="965"/>
      <c r="W323" s="965"/>
      <c r="X323" s="965"/>
      <c r="Y323" s="965"/>
      <c r="Z323" s="965"/>
    </row>
    <row r="324">
      <c r="A324" s="965"/>
      <c r="B324" s="965"/>
      <c r="C324" s="965"/>
      <c r="D324" s="965"/>
      <c r="E324" s="965"/>
      <c r="F324" s="965"/>
      <c r="G324" s="965"/>
      <c r="H324" s="965"/>
      <c r="I324" s="965"/>
      <c r="J324" s="965"/>
      <c r="K324" s="965"/>
      <c r="L324" s="965"/>
      <c r="M324" s="965"/>
      <c r="N324" s="965"/>
      <c r="O324" s="965"/>
      <c r="P324" s="965"/>
      <c r="Q324" s="965"/>
      <c r="R324" s="965"/>
      <c r="S324" s="965"/>
      <c r="T324" s="965"/>
      <c r="U324" s="965"/>
      <c r="V324" s="965"/>
      <c r="W324" s="965"/>
      <c r="X324" s="965"/>
      <c r="Y324" s="965"/>
      <c r="Z324" s="965"/>
    </row>
    <row r="325">
      <c r="A325" s="965"/>
      <c r="B325" s="965"/>
      <c r="C325" s="965"/>
      <c r="D325" s="965"/>
      <c r="E325" s="965"/>
      <c r="F325" s="965"/>
      <c r="G325" s="965"/>
      <c r="H325" s="965"/>
      <c r="I325" s="965"/>
      <c r="J325" s="965"/>
      <c r="K325" s="965"/>
      <c r="L325" s="965"/>
      <c r="M325" s="965"/>
      <c r="N325" s="965"/>
      <c r="O325" s="965"/>
      <c r="P325" s="965"/>
      <c r="Q325" s="965"/>
      <c r="R325" s="965"/>
      <c r="S325" s="965"/>
      <c r="T325" s="965"/>
      <c r="U325" s="965"/>
      <c r="V325" s="965"/>
      <c r="W325" s="965"/>
      <c r="X325" s="965"/>
      <c r="Y325" s="965"/>
      <c r="Z325" s="965"/>
    </row>
    <row r="326">
      <c r="A326" s="965"/>
      <c r="B326" s="965"/>
      <c r="C326" s="965"/>
      <c r="D326" s="965"/>
      <c r="E326" s="965"/>
      <c r="F326" s="965"/>
      <c r="G326" s="965"/>
      <c r="H326" s="965"/>
      <c r="I326" s="965"/>
      <c r="J326" s="965"/>
      <c r="K326" s="965"/>
      <c r="L326" s="965"/>
      <c r="M326" s="965"/>
      <c r="N326" s="965"/>
      <c r="O326" s="965"/>
      <c r="P326" s="965"/>
      <c r="Q326" s="965"/>
      <c r="R326" s="965"/>
      <c r="S326" s="965"/>
      <c r="T326" s="965"/>
      <c r="U326" s="965"/>
      <c r="V326" s="965"/>
      <c r="W326" s="965"/>
      <c r="X326" s="965"/>
      <c r="Y326" s="965"/>
      <c r="Z326" s="965"/>
    </row>
    <row r="327">
      <c r="A327" s="965"/>
      <c r="B327" s="965"/>
      <c r="C327" s="965"/>
      <c r="D327" s="965"/>
      <c r="E327" s="965"/>
      <c r="F327" s="965"/>
      <c r="G327" s="965"/>
      <c r="H327" s="965"/>
      <c r="I327" s="965"/>
      <c r="J327" s="965"/>
      <c r="K327" s="965"/>
      <c r="L327" s="965"/>
      <c r="M327" s="965"/>
      <c r="N327" s="965"/>
      <c r="O327" s="965"/>
      <c r="P327" s="965"/>
      <c r="Q327" s="965"/>
      <c r="R327" s="965"/>
      <c r="S327" s="965"/>
      <c r="T327" s="965"/>
      <c r="U327" s="965"/>
      <c r="V327" s="965"/>
      <c r="W327" s="965"/>
      <c r="X327" s="965"/>
      <c r="Y327" s="965"/>
      <c r="Z327" s="965"/>
    </row>
    <row r="328">
      <c r="A328" s="965"/>
      <c r="B328" s="965"/>
      <c r="C328" s="965"/>
      <c r="D328" s="965"/>
      <c r="E328" s="965"/>
      <c r="F328" s="965"/>
      <c r="G328" s="965"/>
      <c r="H328" s="965"/>
      <c r="I328" s="965"/>
      <c r="J328" s="965"/>
      <c r="K328" s="965"/>
      <c r="L328" s="965"/>
      <c r="M328" s="965"/>
      <c r="N328" s="965"/>
      <c r="O328" s="965"/>
      <c r="P328" s="965"/>
      <c r="Q328" s="965"/>
      <c r="R328" s="965"/>
      <c r="S328" s="965"/>
      <c r="T328" s="965"/>
      <c r="U328" s="965"/>
      <c r="V328" s="965"/>
      <c r="W328" s="965"/>
      <c r="X328" s="965"/>
      <c r="Y328" s="965"/>
      <c r="Z328" s="965"/>
    </row>
    <row r="329">
      <c r="A329" s="965"/>
      <c r="B329" s="965"/>
      <c r="C329" s="965"/>
      <c r="D329" s="965"/>
      <c r="E329" s="965"/>
      <c r="F329" s="965"/>
      <c r="G329" s="965"/>
      <c r="H329" s="965"/>
      <c r="I329" s="965"/>
      <c r="J329" s="965"/>
      <c r="K329" s="965"/>
      <c r="L329" s="965"/>
      <c r="M329" s="965"/>
      <c r="N329" s="965"/>
      <c r="O329" s="965"/>
      <c r="P329" s="965"/>
      <c r="Q329" s="965"/>
      <c r="R329" s="965"/>
      <c r="S329" s="965"/>
      <c r="T329" s="965"/>
      <c r="U329" s="965"/>
      <c r="V329" s="965"/>
      <c r="W329" s="965"/>
      <c r="X329" s="965"/>
      <c r="Y329" s="965"/>
      <c r="Z329" s="965"/>
    </row>
    <row r="330">
      <c r="A330" s="965"/>
      <c r="B330" s="965"/>
      <c r="C330" s="965"/>
      <c r="D330" s="965"/>
      <c r="E330" s="965"/>
      <c r="F330" s="965"/>
      <c r="G330" s="965"/>
      <c r="H330" s="965"/>
      <c r="I330" s="965"/>
      <c r="J330" s="965"/>
      <c r="K330" s="965"/>
      <c r="L330" s="965"/>
      <c r="M330" s="965"/>
      <c r="N330" s="965"/>
      <c r="O330" s="965"/>
      <c r="P330" s="965"/>
      <c r="Q330" s="965"/>
      <c r="R330" s="965"/>
      <c r="S330" s="965"/>
      <c r="T330" s="965"/>
      <c r="U330" s="965"/>
      <c r="V330" s="965"/>
      <c r="W330" s="965"/>
      <c r="X330" s="965"/>
      <c r="Y330" s="965"/>
      <c r="Z330" s="965"/>
    </row>
    <row r="331">
      <c r="A331" s="965"/>
      <c r="B331" s="965"/>
      <c r="C331" s="965"/>
      <c r="D331" s="965"/>
      <c r="E331" s="965"/>
      <c r="F331" s="965"/>
      <c r="G331" s="965"/>
      <c r="H331" s="965"/>
      <c r="I331" s="965"/>
      <c r="J331" s="965"/>
      <c r="K331" s="965"/>
      <c r="L331" s="965"/>
      <c r="M331" s="965"/>
      <c r="N331" s="965"/>
      <c r="O331" s="965"/>
      <c r="P331" s="965"/>
      <c r="Q331" s="965"/>
      <c r="R331" s="965"/>
      <c r="S331" s="965"/>
      <c r="T331" s="965"/>
      <c r="U331" s="965"/>
      <c r="V331" s="965"/>
      <c r="W331" s="965"/>
      <c r="X331" s="965"/>
      <c r="Y331" s="965"/>
      <c r="Z331" s="965"/>
    </row>
    <row r="332">
      <c r="A332" s="965"/>
      <c r="B332" s="965"/>
      <c r="C332" s="965"/>
      <c r="D332" s="965"/>
      <c r="E332" s="965"/>
      <c r="F332" s="965"/>
      <c r="G332" s="965"/>
      <c r="H332" s="965"/>
      <c r="I332" s="965"/>
      <c r="J332" s="965"/>
      <c r="K332" s="965"/>
      <c r="L332" s="965"/>
      <c r="M332" s="965"/>
      <c r="N332" s="965"/>
      <c r="O332" s="965"/>
      <c r="P332" s="965"/>
      <c r="Q332" s="965"/>
      <c r="R332" s="965"/>
      <c r="S332" s="965"/>
      <c r="T332" s="965"/>
      <c r="U332" s="965"/>
      <c r="V332" s="965"/>
      <c r="W332" s="965"/>
      <c r="X332" s="965"/>
      <c r="Y332" s="965"/>
      <c r="Z332" s="965"/>
    </row>
    <row r="333">
      <c r="A333" s="965"/>
      <c r="B333" s="965"/>
      <c r="C333" s="965"/>
      <c r="D333" s="965"/>
      <c r="E333" s="965"/>
      <c r="F333" s="965"/>
      <c r="G333" s="965"/>
      <c r="H333" s="965"/>
      <c r="I333" s="965"/>
      <c r="J333" s="965"/>
      <c r="K333" s="965"/>
      <c r="L333" s="965"/>
      <c r="M333" s="965"/>
      <c r="N333" s="965"/>
      <c r="O333" s="965"/>
      <c r="P333" s="965"/>
      <c r="Q333" s="965"/>
      <c r="R333" s="965"/>
      <c r="S333" s="965"/>
      <c r="T333" s="965"/>
      <c r="U333" s="965"/>
      <c r="V333" s="965"/>
      <c r="W333" s="965"/>
      <c r="X333" s="965"/>
      <c r="Y333" s="965"/>
      <c r="Z333" s="965"/>
    </row>
    <row r="334">
      <c r="A334" s="965"/>
      <c r="B334" s="965"/>
      <c r="C334" s="965"/>
      <c r="D334" s="965"/>
      <c r="E334" s="965"/>
      <c r="F334" s="965"/>
      <c r="G334" s="965"/>
      <c r="H334" s="965"/>
      <c r="I334" s="965"/>
      <c r="J334" s="965"/>
      <c r="K334" s="965"/>
      <c r="L334" s="965"/>
      <c r="M334" s="965"/>
      <c r="N334" s="965"/>
      <c r="O334" s="965"/>
      <c r="P334" s="965"/>
      <c r="Q334" s="965"/>
      <c r="R334" s="965"/>
      <c r="S334" s="965"/>
      <c r="T334" s="965"/>
      <c r="U334" s="965"/>
      <c r="V334" s="965"/>
      <c r="W334" s="965"/>
      <c r="X334" s="965"/>
      <c r="Y334" s="965"/>
      <c r="Z334" s="965"/>
    </row>
    <row r="335">
      <c r="A335" s="965"/>
      <c r="B335" s="965"/>
      <c r="C335" s="965"/>
      <c r="D335" s="965"/>
      <c r="E335" s="965"/>
      <c r="F335" s="965"/>
      <c r="G335" s="965"/>
      <c r="H335" s="965"/>
      <c r="I335" s="965"/>
      <c r="J335" s="965"/>
      <c r="K335" s="965"/>
      <c r="L335" s="965"/>
      <c r="M335" s="965"/>
      <c r="N335" s="965"/>
      <c r="O335" s="965"/>
      <c r="P335" s="965"/>
      <c r="Q335" s="965"/>
      <c r="R335" s="965"/>
      <c r="S335" s="965"/>
      <c r="T335" s="965"/>
      <c r="U335" s="965"/>
      <c r="V335" s="965"/>
      <c r="W335" s="965"/>
      <c r="X335" s="965"/>
      <c r="Y335" s="965"/>
      <c r="Z335" s="965"/>
    </row>
    <row r="336">
      <c r="A336" s="965"/>
      <c r="B336" s="965"/>
      <c r="C336" s="965"/>
      <c r="D336" s="965"/>
      <c r="E336" s="965"/>
      <c r="F336" s="965"/>
      <c r="G336" s="965"/>
      <c r="H336" s="965"/>
      <c r="I336" s="965"/>
      <c r="J336" s="965"/>
      <c r="K336" s="965"/>
      <c r="L336" s="965"/>
      <c r="M336" s="965"/>
      <c r="N336" s="965"/>
      <c r="O336" s="965"/>
      <c r="P336" s="965"/>
      <c r="Q336" s="965"/>
      <c r="R336" s="965"/>
      <c r="S336" s="965"/>
      <c r="T336" s="965"/>
      <c r="U336" s="965"/>
      <c r="V336" s="965"/>
      <c r="W336" s="965"/>
      <c r="X336" s="965"/>
      <c r="Y336" s="965"/>
      <c r="Z336" s="965"/>
    </row>
    <row r="337">
      <c r="A337" s="965"/>
      <c r="B337" s="965"/>
      <c r="C337" s="965"/>
      <c r="D337" s="965"/>
      <c r="E337" s="965"/>
      <c r="F337" s="965"/>
      <c r="G337" s="965"/>
      <c r="H337" s="965"/>
      <c r="I337" s="965"/>
      <c r="J337" s="965"/>
      <c r="K337" s="965"/>
      <c r="L337" s="965"/>
      <c r="M337" s="965"/>
      <c r="N337" s="965"/>
      <c r="O337" s="965"/>
      <c r="P337" s="965"/>
      <c r="Q337" s="965"/>
      <c r="R337" s="965"/>
      <c r="S337" s="965"/>
      <c r="T337" s="965"/>
      <c r="U337" s="965"/>
      <c r="V337" s="965"/>
      <c r="W337" s="965"/>
      <c r="X337" s="965"/>
      <c r="Y337" s="965"/>
      <c r="Z337" s="965"/>
    </row>
    <row r="338">
      <c r="A338" s="965"/>
      <c r="B338" s="965"/>
      <c r="C338" s="965"/>
      <c r="D338" s="965"/>
      <c r="E338" s="965"/>
      <c r="F338" s="965"/>
      <c r="G338" s="965"/>
      <c r="H338" s="965"/>
      <c r="I338" s="965"/>
      <c r="J338" s="965"/>
      <c r="K338" s="965"/>
      <c r="L338" s="965"/>
      <c r="M338" s="965"/>
      <c r="N338" s="965"/>
      <c r="O338" s="965"/>
      <c r="P338" s="965"/>
      <c r="Q338" s="965"/>
      <c r="R338" s="965"/>
      <c r="S338" s="965"/>
      <c r="T338" s="965"/>
      <c r="U338" s="965"/>
      <c r="V338" s="965"/>
      <c r="W338" s="965"/>
      <c r="X338" s="965"/>
      <c r="Y338" s="965"/>
      <c r="Z338" s="965"/>
    </row>
    <row r="339">
      <c r="A339" s="965"/>
      <c r="B339" s="965"/>
      <c r="C339" s="965"/>
      <c r="D339" s="965"/>
      <c r="E339" s="965"/>
      <c r="F339" s="965"/>
      <c r="G339" s="965"/>
      <c r="H339" s="965"/>
      <c r="I339" s="965"/>
      <c r="J339" s="965"/>
      <c r="K339" s="965"/>
      <c r="L339" s="965"/>
      <c r="M339" s="965"/>
      <c r="N339" s="965"/>
      <c r="O339" s="965"/>
      <c r="P339" s="965"/>
      <c r="Q339" s="965"/>
      <c r="R339" s="965"/>
      <c r="S339" s="965"/>
      <c r="T339" s="965"/>
      <c r="U339" s="965"/>
      <c r="V339" s="965"/>
      <c r="W339" s="965"/>
      <c r="X339" s="965"/>
      <c r="Y339" s="965"/>
      <c r="Z339" s="965"/>
    </row>
    <row r="340">
      <c r="A340" s="965"/>
      <c r="B340" s="965"/>
      <c r="C340" s="965"/>
      <c r="D340" s="965"/>
      <c r="E340" s="965"/>
      <c r="F340" s="965"/>
      <c r="G340" s="965"/>
      <c r="H340" s="965"/>
      <c r="I340" s="965"/>
      <c r="J340" s="965"/>
      <c r="K340" s="965"/>
      <c r="L340" s="965"/>
      <c r="M340" s="965"/>
      <c r="N340" s="965"/>
      <c r="O340" s="965"/>
      <c r="P340" s="965"/>
      <c r="Q340" s="965"/>
      <c r="R340" s="965"/>
      <c r="S340" s="965"/>
      <c r="T340" s="965"/>
      <c r="U340" s="965"/>
      <c r="V340" s="965"/>
      <c r="W340" s="965"/>
      <c r="X340" s="965"/>
      <c r="Y340" s="965"/>
      <c r="Z340" s="965"/>
    </row>
    <row r="341">
      <c r="A341" s="965"/>
      <c r="B341" s="965"/>
      <c r="C341" s="965"/>
      <c r="D341" s="965"/>
      <c r="E341" s="965"/>
      <c r="F341" s="965"/>
      <c r="G341" s="965"/>
      <c r="H341" s="965"/>
      <c r="I341" s="965"/>
      <c r="J341" s="965"/>
      <c r="K341" s="965"/>
      <c r="L341" s="965"/>
      <c r="M341" s="965"/>
      <c r="N341" s="965"/>
      <c r="O341" s="965"/>
      <c r="P341" s="965"/>
      <c r="Q341" s="965"/>
      <c r="R341" s="965"/>
      <c r="S341" s="965"/>
      <c r="T341" s="965"/>
      <c r="U341" s="965"/>
      <c r="V341" s="965"/>
      <c r="W341" s="965"/>
      <c r="X341" s="965"/>
      <c r="Y341" s="965"/>
      <c r="Z341" s="965"/>
    </row>
    <row r="342">
      <c r="A342" s="965"/>
      <c r="B342" s="965"/>
      <c r="C342" s="965"/>
      <c r="D342" s="965"/>
      <c r="E342" s="965"/>
      <c r="F342" s="965"/>
      <c r="G342" s="965"/>
      <c r="H342" s="965"/>
      <c r="I342" s="965"/>
      <c r="J342" s="965"/>
      <c r="K342" s="965"/>
      <c r="L342" s="965"/>
      <c r="M342" s="965"/>
      <c r="N342" s="965"/>
      <c r="O342" s="965"/>
      <c r="P342" s="965"/>
      <c r="Q342" s="965"/>
      <c r="R342" s="965"/>
      <c r="S342" s="965"/>
      <c r="T342" s="965"/>
      <c r="U342" s="965"/>
      <c r="V342" s="965"/>
      <c r="W342" s="965"/>
      <c r="X342" s="965"/>
      <c r="Y342" s="965"/>
      <c r="Z342" s="965"/>
    </row>
    <row r="343">
      <c r="A343" s="965"/>
      <c r="B343" s="965"/>
      <c r="C343" s="965"/>
      <c r="D343" s="965"/>
      <c r="E343" s="965"/>
      <c r="F343" s="965"/>
      <c r="G343" s="965"/>
      <c r="H343" s="965"/>
      <c r="I343" s="965"/>
      <c r="J343" s="965"/>
      <c r="K343" s="965"/>
      <c r="L343" s="965"/>
      <c r="M343" s="965"/>
      <c r="N343" s="965"/>
      <c r="O343" s="965"/>
      <c r="P343" s="965"/>
      <c r="Q343" s="965"/>
      <c r="R343" s="965"/>
      <c r="S343" s="965"/>
      <c r="T343" s="965"/>
      <c r="U343" s="965"/>
      <c r="V343" s="965"/>
      <c r="W343" s="965"/>
      <c r="X343" s="965"/>
      <c r="Y343" s="965"/>
      <c r="Z343" s="965"/>
    </row>
    <row r="344">
      <c r="A344" s="965"/>
      <c r="B344" s="965"/>
      <c r="C344" s="965"/>
      <c r="D344" s="965"/>
      <c r="E344" s="965"/>
      <c r="F344" s="965"/>
      <c r="G344" s="965"/>
      <c r="H344" s="965"/>
      <c r="I344" s="965"/>
      <c r="J344" s="965"/>
      <c r="K344" s="965"/>
      <c r="L344" s="965"/>
      <c r="M344" s="965"/>
      <c r="N344" s="965"/>
      <c r="O344" s="965"/>
      <c r="P344" s="965"/>
      <c r="Q344" s="965"/>
      <c r="R344" s="965"/>
      <c r="S344" s="965"/>
      <c r="T344" s="965"/>
      <c r="U344" s="965"/>
      <c r="V344" s="965"/>
      <c r="W344" s="965"/>
      <c r="X344" s="965"/>
      <c r="Y344" s="965"/>
      <c r="Z344" s="965"/>
    </row>
    <row r="345">
      <c r="A345" s="965"/>
      <c r="B345" s="965"/>
      <c r="C345" s="965"/>
      <c r="D345" s="965"/>
      <c r="E345" s="965"/>
      <c r="F345" s="965"/>
      <c r="G345" s="965"/>
      <c r="H345" s="965"/>
      <c r="I345" s="965"/>
      <c r="J345" s="965"/>
      <c r="K345" s="965"/>
      <c r="L345" s="965"/>
      <c r="M345" s="965"/>
      <c r="N345" s="965"/>
      <c r="O345" s="965"/>
      <c r="P345" s="965"/>
      <c r="Q345" s="965"/>
      <c r="R345" s="965"/>
      <c r="S345" s="965"/>
      <c r="T345" s="965"/>
      <c r="U345" s="965"/>
      <c r="V345" s="965"/>
      <c r="W345" s="965"/>
      <c r="X345" s="965"/>
      <c r="Y345" s="965"/>
      <c r="Z345" s="965"/>
    </row>
    <row r="346">
      <c r="A346" s="965"/>
      <c r="B346" s="965"/>
      <c r="C346" s="965"/>
      <c r="D346" s="965"/>
      <c r="E346" s="965"/>
      <c r="F346" s="965"/>
      <c r="G346" s="965"/>
      <c r="H346" s="965"/>
      <c r="I346" s="965"/>
      <c r="J346" s="965"/>
      <c r="K346" s="965"/>
      <c r="L346" s="965"/>
      <c r="M346" s="965"/>
      <c r="N346" s="965"/>
      <c r="O346" s="965"/>
      <c r="P346" s="965"/>
      <c r="Q346" s="965"/>
      <c r="R346" s="965"/>
      <c r="S346" s="965"/>
      <c r="T346" s="965"/>
      <c r="U346" s="965"/>
      <c r="V346" s="965"/>
      <c r="W346" s="965"/>
      <c r="X346" s="965"/>
      <c r="Y346" s="965"/>
      <c r="Z346" s="965"/>
    </row>
    <row r="347">
      <c r="A347" s="965"/>
      <c r="B347" s="965"/>
      <c r="C347" s="965"/>
      <c r="D347" s="965"/>
      <c r="E347" s="965"/>
      <c r="F347" s="965"/>
      <c r="G347" s="965"/>
      <c r="H347" s="965"/>
      <c r="I347" s="965"/>
      <c r="J347" s="965"/>
      <c r="K347" s="965"/>
      <c r="L347" s="965"/>
      <c r="M347" s="965"/>
      <c r="N347" s="965"/>
      <c r="O347" s="965"/>
      <c r="P347" s="965"/>
      <c r="Q347" s="965"/>
      <c r="R347" s="965"/>
      <c r="S347" s="965"/>
      <c r="T347" s="965"/>
      <c r="U347" s="965"/>
      <c r="V347" s="965"/>
      <c r="W347" s="965"/>
      <c r="X347" s="965"/>
      <c r="Y347" s="965"/>
      <c r="Z347" s="965"/>
    </row>
    <row r="348">
      <c r="A348" s="965"/>
      <c r="B348" s="965"/>
      <c r="C348" s="965"/>
      <c r="D348" s="965"/>
      <c r="E348" s="965"/>
      <c r="F348" s="965"/>
      <c r="G348" s="965"/>
      <c r="H348" s="965"/>
      <c r="I348" s="965"/>
      <c r="J348" s="965"/>
      <c r="K348" s="965"/>
      <c r="L348" s="965"/>
      <c r="M348" s="965"/>
      <c r="N348" s="965"/>
      <c r="O348" s="965"/>
      <c r="P348" s="965"/>
      <c r="Q348" s="965"/>
      <c r="R348" s="965"/>
      <c r="S348" s="965"/>
      <c r="T348" s="965"/>
      <c r="U348" s="965"/>
      <c r="V348" s="965"/>
      <c r="W348" s="965"/>
      <c r="X348" s="965"/>
      <c r="Y348" s="965"/>
      <c r="Z348" s="965"/>
    </row>
    <row r="349">
      <c r="A349" s="965"/>
      <c r="B349" s="965"/>
      <c r="C349" s="965"/>
      <c r="D349" s="965"/>
      <c r="E349" s="965"/>
      <c r="F349" s="965"/>
      <c r="G349" s="965"/>
      <c r="H349" s="965"/>
      <c r="I349" s="965"/>
      <c r="J349" s="965"/>
      <c r="K349" s="965"/>
      <c r="L349" s="965"/>
      <c r="M349" s="965"/>
      <c r="N349" s="965"/>
      <c r="O349" s="965"/>
      <c r="P349" s="965"/>
      <c r="Q349" s="965"/>
      <c r="R349" s="965"/>
      <c r="S349" s="965"/>
      <c r="T349" s="965"/>
      <c r="U349" s="965"/>
      <c r="V349" s="965"/>
      <c r="W349" s="965"/>
      <c r="X349" s="965"/>
      <c r="Y349" s="965"/>
      <c r="Z349" s="965"/>
    </row>
    <row r="350">
      <c r="A350" s="965"/>
      <c r="B350" s="965"/>
      <c r="C350" s="965"/>
      <c r="D350" s="965"/>
      <c r="E350" s="965"/>
      <c r="F350" s="965"/>
      <c r="G350" s="965"/>
      <c r="H350" s="965"/>
      <c r="I350" s="965"/>
      <c r="J350" s="965"/>
      <c r="K350" s="965"/>
      <c r="L350" s="965"/>
      <c r="M350" s="965"/>
      <c r="N350" s="965"/>
      <c r="O350" s="965"/>
      <c r="P350" s="965"/>
      <c r="Q350" s="965"/>
      <c r="R350" s="965"/>
      <c r="S350" s="965"/>
      <c r="T350" s="965"/>
      <c r="U350" s="965"/>
      <c r="V350" s="965"/>
      <c r="W350" s="965"/>
      <c r="X350" s="965"/>
      <c r="Y350" s="965"/>
      <c r="Z350" s="965"/>
    </row>
    <row r="351">
      <c r="A351" s="965"/>
      <c r="B351" s="965"/>
      <c r="C351" s="965"/>
      <c r="D351" s="965"/>
      <c r="E351" s="965"/>
      <c r="F351" s="965"/>
      <c r="G351" s="965"/>
      <c r="H351" s="965"/>
      <c r="I351" s="965"/>
      <c r="J351" s="965"/>
      <c r="K351" s="965"/>
      <c r="L351" s="965"/>
      <c r="M351" s="965"/>
      <c r="N351" s="965"/>
      <c r="O351" s="965"/>
      <c r="P351" s="965"/>
      <c r="Q351" s="965"/>
      <c r="R351" s="965"/>
      <c r="S351" s="965"/>
      <c r="T351" s="965"/>
      <c r="U351" s="965"/>
      <c r="V351" s="965"/>
      <c r="W351" s="965"/>
      <c r="X351" s="965"/>
      <c r="Y351" s="965"/>
      <c r="Z351" s="965"/>
    </row>
    <row r="352">
      <c r="A352" s="965"/>
      <c r="B352" s="965"/>
      <c r="C352" s="965"/>
      <c r="D352" s="965"/>
      <c r="E352" s="965"/>
      <c r="F352" s="965"/>
      <c r="G352" s="965"/>
      <c r="H352" s="965"/>
      <c r="I352" s="965"/>
      <c r="J352" s="965"/>
      <c r="K352" s="965"/>
      <c r="L352" s="965"/>
      <c r="M352" s="965"/>
      <c r="N352" s="965"/>
      <c r="O352" s="965"/>
      <c r="P352" s="965"/>
      <c r="Q352" s="965"/>
      <c r="R352" s="965"/>
      <c r="S352" s="965"/>
      <c r="T352" s="965"/>
      <c r="U352" s="965"/>
      <c r="V352" s="965"/>
      <c r="W352" s="965"/>
      <c r="X352" s="965"/>
      <c r="Y352" s="965"/>
      <c r="Z352" s="965"/>
    </row>
    <row r="353">
      <c r="A353" s="965"/>
      <c r="B353" s="965"/>
      <c r="C353" s="965"/>
      <c r="D353" s="965"/>
      <c r="E353" s="965"/>
      <c r="F353" s="965"/>
      <c r="G353" s="965"/>
      <c r="H353" s="965"/>
      <c r="I353" s="965"/>
      <c r="J353" s="965"/>
      <c r="K353" s="965"/>
      <c r="L353" s="965"/>
      <c r="M353" s="965"/>
      <c r="N353" s="965"/>
      <c r="O353" s="965"/>
      <c r="P353" s="965"/>
      <c r="Q353" s="965"/>
      <c r="R353" s="965"/>
      <c r="S353" s="965"/>
      <c r="T353" s="965"/>
      <c r="U353" s="965"/>
      <c r="V353" s="965"/>
      <c r="W353" s="965"/>
      <c r="X353" s="965"/>
      <c r="Y353" s="965"/>
      <c r="Z353" s="965"/>
    </row>
    <row r="354">
      <c r="A354" s="965"/>
      <c r="B354" s="965"/>
      <c r="C354" s="965"/>
      <c r="D354" s="965"/>
      <c r="E354" s="965"/>
      <c r="F354" s="965"/>
      <c r="G354" s="965"/>
      <c r="H354" s="965"/>
      <c r="I354" s="965"/>
      <c r="J354" s="965"/>
      <c r="K354" s="965"/>
      <c r="L354" s="965"/>
      <c r="M354" s="965"/>
      <c r="N354" s="965"/>
      <c r="O354" s="965"/>
      <c r="P354" s="965"/>
      <c r="Q354" s="965"/>
      <c r="R354" s="965"/>
      <c r="S354" s="965"/>
      <c r="T354" s="965"/>
      <c r="U354" s="965"/>
      <c r="V354" s="965"/>
      <c r="W354" s="965"/>
      <c r="X354" s="965"/>
      <c r="Y354" s="965"/>
      <c r="Z354" s="965"/>
    </row>
    <row r="355">
      <c r="A355" s="965"/>
      <c r="B355" s="965"/>
      <c r="C355" s="965"/>
      <c r="D355" s="965"/>
      <c r="E355" s="965"/>
      <c r="F355" s="965"/>
      <c r="G355" s="965"/>
      <c r="H355" s="965"/>
      <c r="I355" s="965"/>
      <c r="J355" s="965"/>
      <c r="K355" s="965"/>
      <c r="L355" s="965"/>
      <c r="M355" s="965"/>
      <c r="N355" s="965"/>
      <c r="O355" s="965"/>
      <c r="P355" s="965"/>
      <c r="Q355" s="965"/>
      <c r="R355" s="965"/>
      <c r="S355" s="965"/>
      <c r="T355" s="965"/>
      <c r="U355" s="965"/>
      <c r="V355" s="965"/>
      <c r="W355" s="965"/>
      <c r="X355" s="965"/>
      <c r="Y355" s="965"/>
      <c r="Z355" s="965"/>
    </row>
    <row r="356">
      <c r="A356" s="965"/>
      <c r="B356" s="965"/>
      <c r="C356" s="965"/>
      <c r="D356" s="965"/>
      <c r="E356" s="965"/>
      <c r="F356" s="965"/>
      <c r="G356" s="965"/>
      <c r="H356" s="965"/>
      <c r="I356" s="965"/>
      <c r="J356" s="965"/>
      <c r="K356" s="965"/>
      <c r="L356" s="965"/>
      <c r="M356" s="965"/>
      <c r="N356" s="965"/>
      <c r="O356" s="965"/>
      <c r="P356" s="965"/>
      <c r="Q356" s="965"/>
      <c r="R356" s="965"/>
      <c r="S356" s="965"/>
      <c r="T356" s="965"/>
      <c r="U356" s="965"/>
      <c r="V356" s="965"/>
      <c r="W356" s="965"/>
      <c r="X356" s="965"/>
      <c r="Y356" s="965"/>
      <c r="Z356" s="965"/>
    </row>
    <row r="357">
      <c r="A357" s="965"/>
      <c r="B357" s="965"/>
      <c r="C357" s="965"/>
      <c r="D357" s="965"/>
      <c r="E357" s="965"/>
      <c r="F357" s="965"/>
      <c r="G357" s="965"/>
      <c r="H357" s="965"/>
      <c r="I357" s="965"/>
      <c r="J357" s="965"/>
      <c r="K357" s="965"/>
      <c r="L357" s="965"/>
      <c r="M357" s="965"/>
      <c r="N357" s="965"/>
      <c r="O357" s="965"/>
      <c r="P357" s="965"/>
      <c r="Q357" s="965"/>
      <c r="R357" s="965"/>
      <c r="S357" s="965"/>
      <c r="T357" s="965"/>
      <c r="U357" s="965"/>
      <c r="V357" s="965"/>
      <c r="W357" s="965"/>
      <c r="X357" s="965"/>
      <c r="Y357" s="965"/>
      <c r="Z357" s="965"/>
    </row>
    <row r="358">
      <c r="A358" s="965"/>
      <c r="B358" s="965"/>
      <c r="C358" s="965"/>
      <c r="D358" s="965"/>
      <c r="E358" s="965"/>
      <c r="F358" s="965"/>
      <c r="G358" s="965"/>
      <c r="H358" s="965"/>
      <c r="I358" s="965"/>
      <c r="J358" s="965"/>
      <c r="K358" s="965"/>
      <c r="L358" s="965"/>
      <c r="M358" s="965"/>
      <c r="N358" s="965"/>
      <c r="O358" s="965"/>
      <c r="P358" s="965"/>
      <c r="Q358" s="965"/>
      <c r="R358" s="965"/>
      <c r="S358" s="965"/>
      <c r="T358" s="965"/>
      <c r="U358" s="965"/>
      <c r="V358" s="965"/>
      <c r="W358" s="965"/>
      <c r="X358" s="965"/>
      <c r="Y358" s="965"/>
      <c r="Z358" s="965"/>
    </row>
    <row r="359">
      <c r="A359" s="965"/>
      <c r="B359" s="965"/>
      <c r="C359" s="965"/>
      <c r="D359" s="965"/>
      <c r="E359" s="965"/>
      <c r="F359" s="965"/>
      <c r="G359" s="965"/>
      <c r="H359" s="965"/>
      <c r="I359" s="965"/>
      <c r="J359" s="965"/>
      <c r="K359" s="965"/>
      <c r="L359" s="965"/>
      <c r="M359" s="965"/>
      <c r="N359" s="965"/>
      <c r="O359" s="965"/>
      <c r="P359" s="965"/>
      <c r="Q359" s="965"/>
      <c r="R359" s="965"/>
      <c r="S359" s="965"/>
      <c r="T359" s="965"/>
      <c r="U359" s="965"/>
      <c r="V359" s="965"/>
      <c r="W359" s="965"/>
      <c r="X359" s="965"/>
      <c r="Y359" s="965"/>
      <c r="Z359" s="965"/>
    </row>
    <row r="360">
      <c r="A360" s="965"/>
      <c r="B360" s="965"/>
      <c r="C360" s="965"/>
      <c r="D360" s="965"/>
      <c r="E360" s="965"/>
      <c r="F360" s="965"/>
      <c r="G360" s="965"/>
      <c r="H360" s="965"/>
      <c r="I360" s="965"/>
      <c r="J360" s="965"/>
      <c r="K360" s="965"/>
      <c r="L360" s="965"/>
      <c r="M360" s="965"/>
      <c r="N360" s="965"/>
      <c r="O360" s="965"/>
      <c r="P360" s="965"/>
      <c r="Q360" s="965"/>
      <c r="R360" s="965"/>
      <c r="S360" s="965"/>
      <c r="T360" s="965"/>
      <c r="U360" s="965"/>
      <c r="V360" s="965"/>
      <c r="W360" s="965"/>
      <c r="X360" s="965"/>
      <c r="Y360" s="965"/>
      <c r="Z360" s="965"/>
    </row>
    <row r="361">
      <c r="A361" s="965"/>
      <c r="B361" s="965"/>
      <c r="C361" s="965"/>
      <c r="D361" s="965"/>
      <c r="E361" s="965"/>
      <c r="F361" s="965"/>
      <c r="G361" s="965"/>
      <c r="H361" s="965"/>
      <c r="I361" s="965"/>
      <c r="J361" s="965"/>
      <c r="K361" s="965"/>
      <c r="L361" s="965"/>
      <c r="M361" s="965"/>
      <c r="N361" s="965"/>
      <c r="O361" s="965"/>
      <c r="P361" s="965"/>
      <c r="Q361" s="965"/>
      <c r="R361" s="965"/>
      <c r="S361" s="965"/>
      <c r="T361" s="965"/>
      <c r="U361" s="965"/>
      <c r="V361" s="965"/>
      <c r="W361" s="965"/>
      <c r="X361" s="965"/>
      <c r="Y361" s="965"/>
      <c r="Z361" s="965"/>
    </row>
    <row r="362">
      <c r="A362" s="965"/>
      <c r="B362" s="965"/>
      <c r="C362" s="965"/>
      <c r="D362" s="965"/>
      <c r="E362" s="965"/>
      <c r="F362" s="965"/>
      <c r="G362" s="965"/>
      <c r="H362" s="965"/>
      <c r="I362" s="965"/>
      <c r="J362" s="965"/>
      <c r="K362" s="965"/>
      <c r="L362" s="965"/>
      <c r="M362" s="965"/>
      <c r="N362" s="965"/>
      <c r="O362" s="965"/>
      <c r="P362" s="965"/>
      <c r="Q362" s="965"/>
      <c r="R362" s="965"/>
      <c r="S362" s="965"/>
      <c r="T362" s="965"/>
      <c r="U362" s="965"/>
      <c r="V362" s="965"/>
      <c r="W362" s="965"/>
      <c r="X362" s="965"/>
      <c r="Y362" s="965"/>
      <c r="Z362" s="965"/>
    </row>
    <row r="363">
      <c r="A363" s="965"/>
      <c r="B363" s="965"/>
      <c r="C363" s="965"/>
      <c r="D363" s="965"/>
      <c r="E363" s="965"/>
      <c r="F363" s="965"/>
      <c r="G363" s="965"/>
      <c r="H363" s="965"/>
      <c r="I363" s="965"/>
      <c r="J363" s="965"/>
      <c r="K363" s="965"/>
      <c r="L363" s="965"/>
      <c r="M363" s="965"/>
      <c r="N363" s="965"/>
      <c r="O363" s="965"/>
      <c r="P363" s="965"/>
      <c r="Q363" s="965"/>
      <c r="R363" s="965"/>
      <c r="S363" s="965"/>
      <c r="T363" s="965"/>
      <c r="U363" s="965"/>
      <c r="V363" s="965"/>
      <c r="W363" s="965"/>
      <c r="X363" s="965"/>
      <c r="Y363" s="965"/>
      <c r="Z363" s="965"/>
    </row>
    <row r="364">
      <c r="A364" s="965"/>
      <c r="B364" s="965"/>
      <c r="C364" s="965"/>
      <c r="D364" s="965"/>
      <c r="E364" s="965"/>
      <c r="F364" s="965"/>
      <c r="G364" s="965"/>
      <c r="H364" s="965"/>
      <c r="I364" s="965"/>
      <c r="J364" s="965"/>
      <c r="K364" s="965"/>
      <c r="L364" s="965"/>
      <c r="M364" s="965"/>
      <c r="N364" s="965"/>
      <c r="O364" s="965"/>
      <c r="P364" s="965"/>
      <c r="Q364" s="965"/>
      <c r="R364" s="965"/>
      <c r="S364" s="965"/>
      <c r="T364" s="965"/>
      <c r="U364" s="965"/>
      <c r="V364" s="965"/>
      <c r="W364" s="965"/>
      <c r="X364" s="965"/>
      <c r="Y364" s="965"/>
      <c r="Z364" s="965"/>
    </row>
    <row r="365">
      <c r="A365" s="965"/>
      <c r="B365" s="965"/>
      <c r="C365" s="965"/>
      <c r="D365" s="965"/>
      <c r="E365" s="965"/>
      <c r="F365" s="965"/>
      <c r="G365" s="965"/>
      <c r="H365" s="965"/>
      <c r="I365" s="965"/>
      <c r="J365" s="965"/>
      <c r="K365" s="965"/>
      <c r="L365" s="965"/>
      <c r="M365" s="965"/>
      <c r="N365" s="965"/>
      <c r="O365" s="965"/>
      <c r="P365" s="965"/>
      <c r="Q365" s="965"/>
      <c r="R365" s="965"/>
      <c r="S365" s="965"/>
      <c r="T365" s="965"/>
      <c r="U365" s="965"/>
      <c r="V365" s="965"/>
      <c r="W365" s="965"/>
      <c r="X365" s="965"/>
      <c r="Y365" s="965"/>
      <c r="Z365" s="965"/>
    </row>
    <row r="366">
      <c r="A366" s="965"/>
      <c r="B366" s="965"/>
      <c r="C366" s="965"/>
      <c r="D366" s="965"/>
      <c r="E366" s="965"/>
      <c r="F366" s="965"/>
      <c r="G366" s="965"/>
      <c r="H366" s="965"/>
      <c r="I366" s="965"/>
      <c r="J366" s="965"/>
      <c r="K366" s="965"/>
      <c r="L366" s="965"/>
      <c r="M366" s="965"/>
      <c r="N366" s="965"/>
      <c r="O366" s="965"/>
      <c r="P366" s="965"/>
      <c r="Q366" s="965"/>
      <c r="R366" s="965"/>
      <c r="S366" s="965"/>
      <c r="T366" s="965"/>
      <c r="U366" s="965"/>
      <c r="V366" s="965"/>
      <c r="W366" s="965"/>
      <c r="X366" s="965"/>
      <c r="Y366" s="965"/>
      <c r="Z366" s="965"/>
    </row>
    <row r="367">
      <c r="A367" s="965"/>
      <c r="B367" s="965"/>
      <c r="C367" s="965"/>
      <c r="D367" s="965"/>
      <c r="E367" s="965"/>
      <c r="F367" s="965"/>
      <c r="G367" s="965"/>
      <c r="H367" s="965"/>
      <c r="I367" s="965"/>
      <c r="J367" s="965"/>
      <c r="K367" s="965"/>
      <c r="L367" s="965"/>
      <c r="M367" s="965"/>
      <c r="N367" s="965"/>
      <c r="O367" s="965"/>
      <c r="P367" s="965"/>
      <c r="Q367" s="965"/>
      <c r="R367" s="965"/>
      <c r="S367" s="965"/>
      <c r="T367" s="965"/>
      <c r="U367" s="965"/>
      <c r="V367" s="965"/>
      <c r="W367" s="965"/>
      <c r="X367" s="965"/>
      <c r="Y367" s="965"/>
      <c r="Z367" s="965"/>
    </row>
    <row r="368">
      <c r="A368" s="965"/>
      <c r="B368" s="965"/>
      <c r="C368" s="965"/>
      <c r="D368" s="965"/>
      <c r="E368" s="965"/>
      <c r="F368" s="965"/>
      <c r="G368" s="965"/>
      <c r="H368" s="965"/>
      <c r="I368" s="965"/>
      <c r="J368" s="965"/>
      <c r="K368" s="965"/>
      <c r="L368" s="965"/>
      <c r="M368" s="965"/>
      <c r="N368" s="965"/>
      <c r="O368" s="965"/>
      <c r="P368" s="965"/>
      <c r="Q368" s="965"/>
      <c r="R368" s="965"/>
      <c r="S368" s="965"/>
      <c r="T368" s="965"/>
      <c r="U368" s="965"/>
      <c r="V368" s="965"/>
      <c r="W368" s="965"/>
      <c r="X368" s="965"/>
      <c r="Y368" s="965"/>
      <c r="Z368" s="965"/>
    </row>
    <row r="369">
      <c r="A369" s="965"/>
      <c r="B369" s="965"/>
      <c r="C369" s="965"/>
      <c r="D369" s="965"/>
      <c r="E369" s="965"/>
      <c r="F369" s="965"/>
      <c r="G369" s="965"/>
      <c r="H369" s="965"/>
      <c r="I369" s="965"/>
      <c r="J369" s="965"/>
      <c r="K369" s="965"/>
      <c r="L369" s="965"/>
      <c r="M369" s="965"/>
      <c r="N369" s="965"/>
      <c r="O369" s="965"/>
      <c r="P369" s="965"/>
      <c r="Q369" s="965"/>
      <c r="R369" s="965"/>
      <c r="S369" s="965"/>
      <c r="T369" s="965"/>
      <c r="U369" s="965"/>
      <c r="V369" s="965"/>
      <c r="W369" s="965"/>
      <c r="X369" s="965"/>
      <c r="Y369" s="965"/>
      <c r="Z369" s="965"/>
    </row>
    <row r="370">
      <c r="A370" s="965"/>
      <c r="B370" s="965"/>
      <c r="C370" s="965"/>
      <c r="D370" s="965"/>
      <c r="E370" s="965"/>
      <c r="F370" s="965"/>
      <c r="G370" s="965"/>
      <c r="H370" s="965"/>
      <c r="I370" s="965"/>
      <c r="J370" s="965"/>
      <c r="K370" s="965"/>
      <c r="L370" s="965"/>
      <c r="M370" s="965"/>
      <c r="N370" s="965"/>
      <c r="O370" s="965"/>
      <c r="P370" s="965"/>
      <c r="Q370" s="965"/>
      <c r="R370" s="965"/>
      <c r="S370" s="965"/>
      <c r="T370" s="965"/>
      <c r="U370" s="965"/>
      <c r="V370" s="965"/>
      <c r="W370" s="965"/>
      <c r="X370" s="965"/>
      <c r="Y370" s="965"/>
      <c r="Z370" s="965"/>
    </row>
    <row r="371">
      <c r="A371" s="965"/>
      <c r="B371" s="965"/>
      <c r="C371" s="965"/>
      <c r="D371" s="965"/>
      <c r="E371" s="965"/>
      <c r="F371" s="965"/>
      <c r="G371" s="965"/>
      <c r="H371" s="965"/>
      <c r="I371" s="965"/>
      <c r="J371" s="965"/>
      <c r="K371" s="965"/>
      <c r="L371" s="965"/>
      <c r="M371" s="965"/>
      <c r="N371" s="965"/>
      <c r="O371" s="965"/>
      <c r="P371" s="965"/>
      <c r="Q371" s="965"/>
      <c r="R371" s="965"/>
      <c r="S371" s="965"/>
      <c r="T371" s="965"/>
      <c r="U371" s="965"/>
      <c r="V371" s="965"/>
      <c r="W371" s="965"/>
      <c r="X371" s="965"/>
      <c r="Y371" s="965"/>
      <c r="Z371" s="965"/>
    </row>
    <row r="372">
      <c r="A372" s="965"/>
      <c r="B372" s="965"/>
      <c r="C372" s="965"/>
      <c r="D372" s="965"/>
      <c r="E372" s="965"/>
      <c r="F372" s="965"/>
      <c r="G372" s="965"/>
      <c r="H372" s="965"/>
      <c r="I372" s="965"/>
      <c r="J372" s="965"/>
      <c r="K372" s="965"/>
      <c r="L372" s="965"/>
      <c r="M372" s="965"/>
      <c r="N372" s="965"/>
      <c r="O372" s="965"/>
      <c r="P372" s="965"/>
      <c r="Q372" s="965"/>
      <c r="R372" s="965"/>
      <c r="S372" s="965"/>
      <c r="T372" s="965"/>
      <c r="U372" s="965"/>
      <c r="V372" s="965"/>
      <c r="W372" s="965"/>
      <c r="X372" s="965"/>
      <c r="Y372" s="965"/>
      <c r="Z372" s="965"/>
    </row>
    <row r="373">
      <c r="A373" s="965"/>
      <c r="B373" s="965"/>
      <c r="C373" s="965"/>
      <c r="D373" s="965"/>
      <c r="E373" s="965"/>
      <c r="F373" s="965"/>
      <c r="G373" s="965"/>
      <c r="H373" s="965"/>
      <c r="I373" s="965"/>
      <c r="J373" s="965"/>
      <c r="K373" s="965"/>
      <c r="L373" s="965"/>
      <c r="M373" s="965"/>
      <c r="N373" s="965"/>
      <c r="O373" s="965"/>
      <c r="P373" s="965"/>
      <c r="Q373" s="965"/>
      <c r="R373" s="965"/>
      <c r="S373" s="965"/>
      <c r="T373" s="965"/>
      <c r="U373" s="965"/>
      <c r="V373" s="965"/>
      <c r="W373" s="965"/>
      <c r="X373" s="965"/>
      <c r="Y373" s="965"/>
      <c r="Z373" s="965"/>
    </row>
    <row r="374">
      <c r="A374" s="965"/>
      <c r="B374" s="965"/>
      <c r="C374" s="965"/>
      <c r="D374" s="965"/>
      <c r="E374" s="965"/>
      <c r="F374" s="965"/>
      <c r="G374" s="965"/>
      <c r="H374" s="965"/>
      <c r="I374" s="965"/>
      <c r="J374" s="965"/>
      <c r="K374" s="965"/>
      <c r="L374" s="965"/>
      <c r="M374" s="965"/>
      <c r="N374" s="965"/>
      <c r="O374" s="965"/>
      <c r="P374" s="965"/>
      <c r="Q374" s="965"/>
      <c r="R374" s="965"/>
      <c r="S374" s="965"/>
      <c r="T374" s="965"/>
      <c r="U374" s="965"/>
      <c r="V374" s="965"/>
      <c r="W374" s="965"/>
      <c r="X374" s="965"/>
      <c r="Y374" s="965"/>
      <c r="Z374" s="965"/>
    </row>
    <row r="375">
      <c r="A375" s="965"/>
      <c r="B375" s="965"/>
      <c r="C375" s="965"/>
      <c r="D375" s="965"/>
      <c r="E375" s="965"/>
      <c r="F375" s="965"/>
      <c r="G375" s="965"/>
      <c r="H375" s="965"/>
      <c r="I375" s="965"/>
      <c r="J375" s="965"/>
      <c r="K375" s="965"/>
      <c r="L375" s="965"/>
      <c r="M375" s="965"/>
      <c r="N375" s="965"/>
      <c r="O375" s="965"/>
      <c r="P375" s="965"/>
      <c r="Q375" s="965"/>
      <c r="R375" s="965"/>
      <c r="S375" s="965"/>
      <c r="T375" s="965"/>
      <c r="U375" s="965"/>
      <c r="V375" s="965"/>
      <c r="W375" s="965"/>
      <c r="X375" s="965"/>
      <c r="Y375" s="965"/>
      <c r="Z375" s="965"/>
    </row>
    <row r="376">
      <c r="A376" s="965"/>
      <c r="B376" s="965"/>
      <c r="C376" s="965"/>
      <c r="D376" s="965"/>
      <c r="E376" s="965"/>
      <c r="F376" s="965"/>
      <c r="G376" s="965"/>
      <c r="H376" s="965"/>
      <c r="I376" s="965"/>
      <c r="J376" s="965"/>
      <c r="K376" s="965"/>
      <c r="L376" s="965"/>
      <c r="M376" s="965"/>
      <c r="N376" s="965"/>
      <c r="O376" s="965"/>
      <c r="P376" s="965"/>
      <c r="Q376" s="965"/>
      <c r="R376" s="965"/>
      <c r="S376" s="965"/>
      <c r="T376" s="965"/>
      <c r="U376" s="965"/>
      <c r="V376" s="965"/>
      <c r="W376" s="965"/>
      <c r="X376" s="965"/>
      <c r="Y376" s="965"/>
      <c r="Z376" s="965"/>
    </row>
    <row r="377">
      <c r="A377" s="965"/>
      <c r="B377" s="965"/>
      <c r="C377" s="965"/>
      <c r="D377" s="965"/>
      <c r="E377" s="965"/>
      <c r="F377" s="965"/>
      <c r="G377" s="965"/>
      <c r="H377" s="965"/>
      <c r="I377" s="965"/>
      <c r="J377" s="965"/>
      <c r="K377" s="965"/>
      <c r="L377" s="965"/>
      <c r="M377" s="965"/>
      <c r="N377" s="965"/>
      <c r="O377" s="965"/>
      <c r="P377" s="965"/>
      <c r="Q377" s="965"/>
      <c r="R377" s="965"/>
      <c r="S377" s="965"/>
      <c r="T377" s="965"/>
      <c r="U377" s="965"/>
      <c r="V377" s="965"/>
      <c r="W377" s="965"/>
      <c r="X377" s="965"/>
      <c r="Y377" s="965"/>
      <c r="Z377" s="965"/>
    </row>
    <row r="378">
      <c r="A378" s="965"/>
      <c r="B378" s="965"/>
      <c r="C378" s="965"/>
      <c r="D378" s="965"/>
      <c r="E378" s="965"/>
      <c r="F378" s="965"/>
      <c r="G378" s="965"/>
      <c r="H378" s="965"/>
      <c r="I378" s="965"/>
      <c r="J378" s="965"/>
      <c r="K378" s="965"/>
      <c r="L378" s="965"/>
      <c r="M378" s="965"/>
      <c r="N378" s="965"/>
      <c r="O378" s="965"/>
      <c r="P378" s="965"/>
      <c r="Q378" s="965"/>
      <c r="R378" s="965"/>
      <c r="S378" s="965"/>
      <c r="T378" s="965"/>
      <c r="U378" s="965"/>
      <c r="V378" s="965"/>
      <c r="W378" s="965"/>
      <c r="X378" s="965"/>
      <c r="Y378" s="965"/>
      <c r="Z378" s="965"/>
    </row>
    <row r="379">
      <c r="A379" s="965"/>
      <c r="B379" s="965"/>
      <c r="C379" s="965"/>
      <c r="D379" s="965"/>
      <c r="E379" s="965"/>
      <c r="F379" s="965"/>
      <c r="G379" s="965"/>
      <c r="H379" s="965"/>
      <c r="I379" s="965"/>
      <c r="J379" s="965"/>
      <c r="K379" s="965"/>
      <c r="L379" s="965"/>
      <c r="M379" s="965"/>
      <c r="N379" s="965"/>
      <c r="O379" s="965"/>
      <c r="P379" s="965"/>
      <c r="Q379" s="965"/>
      <c r="R379" s="965"/>
      <c r="S379" s="965"/>
      <c r="T379" s="965"/>
      <c r="U379" s="965"/>
      <c r="V379" s="965"/>
      <c r="W379" s="965"/>
      <c r="X379" s="965"/>
      <c r="Y379" s="965"/>
      <c r="Z379" s="965"/>
    </row>
    <row r="380">
      <c r="A380" s="965"/>
      <c r="B380" s="965"/>
      <c r="C380" s="965"/>
      <c r="D380" s="965"/>
      <c r="E380" s="965"/>
      <c r="F380" s="965"/>
      <c r="G380" s="965"/>
      <c r="H380" s="965"/>
      <c r="I380" s="965"/>
      <c r="J380" s="965"/>
      <c r="K380" s="965"/>
      <c r="L380" s="965"/>
      <c r="M380" s="965"/>
      <c r="N380" s="965"/>
      <c r="O380" s="965"/>
      <c r="P380" s="965"/>
      <c r="Q380" s="965"/>
      <c r="R380" s="965"/>
      <c r="S380" s="965"/>
      <c r="T380" s="965"/>
      <c r="U380" s="965"/>
      <c r="V380" s="965"/>
      <c r="W380" s="965"/>
      <c r="X380" s="965"/>
      <c r="Y380" s="965"/>
      <c r="Z380" s="965"/>
    </row>
    <row r="381">
      <c r="A381" s="965"/>
      <c r="B381" s="965"/>
      <c r="C381" s="965"/>
      <c r="D381" s="965"/>
      <c r="E381" s="965"/>
      <c r="F381" s="965"/>
      <c r="G381" s="965"/>
      <c r="H381" s="965"/>
      <c r="I381" s="965"/>
      <c r="J381" s="965"/>
      <c r="K381" s="965"/>
      <c r="L381" s="965"/>
      <c r="M381" s="965"/>
      <c r="N381" s="965"/>
      <c r="O381" s="965"/>
      <c r="P381" s="965"/>
      <c r="Q381" s="965"/>
      <c r="R381" s="965"/>
      <c r="S381" s="965"/>
      <c r="T381" s="965"/>
      <c r="U381" s="965"/>
      <c r="V381" s="965"/>
      <c r="W381" s="965"/>
      <c r="X381" s="965"/>
      <c r="Y381" s="965"/>
      <c r="Z381" s="965"/>
    </row>
    <row r="382">
      <c r="A382" s="965"/>
      <c r="B382" s="965"/>
      <c r="C382" s="965"/>
      <c r="D382" s="965"/>
      <c r="E382" s="965"/>
      <c r="F382" s="965"/>
      <c r="G382" s="965"/>
      <c r="H382" s="965"/>
      <c r="I382" s="965"/>
      <c r="J382" s="965"/>
      <c r="K382" s="965"/>
      <c r="L382" s="965"/>
      <c r="M382" s="965"/>
      <c r="N382" s="965"/>
      <c r="O382" s="965"/>
      <c r="P382" s="965"/>
      <c r="Q382" s="965"/>
      <c r="R382" s="965"/>
      <c r="S382" s="965"/>
      <c r="T382" s="965"/>
      <c r="U382" s="965"/>
      <c r="V382" s="965"/>
      <c r="W382" s="965"/>
      <c r="X382" s="965"/>
      <c r="Y382" s="965"/>
      <c r="Z382" s="965"/>
    </row>
    <row r="383">
      <c r="A383" s="965"/>
      <c r="B383" s="965"/>
      <c r="C383" s="965"/>
      <c r="D383" s="965"/>
      <c r="E383" s="965"/>
      <c r="F383" s="965"/>
      <c r="G383" s="965"/>
      <c r="H383" s="965"/>
      <c r="I383" s="965"/>
      <c r="J383" s="965"/>
      <c r="K383" s="965"/>
      <c r="L383" s="965"/>
      <c r="M383" s="965"/>
      <c r="N383" s="965"/>
      <c r="O383" s="965"/>
      <c r="P383" s="965"/>
      <c r="Q383" s="965"/>
      <c r="R383" s="965"/>
      <c r="S383" s="965"/>
      <c r="T383" s="965"/>
      <c r="U383" s="965"/>
      <c r="V383" s="965"/>
      <c r="W383" s="965"/>
      <c r="X383" s="965"/>
      <c r="Y383" s="965"/>
      <c r="Z383" s="965"/>
    </row>
    <row r="384">
      <c r="A384" s="965"/>
      <c r="B384" s="965"/>
      <c r="C384" s="965"/>
      <c r="D384" s="965"/>
      <c r="E384" s="965"/>
      <c r="F384" s="965"/>
      <c r="G384" s="965"/>
      <c r="H384" s="965"/>
      <c r="I384" s="965"/>
      <c r="J384" s="965"/>
      <c r="K384" s="965"/>
      <c r="L384" s="965"/>
      <c r="M384" s="965"/>
      <c r="N384" s="965"/>
      <c r="O384" s="965"/>
      <c r="P384" s="965"/>
      <c r="Q384" s="965"/>
      <c r="R384" s="965"/>
      <c r="S384" s="965"/>
      <c r="T384" s="965"/>
      <c r="U384" s="965"/>
      <c r="V384" s="965"/>
      <c r="W384" s="965"/>
      <c r="X384" s="965"/>
      <c r="Y384" s="965"/>
      <c r="Z384" s="965"/>
    </row>
    <row r="385">
      <c r="A385" s="965"/>
      <c r="B385" s="965"/>
      <c r="C385" s="965"/>
      <c r="D385" s="965"/>
      <c r="E385" s="965"/>
      <c r="F385" s="965"/>
      <c r="G385" s="965"/>
      <c r="H385" s="965"/>
      <c r="I385" s="965"/>
      <c r="J385" s="965"/>
      <c r="K385" s="965"/>
      <c r="L385" s="965"/>
      <c r="M385" s="965"/>
      <c r="N385" s="965"/>
      <c r="O385" s="965"/>
      <c r="P385" s="965"/>
      <c r="Q385" s="965"/>
      <c r="R385" s="965"/>
      <c r="S385" s="965"/>
      <c r="T385" s="965"/>
      <c r="U385" s="965"/>
      <c r="V385" s="965"/>
      <c r="W385" s="965"/>
      <c r="X385" s="965"/>
      <c r="Y385" s="965"/>
      <c r="Z385" s="965"/>
    </row>
    <row r="386">
      <c r="A386" s="965"/>
      <c r="B386" s="965"/>
      <c r="C386" s="965"/>
      <c r="D386" s="965"/>
      <c r="E386" s="965"/>
      <c r="F386" s="965"/>
      <c r="G386" s="965"/>
      <c r="H386" s="965"/>
      <c r="I386" s="965"/>
      <c r="J386" s="965"/>
      <c r="K386" s="965"/>
      <c r="L386" s="965"/>
      <c r="M386" s="965"/>
      <c r="N386" s="965"/>
      <c r="O386" s="965"/>
      <c r="P386" s="965"/>
      <c r="Q386" s="965"/>
      <c r="R386" s="965"/>
      <c r="S386" s="965"/>
      <c r="T386" s="965"/>
      <c r="U386" s="965"/>
      <c r="V386" s="965"/>
      <c r="W386" s="965"/>
      <c r="X386" s="965"/>
      <c r="Y386" s="965"/>
      <c r="Z386" s="965"/>
    </row>
    <row r="387">
      <c r="A387" s="965"/>
      <c r="B387" s="965"/>
      <c r="C387" s="965"/>
      <c r="D387" s="965"/>
      <c r="E387" s="965"/>
      <c r="F387" s="965"/>
      <c r="G387" s="965"/>
      <c r="H387" s="965"/>
      <c r="I387" s="965"/>
      <c r="J387" s="965"/>
      <c r="K387" s="965"/>
      <c r="L387" s="965"/>
      <c r="M387" s="965"/>
      <c r="N387" s="965"/>
      <c r="O387" s="965"/>
      <c r="P387" s="965"/>
      <c r="Q387" s="965"/>
      <c r="R387" s="965"/>
      <c r="S387" s="965"/>
      <c r="T387" s="965"/>
      <c r="U387" s="965"/>
      <c r="V387" s="965"/>
      <c r="W387" s="965"/>
      <c r="X387" s="965"/>
      <c r="Y387" s="965"/>
      <c r="Z387" s="965"/>
    </row>
    <row r="388">
      <c r="A388" s="965"/>
      <c r="B388" s="965"/>
      <c r="C388" s="965"/>
      <c r="D388" s="965"/>
      <c r="E388" s="965"/>
      <c r="F388" s="965"/>
      <c r="G388" s="965"/>
      <c r="H388" s="965"/>
      <c r="I388" s="965"/>
      <c r="J388" s="965"/>
      <c r="K388" s="965"/>
      <c r="L388" s="965"/>
      <c r="M388" s="965"/>
      <c r="N388" s="965"/>
      <c r="O388" s="965"/>
      <c r="P388" s="965"/>
      <c r="Q388" s="965"/>
      <c r="R388" s="965"/>
      <c r="S388" s="965"/>
      <c r="T388" s="965"/>
      <c r="U388" s="965"/>
      <c r="V388" s="965"/>
      <c r="W388" s="965"/>
      <c r="X388" s="965"/>
      <c r="Y388" s="965"/>
      <c r="Z388" s="965"/>
    </row>
    <row r="389">
      <c r="A389" s="965"/>
      <c r="B389" s="965"/>
      <c r="C389" s="965"/>
      <c r="D389" s="965"/>
      <c r="E389" s="965"/>
      <c r="F389" s="965"/>
      <c r="G389" s="965"/>
      <c r="H389" s="965"/>
      <c r="I389" s="965"/>
      <c r="J389" s="965"/>
      <c r="K389" s="965"/>
      <c r="L389" s="965"/>
      <c r="M389" s="965"/>
      <c r="N389" s="965"/>
      <c r="O389" s="965"/>
      <c r="P389" s="965"/>
      <c r="Q389" s="965"/>
      <c r="R389" s="965"/>
      <c r="S389" s="965"/>
      <c r="T389" s="965"/>
      <c r="U389" s="965"/>
      <c r="V389" s="965"/>
      <c r="W389" s="965"/>
      <c r="X389" s="965"/>
      <c r="Y389" s="965"/>
      <c r="Z389" s="965"/>
    </row>
    <row r="390">
      <c r="A390" s="965"/>
      <c r="B390" s="965"/>
      <c r="C390" s="965"/>
      <c r="D390" s="965"/>
      <c r="E390" s="965"/>
      <c r="F390" s="965"/>
      <c r="G390" s="965"/>
      <c r="H390" s="965"/>
      <c r="I390" s="965"/>
      <c r="J390" s="965"/>
      <c r="K390" s="965"/>
      <c r="L390" s="965"/>
      <c r="M390" s="965"/>
      <c r="N390" s="965"/>
      <c r="O390" s="965"/>
      <c r="P390" s="965"/>
      <c r="Q390" s="965"/>
      <c r="R390" s="965"/>
      <c r="S390" s="965"/>
      <c r="T390" s="965"/>
      <c r="U390" s="965"/>
      <c r="V390" s="965"/>
      <c r="W390" s="965"/>
      <c r="X390" s="965"/>
      <c r="Y390" s="965"/>
      <c r="Z390" s="965"/>
    </row>
    <row r="391">
      <c r="A391" s="965"/>
      <c r="B391" s="965"/>
      <c r="C391" s="965"/>
      <c r="D391" s="965"/>
      <c r="E391" s="965"/>
      <c r="F391" s="965"/>
      <c r="G391" s="965"/>
      <c r="H391" s="965"/>
      <c r="I391" s="965"/>
      <c r="J391" s="965"/>
      <c r="K391" s="965"/>
      <c r="L391" s="965"/>
      <c r="M391" s="965"/>
      <c r="N391" s="965"/>
      <c r="O391" s="965"/>
      <c r="P391" s="965"/>
      <c r="Q391" s="965"/>
      <c r="R391" s="965"/>
      <c r="S391" s="965"/>
      <c r="T391" s="965"/>
      <c r="U391" s="965"/>
      <c r="V391" s="965"/>
      <c r="W391" s="965"/>
      <c r="X391" s="965"/>
      <c r="Y391" s="965"/>
      <c r="Z391" s="965"/>
    </row>
    <row r="392">
      <c r="A392" s="965"/>
      <c r="B392" s="965"/>
      <c r="C392" s="965"/>
      <c r="D392" s="965"/>
      <c r="E392" s="965"/>
      <c r="F392" s="965"/>
      <c r="G392" s="965"/>
      <c r="H392" s="965"/>
      <c r="I392" s="965"/>
      <c r="J392" s="965"/>
      <c r="K392" s="965"/>
      <c r="L392" s="965"/>
      <c r="M392" s="965"/>
      <c r="N392" s="965"/>
      <c r="O392" s="965"/>
      <c r="P392" s="965"/>
      <c r="Q392" s="965"/>
      <c r="R392" s="965"/>
      <c r="S392" s="965"/>
      <c r="T392" s="965"/>
      <c r="U392" s="965"/>
      <c r="V392" s="965"/>
      <c r="W392" s="965"/>
      <c r="X392" s="965"/>
      <c r="Y392" s="965"/>
      <c r="Z392" s="965"/>
    </row>
    <row r="393">
      <c r="A393" s="965"/>
      <c r="B393" s="965"/>
      <c r="C393" s="965"/>
      <c r="D393" s="965"/>
      <c r="E393" s="965"/>
      <c r="F393" s="965"/>
      <c r="G393" s="965"/>
      <c r="H393" s="965"/>
      <c r="I393" s="965"/>
      <c r="J393" s="965"/>
      <c r="K393" s="965"/>
      <c r="L393" s="965"/>
      <c r="M393" s="965"/>
      <c r="N393" s="965"/>
      <c r="O393" s="965"/>
      <c r="P393" s="965"/>
      <c r="Q393" s="965"/>
      <c r="R393" s="965"/>
      <c r="S393" s="965"/>
      <c r="T393" s="965"/>
      <c r="U393" s="965"/>
      <c r="V393" s="965"/>
      <c r="W393" s="965"/>
      <c r="X393" s="965"/>
      <c r="Y393" s="965"/>
      <c r="Z393" s="965"/>
    </row>
    <row r="394">
      <c r="A394" s="965"/>
      <c r="B394" s="965"/>
      <c r="C394" s="965"/>
      <c r="D394" s="965"/>
      <c r="E394" s="965"/>
      <c r="F394" s="965"/>
      <c r="G394" s="965"/>
      <c r="H394" s="965"/>
      <c r="I394" s="965"/>
      <c r="J394" s="965"/>
      <c r="K394" s="965"/>
      <c r="L394" s="965"/>
      <c r="M394" s="965"/>
      <c r="N394" s="965"/>
      <c r="O394" s="965"/>
      <c r="P394" s="965"/>
      <c r="Q394" s="965"/>
      <c r="R394" s="965"/>
      <c r="S394" s="965"/>
      <c r="T394" s="965"/>
      <c r="U394" s="965"/>
      <c r="V394" s="965"/>
      <c r="W394" s="965"/>
      <c r="X394" s="965"/>
      <c r="Y394" s="965"/>
      <c r="Z394" s="965"/>
    </row>
    <row r="395">
      <c r="A395" s="965"/>
      <c r="B395" s="965"/>
      <c r="C395" s="965"/>
      <c r="D395" s="965"/>
      <c r="E395" s="965"/>
      <c r="F395" s="965"/>
      <c r="G395" s="965"/>
      <c r="H395" s="965"/>
      <c r="I395" s="965"/>
      <c r="J395" s="965"/>
      <c r="K395" s="965"/>
      <c r="L395" s="965"/>
      <c r="M395" s="965"/>
      <c r="N395" s="965"/>
      <c r="O395" s="965"/>
      <c r="P395" s="965"/>
      <c r="Q395" s="965"/>
      <c r="R395" s="965"/>
      <c r="S395" s="965"/>
      <c r="T395" s="965"/>
      <c r="U395" s="965"/>
      <c r="V395" s="965"/>
      <c r="W395" s="965"/>
      <c r="X395" s="965"/>
      <c r="Y395" s="965"/>
      <c r="Z395" s="965"/>
    </row>
    <row r="396">
      <c r="A396" s="965"/>
      <c r="B396" s="965"/>
      <c r="C396" s="965"/>
      <c r="D396" s="965"/>
      <c r="E396" s="965"/>
      <c r="F396" s="965"/>
      <c r="G396" s="965"/>
      <c r="H396" s="965"/>
      <c r="I396" s="965"/>
      <c r="J396" s="965"/>
      <c r="K396" s="965"/>
      <c r="L396" s="965"/>
      <c r="M396" s="965"/>
      <c r="N396" s="965"/>
      <c r="O396" s="965"/>
      <c r="P396" s="965"/>
      <c r="Q396" s="965"/>
      <c r="R396" s="965"/>
      <c r="S396" s="965"/>
      <c r="T396" s="965"/>
      <c r="U396" s="965"/>
      <c r="V396" s="965"/>
      <c r="W396" s="965"/>
      <c r="X396" s="965"/>
      <c r="Y396" s="965"/>
      <c r="Z396" s="965"/>
    </row>
    <row r="397">
      <c r="A397" s="965"/>
      <c r="B397" s="965"/>
      <c r="C397" s="965"/>
      <c r="D397" s="965"/>
      <c r="E397" s="965"/>
      <c r="F397" s="965"/>
      <c r="G397" s="965"/>
      <c r="H397" s="965"/>
      <c r="I397" s="965"/>
      <c r="J397" s="965"/>
      <c r="K397" s="965"/>
      <c r="L397" s="965"/>
      <c r="M397" s="965"/>
      <c r="N397" s="965"/>
      <c r="O397" s="965"/>
      <c r="P397" s="965"/>
      <c r="Q397" s="965"/>
      <c r="R397" s="965"/>
      <c r="S397" s="965"/>
      <c r="T397" s="965"/>
      <c r="U397" s="965"/>
      <c r="V397" s="965"/>
      <c r="W397" s="965"/>
      <c r="X397" s="965"/>
      <c r="Y397" s="965"/>
      <c r="Z397" s="965"/>
    </row>
    <row r="398">
      <c r="A398" s="965"/>
      <c r="B398" s="965"/>
      <c r="C398" s="965"/>
      <c r="D398" s="965"/>
      <c r="E398" s="965"/>
      <c r="F398" s="965"/>
      <c r="G398" s="965"/>
      <c r="H398" s="965"/>
      <c r="I398" s="965"/>
      <c r="J398" s="965"/>
      <c r="K398" s="965"/>
      <c r="L398" s="965"/>
      <c r="M398" s="965"/>
      <c r="N398" s="965"/>
      <c r="O398" s="965"/>
      <c r="P398" s="965"/>
      <c r="Q398" s="965"/>
      <c r="R398" s="965"/>
      <c r="S398" s="965"/>
      <c r="T398" s="965"/>
      <c r="U398" s="965"/>
      <c r="V398" s="965"/>
      <c r="W398" s="965"/>
      <c r="X398" s="965"/>
      <c r="Y398" s="965"/>
      <c r="Z398" s="965"/>
    </row>
    <row r="399">
      <c r="A399" s="965"/>
      <c r="B399" s="965"/>
      <c r="C399" s="965"/>
      <c r="D399" s="965"/>
      <c r="E399" s="965"/>
      <c r="F399" s="965"/>
      <c r="G399" s="965"/>
      <c r="H399" s="965"/>
      <c r="I399" s="965"/>
      <c r="J399" s="965"/>
      <c r="K399" s="965"/>
      <c r="L399" s="965"/>
      <c r="M399" s="965"/>
      <c r="N399" s="965"/>
      <c r="O399" s="965"/>
      <c r="P399" s="965"/>
      <c r="Q399" s="965"/>
      <c r="R399" s="965"/>
      <c r="S399" s="965"/>
      <c r="T399" s="965"/>
      <c r="U399" s="965"/>
      <c r="V399" s="965"/>
      <c r="W399" s="965"/>
      <c r="X399" s="965"/>
      <c r="Y399" s="965"/>
      <c r="Z399" s="965"/>
    </row>
    <row r="400">
      <c r="A400" s="965"/>
      <c r="B400" s="965"/>
      <c r="C400" s="965"/>
      <c r="D400" s="965"/>
      <c r="E400" s="965"/>
      <c r="F400" s="965"/>
      <c r="G400" s="965"/>
      <c r="H400" s="965"/>
      <c r="I400" s="965"/>
      <c r="J400" s="965"/>
      <c r="K400" s="965"/>
      <c r="L400" s="965"/>
      <c r="M400" s="965"/>
      <c r="N400" s="965"/>
      <c r="O400" s="965"/>
      <c r="P400" s="965"/>
      <c r="Q400" s="965"/>
      <c r="R400" s="965"/>
      <c r="S400" s="965"/>
      <c r="T400" s="965"/>
      <c r="U400" s="965"/>
      <c r="V400" s="965"/>
      <c r="W400" s="965"/>
      <c r="X400" s="965"/>
      <c r="Y400" s="965"/>
      <c r="Z400" s="965"/>
    </row>
    <row r="401">
      <c r="A401" s="965"/>
      <c r="B401" s="965"/>
      <c r="C401" s="965"/>
      <c r="D401" s="965"/>
      <c r="E401" s="965"/>
      <c r="F401" s="965"/>
      <c r="G401" s="965"/>
      <c r="H401" s="965"/>
      <c r="I401" s="965"/>
      <c r="J401" s="965"/>
      <c r="K401" s="965"/>
      <c r="L401" s="965"/>
      <c r="M401" s="965"/>
      <c r="N401" s="965"/>
      <c r="O401" s="965"/>
      <c r="P401" s="965"/>
      <c r="Q401" s="965"/>
      <c r="R401" s="965"/>
      <c r="S401" s="965"/>
      <c r="T401" s="965"/>
      <c r="U401" s="965"/>
      <c r="V401" s="965"/>
      <c r="W401" s="965"/>
      <c r="X401" s="965"/>
      <c r="Y401" s="965"/>
      <c r="Z401" s="965"/>
    </row>
    <row r="402">
      <c r="A402" s="965"/>
      <c r="B402" s="965"/>
      <c r="C402" s="965"/>
      <c r="D402" s="965"/>
      <c r="E402" s="965"/>
      <c r="F402" s="965"/>
      <c r="G402" s="965"/>
      <c r="H402" s="965"/>
      <c r="I402" s="965"/>
      <c r="J402" s="965"/>
      <c r="K402" s="965"/>
      <c r="L402" s="965"/>
      <c r="M402" s="965"/>
      <c r="N402" s="965"/>
      <c r="O402" s="965"/>
      <c r="P402" s="965"/>
      <c r="Q402" s="965"/>
      <c r="R402" s="965"/>
      <c r="S402" s="965"/>
      <c r="T402" s="965"/>
      <c r="U402" s="965"/>
      <c r="V402" s="965"/>
      <c r="W402" s="965"/>
      <c r="X402" s="965"/>
      <c r="Y402" s="965"/>
      <c r="Z402" s="965"/>
    </row>
    <row r="403">
      <c r="A403" s="965"/>
      <c r="B403" s="965"/>
      <c r="C403" s="965"/>
      <c r="D403" s="965"/>
      <c r="E403" s="965"/>
      <c r="F403" s="965"/>
      <c r="G403" s="965"/>
      <c r="H403" s="965"/>
      <c r="I403" s="965"/>
      <c r="J403" s="965"/>
      <c r="K403" s="965"/>
      <c r="L403" s="965"/>
      <c r="M403" s="965"/>
      <c r="N403" s="965"/>
      <c r="O403" s="965"/>
      <c r="P403" s="965"/>
      <c r="Q403" s="965"/>
      <c r="R403" s="965"/>
      <c r="S403" s="965"/>
      <c r="T403" s="965"/>
      <c r="U403" s="965"/>
      <c r="V403" s="965"/>
      <c r="W403" s="965"/>
      <c r="X403" s="965"/>
      <c r="Y403" s="965"/>
      <c r="Z403" s="965"/>
    </row>
    <row r="404">
      <c r="A404" s="965"/>
      <c r="B404" s="965"/>
      <c r="C404" s="965"/>
      <c r="D404" s="965"/>
      <c r="E404" s="965"/>
      <c r="F404" s="965"/>
      <c r="G404" s="965"/>
      <c r="H404" s="965"/>
      <c r="I404" s="965"/>
      <c r="J404" s="965"/>
      <c r="K404" s="965"/>
      <c r="L404" s="965"/>
      <c r="M404" s="965"/>
      <c r="N404" s="965"/>
      <c r="O404" s="965"/>
      <c r="P404" s="965"/>
      <c r="Q404" s="965"/>
      <c r="R404" s="965"/>
      <c r="S404" s="965"/>
      <c r="T404" s="965"/>
      <c r="U404" s="965"/>
      <c r="V404" s="965"/>
      <c r="W404" s="965"/>
      <c r="X404" s="965"/>
      <c r="Y404" s="965"/>
      <c r="Z404" s="965"/>
    </row>
    <row r="405">
      <c r="A405" s="965"/>
      <c r="B405" s="965"/>
      <c r="C405" s="965"/>
      <c r="D405" s="965"/>
      <c r="E405" s="965"/>
      <c r="F405" s="965"/>
      <c r="G405" s="965"/>
      <c r="H405" s="965"/>
      <c r="I405" s="965"/>
      <c r="J405" s="965"/>
      <c r="K405" s="965"/>
      <c r="L405" s="965"/>
      <c r="M405" s="965"/>
      <c r="N405" s="965"/>
      <c r="O405" s="965"/>
      <c r="P405" s="965"/>
      <c r="Q405" s="965"/>
      <c r="R405" s="965"/>
      <c r="S405" s="965"/>
      <c r="T405" s="965"/>
      <c r="U405" s="965"/>
      <c r="V405" s="965"/>
      <c r="W405" s="965"/>
      <c r="X405" s="965"/>
      <c r="Y405" s="965"/>
      <c r="Z405" s="965"/>
    </row>
    <row r="406">
      <c r="A406" s="965"/>
      <c r="B406" s="965"/>
      <c r="C406" s="965"/>
      <c r="D406" s="965"/>
      <c r="E406" s="965"/>
      <c r="F406" s="965"/>
      <c r="G406" s="965"/>
      <c r="H406" s="965"/>
      <c r="I406" s="965"/>
      <c r="J406" s="965"/>
      <c r="K406" s="965"/>
      <c r="L406" s="965"/>
      <c r="M406" s="965"/>
      <c r="N406" s="965"/>
      <c r="O406" s="965"/>
      <c r="P406" s="965"/>
      <c r="Q406" s="965"/>
      <c r="R406" s="965"/>
      <c r="S406" s="965"/>
      <c r="T406" s="965"/>
      <c r="U406" s="965"/>
      <c r="V406" s="965"/>
      <c r="W406" s="965"/>
      <c r="X406" s="965"/>
      <c r="Y406" s="965"/>
      <c r="Z406" s="965"/>
    </row>
    <row r="407">
      <c r="A407" s="965"/>
      <c r="B407" s="965"/>
      <c r="C407" s="965"/>
      <c r="D407" s="965"/>
      <c r="E407" s="965"/>
      <c r="F407" s="965"/>
      <c r="G407" s="965"/>
      <c r="H407" s="965"/>
      <c r="I407" s="965"/>
      <c r="J407" s="965"/>
      <c r="K407" s="965"/>
      <c r="L407" s="965"/>
      <c r="M407" s="965"/>
      <c r="N407" s="965"/>
      <c r="O407" s="965"/>
      <c r="P407" s="965"/>
      <c r="Q407" s="965"/>
      <c r="R407" s="965"/>
      <c r="S407" s="965"/>
      <c r="T407" s="965"/>
      <c r="U407" s="965"/>
      <c r="V407" s="965"/>
      <c r="W407" s="965"/>
      <c r="X407" s="965"/>
      <c r="Y407" s="965"/>
      <c r="Z407" s="965"/>
    </row>
    <row r="408">
      <c r="A408" s="965"/>
      <c r="B408" s="965"/>
      <c r="C408" s="965"/>
      <c r="D408" s="965"/>
      <c r="E408" s="965"/>
      <c r="F408" s="965"/>
      <c r="G408" s="965"/>
      <c r="H408" s="965"/>
      <c r="I408" s="965"/>
      <c r="J408" s="965"/>
      <c r="K408" s="965"/>
      <c r="L408" s="965"/>
      <c r="M408" s="965"/>
      <c r="N408" s="965"/>
      <c r="O408" s="965"/>
      <c r="P408" s="965"/>
      <c r="Q408" s="965"/>
      <c r="R408" s="965"/>
      <c r="S408" s="965"/>
      <c r="T408" s="965"/>
      <c r="U408" s="965"/>
      <c r="V408" s="965"/>
      <c r="W408" s="965"/>
      <c r="X408" s="965"/>
      <c r="Y408" s="965"/>
      <c r="Z408" s="965"/>
    </row>
    <row r="409">
      <c r="A409" s="965"/>
      <c r="B409" s="965"/>
      <c r="C409" s="965"/>
      <c r="D409" s="965"/>
      <c r="E409" s="965"/>
      <c r="F409" s="965"/>
      <c r="G409" s="965"/>
      <c r="H409" s="965"/>
      <c r="I409" s="965"/>
      <c r="J409" s="965"/>
      <c r="K409" s="965"/>
      <c r="L409" s="965"/>
      <c r="M409" s="965"/>
      <c r="N409" s="965"/>
      <c r="O409" s="965"/>
      <c r="P409" s="965"/>
      <c r="Q409" s="965"/>
      <c r="R409" s="965"/>
      <c r="S409" s="965"/>
      <c r="T409" s="965"/>
      <c r="U409" s="965"/>
      <c r="V409" s="965"/>
      <c r="W409" s="965"/>
      <c r="X409" s="965"/>
      <c r="Y409" s="965"/>
      <c r="Z409" s="965"/>
    </row>
    <row r="410">
      <c r="A410" s="965"/>
      <c r="B410" s="965"/>
      <c r="C410" s="965"/>
      <c r="D410" s="965"/>
      <c r="E410" s="965"/>
      <c r="F410" s="965"/>
      <c r="G410" s="965"/>
      <c r="H410" s="965"/>
      <c r="I410" s="965"/>
      <c r="J410" s="965"/>
      <c r="K410" s="965"/>
      <c r="L410" s="965"/>
      <c r="M410" s="965"/>
      <c r="N410" s="965"/>
      <c r="O410" s="965"/>
      <c r="P410" s="965"/>
      <c r="Q410" s="965"/>
      <c r="R410" s="965"/>
      <c r="S410" s="965"/>
      <c r="T410" s="965"/>
      <c r="U410" s="965"/>
      <c r="V410" s="965"/>
      <c r="W410" s="965"/>
      <c r="X410" s="965"/>
      <c r="Y410" s="965"/>
      <c r="Z410" s="965"/>
    </row>
    <row r="411">
      <c r="A411" s="965"/>
      <c r="B411" s="965"/>
      <c r="C411" s="965"/>
      <c r="D411" s="965"/>
      <c r="E411" s="965"/>
      <c r="F411" s="965"/>
      <c r="G411" s="965"/>
      <c r="H411" s="965"/>
      <c r="I411" s="965"/>
      <c r="J411" s="965"/>
      <c r="K411" s="965"/>
      <c r="L411" s="965"/>
      <c r="M411" s="965"/>
      <c r="N411" s="965"/>
      <c r="O411" s="965"/>
      <c r="P411" s="965"/>
      <c r="Q411" s="965"/>
      <c r="R411" s="965"/>
      <c r="S411" s="965"/>
      <c r="T411" s="965"/>
      <c r="U411" s="965"/>
      <c r="V411" s="965"/>
      <c r="W411" s="965"/>
      <c r="X411" s="965"/>
      <c r="Y411" s="965"/>
      <c r="Z411" s="965"/>
    </row>
    <row r="412">
      <c r="A412" s="965"/>
      <c r="B412" s="965"/>
      <c r="C412" s="965"/>
      <c r="D412" s="965"/>
      <c r="E412" s="965"/>
      <c r="F412" s="965"/>
      <c r="G412" s="965"/>
      <c r="H412" s="965"/>
      <c r="I412" s="965"/>
      <c r="J412" s="965"/>
      <c r="K412" s="965"/>
      <c r="L412" s="965"/>
      <c r="M412" s="965"/>
      <c r="N412" s="965"/>
      <c r="O412" s="965"/>
      <c r="P412" s="965"/>
      <c r="Q412" s="965"/>
      <c r="R412" s="965"/>
      <c r="S412" s="965"/>
      <c r="T412" s="965"/>
      <c r="U412" s="965"/>
      <c r="V412" s="965"/>
      <c r="W412" s="965"/>
      <c r="X412" s="965"/>
      <c r="Y412" s="965"/>
      <c r="Z412" s="965"/>
    </row>
    <row r="413">
      <c r="A413" s="965"/>
      <c r="B413" s="965"/>
      <c r="C413" s="965"/>
      <c r="D413" s="965"/>
      <c r="E413" s="965"/>
      <c r="F413" s="965"/>
      <c r="G413" s="965"/>
      <c r="H413" s="965"/>
      <c r="I413" s="965"/>
      <c r="J413" s="965"/>
      <c r="K413" s="965"/>
      <c r="L413" s="965"/>
      <c r="M413" s="965"/>
      <c r="N413" s="965"/>
      <c r="O413" s="965"/>
      <c r="P413" s="965"/>
      <c r="Q413" s="965"/>
      <c r="R413" s="965"/>
      <c r="S413" s="965"/>
      <c r="T413" s="965"/>
      <c r="U413" s="965"/>
      <c r="V413" s="965"/>
      <c r="W413" s="965"/>
      <c r="X413" s="965"/>
      <c r="Y413" s="965"/>
      <c r="Z413" s="965"/>
    </row>
    <row r="414">
      <c r="A414" s="965"/>
      <c r="B414" s="965"/>
      <c r="C414" s="965"/>
      <c r="D414" s="965"/>
      <c r="E414" s="965"/>
      <c r="F414" s="965"/>
      <c r="G414" s="965"/>
      <c r="H414" s="965"/>
      <c r="I414" s="965"/>
      <c r="J414" s="965"/>
      <c r="K414" s="965"/>
      <c r="L414" s="965"/>
      <c r="M414" s="965"/>
      <c r="N414" s="965"/>
      <c r="O414" s="965"/>
      <c r="P414" s="965"/>
      <c r="Q414" s="965"/>
      <c r="R414" s="965"/>
      <c r="S414" s="965"/>
      <c r="T414" s="965"/>
      <c r="U414" s="965"/>
      <c r="V414" s="965"/>
      <c r="W414" s="965"/>
      <c r="X414" s="965"/>
      <c r="Y414" s="965"/>
      <c r="Z414" s="965"/>
    </row>
    <row r="415">
      <c r="A415" s="965"/>
      <c r="B415" s="965"/>
      <c r="C415" s="965"/>
      <c r="D415" s="965"/>
      <c r="E415" s="965"/>
      <c r="F415" s="965"/>
      <c r="G415" s="965"/>
      <c r="H415" s="965"/>
      <c r="I415" s="965"/>
      <c r="J415" s="965"/>
      <c r="K415" s="965"/>
      <c r="L415" s="965"/>
      <c r="M415" s="965"/>
      <c r="N415" s="965"/>
      <c r="O415" s="965"/>
      <c r="P415" s="965"/>
      <c r="Q415" s="965"/>
      <c r="R415" s="965"/>
      <c r="S415" s="965"/>
      <c r="T415" s="965"/>
      <c r="U415" s="965"/>
      <c r="V415" s="965"/>
      <c r="W415" s="965"/>
      <c r="X415" s="965"/>
      <c r="Y415" s="965"/>
      <c r="Z415" s="965"/>
    </row>
    <row r="416">
      <c r="A416" s="965"/>
      <c r="B416" s="965"/>
      <c r="C416" s="965"/>
      <c r="D416" s="965"/>
      <c r="E416" s="965"/>
      <c r="F416" s="965"/>
      <c r="G416" s="965"/>
      <c r="H416" s="965"/>
      <c r="I416" s="965"/>
      <c r="J416" s="965"/>
      <c r="K416" s="965"/>
      <c r="L416" s="965"/>
      <c r="M416" s="965"/>
      <c r="N416" s="965"/>
      <c r="O416" s="965"/>
      <c r="P416" s="965"/>
      <c r="Q416" s="965"/>
      <c r="R416" s="965"/>
      <c r="S416" s="965"/>
      <c r="T416" s="965"/>
      <c r="U416" s="965"/>
      <c r="V416" s="965"/>
      <c r="W416" s="965"/>
      <c r="X416" s="965"/>
      <c r="Y416" s="965"/>
      <c r="Z416" s="965"/>
    </row>
    <row r="417">
      <c r="A417" s="965"/>
      <c r="B417" s="965"/>
      <c r="C417" s="965"/>
      <c r="D417" s="965"/>
      <c r="E417" s="965"/>
      <c r="F417" s="965"/>
      <c r="G417" s="965"/>
      <c r="H417" s="965"/>
      <c r="I417" s="965"/>
      <c r="J417" s="965"/>
      <c r="K417" s="965"/>
      <c r="L417" s="965"/>
      <c r="M417" s="965"/>
      <c r="N417" s="965"/>
      <c r="O417" s="965"/>
      <c r="P417" s="965"/>
      <c r="Q417" s="965"/>
      <c r="R417" s="965"/>
      <c r="S417" s="965"/>
      <c r="T417" s="965"/>
      <c r="U417" s="965"/>
      <c r="V417" s="965"/>
      <c r="W417" s="965"/>
      <c r="X417" s="965"/>
      <c r="Y417" s="965"/>
      <c r="Z417" s="965"/>
    </row>
    <row r="418">
      <c r="A418" s="965"/>
      <c r="B418" s="965"/>
      <c r="C418" s="965"/>
      <c r="D418" s="965"/>
      <c r="E418" s="965"/>
      <c r="F418" s="965"/>
      <c r="G418" s="965"/>
      <c r="H418" s="965"/>
      <c r="I418" s="965"/>
      <c r="J418" s="965"/>
      <c r="K418" s="965"/>
      <c r="L418" s="965"/>
      <c r="M418" s="965"/>
      <c r="N418" s="965"/>
      <c r="O418" s="965"/>
      <c r="P418" s="965"/>
      <c r="Q418" s="965"/>
      <c r="R418" s="965"/>
      <c r="S418" s="965"/>
      <c r="T418" s="965"/>
      <c r="U418" s="965"/>
      <c r="V418" s="965"/>
      <c r="W418" s="965"/>
      <c r="X418" s="965"/>
      <c r="Y418" s="965"/>
      <c r="Z418" s="965"/>
    </row>
    <row r="419">
      <c r="A419" s="965"/>
      <c r="B419" s="965"/>
      <c r="C419" s="965"/>
      <c r="D419" s="965"/>
      <c r="E419" s="965"/>
      <c r="F419" s="965"/>
      <c r="G419" s="965"/>
      <c r="H419" s="965"/>
      <c r="I419" s="965"/>
      <c r="J419" s="965"/>
      <c r="K419" s="965"/>
      <c r="L419" s="965"/>
      <c r="M419" s="965"/>
      <c r="N419" s="965"/>
      <c r="O419" s="965"/>
      <c r="P419" s="965"/>
      <c r="Q419" s="965"/>
      <c r="R419" s="965"/>
      <c r="S419" s="965"/>
      <c r="T419" s="965"/>
      <c r="U419" s="965"/>
      <c r="V419" s="965"/>
      <c r="W419" s="965"/>
      <c r="X419" s="965"/>
      <c r="Y419" s="965"/>
      <c r="Z419" s="965"/>
    </row>
    <row r="420">
      <c r="A420" s="965"/>
      <c r="B420" s="965"/>
      <c r="C420" s="965"/>
      <c r="D420" s="965"/>
      <c r="E420" s="965"/>
      <c r="F420" s="965"/>
      <c r="G420" s="965"/>
      <c r="H420" s="965"/>
      <c r="I420" s="965"/>
      <c r="J420" s="965"/>
      <c r="K420" s="965"/>
      <c r="L420" s="965"/>
      <c r="M420" s="965"/>
      <c r="N420" s="965"/>
      <c r="O420" s="965"/>
      <c r="P420" s="965"/>
      <c r="Q420" s="965"/>
      <c r="R420" s="965"/>
      <c r="S420" s="965"/>
      <c r="T420" s="965"/>
      <c r="U420" s="965"/>
      <c r="V420" s="965"/>
      <c r="W420" s="965"/>
      <c r="X420" s="965"/>
      <c r="Y420" s="965"/>
      <c r="Z420" s="965"/>
    </row>
    <row r="421">
      <c r="A421" s="965"/>
      <c r="B421" s="965"/>
      <c r="C421" s="965"/>
      <c r="D421" s="965"/>
      <c r="E421" s="965"/>
      <c r="F421" s="965"/>
      <c r="G421" s="965"/>
      <c r="H421" s="965"/>
      <c r="I421" s="965"/>
      <c r="J421" s="965"/>
      <c r="K421" s="965"/>
      <c r="L421" s="965"/>
      <c r="M421" s="965"/>
      <c r="N421" s="965"/>
      <c r="O421" s="965"/>
      <c r="P421" s="965"/>
      <c r="Q421" s="965"/>
      <c r="R421" s="965"/>
      <c r="S421" s="965"/>
      <c r="T421" s="965"/>
      <c r="U421" s="965"/>
      <c r="V421" s="965"/>
      <c r="W421" s="965"/>
      <c r="X421" s="965"/>
      <c r="Y421" s="965"/>
      <c r="Z421" s="965"/>
    </row>
    <row r="422">
      <c r="A422" s="965"/>
      <c r="B422" s="965"/>
      <c r="C422" s="965"/>
      <c r="D422" s="965"/>
      <c r="E422" s="965"/>
      <c r="F422" s="965"/>
      <c r="G422" s="965"/>
      <c r="H422" s="965"/>
      <c r="I422" s="965"/>
      <c r="J422" s="965"/>
      <c r="K422" s="965"/>
      <c r="L422" s="965"/>
      <c r="M422" s="965"/>
      <c r="N422" s="965"/>
      <c r="O422" s="965"/>
      <c r="P422" s="965"/>
      <c r="Q422" s="965"/>
      <c r="R422" s="965"/>
      <c r="S422" s="965"/>
      <c r="T422" s="965"/>
      <c r="U422" s="965"/>
      <c r="V422" s="965"/>
      <c r="W422" s="965"/>
      <c r="X422" s="965"/>
      <c r="Y422" s="965"/>
      <c r="Z422" s="965"/>
    </row>
    <row r="423">
      <c r="A423" s="965"/>
      <c r="B423" s="965"/>
      <c r="C423" s="965"/>
      <c r="D423" s="965"/>
      <c r="E423" s="965"/>
      <c r="F423" s="965"/>
      <c r="G423" s="965"/>
      <c r="H423" s="965"/>
      <c r="I423" s="965"/>
      <c r="J423" s="965"/>
      <c r="K423" s="965"/>
      <c r="L423" s="965"/>
      <c r="M423" s="965"/>
      <c r="N423" s="965"/>
      <c r="O423" s="965"/>
      <c r="P423" s="965"/>
      <c r="Q423" s="965"/>
      <c r="R423" s="965"/>
      <c r="S423" s="965"/>
      <c r="T423" s="965"/>
      <c r="U423" s="965"/>
      <c r="V423" s="965"/>
      <c r="W423" s="965"/>
      <c r="X423" s="965"/>
      <c r="Y423" s="965"/>
      <c r="Z423" s="965"/>
    </row>
    <row r="424">
      <c r="A424" s="965"/>
      <c r="B424" s="965"/>
      <c r="C424" s="965"/>
      <c r="D424" s="965"/>
      <c r="E424" s="965"/>
      <c r="F424" s="965"/>
      <c r="G424" s="965"/>
      <c r="H424" s="965"/>
      <c r="I424" s="965"/>
      <c r="J424" s="965"/>
      <c r="K424" s="965"/>
      <c r="L424" s="965"/>
      <c r="M424" s="965"/>
      <c r="N424" s="965"/>
      <c r="O424" s="965"/>
      <c r="P424" s="965"/>
      <c r="Q424" s="965"/>
      <c r="R424" s="965"/>
      <c r="S424" s="965"/>
      <c r="T424" s="965"/>
      <c r="U424" s="965"/>
      <c r="V424" s="965"/>
      <c r="W424" s="965"/>
      <c r="X424" s="965"/>
      <c r="Y424" s="965"/>
      <c r="Z424" s="965"/>
    </row>
    <row r="425">
      <c r="A425" s="965"/>
      <c r="B425" s="965"/>
      <c r="C425" s="965"/>
      <c r="D425" s="965"/>
      <c r="E425" s="965"/>
      <c r="F425" s="965"/>
      <c r="G425" s="965"/>
      <c r="H425" s="965"/>
      <c r="I425" s="965"/>
      <c r="J425" s="965"/>
      <c r="K425" s="965"/>
      <c r="L425" s="965"/>
      <c r="M425" s="965"/>
      <c r="N425" s="965"/>
      <c r="O425" s="965"/>
      <c r="P425" s="965"/>
      <c r="Q425" s="965"/>
      <c r="R425" s="965"/>
      <c r="S425" s="965"/>
      <c r="T425" s="965"/>
      <c r="U425" s="965"/>
      <c r="V425" s="965"/>
      <c r="W425" s="965"/>
      <c r="X425" s="965"/>
      <c r="Y425" s="965"/>
      <c r="Z425" s="965"/>
    </row>
    <row r="426">
      <c r="A426" s="965"/>
      <c r="B426" s="965"/>
      <c r="C426" s="965"/>
      <c r="D426" s="965"/>
      <c r="E426" s="965"/>
      <c r="F426" s="965"/>
      <c r="G426" s="965"/>
      <c r="H426" s="965"/>
      <c r="I426" s="965"/>
      <c r="J426" s="965"/>
      <c r="K426" s="965"/>
      <c r="L426" s="965"/>
      <c r="M426" s="965"/>
      <c r="N426" s="965"/>
      <c r="O426" s="965"/>
      <c r="P426" s="965"/>
      <c r="Q426" s="965"/>
      <c r="R426" s="965"/>
      <c r="S426" s="965"/>
      <c r="T426" s="965"/>
      <c r="U426" s="965"/>
      <c r="V426" s="965"/>
      <c r="W426" s="965"/>
      <c r="X426" s="965"/>
      <c r="Y426" s="965"/>
      <c r="Z426" s="965"/>
    </row>
    <row r="427">
      <c r="A427" s="965"/>
      <c r="B427" s="965"/>
      <c r="C427" s="965"/>
      <c r="D427" s="965"/>
      <c r="E427" s="965"/>
      <c r="F427" s="965"/>
      <c r="G427" s="965"/>
      <c r="H427" s="965"/>
      <c r="I427" s="965"/>
      <c r="J427" s="965"/>
      <c r="K427" s="965"/>
      <c r="L427" s="965"/>
      <c r="M427" s="965"/>
      <c r="N427" s="965"/>
      <c r="O427" s="965"/>
      <c r="P427" s="965"/>
      <c r="Q427" s="965"/>
      <c r="R427" s="965"/>
      <c r="S427" s="965"/>
      <c r="T427" s="965"/>
      <c r="U427" s="965"/>
      <c r="V427" s="965"/>
      <c r="W427" s="965"/>
      <c r="X427" s="965"/>
      <c r="Y427" s="965"/>
      <c r="Z427" s="965"/>
    </row>
    <row r="428">
      <c r="A428" s="965"/>
      <c r="B428" s="965"/>
      <c r="C428" s="965"/>
      <c r="D428" s="965"/>
      <c r="E428" s="965"/>
      <c r="F428" s="965"/>
      <c r="G428" s="965"/>
      <c r="H428" s="965"/>
      <c r="I428" s="965"/>
      <c r="J428" s="965"/>
      <c r="K428" s="965"/>
      <c r="L428" s="965"/>
      <c r="M428" s="965"/>
      <c r="N428" s="965"/>
      <c r="O428" s="965"/>
      <c r="P428" s="965"/>
      <c r="Q428" s="965"/>
      <c r="R428" s="965"/>
      <c r="S428" s="965"/>
      <c r="T428" s="965"/>
      <c r="U428" s="965"/>
      <c r="V428" s="965"/>
      <c r="W428" s="965"/>
      <c r="X428" s="965"/>
      <c r="Y428" s="965"/>
      <c r="Z428" s="965"/>
    </row>
    <row r="429">
      <c r="A429" s="965"/>
      <c r="B429" s="965"/>
      <c r="C429" s="965"/>
      <c r="D429" s="965"/>
      <c r="E429" s="965"/>
      <c r="F429" s="965"/>
      <c r="G429" s="965"/>
      <c r="H429" s="965"/>
      <c r="I429" s="965"/>
      <c r="J429" s="965"/>
      <c r="K429" s="965"/>
      <c r="L429" s="965"/>
      <c r="M429" s="965"/>
      <c r="N429" s="965"/>
      <c r="O429" s="965"/>
      <c r="P429" s="965"/>
      <c r="Q429" s="965"/>
      <c r="R429" s="965"/>
      <c r="S429" s="965"/>
      <c r="T429" s="965"/>
      <c r="U429" s="965"/>
      <c r="V429" s="965"/>
      <c r="W429" s="965"/>
      <c r="X429" s="965"/>
      <c r="Y429" s="965"/>
      <c r="Z429" s="965"/>
    </row>
    <row r="430">
      <c r="A430" s="965"/>
      <c r="B430" s="965"/>
      <c r="C430" s="965"/>
      <c r="D430" s="965"/>
      <c r="E430" s="965"/>
      <c r="F430" s="965"/>
      <c r="G430" s="965"/>
      <c r="H430" s="965"/>
      <c r="I430" s="965"/>
      <c r="J430" s="965"/>
      <c r="K430" s="965"/>
      <c r="L430" s="965"/>
      <c r="M430" s="965"/>
      <c r="N430" s="965"/>
      <c r="O430" s="965"/>
      <c r="P430" s="965"/>
      <c r="Q430" s="965"/>
      <c r="R430" s="965"/>
      <c r="S430" s="965"/>
      <c r="T430" s="965"/>
      <c r="U430" s="965"/>
      <c r="V430" s="965"/>
      <c r="W430" s="965"/>
      <c r="X430" s="965"/>
      <c r="Y430" s="965"/>
      <c r="Z430" s="965"/>
    </row>
    <row r="431">
      <c r="A431" s="965"/>
      <c r="B431" s="965"/>
      <c r="C431" s="965"/>
      <c r="D431" s="965"/>
      <c r="E431" s="965"/>
      <c r="F431" s="965"/>
      <c r="G431" s="965"/>
      <c r="H431" s="965"/>
      <c r="I431" s="965"/>
      <c r="J431" s="965"/>
      <c r="K431" s="965"/>
      <c r="L431" s="965"/>
      <c r="M431" s="965"/>
      <c r="N431" s="965"/>
      <c r="O431" s="965"/>
      <c r="P431" s="965"/>
      <c r="Q431" s="965"/>
      <c r="R431" s="965"/>
      <c r="S431" s="965"/>
      <c r="T431" s="965"/>
      <c r="U431" s="965"/>
      <c r="V431" s="965"/>
      <c r="W431" s="965"/>
      <c r="X431" s="965"/>
      <c r="Y431" s="965"/>
      <c r="Z431" s="965"/>
    </row>
    <row r="432">
      <c r="A432" s="965"/>
      <c r="B432" s="965"/>
      <c r="C432" s="965"/>
      <c r="D432" s="965"/>
      <c r="E432" s="965"/>
      <c r="F432" s="965"/>
      <c r="G432" s="965"/>
      <c r="H432" s="965"/>
      <c r="I432" s="965"/>
      <c r="J432" s="965"/>
      <c r="K432" s="965"/>
      <c r="L432" s="965"/>
      <c r="M432" s="965"/>
      <c r="N432" s="965"/>
      <c r="O432" s="965"/>
      <c r="P432" s="965"/>
      <c r="Q432" s="965"/>
      <c r="R432" s="965"/>
      <c r="S432" s="965"/>
      <c r="T432" s="965"/>
      <c r="U432" s="965"/>
      <c r="V432" s="965"/>
      <c r="W432" s="965"/>
      <c r="X432" s="965"/>
      <c r="Y432" s="965"/>
      <c r="Z432" s="965"/>
    </row>
    <row r="433">
      <c r="A433" s="965"/>
      <c r="B433" s="965"/>
      <c r="C433" s="965"/>
      <c r="D433" s="965"/>
      <c r="E433" s="965"/>
      <c r="F433" s="965"/>
      <c r="G433" s="965"/>
      <c r="H433" s="965"/>
      <c r="I433" s="965"/>
      <c r="J433" s="965"/>
      <c r="K433" s="965"/>
      <c r="L433" s="965"/>
      <c r="M433" s="965"/>
      <c r="N433" s="965"/>
      <c r="O433" s="965"/>
      <c r="P433" s="965"/>
      <c r="Q433" s="965"/>
      <c r="R433" s="965"/>
      <c r="S433" s="965"/>
      <c r="T433" s="965"/>
      <c r="U433" s="965"/>
      <c r="V433" s="965"/>
      <c r="W433" s="965"/>
      <c r="X433" s="965"/>
      <c r="Y433" s="965"/>
      <c r="Z433" s="965"/>
    </row>
    <row r="434">
      <c r="A434" s="965"/>
      <c r="B434" s="965"/>
      <c r="C434" s="965"/>
      <c r="D434" s="965"/>
      <c r="E434" s="965"/>
      <c r="F434" s="965"/>
      <c r="G434" s="965"/>
      <c r="H434" s="965"/>
      <c r="I434" s="965"/>
      <c r="J434" s="965"/>
      <c r="K434" s="965"/>
      <c r="L434" s="965"/>
      <c r="M434" s="965"/>
      <c r="N434" s="965"/>
      <c r="O434" s="965"/>
      <c r="P434" s="965"/>
      <c r="Q434" s="965"/>
      <c r="R434" s="965"/>
      <c r="S434" s="965"/>
      <c r="T434" s="965"/>
      <c r="U434" s="965"/>
      <c r="V434" s="965"/>
      <c r="W434" s="965"/>
      <c r="X434" s="965"/>
      <c r="Y434" s="965"/>
      <c r="Z434" s="965"/>
    </row>
    <row r="435">
      <c r="A435" s="965"/>
      <c r="B435" s="965"/>
      <c r="C435" s="965"/>
      <c r="D435" s="965"/>
      <c r="E435" s="965"/>
      <c r="F435" s="965"/>
      <c r="G435" s="965"/>
      <c r="H435" s="965"/>
      <c r="I435" s="965"/>
      <c r="J435" s="965"/>
      <c r="K435" s="965"/>
      <c r="L435" s="965"/>
      <c r="M435" s="965"/>
      <c r="N435" s="965"/>
      <c r="O435" s="965"/>
      <c r="P435" s="965"/>
      <c r="Q435" s="965"/>
      <c r="R435" s="965"/>
      <c r="S435" s="965"/>
      <c r="T435" s="965"/>
      <c r="U435" s="965"/>
      <c r="V435" s="965"/>
      <c r="W435" s="965"/>
      <c r="X435" s="965"/>
      <c r="Y435" s="965"/>
      <c r="Z435" s="965"/>
    </row>
    <row r="436">
      <c r="A436" s="965"/>
      <c r="B436" s="965"/>
      <c r="C436" s="965"/>
      <c r="D436" s="965"/>
      <c r="E436" s="965"/>
      <c r="F436" s="965"/>
      <c r="G436" s="965"/>
      <c r="H436" s="965"/>
      <c r="I436" s="965"/>
      <c r="J436" s="965"/>
      <c r="K436" s="965"/>
      <c r="L436" s="965"/>
      <c r="M436" s="965"/>
      <c r="N436" s="965"/>
      <c r="O436" s="965"/>
      <c r="P436" s="965"/>
      <c r="Q436" s="965"/>
      <c r="R436" s="965"/>
      <c r="S436" s="965"/>
      <c r="T436" s="965"/>
      <c r="U436" s="965"/>
      <c r="V436" s="965"/>
      <c r="W436" s="965"/>
      <c r="X436" s="965"/>
      <c r="Y436" s="965"/>
      <c r="Z436" s="965"/>
    </row>
    <row r="437">
      <c r="A437" s="965"/>
      <c r="B437" s="965"/>
      <c r="C437" s="965"/>
      <c r="D437" s="965"/>
      <c r="E437" s="965"/>
      <c r="F437" s="965"/>
      <c r="G437" s="965"/>
      <c r="H437" s="965"/>
      <c r="I437" s="965"/>
      <c r="J437" s="965"/>
      <c r="K437" s="965"/>
      <c r="L437" s="965"/>
      <c r="M437" s="965"/>
      <c r="N437" s="965"/>
      <c r="O437" s="965"/>
      <c r="P437" s="965"/>
      <c r="Q437" s="965"/>
      <c r="R437" s="965"/>
      <c r="S437" s="965"/>
      <c r="T437" s="965"/>
      <c r="U437" s="965"/>
      <c r="V437" s="965"/>
      <c r="W437" s="965"/>
      <c r="X437" s="965"/>
      <c r="Y437" s="965"/>
      <c r="Z437" s="965"/>
    </row>
    <row r="438">
      <c r="A438" s="965"/>
      <c r="B438" s="965"/>
      <c r="C438" s="965"/>
      <c r="D438" s="965"/>
      <c r="E438" s="965"/>
      <c r="F438" s="965"/>
      <c r="G438" s="965"/>
      <c r="H438" s="965"/>
      <c r="I438" s="965"/>
      <c r="J438" s="965"/>
      <c r="K438" s="965"/>
      <c r="L438" s="965"/>
      <c r="M438" s="965"/>
      <c r="N438" s="965"/>
      <c r="O438" s="965"/>
      <c r="P438" s="965"/>
      <c r="Q438" s="965"/>
      <c r="R438" s="965"/>
      <c r="S438" s="965"/>
      <c r="T438" s="965"/>
      <c r="U438" s="965"/>
      <c r="V438" s="965"/>
      <c r="W438" s="965"/>
      <c r="X438" s="965"/>
      <c r="Y438" s="965"/>
      <c r="Z438" s="965"/>
    </row>
    <row r="439">
      <c r="A439" s="965"/>
      <c r="B439" s="965"/>
      <c r="C439" s="965"/>
      <c r="D439" s="965"/>
      <c r="E439" s="965"/>
      <c r="F439" s="965"/>
      <c r="G439" s="965"/>
      <c r="H439" s="965"/>
      <c r="I439" s="965"/>
      <c r="J439" s="965"/>
      <c r="K439" s="965"/>
      <c r="L439" s="965"/>
      <c r="M439" s="965"/>
      <c r="N439" s="965"/>
      <c r="O439" s="965"/>
      <c r="P439" s="965"/>
      <c r="Q439" s="965"/>
      <c r="R439" s="965"/>
      <c r="S439" s="965"/>
      <c r="T439" s="965"/>
      <c r="U439" s="965"/>
      <c r="V439" s="965"/>
      <c r="W439" s="965"/>
      <c r="X439" s="965"/>
      <c r="Y439" s="965"/>
      <c r="Z439" s="965"/>
    </row>
    <row r="440">
      <c r="A440" s="965"/>
      <c r="B440" s="965"/>
      <c r="C440" s="965"/>
      <c r="D440" s="965"/>
      <c r="E440" s="965"/>
      <c r="F440" s="965"/>
      <c r="G440" s="965"/>
      <c r="H440" s="965"/>
      <c r="I440" s="965"/>
      <c r="J440" s="965"/>
      <c r="K440" s="965"/>
      <c r="L440" s="965"/>
      <c r="M440" s="965"/>
      <c r="N440" s="965"/>
      <c r="O440" s="965"/>
      <c r="P440" s="965"/>
      <c r="Q440" s="965"/>
      <c r="R440" s="965"/>
      <c r="S440" s="965"/>
      <c r="T440" s="965"/>
      <c r="U440" s="965"/>
      <c r="V440" s="965"/>
      <c r="W440" s="965"/>
      <c r="X440" s="965"/>
      <c r="Y440" s="965"/>
      <c r="Z440" s="965"/>
    </row>
    <row r="441">
      <c r="A441" s="965"/>
      <c r="B441" s="965"/>
      <c r="C441" s="965"/>
      <c r="D441" s="965"/>
      <c r="E441" s="965"/>
      <c r="F441" s="965"/>
      <c r="G441" s="965"/>
      <c r="H441" s="965"/>
      <c r="I441" s="965"/>
      <c r="J441" s="965"/>
      <c r="K441" s="965"/>
      <c r="L441" s="965"/>
      <c r="M441" s="965"/>
      <c r="N441" s="965"/>
      <c r="O441" s="965"/>
      <c r="P441" s="965"/>
      <c r="Q441" s="965"/>
      <c r="R441" s="965"/>
      <c r="S441" s="965"/>
      <c r="T441" s="965"/>
      <c r="U441" s="965"/>
      <c r="V441" s="965"/>
      <c r="W441" s="965"/>
      <c r="X441" s="965"/>
      <c r="Y441" s="965"/>
      <c r="Z441" s="965"/>
    </row>
    <row r="442">
      <c r="A442" s="965"/>
      <c r="B442" s="965"/>
      <c r="C442" s="965"/>
      <c r="D442" s="965"/>
      <c r="E442" s="965"/>
      <c r="F442" s="965"/>
      <c r="G442" s="965"/>
      <c r="H442" s="965"/>
      <c r="I442" s="965"/>
      <c r="J442" s="965"/>
      <c r="K442" s="965"/>
      <c r="L442" s="965"/>
      <c r="M442" s="965"/>
      <c r="N442" s="965"/>
      <c r="O442" s="965"/>
      <c r="P442" s="965"/>
      <c r="Q442" s="965"/>
      <c r="R442" s="965"/>
      <c r="S442" s="965"/>
      <c r="T442" s="965"/>
      <c r="U442" s="965"/>
      <c r="V442" s="965"/>
      <c r="W442" s="965"/>
      <c r="X442" s="965"/>
      <c r="Y442" s="965"/>
      <c r="Z442" s="965"/>
    </row>
    <row r="443">
      <c r="A443" s="965"/>
      <c r="B443" s="965"/>
      <c r="C443" s="965"/>
      <c r="D443" s="965"/>
      <c r="E443" s="965"/>
      <c r="F443" s="965"/>
      <c r="G443" s="965"/>
      <c r="H443" s="965"/>
      <c r="I443" s="965"/>
      <c r="J443" s="965"/>
      <c r="K443" s="965"/>
      <c r="L443" s="965"/>
      <c r="M443" s="965"/>
      <c r="N443" s="965"/>
      <c r="O443" s="965"/>
      <c r="P443" s="965"/>
      <c r="Q443" s="965"/>
      <c r="R443" s="965"/>
      <c r="S443" s="965"/>
      <c r="T443" s="965"/>
      <c r="U443" s="965"/>
      <c r="V443" s="965"/>
      <c r="W443" s="965"/>
      <c r="X443" s="965"/>
      <c r="Y443" s="965"/>
      <c r="Z443" s="965"/>
    </row>
    <row r="444">
      <c r="A444" s="965"/>
      <c r="B444" s="965"/>
      <c r="C444" s="965"/>
      <c r="D444" s="965"/>
      <c r="E444" s="965"/>
      <c r="F444" s="965"/>
      <c r="G444" s="965"/>
      <c r="H444" s="965"/>
      <c r="I444" s="965"/>
      <c r="J444" s="965"/>
      <c r="K444" s="965"/>
      <c r="L444" s="965"/>
      <c r="M444" s="965"/>
      <c r="N444" s="965"/>
      <c r="O444" s="965"/>
      <c r="P444" s="965"/>
      <c r="Q444" s="965"/>
      <c r="R444" s="965"/>
      <c r="S444" s="965"/>
      <c r="T444" s="965"/>
      <c r="U444" s="965"/>
      <c r="V444" s="965"/>
      <c r="W444" s="965"/>
      <c r="X444" s="965"/>
      <c r="Y444" s="965"/>
      <c r="Z444" s="965"/>
    </row>
    <row r="445">
      <c r="A445" s="965"/>
      <c r="B445" s="965"/>
      <c r="C445" s="965"/>
      <c r="D445" s="965"/>
      <c r="E445" s="965"/>
      <c r="F445" s="965"/>
      <c r="G445" s="965"/>
      <c r="H445" s="965"/>
      <c r="I445" s="965"/>
      <c r="J445" s="965"/>
      <c r="K445" s="965"/>
      <c r="L445" s="965"/>
      <c r="M445" s="965"/>
      <c r="N445" s="965"/>
      <c r="O445" s="965"/>
      <c r="P445" s="965"/>
      <c r="Q445" s="965"/>
      <c r="R445" s="965"/>
      <c r="S445" s="965"/>
      <c r="T445" s="965"/>
      <c r="U445" s="965"/>
      <c r="V445" s="965"/>
      <c r="W445" s="965"/>
      <c r="X445" s="965"/>
      <c r="Y445" s="965"/>
      <c r="Z445" s="965"/>
    </row>
    <row r="446">
      <c r="A446" s="965"/>
      <c r="B446" s="965"/>
      <c r="C446" s="965"/>
      <c r="D446" s="965"/>
      <c r="E446" s="965"/>
      <c r="F446" s="965"/>
      <c r="G446" s="965"/>
      <c r="H446" s="965"/>
      <c r="I446" s="965"/>
      <c r="J446" s="965"/>
      <c r="K446" s="965"/>
      <c r="L446" s="965"/>
      <c r="M446" s="965"/>
      <c r="N446" s="965"/>
      <c r="O446" s="965"/>
      <c r="P446" s="965"/>
      <c r="Q446" s="965"/>
      <c r="R446" s="965"/>
      <c r="S446" s="965"/>
      <c r="T446" s="965"/>
      <c r="U446" s="965"/>
      <c r="V446" s="965"/>
      <c r="W446" s="965"/>
      <c r="X446" s="965"/>
      <c r="Y446" s="965"/>
      <c r="Z446" s="965"/>
    </row>
    <row r="447">
      <c r="A447" s="965"/>
      <c r="B447" s="965"/>
      <c r="C447" s="965"/>
      <c r="D447" s="965"/>
      <c r="E447" s="965"/>
      <c r="F447" s="965"/>
      <c r="G447" s="965"/>
      <c r="H447" s="965"/>
      <c r="I447" s="965"/>
      <c r="J447" s="965"/>
      <c r="K447" s="965"/>
      <c r="L447" s="965"/>
      <c r="M447" s="965"/>
      <c r="N447" s="965"/>
      <c r="O447" s="965"/>
      <c r="P447" s="965"/>
      <c r="Q447" s="965"/>
      <c r="R447" s="965"/>
      <c r="S447" s="965"/>
      <c r="T447" s="965"/>
      <c r="U447" s="965"/>
      <c r="V447" s="965"/>
      <c r="W447" s="965"/>
      <c r="X447" s="965"/>
      <c r="Y447" s="965"/>
      <c r="Z447" s="965"/>
    </row>
    <row r="448">
      <c r="A448" s="965"/>
      <c r="B448" s="965"/>
      <c r="C448" s="965"/>
      <c r="D448" s="965"/>
      <c r="E448" s="965"/>
      <c r="F448" s="965"/>
      <c r="G448" s="965"/>
      <c r="H448" s="965"/>
      <c r="I448" s="965"/>
      <c r="J448" s="965"/>
      <c r="K448" s="965"/>
      <c r="L448" s="965"/>
      <c r="M448" s="965"/>
      <c r="N448" s="965"/>
      <c r="O448" s="965"/>
      <c r="P448" s="965"/>
      <c r="Q448" s="965"/>
      <c r="R448" s="965"/>
      <c r="S448" s="965"/>
      <c r="T448" s="965"/>
      <c r="U448" s="965"/>
      <c r="V448" s="965"/>
      <c r="W448" s="965"/>
      <c r="X448" s="965"/>
      <c r="Y448" s="965"/>
      <c r="Z448" s="965"/>
    </row>
    <row r="449">
      <c r="A449" s="965"/>
      <c r="B449" s="965"/>
      <c r="C449" s="965"/>
      <c r="D449" s="965"/>
      <c r="E449" s="965"/>
      <c r="F449" s="965"/>
      <c r="G449" s="965"/>
      <c r="H449" s="965"/>
      <c r="I449" s="965"/>
      <c r="J449" s="965"/>
      <c r="K449" s="965"/>
      <c r="L449" s="965"/>
      <c r="M449" s="965"/>
      <c r="N449" s="965"/>
      <c r="O449" s="965"/>
      <c r="P449" s="965"/>
      <c r="Q449" s="965"/>
      <c r="R449" s="965"/>
      <c r="S449" s="965"/>
      <c r="T449" s="965"/>
      <c r="U449" s="965"/>
      <c r="V449" s="965"/>
      <c r="W449" s="965"/>
      <c r="X449" s="965"/>
      <c r="Y449" s="965"/>
      <c r="Z449" s="965"/>
    </row>
    <row r="450">
      <c r="A450" s="965"/>
      <c r="B450" s="965"/>
      <c r="C450" s="965"/>
      <c r="D450" s="965"/>
      <c r="E450" s="965"/>
      <c r="F450" s="965"/>
      <c r="G450" s="965"/>
      <c r="H450" s="965"/>
      <c r="I450" s="965"/>
      <c r="J450" s="965"/>
      <c r="K450" s="965"/>
      <c r="L450" s="965"/>
      <c r="M450" s="965"/>
      <c r="N450" s="965"/>
      <c r="O450" s="965"/>
      <c r="P450" s="965"/>
      <c r="Q450" s="965"/>
      <c r="R450" s="965"/>
      <c r="S450" s="965"/>
      <c r="T450" s="965"/>
      <c r="U450" s="965"/>
      <c r="V450" s="965"/>
      <c r="W450" s="965"/>
      <c r="X450" s="965"/>
      <c r="Y450" s="965"/>
      <c r="Z450" s="965"/>
    </row>
    <row r="451">
      <c r="A451" s="965"/>
      <c r="B451" s="965"/>
      <c r="C451" s="965"/>
      <c r="D451" s="965"/>
      <c r="E451" s="965"/>
      <c r="F451" s="965"/>
      <c r="G451" s="965"/>
      <c r="H451" s="965"/>
      <c r="I451" s="965"/>
      <c r="J451" s="965"/>
      <c r="K451" s="965"/>
      <c r="L451" s="965"/>
      <c r="M451" s="965"/>
      <c r="N451" s="965"/>
      <c r="O451" s="965"/>
      <c r="P451" s="965"/>
      <c r="Q451" s="965"/>
      <c r="R451" s="965"/>
      <c r="S451" s="965"/>
      <c r="T451" s="965"/>
      <c r="U451" s="965"/>
      <c r="V451" s="965"/>
      <c r="W451" s="965"/>
      <c r="X451" s="965"/>
      <c r="Y451" s="965"/>
      <c r="Z451" s="965"/>
    </row>
    <row r="452">
      <c r="A452" s="965"/>
      <c r="B452" s="965"/>
      <c r="C452" s="965"/>
      <c r="D452" s="965"/>
      <c r="E452" s="965"/>
      <c r="F452" s="965"/>
      <c r="G452" s="965"/>
      <c r="H452" s="965"/>
      <c r="I452" s="965"/>
      <c r="J452" s="965"/>
      <c r="K452" s="965"/>
      <c r="L452" s="965"/>
      <c r="M452" s="965"/>
      <c r="N452" s="965"/>
      <c r="O452" s="965"/>
      <c r="P452" s="965"/>
      <c r="Q452" s="965"/>
      <c r="R452" s="965"/>
      <c r="S452" s="965"/>
      <c r="T452" s="965"/>
      <c r="U452" s="965"/>
      <c r="V452" s="965"/>
      <c r="W452" s="965"/>
      <c r="X452" s="965"/>
      <c r="Y452" s="965"/>
      <c r="Z452" s="965"/>
    </row>
    <row r="453">
      <c r="A453" s="965"/>
      <c r="B453" s="965"/>
      <c r="C453" s="965"/>
      <c r="D453" s="965"/>
      <c r="E453" s="965"/>
      <c r="F453" s="965"/>
      <c r="G453" s="965"/>
      <c r="H453" s="965"/>
      <c r="I453" s="965"/>
      <c r="J453" s="965"/>
      <c r="K453" s="965"/>
      <c r="L453" s="965"/>
      <c r="M453" s="965"/>
      <c r="N453" s="965"/>
      <c r="O453" s="965"/>
      <c r="P453" s="965"/>
      <c r="Q453" s="965"/>
      <c r="R453" s="965"/>
      <c r="S453" s="965"/>
      <c r="T453" s="965"/>
      <c r="U453" s="965"/>
      <c r="V453" s="965"/>
      <c r="W453" s="965"/>
      <c r="X453" s="965"/>
      <c r="Y453" s="965"/>
      <c r="Z453" s="965"/>
    </row>
    <row r="454">
      <c r="A454" s="965"/>
      <c r="B454" s="965"/>
      <c r="C454" s="965"/>
      <c r="D454" s="965"/>
      <c r="E454" s="965"/>
      <c r="F454" s="965"/>
      <c r="G454" s="965"/>
      <c r="H454" s="965"/>
      <c r="I454" s="965"/>
      <c r="J454" s="965"/>
      <c r="K454" s="965"/>
      <c r="L454" s="965"/>
      <c r="M454" s="965"/>
      <c r="N454" s="965"/>
      <c r="O454" s="965"/>
      <c r="P454" s="965"/>
      <c r="Q454" s="965"/>
      <c r="R454" s="965"/>
      <c r="S454" s="965"/>
      <c r="T454" s="965"/>
      <c r="U454" s="965"/>
      <c r="V454" s="965"/>
      <c r="W454" s="965"/>
      <c r="X454" s="965"/>
      <c r="Y454" s="965"/>
      <c r="Z454" s="965"/>
    </row>
    <row r="455">
      <c r="A455" s="965"/>
      <c r="B455" s="965"/>
      <c r="C455" s="965"/>
      <c r="D455" s="965"/>
      <c r="E455" s="965"/>
      <c r="F455" s="965"/>
      <c r="G455" s="965"/>
      <c r="H455" s="965"/>
      <c r="I455" s="965"/>
      <c r="J455" s="965"/>
      <c r="K455" s="965"/>
      <c r="L455" s="965"/>
      <c r="M455" s="965"/>
      <c r="N455" s="965"/>
      <c r="O455" s="965"/>
      <c r="P455" s="965"/>
      <c r="Q455" s="965"/>
      <c r="R455" s="965"/>
      <c r="S455" s="965"/>
      <c r="T455" s="965"/>
      <c r="U455" s="965"/>
      <c r="V455" s="965"/>
      <c r="W455" s="965"/>
      <c r="X455" s="965"/>
      <c r="Y455" s="965"/>
      <c r="Z455" s="965"/>
    </row>
    <row r="456">
      <c r="A456" s="965"/>
      <c r="B456" s="965"/>
      <c r="C456" s="965"/>
      <c r="D456" s="965"/>
      <c r="E456" s="965"/>
      <c r="F456" s="965"/>
      <c r="G456" s="965"/>
      <c r="H456" s="965"/>
      <c r="I456" s="965"/>
      <c r="J456" s="965"/>
      <c r="K456" s="965"/>
      <c r="L456" s="965"/>
      <c r="M456" s="965"/>
      <c r="N456" s="965"/>
      <c r="O456" s="965"/>
      <c r="P456" s="965"/>
      <c r="Q456" s="965"/>
      <c r="R456" s="965"/>
      <c r="S456" s="965"/>
      <c r="T456" s="965"/>
      <c r="U456" s="965"/>
      <c r="V456" s="965"/>
      <c r="W456" s="965"/>
      <c r="X456" s="965"/>
      <c r="Y456" s="965"/>
      <c r="Z456" s="965"/>
    </row>
    <row r="457">
      <c r="A457" s="965"/>
      <c r="B457" s="965"/>
      <c r="C457" s="965"/>
      <c r="D457" s="965"/>
      <c r="E457" s="965"/>
      <c r="F457" s="965"/>
      <c r="G457" s="965"/>
      <c r="H457" s="965"/>
      <c r="I457" s="965"/>
      <c r="J457" s="965"/>
      <c r="K457" s="965"/>
      <c r="L457" s="965"/>
      <c r="M457" s="965"/>
      <c r="N457" s="965"/>
      <c r="O457" s="965"/>
      <c r="P457" s="965"/>
      <c r="Q457" s="965"/>
      <c r="R457" s="965"/>
      <c r="S457" s="965"/>
      <c r="T457" s="965"/>
      <c r="U457" s="965"/>
      <c r="V457" s="965"/>
      <c r="W457" s="965"/>
      <c r="X457" s="965"/>
      <c r="Y457" s="965"/>
      <c r="Z457" s="965"/>
    </row>
    <row r="458">
      <c r="A458" s="965"/>
      <c r="B458" s="965"/>
      <c r="C458" s="965"/>
      <c r="D458" s="965"/>
      <c r="E458" s="965"/>
      <c r="F458" s="965"/>
      <c r="G458" s="965"/>
      <c r="H458" s="965"/>
      <c r="I458" s="965"/>
      <c r="J458" s="965"/>
      <c r="K458" s="965"/>
      <c r="L458" s="965"/>
      <c r="M458" s="965"/>
      <c r="N458" s="965"/>
      <c r="O458" s="965"/>
      <c r="P458" s="965"/>
      <c r="Q458" s="965"/>
      <c r="R458" s="965"/>
      <c r="S458" s="965"/>
      <c r="T458" s="965"/>
      <c r="U458" s="965"/>
      <c r="V458" s="965"/>
      <c r="W458" s="965"/>
      <c r="X458" s="965"/>
      <c r="Y458" s="965"/>
      <c r="Z458" s="965"/>
    </row>
    <row r="459">
      <c r="A459" s="965"/>
      <c r="B459" s="965"/>
      <c r="C459" s="965"/>
      <c r="D459" s="965"/>
      <c r="E459" s="965"/>
      <c r="F459" s="965"/>
      <c r="G459" s="965"/>
      <c r="H459" s="965"/>
      <c r="I459" s="965"/>
      <c r="J459" s="965"/>
      <c r="K459" s="965"/>
      <c r="L459" s="965"/>
      <c r="M459" s="965"/>
      <c r="N459" s="965"/>
      <c r="O459" s="965"/>
      <c r="P459" s="965"/>
      <c r="Q459" s="965"/>
      <c r="R459" s="965"/>
      <c r="S459" s="965"/>
      <c r="T459" s="965"/>
      <c r="U459" s="965"/>
      <c r="V459" s="965"/>
      <c r="W459" s="965"/>
      <c r="X459" s="965"/>
      <c r="Y459" s="965"/>
      <c r="Z459" s="965"/>
    </row>
    <row r="460">
      <c r="A460" s="965"/>
      <c r="B460" s="965"/>
      <c r="C460" s="965"/>
      <c r="D460" s="965"/>
      <c r="E460" s="965"/>
      <c r="F460" s="965"/>
      <c r="G460" s="965"/>
      <c r="H460" s="965"/>
      <c r="I460" s="965"/>
      <c r="J460" s="965"/>
      <c r="K460" s="965"/>
      <c r="L460" s="965"/>
      <c r="M460" s="965"/>
      <c r="N460" s="965"/>
      <c r="O460" s="965"/>
      <c r="P460" s="965"/>
      <c r="Q460" s="965"/>
      <c r="R460" s="965"/>
      <c r="S460" s="965"/>
      <c r="T460" s="965"/>
      <c r="U460" s="965"/>
      <c r="V460" s="965"/>
      <c r="W460" s="965"/>
      <c r="X460" s="965"/>
      <c r="Y460" s="965"/>
      <c r="Z460" s="965"/>
    </row>
    <row r="461">
      <c r="A461" s="965"/>
      <c r="B461" s="965"/>
      <c r="C461" s="965"/>
      <c r="D461" s="965"/>
      <c r="E461" s="965"/>
      <c r="F461" s="965"/>
      <c r="G461" s="965"/>
      <c r="H461" s="965"/>
      <c r="I461" s="965"/>
      <c r="J461" s="965"/>
      <c r="K461" s="965"/>
      <c r="L461" s="965"/>
      <c r="M461" s="965"/>
      <c r="N461" s="965"/>
      <c r="O461" s="965"/>
      <c r="P461" s="965"/>
      <c r="Q461" s="965"/>
      <c r="R461" s="965"/>
      <c r="S461" s="965"/>
      <c r="T461" s="965"/>
      <c r="U461" s="965"/>
      <c r="V461" s="965"/>
      <c r="W461" s="965"/>
      <c r="X461" s="965"/>
      <c r="Y461" s="965"/>
      <c r="Z461" s="965"/>
    </row>
    <row r="462">
      <c r="A462" s="965"/>
      <c r="B462" s="965"/>
      <c r="C462" s="965"/>
      <c r="D462" s="965"/>
      <c r="E462" s="965"/>
      <c r="F462" s="965"/>
      <c r="G462" s="965"/>
      <c r="H462" s="965"/>
      <c r="I462" s="965"/>
      <c r="J462" s="965"/>
      <c r="K462" s="965"/>
      <c r="L462" s="965"/>
      <c r="M462" s="965"/>
      <c r="N462" s="965"/>
      <c r="O462" s="965"/>
      <c r="P462" s="965"/>
      <c r="Q462" s="965"/>
      <c r="R462" s="965"/>
      <c r="S462" s="965"/>
      <c r="T462" s="965"/>
      <c r="U462" s="965"/>
      <c r="V462" s="965"/>
      <c r="W462" s="965"/>
      <c r="X462" s="965"/>
      <c r="Y462" s="965"/>
      <c r="Z462" s="965"/>
    </row>
    <row r="463">
      <c r="A463" s="965"/>
      <c r="B463" s="965"/>
      <c r="C463" s="965"/>
      <c r="D463" s="965"/>
      <c r="E463" s="965"/>
      <c r="F463" s="965"/>
      <c r="G463" s="965"/>
      <c r="H463" s="965"/>
      <c r="I463" s="965"/>
      <c r="J463" s="965"/>
      <c r="K463" s="965"/>
      <c r="L463" s="965"/>
      <c r="M463" s="965"/>
      <c r="N463" s="965"/>
      <c r="O463" s="965"/>
      <c r="P463" s="965"/>
      <c r="Q463" s="965"/>
      <c r="R463" s="965"/>
      <c r="S463" s="965"/>
      <c r="T463" s="965"/>
      <c r="U463" s="965"/>
      <c r="V463" s="965"/>
      <c r="W463" s="965"/>
      <c r="X463" s="965"/>
      <c r="Y463" s="965"/>
      <c r="Z463" s="965"/>
    </row>
    <row r="464">
      <c r="A464" s="965"/>
      <c r="B464" s="965"/>
      <c r="C464" s="965"/>
      <c r="D464" s="965"/>
      <c r="E464" s="965"/>
      <c r="F464" s="965"/>
      <c r="G464" s="965"/>
      <c r="H464" s="965"/>
      <c r="I464" s="965"/>
      <c r="J464" s="965"/>
      <c r="K464" s="965"/>
      <c r="L464" s="965"/>
      <c r="M464" s="965"/>
      <c r="N464" s="965"/>
      <c r="O464" s="965"/>
      <c r="P464" s="965"/>
      <c r="Q464" s="965"/>
      <c r="R464" s="965"/>
      <c r="S464" s="965"/>
      <c r="T464" s="965"/>
      <c r="U464" s="965"/>
      <c r="V464" s="965"/>
      <c r="W464" s="965"/>
      <c r="X464" s="965"/>
      <c r="Y464" s="965"/>
      <c r="Z464" s="965"/>
    </row>
    <row r="465">
      <c r="A465" s="965"/>
      <c r="B465" s="965"/>
      <c r="C465" s="965"/>
      <c r="D465" s="965"/>
      <c r="E465" s="965"/>
      <c r="F465" s="965"/>
      <c r="G465" s="965"/>
      <c r="H465" s="965"/>
      <c r="I465" s="965"/>
      <c r="J465" s="965"/>
      <c r="K465" s="965"/>
      <c r="L465" s="965"/>
      <c r="M465" s="965"/>
      <c r="N465" s="965"/>
      <c r="O465" s="965"/>
      <c r="P465" s="965"/>
      <c r="Q465" s="965"/>
      <c r="R465" s="965"/>
      <c r="S465" s="965"/>
      <c r="T465" s="965"/>
      <c r="U465" s="965"/>
      <c r="V465" s="965"/>
      <c r="W465" s="965"/>
      <c r="X465" s="965"/>
      <c r="Y465" s="965"/>
      <c r="Z465" s="965"/>
    </row>
    <row r="466">
      <c r="A466" s="965"/>
      <c r="B466" s="965"/>
      <c r="C466" s="965"/>
      <c r="D466" s="965"/>
      <c r="E466" s="965"/>
      <c r="F466" s="965"/>
      <c r="G466" s="965"/>
      <c r="H466" s="965"/>
      <c r="I466" s="965"/>
      <c r="J466" s="965"/>
      <c r="K466" s="965"/>
      <c r="L466" s="965"/>
      <c r="M466" s="965"/>
      <c r="N466" s="965"/>
      <c r="O466" s="965"/>
      <c r="P466" s="965"/>
      <c r="Q466" s="965"/>
      <c r="R466" s="965"/>
      <c r="S466" s="965"/>
      <c r="T466" s="965"/>
      <c r="U466" s="965"/>
      <c r="V466" s="965"/>
      <c r="W466" s="965"/>
      <c r="X466" s="965"/>
      <c r="Y466" s="965"/>
      <c r="Z466" s="965"/>
    </row>
    <row r="467">
      <c r="A467" s="965"/>
      <c r="B467" s="965"/>
      <c r="C467" s="965"/>
      <c r="D467" s="965"/>
      <c r="E467" s="965"/>
      <c r="F467" s="965"/>
      <c r="G467" s="965"/>
      <c r="H467" s="965"/>
      <c r="I467" s="965"/>
      <c r="J467" s="965"/>
      <c r="K467" s="965"/>
      <c r="L467" s="965"/>
      <c r="M467" s="965"/>
      <c r="N467" s="965"/>
      <c r="O467" s="965"/>
      <c r="P467" s="965"/>
      <c r="Q467" s="965"/>
      <c r="R467" s="965"/>
      <c r="S467" s="965"/>
      <c r="T467" s="965"/>
      <c r="U467" s="965"/>
      <c r="V467" s="965"/>
      <c r="W467" s="965"/>
      <c r="X467" s="965"/>
      <c r="Y467" s="965"/>
      <c r="Z467" s="965"/>
    </row>
    <row r="468">
      <c r="A468" s="965"/>
      <c r="B468" s="965"/>
      <c r="C468" s="965"/>
      <c r="D468" s="965"/>
      <c r="E468" s="965"/>
      <c r="F468" s="965"/>
      <c r="G468" s="965"/>
      <c r="H468" s="965"/>
      <c r="I468" s="965"/>
      <c r="J468" s="965"/>
      <c r="K468" s="965"/>
      <c r="L468" s="965"/>
      <c r="M468" s="965"/>
      <c r="N468" s="965"/>
      <c r="O468" s="965"/>
      <c r="P468" s="965"/>
      <c r="Q468" s="965"/>
      <c r="R468" s="965"/>
      <c r="S468" s="965"/>
      <c r="T468" s="965"/>
      <c r="U468" s="965"/>
      <c r="V468" s="965"/>
      <c r="W468" s="965"/>
      <c r="X468" s="965"/>
      <c r="Y468" s="965"/>
      <c r="Z468" s="965"/>
    </row>
    <row r="469">
      <c r="A469" s="965"/>
      <c r="B469" s="965"/>
      <c r="C469" s="965"/>
      <c r="D469" s="965"/>
      <c r="E469" s="965"/>
      <c r="F469" s="965"/>
      <c r="G469" s="965"/>
      <c r="H469" s="965"/>
      <c r="I469" s="965"/>
      <c r="J469" s="965"/>
      <c r="K469" s="965"/>
      <c r="L469" s="965"/>
      <c r="M469" s="965"/>
      <c r="N469" s="965"/>
      <c r="O469" s="965"/>
      <c r="P469" s="965"/>
      <c r="Q469" s="965"/>
      <c r="R469" s="965"/>
      <c r="S469" s="965"/>
      <c r="T469" s="965"/>
      <c r="U469" s="965"/>
      <c r="V469" s="965"/>
      <c r="W469" s="965"/>
      <c r="X469" s="965"/>
      <c r="Y469" s="965"/>
      <c r="Z469" s="965"/>
    </row>
    <row r="470">
      <c r="A470" s="965"/>
      <c r="B470" s="965"/>
      <c r="C470" s="965"/>
      <c r="D470" s="965"/>
      <c r="E470" s="965"/>
      <c r="F470" s="965"/>
      <c r="G470" s="965"/>
      <c r="H470" s="965"/>
      <c r="I470" s="965"/>
      <c r="J470" s="965"/>
      <c r="K470" s="965"/>
      <c r="L470" s="965"/>
      <c r="M470" s="965"/>
      <c r="N470" s="965"/>
      <c r="O470" s="965"/>
      <c r="P470" s="965"/>
      <c r="Q470" s="965"/>
      <c r="R470" s="965"/>
      <c r="S470" s="965"/>
      <c r="T470" s="965"/>
      <c r="U470" s="965"/>
      <c r="V470" s="965"/>
      <c r="W470" s="965"/>
      <c r="X470" s="965"/>
      <c r="Y470" s="965"/>
      <c r="Z470" s="965"/>
    </row>
    <row r="471">
      <c r="A471" s="965"/>
      <c r="B471" s="965"/>
      <c r="C471" s="965"/>
      <c r="D471" s="965"/>
      <c r="E471" s="965"/>
      <c r="F471" s="965"/>
      <c r="G471" s="965"/>
      <c r="H471" s="965"/>
      <c r="I471" s="965"/>
      <c r="J471" s="965"/>
      <c r="K471" s="965"/>
      <c r="L471" s="965"/>
      <c r="M471" s="965"/>
      <c r="N471" s="965"/>
      <c r="O471" s="965"/>
      <c r="P471" s="965"/>
      <c r="Q471" s="965"/>
      <c r="R471" s="965"/>
      <c r="S471" s="965"/>
      <c r="T471" s="965"/>
      <c r="U471" s="965"/>
      <c r="V471" s="965"/>
      <c r="W471" s="965"/>
      <c r="X471" s="965"/>
      <c r="Y471" s="965"/>
      <c r="Z471" s="965"/>
    </row>
    <row r="472">
      <c r="A472" s="965"/>
      <c r="B472" s="965"/>
      <c r="C472" s="965"/>
      <c r="D472" s="965"/>
      <c r="E472" s="965"/>
      <c r="F472" s="965"/>
      <c r="G472" s="965"/>
      <c r="H472" s="965"/>
      <c r="I472" s="965"/>
      <c r="J472" s="965"/>
      <c r="K472" s="965"/>
      <c r="L472" s="965"/>
      <c r="M472" s="965"/>
      <c r="N472" s="965"/>
      <c r="O472" s="965"/>
      <c r="P472" s="965"/>
      <c r="Q472" s="965"/>
      <c r="R472" s="965"/>
      <c r="S472" s="965"/>
      <c r="T472" s="965"/>
      <c r="U472" s="965"/>
      <c r="V472" s="965"/>
      <c r="W472" s="965"/>
      <c r="X472" s="965"/>
      <c r="Y472" s="965"/>
      <c r="Z472" s="965"/>
    </row>
    <row r="473">
      <c r="A473" s="965"/>
      <c r="B473" s="965"/>
      <c r="C473" s="965"/>
      <c r="D473" s="965"/>
      <c r="E473" s="965"/>
      <c r="F473" s="965"/>
      <c r="G473" s="965"/>
      <c r="H473" s="965"/>
      <c r="I473" s="965"/>
      <c r="J473" s="965"/>
      <c r="K473" s="965"/>
      <c r="L473" s="965"/>
      <c r="M473" s="965"/>
      <c r="N473" s="965"/>
      <c r="O473" s="965"/>
      <c r="P473" s="965"/>
      <c r="Q473" s="965"/>
      <c r="R473" s="965"/>
      <c r="S473" s="965"/>
      <c r="T473" s="965"/>
      <c r="U473" s="965"/>
      <c r="V473" s="965"/>
      <c r="W473" s="965"/>
      <c r="X473" s="965"/>
      <c r="Y473" s="965"/>
      <c r="Z473" s="965"/>
    </row>
    <row r="474">
      <c r="A474" s="965"/>
      <c r="B474" s="965"/>
      <c r="C474" s="965"/>
      <c r="D474" s="965"/>
      <c r="E474" s="965"/>
      <c r="F474" s="965"/>
      <c r="G474" s="965"/>
      <c r="H474" s="965"/>
      <c r="I474" s="965"/>
      <c r="J474" s="965"/>
      <c r="K474" s="965"/>
      <c r="L474" s="965"/>
      <c r="M474" s="965"/>
      <c r="N474" s="965"/>
      <c r="O474" s="965"/>
      <c r="P474" s="965"/>
      <c r="Q474" s="965"/>
      <c r="R474" s="965"/>
      <c r="S474" s="965"/>
      <c r="T474" s="965"/>
      <c r="U474" s="965"/>
      <c r="V474" s="965"/>
      <c r="W474" s="965"/>
      <c r="X474" s="965"/>
      <c r="Y474" s="965"/>
      <c r="Z474" s="965"/>
    </row>
    <row r="475">
      <c r="A475" s="965"/>
      <c r="B475" s="965"/>
      <c r="C475" s="965"/>
      <c r="D475" s="965"/>
      <c r="E475" s="965"/>
      <c r="F475" s="965"/>
      <c r="G475" s="965"/>
      <c r="H475" s="965"/>
      <c r="I475" s="965"/>
      <c r="J475" s="965"/>
      <c r="K475" s="965"/>
      <c r="L475" s="965"/>
      <c r="M475" s="965"/>
      <c r="N475" s="965"/>
      <c r="O475" s="965"/>
      <c r="P475" s="965"/>
      <c r="Q475" s="965"/>
      <c r="R475" s="965"/>
      <c r="S475" s="965"/>
      <c r="T475" s="965"/>
      <c r="U475" s="965"/>
      <c r="V475" s="965"/>
      <c r="W475" s="965"/>
      <c r="X475" s="965"/>
      <c r="Y475" s="965"/>
      <c r="Z475" s="965"/>
    </row>
    <row r="476">
      <c r="A476" s="965"/>
      <c r="B476" s="965"/>
      <c r="C476" s="965"/>
      <c r="D476" s="965"/>
      <c r="E476" s="965"/>
      <c r="F476" s="965"/>
      <c r="G476" s="965"/>
      <c r="H476" s="965"/>
      <c r="I476" s="965"/>
      <c r="J476" s="965"/>
      <c r="K476" s="965"/>
      <c r="L476" s="965"/>
      <c r="M476" s="965"/>
      <c r="N476" s="965"/>
      <c r="O476" s="965"/>
      <c r="P476" s="965"/>
      <c r="Q476" s="965"/>
      <c r="R476" s="965"/>
      <c r="S476" s="965"/>
      <c r="T476" s="965"/>
      <c r="U476" s="965"/>
      <c r="V476" s="965"/>
      <c r="W476" s="965"/>
      <c r="X476" s="965"/>
      <c r="Y476" s="965"/>
      <c r="Z476" s="965"/>
    </row>
    <row r="477">
      <c r="A477" s="965"/>
      <c r="B477" s="965"/>
      <c r="C477" s="965"/>
      <c r="D477" s="965"/>
      <c r="E477" s="965"/>
      <c r="F477" s="965"/>
      <c r="G477" s="965"/>
      <c r="H477" s="965"/>
      <c r="I477" s="965"/>
      <c r="J477" s="965"/>
      <c r="K477" s="965"/>
      <c r="L477" s="965"/>
      <c r="M477" s="965"/>
      <c r="N477" s="965"/>
      <c r="O477" s="965"/>
      <c r="P477" s="965"/>
      <c r="Q477" s="965"/>
      <c r="R477" s="965"/>
      <c r="S477" s="965"/>
      <c r="T477" s="965"/>
      <c r="U477" s="965"/>
      <c r="V477" s="965"/>
      <c r="W477" s="965"/>
      <c r="X477" s="965"/>
      <c r="Y477" s="965"/>
      <c r="Z477" s="965"/>
    </row>
    <row r="478">
      <c r="A478" s="965"/>
      <c r="B478" s="965"/>
      <c r="C478" s="965"/>
      <c r="D478" s="965"/>
      <c r="E478" s="965"/>
      <c r="F478" s="965"/>
      <c r="G478" s="965"/>
      <c r="H478" s="965"/>
      <c r="I478" s="965"/>
      <c r="J478" s="965"/>
      <c r="K478" s="965"/>
      <c r="L478" s="965"/>
      <c r="M478" s="965"/>
      <c r="N478" s="965"/>
      <c r="O478" s="965"/>
      <c r="P478" s="965"/>
      <c r="Q478" s="965"/>
      <c r="R478" s="965"/>
      <c r="S478" s="965"/>
      <c r="T478" s="965"/>
      <c r="U478" s="965"/>
      <c r="V478" s="965"/>
      <c r="W478" s="965"/>
      <c r="X478" s="965"/>
      <c r="Y478" s="965"/>
      <c r="Z478" s="965"/>
    </row>
    <row r="479">
      <c r="A479" s="965"/>
      <c r="B479" s="965"/>
      <c r="C479" s="965"/>
      <c r="D479" s="965"/>
      <c r="E479" s="965"/>
      <c r="F479" s="965"/>
      <c r="G479" s="965"/>
      <c r="H479" s="965"/>
      <c r="I479" s="965"/>
      <c r="J479" s="965"/>
      <c r="K479" s="965"/>
      <c r="L479" s="965"/>
      <c r="M479" s="965"/>
      <c r="N479" s="965"/>
      <c r="O479" s="965"/>
      <c r="P479" s="965"/>
      <c r="Q479" s="965"/>
      <c r="R479" s="965"/>
      <c r="S479" s="965"/>
      <c r="T479" s="965"/>
      <c r="U479" s="965"/>
      <c r="V479" s="965"/>
      <c r="W479" s="965"/>
      <c r="X479" s="965"/>
      <c r="Y479" s="965"/>
      <c r="Z479" s="965"/>
    </row>
    <row r="480">
      <c r="A480" s="965"/>
      <c r="B480" s="965"/>
      <c r="C480" s="965"/>
      <c r="D480" s="965"/>
      <c r="E480" s="965"/>
      <c r="F480" s="965"/>
      <c r="G480" s="965"/>
      <c r="H480" s="965"/>
      <c r="I480" s="965"/>
      <c r="J480" s="965"/>
      <c r="K480" s="965"/>
      <c r="L480" s="965"/>
      <c r="M480" s="965"/>
      <c r="N480" s="965"/>
      <c r="O480" s="965"/>
      <c r="P480" s="965"/>
      <c r="Q480" s="965"/>
      <c r="R480" s="965"/>
      <c r="S480" s="965"/>
      <c r="T480" s="965"/>
      <c r="U480" s="965"/>
      <c r="V480" s="965"/>
      <c r="W480" s="965"/>
      <c r="X480" s="965"/>
      <c r="Y480" s="965"/>
      <c r="Z480" s="965"/>
    </row>
    <row r="481">
      <c r="A481" s="965"/>
      <c r="B481" s="965"/>
      <c r="C481" s="965"/>
      <c r="D481" s="965"/>
      <c r="E481" s="965"/>
      <c r="F481" s="965"/>
      <c r="G481" s="965"/>
      <c r="H481" s="965"/>
      <c r="I481" s="965"/>
      <c r="J481" s="965"/>
      <c r="K481" s="965"/>
      <c r="L481" s="965"/>
      <c r="M481" s="965"/>
      <c r="N481" s="965"/>
      <c r="O481" s="965"/>
      <c r="P481" s="965"/>
      <c r="Q481" s="965"/>
      <c r="R481" s="965"/>
      <c r="S481" s="965"/>
      <c r="T481" s="965"/>
      <c r="U481" s="965"/>
      <c r="V481" s="965"/>
      <c r="W481" s="965"/>
      <c r="X481" s="965"/>
      <c r="Y481" s="965"/>
      <c r="Z481" s="965"/>
    </row>
    <row r="482">
      <c r="A482" s="965"/>
      <c r="B482" s="965"/>
      <c r="C482" s="965"/>
      <c r="D482" s="965"/>
      <c r="E482" s="965"/>
      <c r="F482" s="965"/>
      <c r="G482" s="965"/>
      <c r="H482" s="965"/>
      <c r="I482" s="965"/>
      <c r="J482" s="965"/>
      <c r="K482" s="965"/>
      <c r="L482" s="965"/>
      <c r="M482" s="965"/>
      <c r="N482" s="965"/>
      <c r="O482" s="965"/>
      <c r="P482" s="965"/>
      <c r="Q482" s="965"/>
      <c r="R482" s="965"/>
      <c r="S482" s="965"/>
      <c r="T482" s="965"/>
      <c r="U482" s="965"/>
      <c r="V482" s="965"/>
      <c r="W482" s="965"/>
      <c r="X482" s="965"/>
      <c r="Y482" s="965"/>
      <c r="Z482" s="965"/>
    </row>
    <row r="483">
      <c r="A483" s="965"/>
      <c r="B483" s="965"/>
      <c r="C483" s="965"/>
      <c r="D483" s="965"/>
      <c r="E483" s="965"/>
      <c r="F483" s="965"/>
      <c r="G483" s="965"/>
      <c r="H483" s="965"/>
      <c r="I483" s="965"/>
      <c r="J483" s="965"/>
      <c r="K483" s="965"/>
      <c r="L483" s="965"/>
      <c r="M483" s="965"/>
      <c r="N483" s="965"/>
      <c r="O483" s="965"/>
      <c r="P483" s="965"/>
      <c r="Q483" s="965"/>
      <c r="R483" s="965"/>
      <c r="S483" s="965"/>
      <c r="T483" s="965"/>
      <c r="U483" s="965"/>
      <c r="V483" s="965"/>
      <c r="W483" s="965"/>
      <c r="X483" s="965"/>
      <c r="Y483" s="965"/>
      <c r="Z483" s="965"/>
    </row>
    <row r="484">
      <c r="A484" s="965"/>
      <c r="B484" s="965"/>
      <c r="C484" s="965"/>
      <c r="D484" s="965"/>
      <c r="E484" s="965"/>
      <c r="F484" s="965"/>
      <c r="G484" s="965"/>
      <c r="H484" s="965"/>
      <c r="I484" s="965"/>
      <c r="J484" s="965"/>
      <c r="K484" s="965"/>
      <c r="L484" s="965"/>
      <c r="M484" s="965"/>
      <c r="N484" s="965"/>
      <c r="O484" s="965"/>
      <c r="P484" s="965"/>
      <c r="Q484" s="965"/>
      <c r="R484" s="965"/>
      <c r="S484" s="965"/>
      <c r="T484" s="965"/>
      <c r="U484" s="965"/>
      <c r="V484" s="965"/>
      <c r="W484" s="965"/>
      <c r="X484" s="965"/>
      <c r="Y484" s="965"/>
      <c r="Z484" s="965"/>
    </row>
    <row r="485">
      <c r="A485" s="965"/>
      <c r="B485" s="965"/>
      <c r="C485" s="965"/>
      <c r="D485" s="965"/>
      <c r="E485" s="965"/>
      <c r="F485" s="965"/>
      <c r="G485" s="965"/>
      <c r="H485" s="965"/>
      <c r="I485" s="965"/>
      <c r="J485" s="965"/>
      <c r="K485" s="965"/>
      <c r="L485" s="965"/>
      <c r="M485" s="965"/>
      <c r="N485" s="965"/>
      <c r="O485" s="965"/>
      <c r="P485" s="965"/>
      <c r="Q485" s="965"/>
      <c r="R485" s="965"/>
      <c r="S485" s="965"/>
      <c r="T485" s="965"/>
      <c r="U485" s="965"/>
      <c r="V485" s="965"/>
      <c r="W485" s="965"/>
      <c r="X485" s="965"/>
      <c r="Y485" s="965"/>
      <c r="Z485" s="965"/>
    </row>
    <row r="486">
      <c r="A486" s="965"/>
      <c r="B486" s="965"/>
      <c r="C486" s="965"/>
      <c r="D486" s="965"/>
      <c r="E486" s="965"/>
      <c r="F486" s="965"/>
      <c r="G486" s="965"/>
      <c r="H486" s="965"/>
      <c r="I486" s="965"/>
      <c r="J486" s="965"/>
      <c r="K486" s="965"/>
      <c r="L486" s="965"/>
      <c r="M486" s="965"/>
      <c r="N486" s="965"/>
      <c r="O486" s="965"/>
      <c r="P486" s="965"/>
      <c r="Q486" s="965"/>
      <c r="R486" s="965"/>
      <c r="S486" s="965"/>
      <c r="T486" s="965"/>
      <c r="U486" s="965"/>
      <c r="V486" s="965"/>
      <c r="W486" s="965"/>
      <c r="X486" s="965"/>
      <c r="Y486" s="965"/>
      <c r="Z486" s="965"/>
    </row>
    <row r="487">
      <c r="A487" s="965"/>
      <c r="B487" s="965"/>
      <c r="C487" s="965"/>
      <c r="D487" s="965"/>
      <c r="E487" s="965"/>
      <c r="F487" s="965"/>
      <c r="G487" s="965"/>
      <c r="H487" s="965"/>
      <c r="I487" s="965"/>
      <c r="J487" s="965"/>
      <c r="K487" s="965"/>
      <c r="L487" s="965"/>
      <c r="M487" s="965"/>
      <c r="N487" s="965"/>
      <c r="O487" s="965"/>
      <c r="P487" s="965"/>
      <c r="Q487" s="965"/>
      <c r="R487" s="965"/>
      <c r="S487" s="965"/>
      <c r="T487" s="965"/>
      <c r="U487" s="965"/>
      <c r="V487" s="965"/>
      <c r="W487" s="965"/>
      <c r="X487" s="965"/>
      <c r="Y487" s="965"/>
      <c r="Z487" s="965"/>
    </row>
    <row r="488">
      <c r="A488" s="965"/>
      <c r="B488" s="965"/>
      <c r="C488" s="965"/>
      <c r="D488" s="965"/>
      <c r="E488" s="965"/>
      <c r="F488" s="965"/>
      <c r="G488" s="965"/>
      <c r="H488" s="965"/>
      <c r="I488" s="965"/>
      <c r="J488" s="965"/>
      <c r="K488" s="965"/>
      <c r="L488" s="965"/>
      <c r="M488" s="965"/>
      <c r="N488" s="965"/>
      <c r="O488" s="965"/>
      <c r="P488" s="965"/>
      <c r="Q488" s="965"/>
      <c r="R488" s="965"/>
      <c r="S488" s="965"/>
      <c r="T488" s="965"/>
      <c r="U488" s="965"/>
      <c r="V488" s="965"/>
      <c r="W488" s="965"/>
      <c r="X488" s="965"/>
      <c r="Y488" s="965"/>
      <c r="Z488" s="965"/>
    </row>
    <row r="489">
      <c r="A489" s="965"/>
      <c r="B489" s="965"/>
      <c r="C489" s="965"/>
      <c r="D489" s="965"/>
      <c r="E489" s="965"/>
      <c r="F489" s="965"/>
      <c r="G489" s="965"/>
      <c r="H489" s="965"/>
      <c r="I489" s="965"/>
      <c r="J489" s="965"/>
      <c r="K489" s="965"/>
      <c r="L489" s="965"/>
      <c r="M489" s="965"/>
      <c r="N489" s="965"/>
      <c r="O489" s="965"/>
      <c r="P489" s="965"/>
      <c r="Q489" s="965"/>
      <c r="R489" s="965"/>
      <c r="S489" s="965"/>
      <c r="T489" s="965"/>
      <c r="U489" s="965"/>
      <c r="V489" s="965"/>
      <c r="W489" s="965"/>
      <c r="X489" s="965"/>
      <c r="Y489" s="965"/>
      <c r="Z489" s="965"/>
    </row>
    <row r="490">
      <c r="A490" s="965"/>
      <c r="B490" s="965"/>
      <c r="C490" s="965"/>
      <c r="D490" s="965"/>
      <c r="E490" s="965"/>
      <c r="F490" s="965"/>
      <c r="G490" s="965"/>
      <c r="H490" s="965"/>
      <c r="I490" s="965"/>
      <c r="J490" s="965"/>
      <c r="K490" s="965"/>
      <c r="L490" s="965"/>
      <c r="M490" s="965"/>
      <c r="N490" s="965"/>
      <c r="O490" s="965"/>
      <c r="P490" s="965"/>
      <c r="Q490" s="965"/>
      <c r="R490" s="965"/>
      <c r="S490" s="965"/>
      <c r="T490" s="965"/>
      <c r="U490" s="965"/>
      <c r="V490" s="965"/>
      <c r="W490" s="965"/>
      <c r="X490" s="965"/>
      <c r="Y490" s="965"/>
      <c r="Z490" s="965"/>
    </row>
    <row r="491">
      <c r="A491" s="965"/>
      <c r="B491" s="965"/>
      <c r="C491" s="965"/>
      <c r="D491" s="965"/>
      <c r="E491" s="965"/>
      <c r="F491" s="965"/>
      <c r="G491" s="965"/>
      <c r="H491" s="965"/>
      <c r="I491" s="965"/>
      <c r="J491" s="965"/>
      <c r="K491" s="965"/>
      <c r="L491" s="965"/>
      <c r="M491" s="965"/>
      <c r="N491" s="965"/>
      <c r="O491" s="965"/>
      <c r="P491" s="965"/>
      <c r="Q491" s="965"/>
      <c r="R491" s="965"/>
      <c r="S491" s="965"/>
      <c r="T491" s="965"/>
      <c r="U491" s="965"/>
      <c r="V491" s="965"/>
      <c r="W491" s="965"/>
      <c r="X491" s="965"/>
      <c r="Y491" s="965"/>
      <c r="Z491" s="965"/>
    </row>
    <row r="492">
      <c r="A492" s="965"/>
      <c r="B492" s="965"/>
      <c r="C492" s="965"/>
      <c r="D492" s="965"/>
      <c r="E492" s="965"/>
      <c r="F492" s="965"/>
      <c r="G492" s="965"/>
      <c r="H492" s="965"/>
      <c r="I492" s="965"/>
      <c r="J492" s="965"/>
      <c r="K492" s="965"/>
      <c r="L492" s="965"/>
      <c r="M492" s="965"/>
      <c r="N492" s="965"/>
      <c r="O492" s="965"/>
      <c r="P492" s="965"/>
      <c r="Q492" s="965"/>
      <c r="R492" s="965"/>
      <c r="S492" s="965"/>
      <c r="T492" s="965"/>
      <c r="U492" s="965"/>
      <c r="V492" s="965"/>
      <c r="W492" s="965"/>
      <c r="X492" s="965"/>
      <c r="Y492" s="965"/>
      <c r="Z492" s="965"/>
    </row>
    <row r="493">
      <c r="A493" s="965"/>
      <c r="B493" s="965"/>
      <c r="C493" s="965"/>
      <c r="D493" s="965"/>
      <c r="E493" s="965"/>
      <c r="F493" s="965"/>
      <c r="G493" s="965"/>
      <c r="H493" s="965"/>
      <c r="I493" s="965"/>
      <c r="J493" s="965"/>
      <c r="K493" s="965"/>
      <c r="L493" s="965"/>
      <c r="M493" s="965"/>
      <c r="N493" s="965"/>
      <c r="O493" s="965"/>
      <c r="P493" s="965"/>
      <c r="Q493" s="965"/>
      <c r="R493" s="965"/>
      <c r="S493" s="965"/>
      <c r="T493" s="965"/>
      <c r="U493" s="965"/>
      <c r="V493" s="965"/>
      <c r="W493" s="965"/>
      <c r="X493" s="965"/>
      <c r="Y493" s="965"/>
      <c r="Z493" s="965"/>
    </row>
    <row r="494">
      <c r="A494" s="965"/>
      <c r="B494" s="965"/>
      <c r="C494" s="965"/>
      <c r="D494" s="965"/>
      <c r="E494" s="965"/>
      <c r="F494" s="965"/>
      <c r="G494" s="965"/>
      <c r="H494" s="965"/>
      <c r="I494" s="965"/>
      <c r="J494" s="965"/>
      <c r="K494" s="965"/>
      <c r="L494" s="965"/>
      <c r="M494" s="965"/>
      <c r="N494" s="965"/>
      <c r="O494" s="965"/>
      <c r="P494" s="965"/>
      <c r="Q494" s="965"/>
      <c r="R494" s="965"/>
      <c r="S494" s="965"/>
      <c r="T494" s="965"/>
      <c r="U494" s="965"/>
      <c r="V494" s="965"/>
      <c r="W494" s="965"/>
      <c r="X494" s="965"/>
      <c r="Y494" s="965"/>
      <c r="Z494" s="965"/>
    </row>
    <row r="495">
      <c r="A495" s="965"/>
      <c r="B495" s="965"/>
      <c r="C495" s="965"/>
      <c r="D495" s="965"/>
      <c r="E495" s="965"/>
      <c r="F495" s="965"/>
      <c r="G495" s="965"/>
      <c r="H495" s="965"/>
      <c r="I495" s="965"/>
      <c r="J495" s="965"/>
      <c r="K495" s="965"/>
      <c r="L495" s="965"/>
      <c r="M495" s="965"/>
      <c r="N495" s="965"/>
      <c r="O495" s="965"/>
      <c r="P495" s="965"/>
      <c r="Q495" s="965"/>
      <c r="R495" s="965"/>
      <c r="S495" s="965"/>
      <c r="T495" s="965"/>
      <c r="U495" s="965"/>
      <c r="V495" s="965"/>
      <c r="W495" s="965"/>
      <c r="X495" s="965"/>
      <c r="Y495" s="965"/>
      <c r="Z495" s="965"/>
    </row>
    <row r="496">
      <c r="A496" s="965"/>
      <c r="B496" s="965"/>
      <c r="C496" s="965"/>
      <c r="D496" s="965"/>
      <c r="E496" s="965"/>
      <c r="F496" s="965"/>
      <c r="G496" s="965"/>
      <c r="H496" s="965"/>
      <c r="I496" s="965"/>
      <c r="J496" s="965"/>
      <c r="K496" s="965"/>
      <c r="L496" s="965"/>
      <c r="M496" s="965"/>
      <c r="N496" s="965"/>
      <c r="O496" s="965"/>
      <c r="P496" s="965"/>
      <c r="Q496" s="965"/>
      <c r="R496" s="965"/>
      <c r="S496" s="965"/>
      <c r="T496" s="965"/>
      <c r="U496" s="965"/>
      <c r="V496" s="965"/>
      <c r="W496" s="965"/>
      <c r="X496" s="965"/>
      <c r="Y496" s="965"/>
      <c r="Z496" s="965"/>
    </row>
    <row r="497">
      <c r="A497" s="965"/>
      <c r="B497" s="965"/>
      <c r="C497" s="965"/>
      <c r="D497" s="965"/>
      <c r="E497" s="965"/>
      <c r="F497" s="965"/>
      <c r="G497" s="965"/>
      <c r="H497" s="965"/>
      <c r="I497" s="965"/>
      <c r="J497" s="965"/>
      <c r="K497" s="965"/>
      <c r="L497" s="965"/>
      <c r="M497" s="965"/>
      <c r="N497" s="965"/>
      <c r="O497" s="965"/>
      <c r="P497" s="965"/>
      <c r="Q497" s="965"/>
      <c r="R497" s="965"/>
      <c r="S497" s="965"/>
      <c r="T497" s="965"/>
      <c r="U497" s="965"/>
      <c r="V497" s="965"/>
      <c r="W497" s="965"/>
      <c r="X497" s="965"/>
      <c r="Y497" s="965"/>
      <c r="Z497" s="965"/>
    </row>
    <row r="498">
      <c r="A498" s="965"/>
      <c r="B498" s="965"/>
      <c r="C498" s="965"/>
      <c r="D498" s="965"/>
      <c r="E498" s="965"/>
      <c r="F498" s="965"/>
      <c r="G498" s="965"/>
      <c r="H498" s="965"/>
      <c r="I498" s="965"/>
      <c r="J498" s="965"/>
      <c r="K498" s="965"/>
      <c r="L498" s="965"/>
      <c r="M498" s="965"/>
      <c r="N498" s="965"/>
      <c r="O498" s="965"/>
      <c r="P498" s="965"/>
      <c r="Q498" s="965"/>
      <c r="R498" s="965"/>
      <c r="S498" s="965"/>
      <c r="T498" s="965"/>
      <c r="U498" s="965"/>
      <c r="V498" s="965"/>
      <c r="W498" s="965"/>
      <c r="X498" s="965"/>
      <c r="Y498" s="965"/>
      <c r="Z498" s="965"/>
    </row>
    <row r="499">
      <c r="A499" s="965"/>
      <c r="B499" s="965"/>
      <c r="C499" s="965"/>
      <c r="D499" s="965"/>
      <c r="E499" s="965"/>
      <c r="F499" s="965"/>
      <c r="G499" s="965"/>
      <c r="H499" s="965"/>
      <c r="I499" s="965"/>
      <c r="J499" s="965"/>
      <c r="K499" s="965"/>
      <c r="L499" s="965"/>
      <c r="M499" s="965"/>
      <c r="N499" s="965"/>
      <c r="O499" s="965"/>
      <c r="P499" s="965"/>
      <c r="Q499" s="965"/>
      <c r="R499" s="965"/>
      <c r="S499" s="965"/>
      <c r="T499" s="965"/>
      <c r="U499" s="965"/>
      <c r="V499" s="965"/>
      <c r="W499" s="965"/>
      <c r="X499" s="965"/>
      <c r="Y499" s="965"/>
      <c r="Z499" s="965"/>
    </row>
    <row r="500">
      <c r="A500" s="965"/>
      <c r="B500" s="965"/>
      <c r="C500" s="965"/>
      <c r="D500" s="965"/>
      <c r="E500" s="965"/>
      <c r="F500" s="965"/>
      <c r="G500" s="965"/>
      <c r="H500" s="965"/>
      <c r="I500" s="965"/>
      <c r="J500" s="965"/>
      <c r="K500" s="965"/>
      <c r="L500" s="965"/>
      <c r="M500" s="965"/>
      <c r="N500" s="965"/>
      <c r="O500" s="965"/>
      <c r="P500" s="965"/>
      <c r="Q500" s="965"/>
      <c r="R500" s="965"/>
      <c r="S500" s="965"/>
      <c r="T500" s="965"/>
      <c r="U500" s="965"/>
      <c r="V500" s="965"/>
      <c r="W500" s="965"/>
      <c r="X500" s="965"/>
      <c r="Y500" s="965"/>
      <c r="Z500" s="965"/>
    </row>
    <row r="501">
      <c r="A501" s="965"/>
      <c r="B501" s="965"/>
      <c r="C501" s="965"/>
      <c r="D501" s="965"/>
      <c r="E501" s="965"/>
      <c r="F501" s="965"/>
      <c r="G501" s="965"/>
      <c r="H501" s="965"/>
      <c r="I501" s="965"/>
      <c r="J501" s="965"/>
      <c r="K501" s="965"/>
      <c r="L501" s="965"/>
      <c r="M501" s="965"/>
      <c r="N501" s="965"/>
      <c r="O501" s="965"/>
      <c r="P501" s="965"/>
      <c r="Q501" s="965"/>
      <c r="R501" s="965"/>
      <c r="S501" s="965"/>
      <c r="T501" s="965"/>
      <c r="U501" s="965"/>
      <c r="V501" s="965"/>
      <c r="W501" s="965"/>
      <c r="X501" s="965"/>
      <c r="Y501" s="965"/>
      <c r="Z501" s="965"/>
    </row>
    <row r="502">
      <c r="A502" s="965"/>
      <c r="B502" s="965"/>
      <c r="C502" s="965"/>
      <c r="D502" s="965"/>
      <c r="E502" s="965"/>
      <c r="F502" s="965"/>
      <c r="G502" s="965"/>
      <c r="H502" s="965"/>
      <c r="I502" s="965"/>
      <c r="J502" s="965"/>
      <c r="K502" s="965"/>
      <c r="L502" s="965"/>
      <c r="M502" s="965"/>
      <c r="N502" s="965"/>
      <c r="O502" s="965"/>
      <c r="P502" s="965"/>
      <c r="Q502" s="965"/>
      <c r="R502" s="965"/>
      <c r="S502" s="965"/>
      <c r="T502" s="965"/>
      <c r="U502" s="965"/>
      <c r="V502" s="965"/>
      <c r="W502" s="965"/>
      <c r="X502" s="965"/>
      <c r="Y502" s="965"/>
      <c r="Z502" s="965"/>
    </row>
    <row r="503">
      <c r="A503" s="965"/>
      <c r="B503" s="965"/>
      <c r="C503" s="965"/>
      <c r="D503" s="965"/>
      <c r="E503" s="965"/>
      <c r="F503" s="965"/>
      <c r="G503" s="965"/>
      <c r="H503" s="965"/>
      <c r="I503" s="965"/>
      <c r="J503" s="965"/>
      <c r="K503" s="965"/>
      <c r="L503" s="965"/>
      <c r="M503" s="965"/>
      <c r="N503" s="965"/>
      <c r="O503" s="965"/>
      <c r="P503" s="965"/>
      <c r="Q503" s="965"/>
      <c r="R503" s="965"/>
      <c r="S503" s="965"/>
      <c r="T503" s="965"/>
      <c r="U503" s="965"/>
      <c r="V503" s="965"/>
      <c r="W503" s="965"/>
      <c r="X503" s="965"/>
      <c r="Y503" s="965"/>
      <c r="Z503" s="965"/>
    </row>
    <row r="504">
      <c r="A504" s="965"/>
      <c r="B504" s="965"/>
      <c r="C504" s="965"/>
      <c r="D504" s="965"/>
      <c r="E504" s="965"/>
      <c r="F504" s="965"/>
      <c r="G504" s="965"/>
      <c r="H504" s="965"/>
      <c r="I504" s="965"/>
      <c r="J504" s="965"/>
      <c r="K504" s="965"/>
      <c r="L504" s="965"/>
      <c r="M504" s="965"/>
      <c r="N504" s="965"/>
      <c r="O504" s="965"/>
      <c r="P504" s="965"/>
      <c r="Q504" s="965"/>
      <c r="R504" s="965"/>
      <c r="S504" s="965"/>
      <c r="T504" s="965"/>
      <c r="U504" s="965"/>
      <c r="V504" s="965"/>
      <c r="W504" s="965"/>
      <c r="X504" s="965"/>
      <c r="Y504" s="965"/>
      <c r="Z504" s="965"/>
    </row>
    <row r="505">
      <c r="A505" s="965"/>
      <c r="B505" s="965"/>
      <c r="C505" s="965"/>
      <c r="D505" s="965"/>
      <c r="E505" s="965"/>
      <c r="F505" s="965"/>
      <c r="G505" s="965"/>
      <c r="H505" s="965"/>
      <c r="I505" s="965"/>
      <c r="J505" s="965"/>
      <c r="K505" s="965"/>
      <c r="L505" s="965"/>
      <c r="M505" s="965"/>
      <c r="N505" s="965"/>
      <c r="O505" s="965"/>
      <c r="P505" s="965"/>
      <c r="Q505" s="965"/>
      <c r="R505" s="965"/>
      <c r="S505" s="965"/>
      <c r="T505" s="965"/>
      <c r="U505" s="965"/>
      <c r="V505" s="965"/>
      <c r="W505" s="965"/>
      <c r="X505" s="965"/>
      <c r="Y505" s="965"/>
      <c r="Z505" s="965"/>
    </row>
    <row r="506">
      <c r="A506" s="965"/>
      <c r="B506" s="965"/>
      <c r="C506" s="965"/>
      <c r="D506" s="965"/>
      <c r="E506" s="965"/>
      <c r="F506" s="965"/>
      <c r="G506" s="965"/>
      <c r="H506" s="965"/>
      <c r="I506" s="965"/>
      <c r="J506" s="965"/>
      <c r="K506" s="965"/>
      <c r="L506" s="965"/>
      <c r="M506" s="965"/>
      <c r="N506" s="965"/>
      <c r="O506" s="965"/>
      <c r="P506" s="965"/>
      <c r="Q506" s="965"/>
      <c r="R506" s="965"/>
      <c r="S506" s="965"/>
      <c r="T506" s="965"/>
      <c r="U506" s="965"/>
      <c r="V506" s="965"/>
      <c r="W506" s="965"/>
      <c r="X506" s="965"/>
      <c r="Y506" s="965"/>
      <c r="Z506" s="965"/>
    </row>
    <row r="507">
      <c r="A507" s="965"/>
      <c r="B507" s="965"/>
      <c r="C507" s="965"/>
      <c r="D507" s="965"/>
      <c r="E507" s="965"/>
      <c r="F507" s="965"/>
      <c r="G507" s="965"/>
      <c r="H507" s="965"/>
      <c r="I507" s="965"/>
      <c r="J507" s="965"/>
      <c r="K507" s="965"/>
      <c r="L507" s="965"/>
      <c r="M507" s="965"/>
      <c r="N507" s="965"/>
      <c r="O507" s="965"/>
      <c r="P507" s="965"/>
      <c r="Q507" s="965"/>
      <c r="R507" s="965"/>
      <c r="S507" s="965"/>
      <c r="T507" s="965"/>
      <c r="U507" s="965"/>
      <c r="V507" s="965"/>
      <c r="W507" s="965"/>
      <c r="X507" s="965"/>
      <c r="Y507" s="965"/>
      <c r="Z507" s="965"/>
    </row>
    <row r="508">
      <c r="A508" s="965"/>
      <c r="B508" s="965"/>
      <c r="C508" s="965"/>
      <c r="D508" s="965"/>
      <c r="E508" s="965"/>
      <c r="F508" s="965"/>
      <c r="G508" s="965"/>
      <c r="H508" s="965"/>
      <c r="I508" s="965"/>
      <c r="J508" s="965"/>
      <c r="K508" s="965"/>
      <c r="L508" s="965"/>
      <c r="M508" s="965"/>
      <c r="N508" s="965"/>
      <c r="O508" s="965"/>
      <c r="P508" s="965"/>
      <c r="Q508" s="965"/>
      <c r="R508" s="965"/>
      <c r="S508" s="965"/>
      <c r="T508" s="965"/>
      <c r="U508" s="965"/>
      <c r="V508" s="965"/>
      <c r="W508" s="965"/>
      <c r="X508" s="965"/>
      <c r="Y508" s="965"/>
      <c r="Z508" s="965"/>
    </row>
    <row r="509">
      <c r="A509" s="965"/>
      <c r="B509" s="965"/>
      <c r="C509" s="965"/>
      <c r="D509" s="965"/>
      <c r="E509" s="965"/>
      <c r="F509" s="965"/>
      <c r="G509" s="965"/>
      <c r="H509" s="965"/>
      <c r="I509" s="965"/>
      <c r="J509" s="965"/>
      <c r="K509" s="965"/>
      <c r="L509" s="965"/>
      <c r="M509" s="965"/>
      <c r="N509" s="965"/>
      <c r="O509" s="965"/>
      <c r="P509" s="965"/>
      <c r="Q509" s="965"/>
      <c r="R509" s="965"/>
      <c r="S509" s="965"/>
      <c r="T509" s="965"/>
      <c r="U509" s="965"/>
      <c r="V509" s="965"/>
      <c r="W509" s="965"/>
      <c r="X509" s="965"/>
      <c r="Y509" s="965"/>
      <c r="Z509" s="965"/>
    </row>
    <row r="510">
      <c r="A510" s="965"/>
      <c r="B510" s="965"/>
      <c r="C510" s="965"/>
      <c r="D510" s="965"/>
      <c r="E510" s="965"/>
      <c r="F510" s="965"/>
      <c r="G510" s="965"/>
      <c r="H510" s="965"/>
      <c r="I510" s="965"/>
      <c r="J510" s="965"/>
      <c r="K510" s="965"/>
      <c r="L510" s="965"/>
      <c r="M510" s="965"/>
      <c r="N510" s="965"/>
      <c r="O510" s="965"/>
      <c r="P510" s="965"/>
      <c r="Q510" s="965"/>
      <c r="R510" s="965"/>
      <c r="S510" s="965"/>
      <c r="T510" s="965"/>
      <c r="U510" s="965"/>
      <c r="V510" s="965"/>
      <c r="W510" s="965"/>
      <c r="X510" s="965"/>
      <c r="Y510" s="965"/>
      <c r="Z510" s="965"/>
    </row>
    <row r="511">
      <c r="A511" s="965"/>
      <c r="B511" s="965"/>
      <c r="C511" s="965"/>
      <c r="D511" s="965"/>
      <c r="E511" s="965"/>
      <c r="F511" s="965"/>
      <c r="G511" s="965"/>
      <c r="H511" s="965"/>
      <c r="I511" s="965"/>
      <c r="J511" s="965"/>
      <c r="K511" s="965"/>
      <c r="L511" s="965"/>
      <c r="M511" s="965"/>
      <c r="N511" s="965"/>
      <c r="O511" s="965"/>
      <c r="P511" s="965"/>
      <c r="Q511" s="965"/>
      <c r="R511" s="965"/>
      <c r="S511" s="965"/>
      <c r="T511" s="965"/>
      <c r="U511" s="965"/>
      <c r="V511" s="965"/>
      <c r="W511" s="965"/>
      <c r="X511" s="965"/>
      <c r="Y511" s="965"/>
      <c r="Z511" s="965"/>
    </row>
    <row r="512">
      <c r="A512" s="965"/>
      <c r="B512" s="965"/>
      <c r="C512" s="965"/>
      <c r="D512" s="965"/>
      <c r="E512" s="965"/>
      <c r="F512" s="965"/>
      <c r="G512" s="965"/>
      <c r="H512" s="965"/>
      <c r="I512" s="965"/>
      <c r="J512" s="965"/>
      <c r="K512" s="965"/>
      <c r="L512" s="965"/>
      <c r="M512" s="965"/>
      <c r="N512" s="965"/>
      <c r="O512" s="965"/>
      <c r="P512" s="965"/>
      <c r="Q512" s="965"/>
      <c r="R512" s="965"/>
      <c r="S512" s="965"/>
      <c r="T512" s="965"/>
      <c r="U512" s="965"/>
      <c r="V512" s="965"/>
      <c r="W512" s="965"/>
      <c r="X512" s="965"/>
      <c r="Y512" s="965"/>
      <c r="Z512" s="965"/>
    </row>
    <row r="513">
      <c r="A513" s="965"/>
      <c r="B513" s="965"/>
      <c r="C513" s="965"/>
      <c r="D513" s="965"/>
      <c r="E513" s="965"/>
      <c r="F513" s="965"/>
      <c r="G513" s="965"/>
      <c r="H513" s="965"/>
      <c r="I513" s="965"/>
      <c r="J513" s="965"/>
      <c r="K513" s="965"/>
      <c r="L513" s="965"/>
      <c r="M513" s="965"/>
      <c r="N513" s="965"/>
      <c r="O513" s="965"/>
      <c r="P513" s="965"/>
      <c r="Q513" s="965"/>
      <c r="R513" s="965"/>
      <c r="S513" s="965"/>
      <c r="T513" s="965"/>
      <c r="U513" s="965"/>
      <c r="V513" s="965"/>
      <c r="W513" s="965"/>
      <c r="X513" s="965"/>
      <c r="Y513" s="965"/>
      <c r="Z513" s="965"/>
    </row>
    <row r="514">
      <c r="A514" s="965"/>
      <c r="B514" s="965"/>
      <c r="C514" s="965"/>
      <c r="D514" s="965"/>
      <c r="E514" s="965"/>
      <c r="F514" s="965"/>
      <c r="G514" s="965"/>
      <c r="H514" s="965"/>
      <c r="I514" s="965"/>
      <c r="J514" s="965"/>
      <c r="K514" s="965"/>
      <c r="L514" s="965"/>
      <c r="M514" s="965"/>
      <c r="N514" s="965"/>
      <c r="O514" s="965"/>
      <c r="P514" s="965"/>
      <c r="Q514" s="965"/>
      <c r="R514" s="965"/>
      <c r="S514" s="965"/>
      <c r="T514" s="965"/>
      <c r="U514" s="965"/>
      <c r="V514" s="965"/>
      <c r="W514" s="965"/>
      <c r="X514" s="965"/>
      <c r="Y514" s="965"/>
      <c r="Z514" s="965"/>
    </row>
    <row r="515">
      <c r="A515" s="965"/>
      <c r="B515" s="965"/>
      <c r="C515" s="965"/>
      <c r="D515" s="965"/>
      <c r="E515" s="965"/>
      <c r="F515" s="965"/>
      <c r="G515" s="965"/>
      <c r="H515" s="965"/>
      <c r="I515" s="965"/>
      <c r="J515" s="965"/>
      <c r="K515" s="965"/>
      <c r="L515" s="965"/>
      <c r="M515" s="965"/>
      <c r="N515" s="965"/>
      <c r="O515" s="965"/>
      <c r="P515" s="965"/>
      <c r="Q515" s="965"/>
      <c r="R515" s="965"/>
      <c r="S515" s="965"/>
      <c r="T515" s="965"/>
      <c r="U515" s="965"/>
      <c r="V515" s="965"/>
      <c r="W515" s="965"/>
      <c r="X515" s="965"/>
      <c r="Y515" s="965"/>
      <c r="Z515" s="965"/>
    </row>
    <row r="516">
      <c r="A516" s="965"/>
      <c r="B516" s="965"/>
      <c r="C516" s="965"/>
      <c r="D516" s="965"/>
      <c r="E516" s="965"/>
      <c r="F516" s="965"/>
      <c r="G516" s="965"/>
      <c r="H516" s="965"/>
      <c r="I516" s="965"/>
      <c r="J516" s="965"/>
      <c r="K516" s="965"/>
      <c r="L516" s="965"/>
      <c r="M516" s="965"/>
      <c r="N516" s="965"/>
      <c r="O516" s="965"/>
      <c r="P516" s="965"/>
      <c r="Q516" s="965"/>
      <c r="R516" s="965"/>
      <c r="S516" s="965"/>
      <c r="T516" s="965"/>
      <c r="U516" s="965"/>
      <c r="V516" s="965"/>
      <c r="W516" s="965"/>
      <c r="X516" s="965"/>
      <c r="Y516" s="965"/>
      <c r="Z516" s="965"/>
    </row>
    <row r="517">
      <c r="A517" s="965"/>
      <c r="B517" s="965"/>
      <c r="C517" s="965"/>
      <c r="D517" s="965"/>
      <c r="E517" s="965"/>
      <c r="F517" s="965"/>
      <c r="G517" s="965"/>
      <c r="H517" s="965"/>
      <c r="I517" s="965"/>
      <c r="J517" s="965"/>
      <c r="K517" s="965"/>
      <c r="L517" s="965"/>
      <c r="M517" s="965"/>
      <c r="N517" s="965"/>
      <c r="O517" s="965"/>
      <c r="P517" s="965"/>
      <c r="Q517" s="965"/>
      <c r="R517" s="965"/>
      <c r="S517" s="965"/>
      <c r="T517" s="965"/>
      <c r="U517" s="965"/>
      <c r="V517" s="965"/>
      <c r="W517" s="965"/>
      <c r="X517" s="965"/>
      <c r="Y517" s="965"/>
      <c r="Z517" s="965"/>
    </row>
    <row r="518">
      <c r="A518" s="965"/>
      <c r="B518" s="965"/>
      <c r="C518" s="965"/>
      <c r="D518" s="965"/>
      <c r="E518" s="965"/>
      <c r="F518" s="965"/>
      <c r="G518" s="965"/>
      <c r="H518" s="965"/>
      <c r="I518" s="965"/>
      <c r="J518" s="965"/>
      <c r="K518" s="965"/>
      <c r="L518" s="965"/>
      <c r="M518" s="965"/>
      <c r="N518" s="965"/>
      <c r="O518" s="965"/>
      <c r="P518" s="965"/>
      <c r="Q518" s="965"/>
      <c r="R518" s="965"/>
      <c r="S518" s="965"/>
      <c r="T518" s="965"/>
      <c r="U518" s="965"/>
      <c r="V518" s="965"/>
      <c r="W518" s="965"/>
      <c r="X518" s="965"/>
      <c r="Y518" s="965"/>
      <c r="Z518" s="965"/>
    </row>
    <row r="519">
      <c r="A519" s="965"/>
      <c r="B519" s="965"/>
      <c r="C519" s="965"/>
      <c r="D519" s="965"/>
      <c r="E519" s="965"/>
      <c r="F519" s="965"/>
      <c r="G519" s="965"/>
      <c r="H519" s="965"/>
      <c r="I519" s="965"/>
      <c r="J519" s="965"/>
      <c r="K519" s="965"/>
      <c r="L519" s="965"/>
      <c r="M519" s="965"/>
      <c r="N519" s="965"/>
      <c r="O519" s="965"/>
      <c r="P519" s="965"/>
      <c r="Q519" s="965"/>
      <c r="R519" s="965"/>
      <c r="S519" s="965"/>
      <c r="T519" s="965"/>
      <c r="U519" s="965"/>
      <c r="V519" s="965"/>
      <c r="W519" s="965"/>
      <c r="X519" s="965"/>
      <c r="Y519" s="965"/>
      <c r="Z519" s="965"/>
    </row>
    <row r="520">
      <c r="A520" s="965"/>
      <c r="B520" s="965"/>
      <c r="C520" s="965"/>
      <c r="D520" s="965"/>
      <c r="E520" s="965"/>
      <c r="F520" s="965"/>
      <c r="G520" s="965"/>
      <c r="H520" s="965"/>
      <c r="I520" s="965"/>
      <c r="J520" s="965"/>
      <c r="K520" s="965"/>
      <c r="L520" s="965"/>
      <c r="M520" s="965"/>
      <c r="N520" s="965"/>
      <c r="O520" s="965"/>
      <c r="P520" s="965"/>
      <c r="Q520" s="965"/>
      <c r="R520" s="965"/>
      <c r="S520" s="965"/>
      <c r="T520" s="965"/>
      <c r="U520" s="965"/>
      <c r="V520" s="965"/>
      <c r="W520" s="965"/>
      <c r="X520" s="965"/>
      <c r="Y520" s="965"/>
      <c r="Z520" s="965"/>
    </row>
    <row r="521">
      <c r="A521" s="965"/>
      <c r="B521" s="965"/>
      <c r="C521" s="965"/>
      <c r="D521" s="965"/>
      <c r="E521" s="965"/>
      <c r="F521" s="965"/>
      <c r="G521" s="965"/>
      <c r="H521" s="965"/>
      <c r="I521" s="965"/>
      <c r="J521" s="965"/>
      <c r="K521" s="965"/>
      <c r="L521" s="965"/>
      <c r="M521" s="965"/>
      <c r="N521" s="965"/>
      <c r="O521" s="965"/>
      <c r="P521" s="965"/>
      <c r="Q521" s="965"/>
      <c r="R521" s="965"/>
      <c r="S521" s="965"/>
      <c r="T521" s="965"/>
      <c r="U521" s="965"/>
      <c r="V521" s="965"/>
      <c r="W521" s="965"/>
      <c r="X521" s="965"/>
      <c r="Y521" s="965"/>
      <c r="Z521" s="965"/>
    </row>
    <row r="522">
      <c r="A522" s="965"/>
      <c r="B522" s="965"/>
      <c r="C522" s="965"/>
      <c r="D522" s="965"/>
      <c r="E522" s="965"/>
      <c r="F522" s="965"/>
      <c r="G522" s="965"/>
      <c r="H522" s="965"/>
      <c r="I522" s="965"/>
      <c r="J522" s="965"/>
      <c r="K522" s="965"/>
      <c r="L522" s="965"/>
      <c r="M522" s="965"/>
      <c r="N522" s="965"/>
      <c r="O522" s="965"/>
      <c r="P522" s="965"/>
      <c r="Q522" s="965"/>
      <c r="R522" s="965"/>
      <c r="S522" s="965"/>
      <c r="T522" s="965"/>
      <c r="U522" s="965"/>
      <c r="V522" s="965"/>
      <c r="W522" s="965"/>
      <c r="X522" s="965"/>
      <c r="Y522" s="965"/>
      <c r="Z522" s="965"/>
    </row>
    <row r="523">
      <c r="A523" s="965"/>
      <c r="B523" s="965"/>
      <c r="C523" s="965"/>
      <c r="D523" s="965"/>
      <c r="E523" s="965"/>
      <c r="F523" s="965"/>
      <c r="G523" s="965"/>
      <c r="H523" s="965"/>
      <c r="I523" s="965"/>
      <c r="J523" s="965"/>
      <c r="K523" s="965"/>
      <c r="L523" s="965"/>
      <c r="M523" s="965"/>
      <c r="N523" s="965"/>
      <c r="O523" s="965"/>
      <c r="P523" s="965"/>
      <c r="Q523" s="965"/>
      <c r="R523" s="965"/>
      <c r="S523" s="965"/>
      <c r="T523" s="965"/>
      <c r="U523" s="965"/>
      <c r="V523" s="965"/>
      <c r="W523" s="965"/>
      <c r="X523" s="965"/>
      <c r="Y523" s="965"/>
      <c r="Z523" s="965"/>
    </row>
    <row r="524">
      <c r="A524" s="965"/>
      <c r="B524" s="965"/>
      <c r="C524" s="965"/>
      <c r="D524" s="965"/>
      <c r="E524" s="965"/>
      <c r="F524" s="965"/>
      <c r="G524" s="965"/>
      <c r="H524" s="965"/>
      <c r="I524" s="965"/>
      <c r="J524" s="965"/>
      <c r="K524" s="965"/>
      <c r="L524" s="965"/>
      <c r="M524" s="965"/>
      <c r="N524" s="965"/>
      <c r="O524" s="965"/>
      <c r="P524" s="965"/>
      <c r="Q524" s="965"/>
      <c r="R524" s="965"/>
      <c r="S524" s="965"/>
      <c r="T524" s="965"/>
      <c r="U524" s="965"/>
      <c r="V524" s="965"/>
      <c r="W524" s="965"/>
      <c r="X524" s="965"/>
      <c r="Y524" s="965"/>
      <c r="Z524" s="965"/>
    </row>
    <row r="525">
      <c r="A525" s="965"/>
      <c r="B525" s="965"/>
      <c r="C525" s="965"/>
      <c r="D525" s="965"/>
      <c r="E525" s="965"/>
      <c r="F525" s="965"/>
      <c r="G525" s="965"/>
      <c r="H525" s="965"/>
      <c r="I525" s="965"/>
      <c r="J525" s="965"/>
      <c r="K525" s="965"/>
      <c r="L525" s="965"/>
      <c r="M525" s="965"/>
      <c r="N525" s="965"/>
      <c r="O525" s="965"/>
      <c r="P525" s="965"/>
      <c r="Q525" s="965"/>
      <c r="R525" s="965"/>
      <c r="S525" s="965"/>
      <c r="T525" s="965"/>
      <c r="U525" s="965"/>
      <c r="V525" s="965"/>
      <c r="W525" s="965"/>
      <c r="X525" s="965"/>
      <c r="Y525" s="965"/>
      <c r="Z525" s="965"/>
    </row>
    <row r="526">
      <c r="A526" s="965"/>
      <c r="B526" s="965"/>
      <c r="C526" s="965"/>
      <c r="D526" s="965"/>
      <c r="E526" s="965"/>
      <c r="F526" s="965"/>
      <c r="G526" s="965"/>
      <c r="H526" s="965"/>
      <c r="I526" s="965"/>
      <c r="J526" s="965"/>
      <c r="K526" s="965"/>
      <c r="L526" s="965"/>
      <c r="M526" s="965"/>
      <c r="N526" s="965"/>
      <c r="O526" s="965"/>
      <c r="P526" s="965"/>
      <c r="Q526" s="965"/>
      <c r="R526" s="965"/>
      <c r="S526" s="965"/>
      <c r="T526" s="965"/>
      <c r="U526" s="965"/>
      <c r="V526" s="965"/>
      <c r="W526" s="965"/>
      <c r="X526" s="965"/>
      <c r="Y526" s="965"/>
      <c r="Z526" s="965"/>
    </row>
    <row r="527">
      <c r="A527" s="965"/>
      <c r="B527" s="965"/>
      <c r="C527" s="965"/>
      <c r="D527" s="965"/>
      <c r="E527" s="965"/>
      <c r="F527" s="965"/>
      <c r="G527" s="965"/>
      <c r="H527" s="965"/>
      <c r="I527" s="965"/>
      <c r="J527" s="965"/>
      <c r="K527" s="965"/>
      <c r="L527" s="965"/>
      <c r="M527" s="965"/>
      <c r="N527" s="965"/>
      <c r="O527" s="965"/>
      <c r="P527" s="965"/>
      <c r="Q527" s="965"/>
      <c r="R527" s="965"/>
      <c r="S527" s="965"/>
      <c r="T527" s="965"/>
      <c r="U527" s="965"/>
      <c r="V527" s="965"/>
      <c r="W527" s="965"/>
      <c r="X527" s="965"/>
      <c r="Y527" s="965"/>
      <c r="Z527" s="965"/>
    </row>
    <row r="528">
      <c r="A528" s="965"/>
      <c r="B528" s="965"/>
      <c r="C528" s="965"/>
      <c r="D528" s="965"/>
      <c r="E528" s="965"/>
      <c r="F528" s="965"/>
      <c r="G528" s="965"/>
      <c r="H528" s="965"/>
      <c r="I528" s="965"/>
      <c r="J528" s="965"/>
      <c r="K528" s="965"/>
      <c r="L528" s="965"/>
      <c r="M528" s="965"/>
      <c r="N528" s="965"/>
      <c r="O528" s="965"/>
      <c r="P528" s="965"/>
      <c r="Q528" s="965"/>
      <c r="R528" s="965"/>
      <c r="S528" s="965"/>
      <c r="T528" s="965"/>
      <c r="U528" s="965"/>
      <c r="V528" s="965"/>
      <c r="W528" s="965"/>
      <c r="X528" s="965"/>
      <c r="Y528" s="965"/>
      <c r="Z528" s="965"/>
    </row>
    <row r="529">
      <c r="A529" s="965"/>
      <c r="B529" s="965"/>
      <c r="C529" s="965"/>
      <c r="D529" s="965"/>
      <c r="E529" s="965"/>
      <c r="F529" s="965"/>
      <c r="G529" s="965"/>
      <c r="H529" s="965"/>
      <c r="I529" s="965"/>
      <c r="J529" s="965"/>
      <c r="K529" s="965"/>
      <c r="L529" s="965"/>
      <c r="M529" s="965"/>
      <c r="N529" s="965"/>
      <c r="O529" s="965"/>
      <c r="P529" s="965"/>
      <c r="Q529" s="965"/>
      <c r="R529" s="965"/>
      <c r="S529" s="965"/>
      <c r="T529" s="965"/>
      <c r="U529" s="965"/>
      <c r="V529" s="965"/>
      <c r="W529" s="965"/>
      <c r="X529" s="965"/>
      <c r="Y529" s="965"/>
      <c r="Z529" s="965"/>
    </row>
    <row r="530">
      <c r="A530" s="965"/>
      <c r="B530" s="965"/>
      <c r="C530" s="965"/>
      <c r="D530" s="965"/>
      <c r="E530" s="965"/>
      <c r="F530" s="965"/>
      <c r="G530" s="965"/>
      <c r="H530" s="965"/>
      <c r="I530" s="965"/>
      <c r="J530" s="965"/>
      <c r="K530" s="965"/>
      <c r="L530" s="965"/>
      <c r="M530" s="965"/>
      <c r="N530" s="965"/>
      <c r="O530" s="965"/>
      <c r="P530" s="965"/>
      <c r="Q530" s="965"/>
      <c r="R530" s="965"/>
      <c r="S530" s="965"/>
      <c r="T530" s="965"/>
      <c r="U530" s="965"/>
      <c r="V530" s="965"/>
      <c r="W530" s="965"/>
      <c r="X530" s="965"/>
      <c r="Y530" s="965"/>
      <c r="Z530" s="965"/>
    </row>
    <row r="531">
      <c r="A531" s="965"/>
      <c r="B531" s="965"/>
      <c r="C531" s="965"/>
      <c r="D531" s="965"/>
      <c r="E531" s="965"/>
      <c r="F531" s="965"/>
      <c r="G531" s="965"/>
      <c r="H531" s="965"/>
      <c r="I531" s="965"/>
      <c r="J531" s="965"/>
      <c r="K531" s="965"/>
      <c r="L531" s="965"/>
      <c r="M531" s="965"/>
      <c r="N531" s="965"/>
      <c r="O531" s="965"/>
      <c r="P531" s="965"/>
      <c r="Q531" s="965"/>
      <c r="R531" s="965"/>
      <c r="S531" s="965"/>
      <c r="T531" s="965"/>
      <c r="U531" s="965"/>
      <c r="V531" s="965"/>
      <c r="W531" s="965"/>
      <c r="X531" s="965"/>
      <c r="Y531" s="965"/>
      <c r="Z531" s="965"/>
    </row>
    <row r="532">
      <c r="A532" s="965"/>
      <c r="B532" s="965"/>
      <c r="C532" s="965"/>
      <c r="D532" s="965"/>
      <c r="E532" s="965"/>
      <c r="F532" s="965"/>
      <c r="G532" s="965"/>
      <c r="H532" s="965"/>
      <c r="I532" s="965"/>
      <c r="J532" s="965"/>
      <c r="K532" s="965"/>
      <c r="L532" s="965"/>
      <c r="M532" s="965"/>
      <c r="N532" s="965"/>
      <c r="O532" s="965"/>
      <c r="P532" s="965"/>
      <c r="Q532" s="965"/>
      <c r="R532" s="965"/>
      <c r="S532" s="965"/>
      <c r="T532" s="965"/>
      <c r="U532" s="965"/>
      <c r="V532" s="965"/>
      <c r="W532" s="965"/>
      <c r="X532" s="965"/>
      <c r="Y532" s="965"/>
      <c r="Z532" s="965"/>
    </row>
    <row r="533">
      <c r="A533" s="965"/>
      <c r="B533" s="965"/>
      <c r="C533" s="965"/>
      <c r="D533" s="965"/>
      <c r="E533" s="965"/>
      <c r="F533" s="965"/>
      <c r="G533" s="965"/>
      <c r="H533" s="965"/>
      <c r="I533" s="965"/>
      <c r="J533" s="965"/>
      <c r="K533" s="965"/>
      <c r="L533" s="965"/>
      <c r="M533" s="965"/>
      <c r="N533" s="965"/>
      <c r="O533" s="965"/>
      <c r="P533" s="965"/>
      <c r="Q533" s="965"/>
      <c r="R533" s="965"/>
      <c r="S533" s="965"/>
      <c r="T533" s="965"/>
      <c r="U533" s="965"/>
      <c r="V533" s="965"/>
      <c r="W533" s="965"/>
      <c r="X533" s="965"/>
      <c r="Y533" s="965"/>
      <c r="Z533" s="965"/>
    </row>
    <row r="534">
      <c r="A534" s="965"/>
      <c r="B534" s="965"/>
      <c r="C534" s="965"/>
      <c r="D534" s="965"/>
      <c r="E534" s="965"/>
      <c r="F534" s="965"/>
      <c r="G534" s="965"/>
      <c r="H534" s="965"/>
      <c r="I534" s="965"/>
      <c r="J534" s="965"/>
      <c r="K534" s="965"/>
      <c r="L534" s="965"/>
      <c r="M534" s="965"/>
      <c r="N534" s="965"/>
      <c r="O534" s="965"/>
      <c r="P534" s="965"/>
      <c r="Q534" s="965"/>
      <c r="R534" s="965"/>
      <c r="S534" s="965"/>
      <c r="T534" s="965"/>
      <c r="U534" s="965"/>
      <c r="V534" s="965"/>
      <c r="W534" s="965"/>
      <c r="X534" s="965"/>
      <c r="Y534" s="965"/>
      <c r="Z534" s="965"/>
    </row>
    <row r="535">
      <c r="A535" s="965"/>
      <c r="B535" s="965"/>
      <c r="C535" s="965"/>
      <c r="D535" s="965"/>
      <c r="E535" s="965"/>
      <c r="F535" s="965"/>
      <c r="G535" s="965"/>
      <c r="H535" s="965"/>
      <c r="I535" s="965"/>
      <c r="J535" s="965"/>
      <c r="K535" s="965"/>
      <c r="L535" s="965"/>
      <c r="M535" s="965"/>
      <c r="N535" s="965"/>
      <c r="O535" s="965"/>
      <c r="P535" s="965"/>
      <c r="Q535" s="965"/>
      <c r="R535" s="965"/>
      <c r="S535" s="965"/>
      <c r="T535" s="965"/>
      <c r="U535" s="965"/>
      <c r="V535" s="965"/>
      <c r="W535" s="965"/>
      <c r="X535" s="965"/>
      <c r="Y535" s="965"/>
      <c r="Z535" s="965"/>
    </row>
    <row r="536">
      <c r="A536" s="965"/>
      <c r="B536" s="965"/>
      <c r="C536" s="965"/>
      <c r="D536" s="965"/>
      <c r="E536" s="965"/>
      <c r="F536" s="965"/>
      <c r="G536" s="965"/>
      <c r="H536" s="965"/>
      <c r="I536" s="965"/>
      <c r="J536" s="965"/>
      <c r="K536" s="965"/>
      <c r="L536" s="965"/>
      <c r="M536" s="965"/>
      <c r="N536" s="965"/>
      <c r="O536" s="965"/>
      <c r="P536" s="965"/>
      <c r="Q536" s="965"/>
      <c r="R536" s="965"/>
      <c r="S536" s="965"/>
      <c r="T536" s="965"/>
      <c r="U536" s="965"/>
      <c r="V536" s="965"/>
      <c r="W536" s="965"/>
      <c r="X536" s="965"/>
      <c r="Y536" s="965"/>
      <c r="Z536" s="965"/>
    </row>
    <row r="537">
      <c r="A537" s="965"/>
      <c r="B537" s="965"/>
      <c r="C537" s="965"/>
      <c r="D537" s="965"/>
      <c r="E537" s="965"/>
      <c r="F537" s="965"/>
      <c r="G537" s="965"/>
      <c r="H537" s="965"/>
      <c r="I537" s="965"/>
      <c r="J537" s="965"/>
      <c r="K537" s="965"/>
      <c r="L537" s="965"/>
      <c r="M537" s="965"/>
      <c r="N537" s="965"/>
      <c r="O537" s="965"/>
      <c r="P537" s="965"/>
      <c r="Q537" s="965"/>
      <c r="R537" s="965"/>
      <c r="S537" s="965"/>
      <c r="T537" s="965"/>
      <c r="U537" s="965"/>
      <c r="V537" s="965"/>
      <c r="W537" s="965"/>
      <c r="X537" s="965"/>
      <c r="Y537" s="965"/>
      <c r="Z537" s="965"/>
    </row>
    <row r="538">
      <c r="A538" s="965"/>
      <c r="B538" s="965"/>
      <c r="C538" s="965"/>
      <c r="D538" s="965"/>
      <c r="E538" s="965"/>
      <c r="F538" s="965"/>
      <c r="G538" s="965"/>
      <c r="H538" s="965"/>
      <c r="I538" s="965"/>
      <c r="J538" s="965"/>
      <c r="K538" s="965"/>
      <c r="L538" s="965"/>
      <c r="M538" s="965"/>
      <c r="N538" s="965"/>
      <c r="O538" s="965"/>
      <c r="P538" s="965"/>
      <c r="Q538" s="965"/>
      <c r="R538" s="965"/>
      <c r="S538" s="965"/>
      <c r="T538" s="965"/>
      <c r="U538" s="965"/>
      <c r="V538" s="965"/>
      <c r="W538" s="965"/>
      <c r="X538" s="965"/>
      <c r="Y538" s="965"/>
      <c r="Z538" s="965"/>
    </row>
    <row r="539">
      <c r="A539" s="965"/>
      <c r="B539" s="965"/>
      <c r="C539" s="965"/>
      <c r="D539" s="965"/>
      <c r="E539" s="965"/>
      <c r="F539" s="965"/>
      <c r="G539" s="965"/>
      <c r="H539" s="965"/>
      <c r="I539" s="965"/>
      <c r="J539" s="965"/>
      <c r="K539" s="965"/>
      <c r="L539" s="965"/>
      <c r="M539" s="965"/>
      <c r="N539" s="965"/>
      <c r="O539" s="965"/>
      <c r="P539" s="965"/>
      <c r="Q539" s="965"/>
      <c r="R539" s="965"/>
      <c r="S539" s="965"/>
      <c r="T539" s="965"/>
      <c r="U539" s="965"/>
      <c r="V539" s="965"/>
      <c r="W539" s="965"/>
      <c r="X539" s="965"/>
      <c r="Y539" s="965"/>
      <c r="Z539" s="965"/>
    </row>
    <row r="540">
      <c r="A540" s="965"/>
      <c r="B540" s="965"/>
      <c r="C540" s="965"/>
      <c r="D540" s="965"/>
      <c r="E540" s="965"/>
      <c r="F540" s="965"/>
      <c r="G540" s="965"/>
      <c r="H540" s="965"/>
      <c r="I540" s="965"/>
      <c r="J540" s="965"/>
      <c r="K540" s="965"/>
      <c r="L540" s="965"/>
      <c r="M540" s="965"/>
      <c r="N540" s="965"/>
      <c r="O540" s="965"/>
      <c r="P540" s="965"/>
      <c r="Q540" s="965"/>
      <c r="R540" s="965"/>
      <c r="S540" s="965"/>
      <c r="T540" s="965"/>
      <c r="U540" s="965"/>
      <c r="V540" s="965"/>
      <c r="W540" s="965"/>
      <c r="X540" s="965"/>
      <c r="Y540" s="965"/>
      <c r="Z540" s="965"/>
    </row>
    <row r="541">
      <c r="A541" s="965"/>
      <c r="B541" s="965"/>
      <c r="C541" s="965"/>
      <c r="D541" s="965"/>
      <c r="E541" s="965"/>
      <c r="F541" s="965"/>
      <c r="G541" s="965"/>
      <c r="H541" s="965"/>
      <c r="I541" s="965"/>
      <c r="J541" s="965"/>
      <c r="K541" s="965"/>
      <c r="L541" s="965"/>
      <c r="M541" s="965"/>
      <c r="N541" s="965"/>
      <c r="O541" s="965"/>
      <c r="P541" s="965"/>
      <c r="Q541" s="965"/>
      <c r="R541" s="965"/>
      <c r="S541" s="965"/>
      <c r="T541" s="965"/>
      <c r="U541" s="965"/>
      <c r="V541" s="965"/>
      <c r="W541" s="965"/>
      <c r="X541" s="965"/>
      <c r="Y541" s="965"/>
      <c r="Z541" s="965"/>
    </row>
    <row r="542">
      <c r="A542" s="965"/>
      <c r="B542" s="965"/>
      <c r="C542" s="965"/>
      <c r="D542" s="965"/>
      <c r="E542" s="965"/>
      <c r="F542" s="965"/>
      <c r="G542" s="965"/>
      <c r="H542" s="965"/>
      <c r="I542" s="965"/>
      <c r="J542" s="965"/>
      <c r="K542" s="965"/>
      <c r="L542" s="965"/>
      <c r="M542" s="965"/>
      <c r="N542" s="965"/>
      <c r="O542" s="965"/>
      <c r="P542" s="965"/>
      <c r="Q542" s="965"/>
      <c r="R542" s="965"/>
      <c r="S542" s="965"/>
      <c r="T542" s="965"/>
      <c r="U542" s="965"/>
      <c r="V542" s="965"/>
      <c r="W542" s="965"/>
      <c r="X542" s="965"/>
      <c r="Y542" s="965"/>
      <c r="Z542" s="965"/>
    </row>
    <row r="543">
      <c r="A543" s="965"/>
      <c r="B543" s="965"/>
      <c r="C543" s="965"/>
      <c r="D543" s="965"/>
      <c r="E543" s="965"/>
      <c r="F543" s="965"/>
      <c r="G543" s="965"/>
      <c r="H543" s="965"/>
      <c r="I543" s="965"/>
      <c r="J543" s="965"/>
      <c r="K543" s="965"/>
      <c r="L543" s="965"/>
      <c r="M543" s="965"/>
      <c r="N543" s="965"/>
      <c r="O543" s="965"/>
      <c r="P543" s="965"/>
      <c r="Q543" s="965"/>
      <c r="R543" s="965"/>
      <c r="S543" s="965"/>
      <c r="T543" s="965"/>
      <c r="U543" s="965"/>
      <c r="V543" s="965"/>
      <c r="W543" s="965"/>
      <c r="X543" s="965"/>
      <c r="Y543" s="965"/>
      <c r="Z543" s="965"/>
    </row>
    <row r="544">
      <c r="A544" s="965"/>
      <c r="B544" s="965"/>
      <c r="C544" s="965"/>
      <c r="D544" s="965"/>
      <c r="E544" s="965"/>
      <c r="F544" s="965"/>
      <c r="G544" s="965"/>
      <c r="H544" s="965"/>
      <c r="I544" s="965"/>
      <c r="J544" s="965"/>
      <c r="K544" s="965"/>
      <c r="L544" s="965"/>
      <c r="M544" s="965"/>
      <c r="N544" s="965"/>
      <c r="O544" s="965"/>
      <c r="P544" s="965"/>
      <c r="Q544" s="965"/>
      <c r="R544" s="965"/>
      <c r="S544" s="965"/>
      <c r="T544" s="965"/>
      <c r="U544" s="965"/>
      <c r="V544" s="965"/>
      <c r="W544" s="965"/>
      <c r="X544" s="965"/>
      <c r="Y544" s="965"/>
      <c r="Z544" s="965"/>
    </row>
    <row r="545">
      <c r="A545" s="965"/>
      <c r="B545" s="965"/>
      <c r="C545" s="965"/>
      <c r="D545" s="965"/>
      <c r="E545" s="965"/>
      <c r="F545" s="965"/>
      <c r="G545" s="965"/>
      <c r="H545" s="965"/>
      <c r="I545" s="965"/>
      <c r="J545" s="965"/>
      <c r="K545" s="965"/>
      <c r="L545" s="965"/>
      <c r="M545" s="965"/>
      <c r="N545" s="965"/>
      <c r="O545" s="965"/>
      <c r="P545" s="965"/>
      <c r="Q545" s="965"/>
      <c r="R545" s="965"/>
      <c r="S545" s="965"/>
      <c r="T545" s="965"/>
      <c r="U545" s="965"/>
      <c r="V545" s="965"/>
      <c r="W545" s="965"/>
      <c r="X545" s="965"/>
      <c r="Y545" s="965"/>
      <c r="Z545" s="965"/>
    </row>
    <row r="546">
      <c r="A546" s="965"/>
      <c r="B546" s="965"/>
      <c r="C546" s="965"/>
      <c r="D546" s="965"/>
      <c r="E546" s="965"/>
      <c r="F546" s="965"/>
      <c r="G546" s="965"/>
      <c r="H546" s="965"/>
      <c r="I546" s="965"/>
      <c r="J546" s="965"/>
      <c r="K546" s="965"/>
      <c r="L546" s="965"/>
      <c r="M546" s="965"/>
      <c r="N546" s="965"/>
      <c r="O546" s="965"/>
      <c r="P546" s="965"/>
      <c r="Q546" s="965"/>
      <c r="R546" s="965"/>
      <c r="S546" s="965"/>
      <c r="T546" s="965"/>
      <c r="U546" s="965"/>
      <c r="V546" s="965"/>
      <c r="W546" s="965"/>
      <c r="X546" s="965"/>
      <c r="Y546" s="965"/>
      <c r="Z546" s="965"/>
    </row>
    <row r="547">
      <c r="A547" s="965"/>
      <c r="B547" s="965"/>
      <c r="C547" s="965"/>
      <c r="D547" s="965"/>
      <c r="E547" s="965"/>
      <c r="F547" s="965"/>
      <c r="G547" s="965"/>
      <c r="H547" s="965"/>
      <c r="I547" s="965"/>
      <c r="J547" s="965"/>
      <c r="K547" s="965"/>
      <c r="L547" s="965"/>
      <c r="M547" s="965"/>
      <c r="N547" s="965"/>
      <c r="O547" s="965"/>
      <c r="P547" s="965"/>
      <c r="Q547" s="965"/>
      <c r="R547" s="965"/>
      <c r="S547" s="965"/>
      <c r="T547" s="965"/>
      <c r="U547" s="965"/>
      <c r="V547" s="965"/>
      <c r="W547" s="965"/>
      <c r="X547" s="965"/>
      <c r="Y547" s="965"/>
      <c r="Z547" s="965"/>
    </row>
    <row r="548">
      <c r="A548" s="965"/>
      <c r="B548" s="965"/>
      <c r="C548" s="965"/>
      <c r="D548" s="965"/>
      <c r="E548" s="965"/>
      <c r="F548" s="965"/>
      <c r="G548" s="965"/>
      <c r="H548" s="965"/>
      <c r="I548" s="965"/>
      <c r="J548" s="965"/>
      <c r="K548" s="965"/>
      <c r="L548" s="965"/>
      <c r="M548" s="965"/>
      <c r="N548" s="965"/>
      <c r="O548" s="965"/>
      <c r="P548" s="965"/>
      <c r="Q548" s="965"/>
      <c r="R548" s="965"/>
      <c r="S548" s="965"/>
      <c r="T548" s="965"/>
      <c r="U548" s="965"/>
      <c r="V548" s="965"/>
      <c r="W548" s="965"/>
      <c r="X548" s="965"/>
      <c r="Y548" s="965"/>
      <c r="Z548" s="965"/>
    </row>
    <row r="549">
      <c r="A549" s="965"/>
      <c r="B549" s="965"/>
      <c r="C549" s="965"/>
      <c r="D549" s="965"/>
      <c r="E549" s="965"/>
      <c r="F549" s="965"/>
      <c r="G549" s="965"/>
      <c r="H549" s="965"/>
      <c r="I549" s="965"/>
      <c r="J549" s="965"/>
      <c r="K549" s="965"/>
      <c r="L549" s="965"/>
      <c r="M549" s="965"/>
      <c r="N549" s="965"/>
      <c r="O549" s="965"/>
      <c r="P549" s="965"/>
      <c r="Q549" s="965"/>
      <c r="R549" s="965"/>
      <c r="S549" s="965"/>
      <c r="T549" s="965"/>
      <c r="U549" s="965"/>
      <c r="V549" s="965"/>
      <c r="W549" s="965"/>
      <c r="X549" s="965"/>
      <c r="Y549" s="965"/>
      <c r="Z549" s="965"/>
    </row>
    <row r="550">
      <c r="A550" s="965"/>
      <c r="B550" s="965"/>
      <c r="C550" s="965"/>
      <c r="D550" s="965"/>
      <c r="E550" s="965"/>
      <c r="F550" s="965"/>
      <c r="G550" s="965"/>
      <c r="H550" s="965"/>
      <c r="I550" s="965"/>
      <c r="J550" s="965"/>
      <c r="K550" s="965"/>
      <c r="L550" s="965"/>
      <c r="M550" s="965"/>
      <c r="N550" s="965"/>
      <c r="O550" s="965"/>
      <c r="P550" s="965"/>
      <c r="Q550" s="965"/>
      <c r="R550" s="965"/>
      <c r="S550" s="965"/>
      <c r="T550" s="965"/>
      <c r="U550" s="965"/>
      <c r="V550" s="965"/>
      <c r="W550" s="965"/>
      <c r="X550" s="965"/>
      <c r="Y550" s="965"/>
      <c r="Z550" s="965"/>
    </row>
    <row r="551">
      <c r="A551" s="965"/>
      <c r="B551" s="965"/>
      <c r="C551" s="965"/>
      <c r="D551" s="965"/>
      <c r="E551" s="965"/>
      <c r="F551" s="965"/>
      <c r="G551" s="965"/>
      <c r="H551" s="965"/>
      <c r="I551" s="965"/>
      <c r="J551" s="965"/>
      <c r="K551" s="965"/>
      <c r="L551" s="965"/>
      <c r="M551" s="965"/>
      <c r="N551" s="965"/>
      <c r="O551" s="965"/>
      <c r="P551" s="965"/>
      <c r="Q551" s="965"/>
      <c r="R551" s="965"/>
      <c r="S551" s="965"/>
      <c r="T551" s="965"/>
      <c r="U551" s="965"/>
      <c r="V551" s="965"/>
      <c r="W551" s="965"/>
      <c r="X551" s="965"/>
      <c r="Y551" s="965"/>
      <c r="Z551" s="965"/>
    </row>
    <row r="552">
      <c r="A552" s="965"/>
      <c r="B552" s="965"/>
      <c r="C552" s="965"/>
      <c r="D552" s="965"/>
      <c r="E552" s="965"/>
      <c r="F552" s="965"/>
      <c r="G552" s="965"/>
      <c r="H552" s="965"/>
      <c r="I552" s="965"/>
      <c r="J552" s="965"/>
      <c r="K552" s="965"/>
      <c r="L552" s="965"/>
      <c r="M552" s="965"/>
      <c r="N552" s="965"/>
      <c r="O552" s="965"/>
      <c r="P552" s="965"/>
      <c r="Q552" s="965"/>
      <c r="R552" s="965"/>
      <c r="S552" s="965"/>
      <c r="T552" s="965"/>
      <c r="U552" s="965"/>
      <c r="V552" s="965"/>
      <c r="W552" s="965"/>
      <c r="X552" s="965"/>
      <c r="Y552" s="965"/>
      <c r="Z552" s="965"/>
    </row>
    <row r="553">
      <c r="A553" s="965"/>
      <c r="B553" s="965"/>
      <c r="C553" s="965"/>
      <c r="D553" s="965"/>
      <c r="E553" s="965"/>
      <c r="F553" s="965"/>
      <c r="G553" s="965"/>
      <c r="H553" s="965"/>
      <c r="I553" s="965"/>
      <c r="J553" s="965"/>
      <c r="K553" s="965"/>
      <c r="L553" s="965"/>
      <c r="M553" s="965"/>
      <c r="N553" s="965"/>
      <c r="O553" s="965"/>
      <c r="P553" s="965"/>
      <c r="Q553" s="965"/>
      <c r="R553" s="965"/>
      <c r="S553" s="965"/>
      <c r="T553" s="965"/>
      <c r="U553" s="965"/>
      <c r="V553" s="965"/>
      <c r="W553" s="965"/>
      <c r="X553" s="965"/>
      <c r="Y553" s="965"/>
      <c r="Z553" s="965"/>
    </row>
    <row r="554">
      <c r="A554" s="965"/>
      <c r="B554" s="965"/>
      <c r="C554" s="965"/>
      <c r="D554" s="965"/>
      <c r="E554" s="965"/>
      <c r="F554" s="965"/>
      <c r="G554" s="965"/>
      <c r="H554" s="965"/>
      <c r="I554" s="965"/>
      <c r="J554" s="965"/>
      <c r="K554" s="965"/>
      <c r="L554" s="965"/>
      <c r="M554" s="965"/>
      <c r="N554" s="965"/>
      <c r="O554" s="965"/>
      <c r="P554" s="965"/>
      <c r="Q554" s="965"/>
      <c r="R554" s="965"/>
      <c r="S554" s="965"/>
      <c r="T554" s="965"/>
      <c r="U554" s="965"/>
      <c r="V554" s="965"/>
      <c r="W554" s="965"/>
      <c r="X554" s="965"/>
      <c r="Y554" s="965"/>
      <c r="Z554" s="965"/>
    </row>
    <row r="555">
      <c r="A555" s="965"/>
      <c r="B555" s="965"/>
      <c r="C555" s="965"/>
      <c r="D555" s="965"/>
      <c r="E555" s="965"/>
      <c r="F555" s="965"/>
      <c r="G555" s="965"/>
      <c r="H555" s="965"/>
      <c r="I555" s="965"/>
      <c r="J555" s="965"/>
      <c r="K555" s="965"/>
      <c r="L555" s="965"/>
      <c r="M555" s="965"/>
      <c r="N555" s="965"/>
      <c r="O555" s="965"/>
      <c r="P555" s="965"/>
      <c r="Q555" s="965"/>
      <c r="R555" s="965"/>
      <c r="S555" s="965"/>
      <c r="T555" s="965"/>
      <c r="U555" s="965"/>
      <c r="V555" s="965"/>
      <c r="W555" s="965"/>
      <c r="X555" s="965"/>
      <c r="Y555" s="965"/>
      <c r="Z555" s="965"/>
    </row>
    <row r="556">
      <c r="A556" s="965"/>
      <c r="B556" s="965"/>
      <c r="C556" s="965"/>
      <c r="D556" s="965"/>
      <c r="E556" s="965"/>
      <c r="F556" s="965"/>
      <c r="G556" s="965"/>
      <c r="H556" s="965"/>
      <c r="I556" s="965"/>
      <c r="J556" s="965"/>
      <c r="K556" s="965"/>
      <c r="L556" s="965"/>
      <c r="M556" s="965"/>
      <c r="N556" s="965"/>
      <c r="O556" s="965"/>
      <c r="P556" s="965"/>
      <c r="Q556" s="965"/>
      <c r="R556" s="965"/>
      <c r="S556" s="965"/>
      <c r="T556" s="965"/>
      <c r="U556" s="965"/>
      <c r="V556" s="965"/>
      <c r="W556" s="965"/>
      <c r="X556" s="965"/>
      <c r="Y556" s="965"/>
      <c r="Z556" s="965"/>
    </row>
    <row r="557">
      <c r="A557" s="965"/>
      <c r="B557" s="965"/>
      <c r="C557" s="965"/>
      <c r="D557" s="965"/>
      <c r="E557" s="965"/>
      <c r="F557" s="965"/>
      <c r="G557" s="965"/>
      <c r="H557" s="965"/>
      <c r="I557" s="965"/>
      <c r="J557" s="965"/>
      <c r="K557" s="965"/>
      <c r="L557" s="965"/>
      <c r="M557" s="965"/>
      <c r="N557" s="965"/>
      <c r="O557" s="965"/>
      <c r="P557" s="965"/>
      <c r="Q557" s="965"/>
      <c r="R557" s="965"/>
      <c r="S557" s="965"/>
      <c r="T557" s="965"/>
      <c r="U557" s="965"/>
      <c r="V557" s="965"/>
      <c r="W557" s="965"/>
      <c r="X557" s="965"/>
      <c r="Y557" s="965"/>
      <c r="Z557" s="965"/>
    </row>
    <row r="558">
      <c r="A558" s="965"/>
      <c r="B558" s="965"/>
      <c r="C558" s="965"/>
      <c r="D558" s="965"/>
      <c r="E558" s="965"/>
      <c r="F558" s="965"/>
      <c r="G558" s="965"/>
      <c r="H558" s="965"/>
      <c r="I558" s="965"/>
      <c r="J558" s="965"/>
      <c r="K558" s="965"/>
      <c r="L558" s="965"/>
      <c r="M558" s="965"/>
      <c r="N558" s="965"/>
      <c r="O558" s="965"/>
      <c r="P558" s="965"/>
      <c r="Q558" s="965"/>
      <c r="R558" s="965"/>
      <c r="S558" s="965"/>
      <c r="T558" s="965"/>
      <c r="U558" s="965"/>
      <c r="V558" s="965"/>
      <c r="W558" s="965"/>
      <c r="X558" s="965"/>
      <c r="Y558" s="965"/>
      <c r="Z558" s="965"/>
    </row>
    <row r="559">
      <c r="A559" s="965"/>
      <c r="B559" s="965"/>
      <c r="C559" s="965"/>
      <c r="D559" s="965"/>
      <c r="E559" s="965"/>
      <c r="F559" s="965"/>
      <c r="G559" s="965"/>
      <c r="H559" s="965"/>
      <c r="I559" s="965"/>
      <c r="J559" s="965"/>
      <c r="K559" s="965"/>
      <c r="L559" s="965"/>
      <c r="M559" s="965"/>
      <c r="N559" s="965"/>
      <c r="O559" s="965"/>
      <c r="P559" s="965"/>
      <c r="Q559" s="965"/>
      <c r="R559" s="965"/>
      <c r="S559" s="965"/>
      <c r="T559" s="965"/>
      <c r="U559" s="965"/>
      <c r="V559" s="965"/>
      <c r="W559" s="965"/>
      <c r="X559" s="965"/>
      <c r="Y559" s="965"/>
      <c r="Z559" s="965"/>
    </row>
    <row r="560">
      <c r="A560" s="965"/>
      <c r="B560" s="965"/>
      <c r="C560" s="965"/>
      <c r="D560" s="965"/>
      <c r="E560" s="965"/>
      <c r="F560" s="965"/>
      <c r="G560" s="965"/>
      <c r="H560" s="965"/>
      <c r="I560" s="965"/>
      <c r="J560" s="965"/>
      <c r="K560" s="965"/>
      <c r="L560" s="965"/>
      <c r="M560" s="965"/>
      <c r="N560" s="965"/>
      <c r="O560" s="965"/>
      <c r="P560" s="965"/>
      <c r="Q560" s="965"/>
      <c r="R560" s="965"/>
      <c r="S560" s="965"/>
      <c r="T560" s="965"/>
      <c r="U560" s="965"/>
      <c r="V560" s="965"/>
      <c r="W560" s="965"/>
      <c r="X560" s="965"/>
      <c r="Y560" s="965"/>
      <c r="Z560" s="965"/>
    </row>
    <row r="561">
      <c r="A561" s="965"/>
      <c r="B561" s="965"/>
      <c r="C561" s="965"/>
      <c r="D561" s="965"/>
      <c r="E561" s="965"/>
      <c r="F561" s="965"/>
      <c r="G561" s="965"/>
      <c r="H561" s="965"/>
      <c r="I561" s="965"/>
      <c r="J561" s="965"/>
      <c r="K561" s="965"/>
      <c r="L561" s="965"/>
      <c r="M561" s="965"/>
      <c r="N561" s="965"/>
      <c r="O561" s="965"/>
      <c r="P561" s="965"/>
      <c r="Q561" s="965"/>
      <c r="R561" s="965"/>
      <c r="S561" s="965"/>
      <c r="T561" s="965"/>
      <c r="U561" s="965"/>
      <c r="V561" s="965"/>
      <c r="W561" s="965"/>
      <c r="X561" s="965"/>
      <c r="Y561" s="965"/>
      <c r="Z561" s="965"/>
    </row>
    <row r="562">
      <c r="A562" s="965"/>
      <c r="B562" s="965"/>
      <c r="C562" s="965"/>
      <c r="D562" s="965"/>
      <c r="E562" s="965"/>
      <c r="F562" s="965"/>
      <c r="G562" s="965"/>
      <c r="H562" s="965"/>
      <c r="I562" s="965"/>
      <c r="J562" s="965"/>
      <c r="K562" s="965"/>
      <c r="L562" s="965"/>
      <c r="M562" s="965"/>
      <c r="N562" s="965"/>
      <c r="O562" s="965"/>
      <c r="P562" s="965"/>
      <c r="Q562" s="965"/>
      <c r="R562" s="965"/>
      <c r="S562" s="965"/>
      <c r="T562" s="965"/>
      <c r="U562" s="965"/>
      <c r="V562" s="965"/>
      <c r="W562" s="965"/>
      <c r="X562" s="965"/>
      <c r="Y562" s="965"/>
      <c r="Z562" s="965"/>
    </row>
    <row r="563">
      <c r="A563" s="965"/>
      <c r="B563" s="965"/>
      <c r="C563" s="965"/>
      <c r="D563" s="965"/>
      <c r="E563" s="965"/>
      <c r="F563" s="965"/>
      <c r="G563" s="965"/>
      <c r="H563" s="965"/>
      <c r="I563" s="965"/>
      <c r="J563" s="965"/>
      <c r="K563" s="965"/>
      <c r="L563" s="965"/>
      <c r="M563" s="965"/>
      <c r="N563" s="965"/>
      <c r="O563" s="965"/>
      <c r="P563" s="965"/>
      <c r="Q563" s="965"/>
      <c r="R563" s="965"/>
      <c r="S563" s="965"/>
      <c r="T563" s="965"/>
      <c r="U563" s="965"/>
      <c r="V563" s="965"/>
      <c r="W563" s="965"/>
      <c r="X563" s="965"/>
      <c r="Y563" s="965"/>
      <c r="Z563" s="965"/>
    </row>
    <row r="564">
      <c r="A564" s="965"/>
      <c r="B564" s="965"/>
      <c r="C564" s="965"/>
      <c r="D564" s="965"/>
      <c r="E564" s="965"/>
      <c r="F564" s="965"/>
      <c r="G564" s="965"/>
      <c r="H564" s="965"/>
      <c r="I564" s="965"/>
      <c r="J564" s="965"/>
      <c r="K564" s="965"/>
      <c r="L564" s="965"/>
      <c r="M564" s="965"/>
      <c r="N564" s="965"/>
      <c r="O564" s="965"/>
      <c r="P564" s="965"/>
      <c r="Q564" s="965"/>
      <c r="R564" s="965"/>
      <c r="S564" s="965"/>
      <c r="T564" s="965"/>
      <c r="U564" s="965"/>
      <c r="V564" s="965"/>
      <c r="W564" s="965"/>
      <c r="X564" s="965"/>
      <c r="Y564" s="965"/>
      <c r="Z564" s="965"/>
    </row>
    <row r="565">
      <c r="A565" s="965"/>
      <c r="B565" s="965"/>
      <c r="C565" s="965"/>
      <c r="D565" s="965"/>
      <c r="E565" s="965"/>
      <c r="F565" s="965"/>
      <c r="G565" s="965"/>
      <c r="H565" s="965"/>
      <c r="I565" s="965"/>
      <c r="J565" s="965"/>
      <c r="K565" s="965"/>
      <c r="L565" s="965"/>
      <c r="M565" s="965"/>
      <c r="N565" s="965"/>
      <c r="O565" s="965"/>
      <c r="P565" s="965"/>
      <c r="Q565" s="965"/>
      <c r="R565" s="965"/>
      <c r="S565" s="965"/>
      <c r="T565" s="965"/>
      <c r="U565" s="965"/>
      <c r="V565" s="965"/>
      <c r="W565" s="965"/>
      <c r="X565" s="965"/>
      <c r="Y565" s="965"/>
      <c r="Z565" s="965"/>
    </row>
    <row r="566">
      <c r="A566" s="965"/>
      <c r="B566" s="965"/>
      <c r="C566" s="965"/>
      <c r="D566" s="965"/>
      <c r="E566" s="965"/>
      <c r="F566" s="965"/>
      <c r="G566" s="965"/>
      <c r="H566" s="965"/>
      <c r="I566" s="965"/>
      <c r="J566" s="965"/>
      <c r="K566" s="965"/>
      <c r="L566" s="965"/>
      <c r="M566" s="965"/>
      <c r="N566" s="965"/>
      <c r="O566" s="965"/>
      <c r="P566" s="965"/>
      <c r="Q566" s="965"/>
      <c r="R566" s="965"/>
      <c r="S566" s="965"/>
      <c r="T566" s="965"/>
      <c r="U566" s="965"/>
      <c r="V566" s="965"/>
      <c r="W566" s="965"/>
      <c r="X566" s="965"/>
      <c r="Y566" s="965"/>
      <c r="Z566" s="965"/>
    </row>
    <row r="567">
      <c r="A567" s="965"/>
      <c r="B567" s="965"/>
      <c r="C567" s="965"/>
      <c r="D567" s="965"/>
      <c r="E567" s="965"/>
      <c r="F567" s="965"/>
      <c r="G567" s="965"/>
      <c r="H567" s="965"/>
      <c r="I567" s="965"/>
      <c r="J567" s="965"/>
      <c r="K567" s="965"/>
      <c r="L567" s="965"/>
      <c r="M567" s="965"/>
      <c r="N567" s="965"/>
      <c r="O567" s="965"/>
      <c r="P567" s="965"/>
      <c r="Q567" s="965"/>
      <c r="R567" s="965"/>
      <c r="S567" s="965"/>
      <c r="T567" s="965"/>
      <c r="U567" s="965"/>
      <c r="V567" s="965"/>
      <c r="W567" s="965"/>
      <c r="X567" s="965"/>
      <c r="Y567" s="965"/>
      <c r="Z567" s="965"/>
    </row>
    <row r="568">
      <c r="A568" s="965"/>
      <c r="B568" s="965"/>
      <c r="C568" s="965"/>
      <c r="D568" s="965"/>
      <c r="E568" s="965"/>
      <c r="F568" s="965"/>
      <c r="G568" s="965"/>
      <c r="H568" s="965"/>
      <c r="I568" s="965"/>
      <c r="J568" s="965"/>
      <c r="K568" s="965"/>
      <c r="L568" s="965"/>
      <c r="M568" s="965"/>
      <c r="N568" s="965"/>
      <c r="O568" s="965"/>
      <c r="P568" s="965"/>
      <c r="Q568" s="965"/>
      <c r="R568" s="965"/>
      <c r="S568" s="965"/>
      <c r="T568" s="965"/>
      <c r="U568" s="965"/>
      <c r="V568" s="965"/>
      <c r="W568" s="965"/>
      <c r="X568" s="965"/>
      <c r="Y568" s="965"/>
      <c r="Z568" s="965"/>
    </row>
    <row r="569">
      <c r="A569" s="965"/>
      <c r="B569" s="965"/>
      <c r="C569" s="965"/>
      <c r="D569" s="965"/>
      <c r="E569" s="965"/>
      <c r="F569" s="965"/>
      <c r="G569" s="965"/>
      <c r="H569" s="965"/>
      <c r="I569" s="965"/>
      <c r="J569" s="965"/>
      <c r="K569" s="965"/>
      <c r="L569" s="965"/>
      <c r="M569" s="965"/>
      <c r="N569" s="965"/>
      <c r="O569" s="965"/>
      <c r="P569" s="965"/>
      <c r="Q569" s="965"/>
      <c r="R569" s="965"/>
      <c r="S569" s="965"/>
      <c r="T569" s="965"/>
      <c r="U569" s="965"/>
      <c r="V569" s="965"/>
      <c r="W569" s="965"/>
      <c r="X569" s="965"/>
      <c r="Y569" s="965"/>
      <c r="Z569" s="965"/>
    </row>
    <row r="570">
      <c r="A570" s="965"/>
      <c r="B570" s="965"/>
      <c r="C570" s="965"/>
      <c r="D570" s="965"/>
      <c r="E570" s="965"/>
      <c r="F570" s="965"/>
      <c r="G570" s="965"/>
      <c r="H570" s="965"/>
      <c r="I570" s="965"/>
      <c r="J570" s="965"/>
      <c r="K570" s="965"/>
      <c r="L570" s="965"/>
      <c r="M570" s="965"/>
      <c r="N570" s="965"/>
      <c r="O570" s="965"/>
      <c r="P570" s="965"/>
      <c r="Q570" s="965"/>
      <c r="R570" s="965"/>
      <c r="S570" s="965"/>
      <c r="T570" s="965"/>
      <c r="U570" s="965"/>
      <c r="V570" s="965"/>
      <c r="W570" s="965"/>
      <c r="X570" s="965"/>
      <c r="Y570" s="965"/>
      <c r="Z570" s="965"/>
    </row>
    <row r="571">
      <c r="A571" s="965"/>
      <c r="B571" s="965"/>
      <c r="C571" s="965"/>
      <c r="D571" s="965"/>
      <c r="E571" s="965"/>
      <c r="F571" s="965"/>
      <c r="G571" s="965"/>
      <c r="H571" s="965"/>
      <c r="I571" s="965"/>
      <c r="J571" s="965"/>
      <c r="K571" s="965"/>
      <c r="L571" s="965"/>
      <c r="M571" s="965"/>
      <c r="N571" s="965"/>
      <c r="O571" s="965"/>
      <c r="P571" s="965"/>
      <c r="Q571" s="965"/>
      <c r="R571" s="965"/>
      <c r="S571" s="965"/>
      <c r="T571" s="965"/>
      <c r="U571" s="965"/>
      <c r="V571" s="965"/>
      <c r="W571" s="965"/>
      <c r="X571" s="965"/>
      <c r="Y571" s="965"/>
      <c r="Z571" s="965"/>
    </row>
    <row r="572">
      <c r="A572" s="965"/>
      <c r="B572" s="965"/>
      <c r="C572" s="965"/>
      <c r="D572" s="965"/>
      <c r="E572" s="965"/>
      <c r="F572" s="965"/>
      <c r="G572" s="965"/>
      <c r="H572" s="965"/>
      <c r="I572" s="965"/>
      <c r="J572" s="965"/>
      <c r="K572" s="965"/>
      <c r="L572" s="965"/>
      <c r="M572" s="965"/>
      <c r="N572" s="965"/>
      <c r="O572" s="965"/>
      <c r="P572" s="965"/>
      <c r="Q572" s="965"/>
      <c r="R572" s="965"/>
      <c r="S572" s="965"/>
      <c r="T572" s="965"/>
      <c r="U572" s="965"/>
      <c r="V572" s="965"/>
      <c r="W572" s="965"/>
      <c r="X572" s="965"/>
      <c r="Y572" s="965"/>
      <c r="Z572" s="965"/>
    </row>
    <row r="573">
      <c r="A573" s="965"/>
      <c r="B573" s="965"/>
      <c r="C573" s="965"/>
      <c r="D573" s="965"/>
      <c r="E573" s="965"/>
      <c r="F573" s="965"/>
      <c r="G573" s="965"/>
      <c r="H573" s="965"/>
      <c r="I573" s="965"/>
      <c r="J573" s="965"/>
      <c r="K573" s="965"/>
      <c r="L573" s="965"/>
      <c r="M573" s="965"/>
      <c r="N573" s="965"/>
      <c r="O573" s="965"/>
      <c r="P573" s="965"/>
      <c r="Q573" s="965"/>
      <c r="R573" s="965"/>
      <c r="S573" s="965"/>
      <c r="T573" s="965"/>
      <c r="U573" s="965"/>
      <c r="V573" s="965"/>
      <c r="W573" s="965"/>
      <c r="X573" s="965"/>
      <c r="Y573" s="965"/>
      <c r="Z573" s="965"/>
    </row>
    <row r="574">
      <c r="A574" s="965"/>
      <c r="B574" s="965"/>
      <c r="C574" s="965"/>
      <c r="D574" s="965"/>
      <c r="E574" s="965"/>
      <c r="F574" s="965"/>
      <c r="G574" s="965"/>
      <c r="H574" s="965"/>
      <c r="I574" s="965"/>
      <c r="J574" s="965"/>
      <c r="K574" s="965"/>
      <c r="L574" s="965"/>
      <c r="M574" s="965"/>
      <c r="N574" s="965"/>
      <c r="O574" s="965"/>
      <c r="P574" s="965"/>
      <c r="Q574" s="965"/>
      <c r="R574" s="965"/>
      <c r="S574" s="965"/>
      <c r="T574" s="965"/>
      <c r="U574" s="965"/>
      <c r="V574" s="965"/>
      <c r="W574" s="965"/>
      <c r="X574" s="965"/>
      <c r="Y574" s="965"/>
      <c r="Z574" s="965"/>
    </row>
    <row r="575">
      <c r="A575" s="965"/>
      <c r="B575" s="965"/>
      <c r="C575" s="965"/>
      <c r="D575" s="965"/>
      <c r="E575" s="965"/>
      <c r="F575" s="965"/>
      <c r="G575" s="965"/>
      <c r="H575" s="965"/>
      <c r="I575" s="965"/>
      <c r="J575" s="965"/>
      <c r="K575" s="965"/>
      <c r="L575" s="965"/>
      <c r="M575" s="965"/>
      <c r="N575" s="965"/>
      <c r="O575" s="965"/>
      <c r="P575" s="965"/>
      <c r="Q575" s="965"/>
      <c r="R575" s="965"/>
      <c r="S575" s="965"/>
      <c r="T575" s="965"/>
      <c r="U575" s="965"/>
      <c r="V575" s="965"/>
      <c r="W575" s="965"/>
      <c r="X575" s="965"/>
      <c r="Y575" s="965"/>
      <c r="Z575" s="965"/>
    </row>
    <row r="576">
      <c r="A576" s="965"/>
      <c r="B576" s="965"/>
      <c r="C576" s="965"/>
      <c r="D576" s="965"/>
      <c r="E576" s="965"/>
      <c r="F576" s="965"/>
      <c r="G576" s="965"/>
      <c r="H576" s="965"/>
      <c r="I576" s="965"/>
      <c r="J576" s="965"/>
      <c r="K576" s="965"/>
      <c r="L576" s="965"/>
      <c r="M576" s="965"/>
      <c r="N576" s="965"/>
      <c r="O576" s="965"/>
      <c r="P576" s="965"/>
      <c r="Q576" s="965"/>
      <c r="R576" s="965"/>
      <c r="S576" s="965"/>
      <c r="T576" s="965"/>
      <c r="U576" s="965"/>
      <c r="V576" s="965"/>
      <c r="W576" s="965"/>
      <c r="X576" s="965"/>
      <c r="Y576" s="965"/>
      <c r="Z576" s="965"/>
    </row>
    <row r="577">
      <c r="A577" s="965"/>
      <c r="B577" s="965"/>
      <c r="C577" s="965"/>
      <c r="D577" s="965"/>
      <c r="E577" s="965"/>
      <c r="F577" s="965"/>
      <c r="G577" s="965"/>
      <c r="H577" s="965"/>
      <c r="I577" s="965"/>
      <c r="J577" s="965"/>
      <c r="K577" s="965"/>
      <c r="L577" s="965"/>
      <c r="M577" s="965"/>
      <c r="N577" s="965"/>
      <c r="O577" s="965"/>
      <c r="P577" s="965"/>
      <c r="Q577" s="965"/>
      <c r="R577" s="965"/>
      <c r="S577" s="965"/>
      <c r="T577" s="965"/>
      <c r="U577" s="965"/>
      <c r="V577" s="965"/>
      <c r="W577" s="965"/>
      <c r="X577" s="965"/>
      <c r="Y577" s="965"/>
      <c r="Z577" s="965"/>
    </row>
    <row r="578">
      <c r="A578" s="965"/>
      <c r="B578" s="965"/>
      <c r="C578" s="965"/>
      <c r="D578" s="965"/>
      <c r="E578" s="965"/>
      <c r="F578" s="965"/>
      <c r="G578" s="965"/>
      <c r="H578" s="965"/>
      <c r="I578" s="965"/>
      <c r="J578" s="965"/>
      <c r="K578" s="965"/>
      <c r="L578" s="965"/>
      <c r="M578" s="965"/>
      <c r="N578" s="965"/>
      <c r="O578" s="965"/>
      <c r="P578" s="965"/>
      <c r="Q578" s="965"/>
      <c r="R578" s="965"/>
      <c r="S578" s="965"/>
      <c r="T578" s="965"/>
      <c r="U578" s="965"/>
      <c r="V578" s="965"/>
      <c r="W578" s="965"/>
      <c r="X578" s="965"/>
      <c r="Y578" s="965"/>
      <c r="Z578" s="965"/>
    </row>
    <row r="579">
      <c r="A579" s="965"/>
      <c r="B579" s="965"/>
      <c r="C579" s="965"/>
      <c r="D579" s="965"/>
      <c r="E579" s="965"/>
      <c r="F579" s="965"/>
      <c r="G579" s="965"/>
      <c r="H579" s="965"/>
      <c r="I579" s="965"/>
      <c r="J579" s="965"/>
      <c r="K579" s="965"/>
      <c r="L579" s="965"/>
      <c r="M579" s="965"/>
      <c r="N579" s="965"/>
      <c r="O579" s="965"/>
      <c r="P579" s="965"/>
      <c r="Q579" s="965"/>
      <c r="R579" s="965"/>
      <c r="S579" s="965"/>
      <c r="T579" s="965"/>
      <c r="U579" s="965"/>
      <c r="V579" s="965"/>
      <c r="W579" s="965"/>
      <c r="X579" s="965"/>
      <c r="Y579" s="965"/>
      <c r="Z579" s="965"/>
    </row>
    <row r="580">
      <c r="A580" s="965"/>
      <c r="B580" s="965"/>
      <c r="C580" s="965"/>
      <c r="D580" s="965"/>
      <c r="E580" s="965"/>
      <c r="F580" s="965"/>
      <c r="G580" s="965"/>
      <c r="H580" s="965"/>
      <c r="I580" s="965"/>
      <c r="J580" s="965"/>
      <c r="K580" s="965"/>
      <c r="L580" s="965"/>
      <c r="M580" s="965"/>
      <c r="N580" s="965"/>
      <c r="O580" s="965"/>
      <c r="P580" s="965"/>
      <c r="Q580" s="965"/>
      <c r="R580" s="965"/>
      <c r="S580" s="965"/>
      <c r="T580" s="965"/>
      <c r="U580" s="965"/>
      <c r="V580" s="965"/>
      <c r="W580" s="965"/>
      <c r="X580" s="965"/>
      <c r="Y580" s="965"/>
      <c r="Z580" s="965"/>
    </row>
    <row r="581">
      <c r="A581" s="965"/>
      <c r="B581" s="965"/>
      <c r="C581" s="965"/>
      <c r="D581" s="965"/>
      <c r="E581" s="965"/>
      <c r="F581" s="965"/>
      <c r="G581" s="965"/>
      <c r="H581" s="965"/>
      <c r="I581" s="965"/>
      <c r="J581" s="965"/>
      <c r="K581" s="965"/>
      <c r="L581" s="965"/>
      <c r="M581" s="965"/>
      <c r="N581" s="965"/>
      <c r="O581" s="965"/>
      <c r="P581" s="965"/>
      <c r="Q581" s="965"/>
      <c r="R581" s="965"/>
      <c r="S581" s="965"/>
      <c r="T581" s="965"/>
      <c r="U581" s="965"/>
      <c r="V581" s="965"/>
      <c r="W581" s="965"/>
      <c r="X581" s="965"/>
      <c r="Y581" s="965"/>
      <c r="Z581" s="965"/>
    </row>
    <row r="582">
      <c r="A582" s="965"/>
      <c r="B582" s="965"/>
      <c r="C582" s="965"/>
      <c r="D582" s="965"/>
      <c r="E582" s="965"/>
      <c r="F582" s="965"/>
      <c r="G582" s="965"/>
      <c r="H582" s="965"/>
      <c r="I582" s="965"/>
      <c r="J582" s="965"/>
      <c r="K582" s="965"/>
      <c r="L582" s="965"/>
      <c r="M582" s="965"/>
      <c r="N582" s="965"/>
      <c r="O582" s="965"/>
      <c r="P582" s="965"/>
      <c r="Q582" s="965"/>
      <c r="R582" s="965"/>
      <c r="S582" s="965"/>
      <c r="T582" s="965"/>
      <c r="U582" s="965"/>
      <c r="V582" s="965"/>
      <c r="W582" s="965"/>
      <c r="X582" s="965"/>
      <c r="Y582" s="965"/>
      <c r="Z582" s="965"/>
    </row>
    <row r="583">
      <c r="A583" s="965"/>
      <c r="B583" s="965"/>
      <c r="C583" s="965"/>
      <c r="D583" s="965"/>
      <c r="E583" s="965"/>
      <c r="F583" s="965"/>
      <c r="G583" s="965"/>
      <c r="H583" s="965"/>
      <c r="I583" s="965"/>
      <c r="J583" s="965"/>
      <c r="K583" s="965"/>
      <c r="L583" s="965"/>
      <c r="M583" s="965"/>
      <c r="N583" s="965"/>
      <c r="O583" s="965"/>
      <c r="P583" s="965"/>
      <c r="Q583" s="965"/>
      <c r="R583" s="965"/>
      <c r="S583" s="965"/>
      <c r="T583" s="965"/>
      <c r="U583" s="965"/>
      <c r="V583" s="965"/>
      <c r="W583" s="965"/>
      <c r="X583" s="965"/>
      <c r="Y583" s="965"/>
      <c r="Z583" s="965"/>
    </row>
    <row r="584">
      <c r="A584" s="965"/>
      <c r="B584" s="965"/>
      <c r="C584" s="965"/>
      <c r="D584" s="965"/>
      <c r="E584" s="965"/>
      <c r="F584" s="965"/>
      <c r="G584" s="965"/>
      <c r="H584" s="965"/>
      <c r="I584" s="965"/>
      <c r="J584" s="965"/>
      <c r="K584" s="965"/>
      <c r="L584" s="965"/>
      <c r="M584" s="965"/>
      <c r="N584" s="965"/>
      <c r="O584" s="965"/>
      <c r="P584" s="965"/>
      <c r="Q584" s="965"/>
      <c r="R584" s="965"/>
      <c r="S584" s="965"/>
      <c r="T584" s="965"/>
      <c r="U584" s="965"/>
      <c r="V584" s="965"/>
      <c r="W584" s="965"/>
      <c r="X584" s="965"/>
      <c r="Y584" s="965"/>
      <c r="Z584" s="965"/>
    </row>
    <row r="585">
      <c r="A585" s="965"/>
      <c r="B585" s="965"/>
      <c r="C585" s="965"/>
      <c r="D585" s="965"/>
      <c r="E585" s="965"/>
      <c r="F585" s="965"/>
      <c r="G585" s="965"/>
      <c r="H585" s="965"/>
      <c r="I585" s="965"/>
      <c r="J585" s="965"/>
      <c r="K585" s="965"/>
      <c r="L585" s="965"/>
      <c r="M585" s="965"/>
      <c r="N585" s="965"/>
      <c r="O585" s="965"/>
      <c r="P585" s="965"/>
      <c r="Q585" s="965"/>
      <c r="R585" s="965"/>
      <c r="S585" s="965"/>
      <c r="T585" s="965"/>
      <c r="U585" s="965"/>
      <c r="V585" s="965"/>
      <c r="W585" s="965"/>
      <c r="X585" s="965"/>
      <c r="Y585" s="965"/>
      <c r="Z585" s="965"/>
    </row>
    <row r="586">
      <c r="A586" s="965"/>
      <c r="B586" s="965"/>
      <c r="C586" s="965"/>
      <c r="D586" s="965"/>
      <c r="E586" s="965"/>
      <c r="F586" s="965"/>
      <c r="G586" s="965"/>
      <c r="H586" s="965"/>
      <c r="I586" s="965"/>
      <c r="J586" s="965"/>
      <c r="K586" s="965"/>
      <c r="L586" s="965"/>
      <c r="M586" s="965"/>
      <c r="N586" s="965"/>
      <c r="O586" s="965"/>
      <c r="P586" s="965"/>
      <c r="Q586" s="965"/>
      <c r="R586" s="965"/>
      <c r="S586" s="965"/>
      <c r="T586" s="965"/>
      <c r="U586" s="965"/>
      <c r="V586" s="965"/>
      <c r="W586" s="965"/>
      <c r="X586" s="965"/>
      <c r="Y586" s="965"/>
      <c r="Z586" s="965"/>
    </row>
    <row r="587">
      <c r="A587" s="965"/>
      <c r="B587" s="965"/>
      <c r="C587" s="965"/>
      <c r="D587" s="965"/>
      <c r="E587" s="965"/>
      <c r="F587" s="965"/>
      <c r="G587" s="965"/>
      <c r="H587" s="965"/>
      <c r="I587" s="965"/>
      <c r="J587" s="965"/>
      <c r="K587" s="965"/>
      <c r="L587" s="965"/>
      <c r="M587" s="965"/>
      <c r="N587" s="965"/>
      <c r="O587" s="965"/>
      <c r="P587" s="965"/>
      <c r="Q587" s="965"/>
      <c r="R587" s="965"/>
      <c r="S587" s="965"/>
      <c r="T587" s="965"/>
      <c r="U587" s="965"/>
      <c r="V587" s="965"/>
      <c r="W587" s="965"/>
      <c r="X587" s="965"/>
      <c r="Y587" s="965"/>
      <c r="Z587" s="965"/>
    </row>
    <row r="588">
      <c r="A588" s="965"/>
      <c r="B588" s="965"/>
      <c r="C588" s="965"/>
      <c r="D588" s="965"/>
      <c r="E588" s="965"/>
      <c r="F588" s="965"/>
      <c r="G588" s="965"/>
      <c r="H588" s="965"/>
      <c r="I588" s="965"/>
      <c r="J588" s="965"/>
      <c r="K588" s="965"/>
      <c r="L588" s="965"/>
      <c r="M588" s="965"/>
      <c r="N588" s="965"/>
      <c r="O588" s="965"/>
      <c r="P588" s="965"/>
      <c r="Q588" s="965"/>
      <c r="R588" s="965"/>
      <c r="S588" s="965"/>
      <c r="T588" s="965"/>
      <c r="U588" s="965"/>
      <c r="V588" s="965"/>
      <c r="W588" s="965"/>
      <c r="X588" s="965"/>
      <c r="Y588" s="965"/>
      <c r="Z588" s="965"/>
    </row>
    <row r="589">
      <c r="A589" s="965"/>
      <c r="B589" s="965"/>
      <c r="C589" s="965"/>
      <c r="D589" s="965"/>
      <c r="E589" s="965"/>
      <c r="F589" s="965"/>
      <c r="G589" s="965"/>
      <c r="H589" s="965"/>
      <c r="I589" s="965"/>
      <c r="J589" s="965"/>
      <c r="K589" s="965"/>
      <c r="L589" s="965"/>
      <c r="M589" s="965"/>
      <c r="N589" s="965"/>
      <c r="O589" s="965"/>
      <c r="P589" s="965"/>
      <c r="Q589" s="965"/>
      <c r="R589" s="965"/>
      <c r="S589" s="965"/>
      <c r="T589" s="965"/>
      <c r="U589" s="965"/>
      <c r="V589" s="965"/>
      <c r="W589" s="965"/>
      <c r="X589" s="965"/>
      <c r="Y589" s="965"/>
      <c r="Z589" s="965"/>
    </row>
    <row r="590">
      <c r="A590" s="965"/>
      <c r="B590" s="965"/>
      <c r="C590" s="965"/>
      <c r="D590" s="965"/>
      <c r="E590" s="965"/>
      <c r="F590" s="965"/>
      <c r="G590" s="965"/>
      <c r="H590" s="965"/>
      <c r="I590" s="965"/>
      <c r="J590" s="965"/>
      <c r="K590" s="965"/>
      <c r="L590" s="965"/>
      <c r="M590" s="965"/>
      <c r="N590" s="965"/>
      <c r="O590" s="965"/>
      <c r="P590" s="965"/>
      <c r="Q590" s="965"/>
      <c r="R590" s="965"/>
      <c r="S590" s="965"/>
      <c r="T590" s="965"/>
      <c r="U590" s="965"/>
      <c r="V590" s="965"/>
      <c r="W590" s="965"/>
      <c r="X590" s="965"/>
      <c r="Y590" s="965"/>
      <c r="Z590" s="965"/>
    </row>
    <row r="591">
      <c r="A591" s="965"/>
      <c r="B591" s="965"/>
      <c r="C591" s="965"/>
      <c r="D591" s="965"/>
      <c r="E591" s="965"/>
      <c r="F591" s="965"/>
      <c r="G591" s="965"/>
      <c r="H591" s="965"/>
      <c r="I591" s="965"/>
      <c r="J591" s="965"/>
      <c r="K591" s="965"/>
      <c r="L591" s="965"/>
      <c r="M591" s="965"/>
      <c r="N591" s="965"/>
      <c r="O591" s="965"/>
      <c r="P591" s="965"/>
      <c r="Q591" s="965"/>
      <c r="R591" s="965"/>
      <c r="S591" s="965"/>
      <c r="T591" s="965"/>
      <c r="U591" s="965"/>
      <c r="V591" s="965"/>
      <c r="W591" s="965"/>
      <c r="X591" s="965"/>
      <c r="Y591" s="965"/>
      <c r="Z591" s="965"/>
    </row>
    <row r="592">
      <c r="A592" s="965"/>
      <c r="B592" s="965"/>
      <c r="C592" s="965"/>
      <c r="D592" s="965"/>
      <c r="E592" s="965"/>
      <c r="F592" s="965"/>
      <c r="G592" s="965"/>
      <c r="H592" s="965"/>
      <c r="I592" s="965"/>
      <c r="J592" s="965"/>
      <c r="K592" s="965"/>
      <c r="L592" s="965"/>
      <c r="M592" s="965"/>
      <c r="N592" s="965"/>
      <c r="O592" s="965"/>
      <c r="P592" s="965"/>
      <c r="Q592" s="965"/>
      <c r="R592" s="965"/>
      <c r="S592" s="965"/>
      <c r="T592" s="965"/>
      <c r="U592" s="965"/>
      <c r="V592" s="965"/>
      <c r="W592" s="965"/>
      <c r="X592" s="965"/>
      <c r="Y592" s="965"/>
      <c r="Z592" s="965"/>
    </row>
    <row r="593">
      <c r="A593" s="965"/>
      <c r="B593" s="965"/>
      <c r="C593" s="965"/>
      <c r="D593" s="965"/>
      <c r="E593" s="965"/>
      <c r="F593" s="965"/>
      <c r="G593" s="965"/>
      <c r="H593" s="965"/>
      <c r="I593" s="965"/>
      <c r="J593" s="965"/>
      <c r="K593" s="965"/>
      <c r="L593" s="965"/>
      <c r="M593" s="965"/>
      <c r="N593" s="965"/>
      <c r="O593" s="965"/>
      <c r="P593" s="965"/>
      <c r="Q593" s="965"/>
      <c r="R593" s="965"/>
      <c r="S593" s="965"/>
      <c r="T593" s="965"/>
      <c r="U593" s="965"/>
      <c r="V593" s="965"/>
      <c r="W593" s="965"/>
      <c r="X593" s="965"/>
      <c r="Y593" s="965"/>
      <c r="Z593" s="965"/>
    </row>
    <row r="594">
      <c r="A594" s="965"/>
      <c r="B594" s="965"/>
      <c r="C594" s="965"/>
      <c r="D594" s="965"/>
      <c r="E594" s="965"/>
      <c r="F594" s="965"/>
      <c r="G594" s="965"/>
      <c r="H594" s="965"/>
      <c r="I594" s="965"/>
      <c r="J594" s="965"/>
      <c r="K594" s="965"/>
      <c r="L594" s="965"/>
      <c r="M594" s="965"/>
      <c r="N594" s="965"/>
      <c r="O594" s="965"/>
      <c r="P594" s="965"/>
      <c r="Q594" s="965"/>
      <c r="R594" s="965"/>
      <c r="S594" s="965"/>
      <c r="T594" s="965"/>
      <c r="U594" s="965"/>
      <c r="V594" s="965"/>
      <c r="W594" s="965"/>
      <c r="X594" s="965"/>
      <c r="Y594" s="965"/>
      <c r="Z594" s="965"/>
    </row>
    <row r="595">
      <c r="A595" s="965"/>
      <c r="B595" s="965"/>
      <c r="C595" s="965"/>
      <c r="D595" s="965"/>
      <c r="E595" s="965"/>
      <c r="F595" s="965"/>
      <c r="G595" s="965"/>
      <c r="H595" s="965"/>
      <c r="I595" s="965"/>
      <c r="J595" s="965"/>
      <c r="K595" s="965"/>
      <c r="L595" s="965"/>
      <c r="M595" s="965"/>
      <c r="N595" s="965"/>
      <c r="O595" s="965"/>
      <c r="P595" s="965"/>
      <c r="Q595" s="965"/>
      <c r="R595" s="965"/>
      <c r="S595" s="965"/>
      <c r="T595" s="965"/>
      <c r="U595" s="965"/>
      <c r="V595" s="965"/>
      <c r="W595" s="965"/>
      <c r="X595" s="965"/>
      <c r="Y595" s="965"/>
      <c r="Z595" s="965"/>
    </row>
    <row r="596">
      <c r="A596" s="965"/>
      <c r="B596" s="965"/>
      <c r="C596" s="965"/>
      <c r="D596" s="965"/>
      <c r="E596" s="965"/>
      <c r="F596" s="965"/>
      <c r="G596" s="965"/>
      <c r="H596" s="965"/>
      <c r="I596" s="965"/>
      <c r="J596" s="965"/>
      <c r="K596" s="965"/>
      <c r="L596" s="965"/>
      <c r="M596" s="965"/>
      <c r="N596" s="965"/>
      <c r="O596" s="965"/>
      <c r="P596" s="965"/>
      <c r="Q596" s="965"/>
      <c r="R596" s="965"/>
      <c r="S596" s="965"/>
      <c r="T596" s="965"/>
      <c r="U596" s="965"/>
      <c r="V596" s="965"/>
      <c r="W596" s="965"/>
      <c r="X596" s="965"/>
      <c r="Y596" s="965"/>
      <c r="Z596" s="965"/>
    </row>
    <row r="597">
      <c r="A597" s="965"/>
      <c r="B597" s="965"/>
      <c r="C597" s="965"/>
      <c r="D597" s="965"/>
      <c r="E597" s="965"/>
      <c r="F597" s="965"/>
      <c r="G597" s="965"/>
      <c r="H597" s="965"/>
      <c r="I597" s="965"/>
      <c r="J597" s="965"/>
      <c r="K597" s="965"/>
      <c r="L597" s="965"/>
      <c r="M597" s="965"/>
      <c r="N597" s="965"/>
      <c r="O597" s="965"/>
      <c r="P597" s="965"/>
      <c r="Q597" s="965"/>
      <c r="R597" s="965"/>
      <c r="S597" s="965"/>
      <c r="T597" s="965"/>
      <c r="U597" s="965"/>
      <c r="V597" s="965"/>
      <c r="W597" s="965"/>
      <c r="X597" s="965"/>
      <c r="Y597" s="965"/>
      <c r="Z597" s="965"/>
    </row>
    <row r="598">
      <c r="A598" s="965"/>
      <c r="B598" s="965"/>
      <c r="C598" s="965"/>
      <c r="D598" s="965"/>
      <c r="E598" s="965"/>
      <c r="F598" s="965"/>
      <c r="G598" s="965"/>
      <c r="H598" s="965"/>
      <c r="I598" s="965"/>
      <c r="J598" s="965"/>
      <c r="K598" s="965"/>
      <c r="L598" s="965"/>
      <c r="M598" s="965"/>
      <c r="N598" s="965"/>
      <c r="O598" s="965"/>
      <c r="P598" s="965"/>
      <c r="Q598" s="965"/>
      <c r="R598" s="965"/>
      <c r="S598" s="965"/>
      <c r="T598" s="965"/>
      <c r="U598" s="965"/>
      <c r="V598" s="965"/>
      <c r="W598" s="965"/>
      <c r="X598" s="965"/>
      <c r="Y598" s="965"/>
      <c r="Z598" s="965"/>
    </row>
    <row r="599">
      <c r="A599" s="965"/>
      <c r="B599" s="965"/>
      <c r="C599" s="965"/>
      <c r="D599" s="965"/>
      <c r="E599" s="965"/>
      <c r="F599" s="965"/>
      <c r="G599" s="965"/>
      <c r="H599" s="965"/>
      <c r="I599" s="965"/>
      <c r="J599" s="965"/>
      <c r="K599" s="965"/>
      <c r="L599" s="965"/>
      <c r="M599" s="965"/>
      <c r="N599" s="965"/>
      <c r="O599" s="965"/>
      <c r="P599" s="965"/>
      <c r="Q599" s="965"/>
      <c r="R599" s="965"/>
      <c r="S599" s="965"/>
      <c r="T599" s="965"/>
      <c r="U599" s="965"/>
      <c r="V599" s="965"/>
      <c r="W599" s="965"/>
      <c r="X599" s="965"/>
      <c r="Y599" s="965"/>
      <c r="Z599" s="965"/>
    </row>
    <row r="600">
      <c r="A600" s="965"/>
      <c r="B600" s="965"/>
      <c r="C600" s="965"/>
      <c r="D600" s="965"/>
      <c r="E600" s="965"/>
      <c r="F600" s="965"/>
      <c r="G600" s="965"/>
      <c r="H600" s="965"/>
      <c r="I600" s="965"/>
      <c r="J600" s="965"/>
      <c r="K600" s="965"/>
      <c r="L600" s="965"/>
      <c r="M600" s="965"/>
      <c r="N600" s="965"/>
      <c r="O600" s="965"/>
      <c r="P600" s="965"/>
      <c r="Q600" s="965"/>
      <c r="R600" s="965"/>
      <c r="S600" s="965"/>
      <c r="T600" s="965"/>
      <c r="U600" s="965"/>
      <c r="V600" s="965"/>
      <c r="W600" s="965"/>
      <c r="X600" s="965"/>
      <c r="Y600" s="965"/>
      <c r="Z600" s="965"/>
    </row>
    <row r="601">
      <c r="A601" s="965"/>
      <c r="B601" s="965"/>
      <c r="C601" s="965"/>
      <c r="D601" s="965"/>
      <c r="E601" s="965"/>
      <c r="F601" s="965"/>
      <c r="G601" s="965"/>
      <c r="H601" s="965"/>
      <c r="I601" s="965"/>
      <c r="J601" s="965"/>
      <c r="K601" s="965"/>
      <c r="L601" s="965"/>
      <c r="M601" s="965"/>
      <c r="N601" s="965"/>
      <c r="O601" s="965"/>
      <c r="P601" s="965"/>
      <c r="Q601" s="965"/>
      <c r="R601" s="965"/>
      <c r="S601" s="965"/>
      <c r="T601" s="965"/>
      <c r="U601" s="965"/>
      <c r="V601" s="965"/>
      <c r="W601" s="965"/>
      <c r="X601" s="965"/>
      <c r="Y601" s="965"/>
      <c r="Z601" s="965"/>
    </row>
    <row r="602">
      <c r="A602" s="965"/>
      <c r="B602" s="965"/>
      <c r="C602" s="965"/>
      <c r="D602" s="965"/>
      <c r="E602" s="965"/>
      <c r="F602" s="965"/>
      <c r="G602" s="965"/>
      <c r="H602" s="965"/>
      <c r="I602" s="965"/>
      <c r="J602" s="965"/>
      <c r="K602" s="965"/>
      <c r="L602" s="965"/>
      <c r="M602" s="965"/>
      <c r="N602" s="965"/>
      <c r="O602" s="965"/>
      <c r="P602" s="965"/>
      <c r="Q602" s="965"/>
      <c r="R602" s="965"/>
      <c r="S602" s="965"/>
      <c r="T602" s="965"/>
      <c r="U602" s="965"/>
      <c r="V602" s="965"/>
      <c r="W602" s="965"/>
      <c r="X602" s="965"/>
      <c r="Y602" s="965"/>
      <c r="Z602" s="965"/>
    </row>
    <row r="603">
      <c r="A603" s="965"/>
      <c r="B603" s="965"/>
      <c r="C603" s="965"/>
      <c r="D603" s="965"/>
      <c r="E603" s="965"/>
      <c r="F603" s="965"/>
      <c r="G603" s="965"/>
      <c r="H603" s="965"/>
      <c r="I603" s="965"/>
      <c r="J603" s="965"/>
      <c r="K603" s="965"/>
      <c r="L603" s="965"/>
      <c r="M603" s="965"/>
      <c r="N603" s="965"/>
      <c r="O603" s="965"/>
      <c r="P603" s="965"/>
      <c r="Q603" s="965"/>
      <c r="R603" s="965"/>
      <c r="S603" s="965"/>
      <c r="T603" s="965"/>
      <c r="U603" s="965"/>
      <c r="V603" s="965"/>
      <c r="W603" s="965"/>
      <c r="X603" s="965"/>
      <c r="Y603" s="965"/>
      <c r="Z603" s="965"/>
    </row>
    <row r="604">
      <c r="A604" s="965"/>
      <c r="B604" s="965"/>
      <c r="C604" s="965"/>
      <c r="D604" s="965"/>
      <c r="E604" s="965"/>
      <c r="F604" s="965"/>
      <c r="G604" s="965"/>
      <c r="H604" s="965"/>
      <c r="I604" s="965"/>
      <c r="J604" s="965"/>
      <c r="K604" s="965"/>
      <c r="L604" s="965"/>
      <c r="M604" s="965"/>
      <c r="N604" s="965"/>
      <c r="O604" s="965"/>
      <c r="P604" s="965"/>
      <c r="Q604" s="965"/>
      <c r="R604" s="965"/>
      <c r="S604" s="965"/>
      <c r="T604" s="965"/>
      <c r="U604" s="965"/>
      <c r="V604" s="965"/>
      <c r="W604" s="965"/>
      <c r="X604" s="965"/>
      <c r="Y604" s="965"/>
      <c r="Z604" s="965"/>
    </row>
    <row r="605">
      <c r="A605" s="965"/>
      <c r="B605" s="965"/>
      <c r="C605" s="965"/>
      <c r="D605" s="965"/>
      <c r="E605" s="965"/>
      <c r="F605" s="965"/>
      <c r="G605" s="965"/>
      <c r="H605" s="965"/>
      <c r="I605" s="965"/>
      <c r="J605" s="965"/>
      <c r="K605" s="965"/>
      <c r="L605" s="965"/>
      <c r="M605" s="965"/>
      <c r="N605" s="965"/>
      <c r="O605" s="965"/>
      <c r="P605" s="965"/>
      <c r="Q605" s="965"/>
      <c r="R605" s="965"/>
      <c r="S605" s="965"/>
      <c r="T605" s="965"/>
      <c r="U605" s="965"/>
      <c r="V605" s="965"/>
      <c r="W605" s="965"/>
      <c r="X605" s="965"/>
      <c r="Y605" s="965"/>
      <c r="Z605" s="965"/>
    </row>
    <row r="606">
      <c r="A606" s="965"/>
      <c r="B606" s="965"/>
      <c r="C606" s="965"/>
      <c r="D606" s="965"/>
      <c r="E606" s="965"/>
      <c r="F606" s="965"/>
      <c r="G606" s="965"/>
      <c r="H606" s="965"/>
      <c r="I606" s="965"/>
      <c r="J606" s="965"/>
      <c r="K606" s="965"/>
      <c r="L606" s="965"/>
      <c r="M606" s="965"/>
      <c r="N606" s="965"/>
      <c r="O606" s="965"/>
      <c r="P606" s="965"/>
      <c r="Q606" s="965"/>
      <c r="R606" s="965"/>
      <c r="S606" s="965"/>
      <c r="T606" s="965"/>
      <c r="U606" s="965"/>
      <c r="V606" s="965"/>
      <c r="W606" s="965"/>
      <c r="X606" s="965"/>
      <c r="Y606" s="965"/>
      <c r="Z606" s="965"/>
    </row>
    <row r="607">
      <c r="A607" s="965"/>
      <c r="B607" s="965"/>
      <c r="C607" s="965"/>
      <c r="D607" s="965"/>
      <c r="E607" s="965"/>
      <c r="F607" s="965"/>
      <c r="G607" s="965"/>
      <c r="H607" s="965"/>
      <c r="I607" s="965"/>
      <c r="J607" s="965"/>
      <c r="K607" s="965"/>
      <c r="L607" s="965"/>
      <c r="M607" s="965"/>
      <c r="N607" s="965"/>
      <c r="O607" s="965"/>
      <c r="P607" s="965"/>
      <c r="Q607" s="965"/>
      <c r="R607" s="965"/>
      <c r="S607" s="965"/>
      <c r="T607" s="965"/>
      <c r="U607" s="965"/>
      <c r="V607" s="965"/>
      <c r="W607" s="965"/>
      <c r="X607" s="965"/>
      <c r="Y607" s="965"/>
      <c r="Z607" s="965"/>
    </row>
    <row r="608">
      <c r="A608" s="965"/>
      <c r="B608" s="965"/>
      <c r="C608" s="965"/>
      <c r="D608" s="965"/>
      <c r="E608" s="965"/>
      <c r="F608" s="965"/>
      <c r="G608" s="965"/>
      <c r="H608" s="965"/>
      <c r="I608" s="965"/>
      <c r="J608" s="965"/>
      <c r="K608" s="965"/>
      <c r="L608" s="965"/>
      <c r="M608" s="965"/>
      <c r="N608" s="965"/>
      <c r="O608" s="965"/>
      <c r="P608" s="965"/>
      <c r="Q608" s="965"/>
      <c r="R608" s="965"/>
      <c r="S608" s="965"/>
      <c r="T608" s="965"/>
      <c r="U608" s="965"/>
      <c r="V608" s="965"/>
      <c r="W608" s="965"/>
      <c r="X608" s="965"/>
      <c r="Y608" s="965"/>
      <c r="Z608" s="965"/>
    </row>
    <row r="609">
      <c r="A609" s="965"/>
      <c r="B609" s="965"/>
      <c r="C609" s="965"/>
      <c r="D609" s="965"/>
      <c r="E609" s="965"/>
      <c r="F609" s="965"/>
      <c r="G609" s="965"/>
      <c r="H609" s="965"/>
      <c r="I609" s="965"/>
      <c r="J609" s="965"/>
      <c r="K609" s="965"/>
      <c r="L609" s="965"/>
      <c r="M609" s="965"/>
      <c r="N609" s="965"/>
      <c r="O609" s="965"/>
      <c r="P609" s="965"/>
      <c r="Q609" s="965"/>
      <c r="R609" s="965"/>
      <c r="S609" s="965"/>
      <c r="T609" s="965"/>
      <c r="U609" s="965"/>
      <c r="V609" s="965"/>
      <c r="W609" s="965"/>
      <c r="X609" s="965"/>
      <c r="Y609" s="965"/>
      <c r="Z609" s="965"/>
    </row>
    <row r="610">
      <c r="A610" s="965"/>
      <c r="B610" s="965"/>
      <c r="C610" s="965"/>
      <c r="D610" s="965"/>
      <c r="E610" s="965"/>
      <c r="F610" s="965"/>
      <c r="G610" s="965"/>
      <c r="H610" s="965"/>
      <c r="I610" s="965"/>
      <c r="J610" s="965"/>
      <c r="K610" s="965"/>
      <c r="L610" s="965"/>
      <c r="M610" s="965"/>
      <c r="N610" s="965"/>
      <c r="O610" s="965"/>
      <c r="P610" s="965"/>
      <c r="Q610" s="965"/>
      <c r="R610" s="965"/>
      <c r="S610" s="965"/>
      <c r="T610" s="965"/>
      <c r="U610" s="965"/>
      <c r="V610" s="965"/>
      <c r="W610" s="965"/>
      <c r="X610" s="965"/>
      <c r="Y610" s="965"/>
      <c r="Z610" s="965"/>
    </row>
    <row r="611">
      <c r="A611" s="965"/>
      <c r="B611" s="965"/>
      <c r="C611" s="965"/>
      <c r="D611" s="965"/>
      <c r="E611" s="965"/>
      <c r="F611" s="965"/>
      <c r="G611" s="965"/>
      <c r="H611" s="965"/>
      <c r="I611" s="965"/>
      <c r="J611" s="965"/>
      <c r="K611" s="965"/>
      <c r="L611" s="965"/>
      <c r="M611" s="965"/>
      <c r="N611" s="965"/>
      <c r="O611" s="965"/>
      <c r="P611" s="965"/>
      <c r="Q611" s="965"/>
      <c r="R611" s="965"/>
      <c r="S611" s="965"/>
      <c r="T611" s="965"/>
      <c r="U611" s="965"/>
      <c r="V611" s="965"/>
      <c r="W611" s="965"/>
      <c r="X611" s="965"/>
      <c r="Y611" s="965"/>
      <c r="Z611" s="965"/>
    </row>
    <row r="612">
      <c r="A612" s="965"/>
      <c r="B612" s="965"/>
      <c r="C612" s="965"/>
      <c r="D612" s="965"/>
      <c r="E612" s="965"/>
      <c r="F612" s="965"/>
      <c r="G612" s="965"/>
      <c r="H612" s="965"/>
      <c r="I612" s="965"/>
      <c r="J612" s="965"/>
      <c r="K612" s="965"/>
      <c r="L612" s="965"/>
      <c r="M612" s="965"/>
      <c r="N612" s="965"/>
      <c r="O612" s="965"/>
      <c r="P612" s="965"/>
      <c r="Q612" s="965"/>
      <c r="R612" s="965"/>
      <c r="S612" s="965"/>
      <c r="T612" s="965"/>
      <c r="U612" s="965"/>
      <c r="V612" s="965"/>
      <c r="W612" s="965"/>
      <c r="X612" s="965"/>
      <c r="Y612" s="965"/>
      <c r="Z612" s="965"/>
    </row>
    <row r="613">
      <c r="A613" s="965"/>
      <c r="B613" s="965"/>
      <c r="C613" s="965"/>
      <c r="D613" s="965"/>
      <c r="E613" s="965"/>
      <c r="F613" s="965"/>
      <c r="G613" s="965"/>
      <c r="H613" s="965"/>
      <c r="I613" s="965"/>
      <c r="J613" s="965"/>
      <c r="K613" s="965"/>
      <c r="L613" s="965"/>
      <c r="M613" s="965"/>
      <c r="N613" s="965"/>
      <c r="O613" s="965"/>
      <c r="P613" s="965"/>
      <c r="Q613" s="965"/>
      <c r="R613" s="965"/>
      <c r="S613" s="965"/>
      <c r="T613" s="965"/>
      <c r="U613" s="965"/>
      <c r="V613" s="965"/>
      <c r="W613" s="965"/>
      <c r="X613" s="965"/>
      <c r="Y613" s="965"/>
      <c r="Z613" s="965"/>
    </row>
    <row r="614">
      <c r="A614" s="965"/>
      <c r="B614" s="965"/>
      <c r="C614" s="965"/>
      <c r="D614" s="965"/>
      <c r="E614" s="965"/>
      <c r="F614" s="965"/>
      <c r="G614" s="965"/>
      <c r="H614" s="965"/>
      <c r="I614" s="965"/>
      <c r="J614" s="965"/>
      <c r="K614" s="965"/>
      <c r="L614" s="965"/>
      <c r="M614" s="965"/>
      <c r="N614" s="965"/>
      <c r="O614" s="965"/>
      <c r="P614" s="965"/>
      <c r="Q614" s="965"/>
      <c r="R614" s="965"/>
      <c r="S614" s="965"/>
      <c r="T614" s="965"/>
      <c r="U614" s="965"/>
      <c r="V614" s="965"/>
      <c r="W614" s="965"/>
      <c r="X614" s="965"/>
      <c r="Y614" s="965"/>
      <c r="Z614" s="965"/>
    </row>
    <row r="615">
      <c r="A615" s="965"/>
      <c r="B615" s="965"/>
      <c r="C615" s="965"/>
      <c r="D615" s="965"/>
      <c r="E615" s="965"/>
      <c r="F615" s="965"/>
      <c r="G615" s="965"/>
      <c r="H615" s="965"/>
      <c r="I615" s="965"/>
      <c r="J615" s="965"/>
      <c r="K615" s="965"/>
      <c r="L615" s="965"/>
      <c r="M615" s="965"/>
      <c r="N615" s="965"/>
      <c r="O615" s="965"/>
      <c r="P615" s="965"/>
      <c r="Q615" s="965"/>
      <c r="R615" s="965"/>
      <c r="S615" s="965"/>
      <c r="T615" s="965"/>
      <c r="U615" s="965"/>
      <c r="V615" s="965"/>
      <c r="W615" s="965"/>
      <c r="X615" s="965"/>
      <c r="Y615" s="965"/>
      <c r="Z615" s="965"/>
    </row>
    <row r="616">
      <c r="A616" s="965"/>
      <c r="B616" s="965"/>
      <c r="C616" s="965"/>
      <c r="D616" s="965"/>
      <c r="E616" s="965"/>
      <c r="F616" s="965"/>
      <c r="G616" s="965"/>
      <c r="H616" s="965"/>
      <c r="I616" s="965"/>
      <c r="J616" s="965"/>
      <c r="K616" s="965"/>
      <c r="L616" s="965"/>
      <c r="M616" s="965"/>
      <c r="N616" s="965"/>
      <c r="O616" s="965"/>
      <c r="P616" s="965"/>
      <c r="Q616" s="965"/>
      <c r="R616" s="965"/>
      <c r="S616" s="965"/>
      <c r="T616" s="965"/>
      <c r="U616" s="965"/>
      <c r="V616" s="965"/>
      <c r="W616" s="965"/>
      <c r="X616" s="965"/>
      <c r="Y616" s="965"/>
      <c r="Z616" s="965"/>
    </row>
    <row r="617">
      <c r="A617" s="965"/>
      <c r="B617" s="965"/>
      <c r="C617" s="965"/>
      <c r="D617" s="965"/>
      <c r="E617" s="965"/>
      <c r="F617" s="965"/>
      <c r="G617" s="965"/>
      <c r="H617" s="965"/>
      <c r="I617" s="965"/>
      <c r="J617" s="965"/>
      <c r="K617" s="965"/>
      <c r="L617" s="965"/>
      <c r="M617" s="965"/>
      <c r="N617" s="965"/>
      <c r="O617" s="965"/>
      <c r="P617" s="965"/>
      <c r="Q617" s="965"/>
      <c r="R617" s="965"/>
      <c r="S617" s="965"/>
      <c r="T617" s="965"/>
      <c r="U617" s="965"/>
      <c r="V617" s="965"/>
      <c r="W617" s="965"/>
      <c r="X617" s="965"/>
      <c r="Y617" s="965"/>
      <c r="Z617" s="965"/>
    </row>
    <row r="618">
      <c r="A618" s="965"/>
      <c r="B618" s="965"/>
      <c r="C618" s="965"/>
      <c r="D618" s="965"/>
      <c r="E618" s="965"/>
      <c r="F618" s="965"/>
      <c r="G618" s="965"/>
      <c r="H618" s="965"/>
      <c r="I618" s="965"/>
      <c r="J618" s="965"/>
      <c r="K618" s="965"/>
      <c r="L618" s="965"/>
      <c r="M618" s="965"/>
      <c r="N618" s="965"/>
      <c r="O618" s="965"/>
      <c r="P618" s="965"/>
      <c r="Q618" s="965"/>
      <c r="R618" s="965"/>
      <c r="S618" s="965"/>
      <c r="T618" s="965"/>
      <c r="U618" s="965"/>
      <c r="V618" s="965"/>
      <c r="W618" s="965"/>
      <c r="X618" s="965"/>
      <c r="Y618" s="965"/>
      <c r="Z618" s="965"/>
    </row>
    <row r="619">
      <c r="A619" s="965"/>
      <c r="B619" s="965"/>
      <c r="C619" s="965"/>
      <c r="D619" s="965"/>
      <c r="E619" s="965"/>
      <c r="F619" s="965"/>
      <c r="G619" s="965"/>
      <c r="H619" s="965"/>
      <c r="I619" s="965"/>
      <c r="J619" s="965"/>
      <c r="K619" s="965"/>
      <c r="L619" s="965"/>
      <c r="M619" s="965"/>
      <c r="N619" s="965"/>
      <c r="O619" s="965"/>
      <c r="P619" s="965"/>
      <c r="Q619" s="965"/>
      <c r="R619" s="965"/>
      <c r="S619" s="965"/>
      <c r="T619" s="965"/>
      <c r="U619" s="965"/>
      <c r="V619" s="965"/>
      <c r="W619" s="965"/>
      <c r="X619" s="965"/>
      <c r="Y619" s="965"/>
      <c r="Z619" s="965"/>
    </row>
    <row r="620">
      <c r="A620" s="965"/>
      <c r="B620" s="965"/>
      <c r="C620" s="965"/>
      <c r="D620" s="965"/>
      <c r="E620" s="965"/>
      <c r="F620" s="965"/>
      <c r="G620" s="965"/>
      <c r="H620" s="965"/>
      <c r="I620" s="965"/>
      <c r="J620" s="965"/>
      <c r="K620" s="965"/>
      <c r="L620" s="965"/>
      <c r="M620" s="965"/>
      <c r="N620" s="965"/>
      <c r="O620" s="965"/>
      <c r="P620" s="965"/>
      <c r="Q620" s="965"/>
      <c r="R620" s="965"/>
      <c r="S620" s="965"/>
      <c r="T620" s="965"/>
      <c r="U620" s="965"/>
      <c r="V620" s="965"/>
      <c r="W620" s="965"/>
      <c r="X620" s="965"/>
      <c r="Y620" s="965"/>
      <c r="Z620" s="965"/>
    </row>
    <row r="621">
      <c r="A621" s="965"/>
      <c r="B621" s="965"/>
      <c r="C621" s="965"/>
      <c r="D621" s="965"/>
      <c r="E621" s="965"/>
      <c r="F621" s="965"/>
      <c r="G621" s="965"/>
      <c r="H621" s="965"/>
      <c r="I621" s="965"/>
      <c r="J621" s="965"/>
      <c r="K621" s="965"/>
      <c r="L621" s="965"/>
      <c r="M621" s="965"/>
      <c r="N621" s="965"/>
      <c r="O621" s="965"/>
      <c r="P621" s="965"/>
      <c r="Q621" s="965"/>
      <c r="R621" s="965"/>
      <c r="S621" s="965"/>
      <c r="T621" s="965"/>
      <c r="U621" s="965"/>
      <c r="V621" s="965"/>
      <c r="W621" s="965"/>
      <c r="X621" s="965"/>
      <c r="Y621" s="965"/>
      <c r="Z621" s="965"/>
    </row>
    <row r="622">
      <c r="A622" s="965"/>
      <c r="B622" s="965"/>
      <c r="C622" s="965"/>
      <c r="D622" s="965"/>
      <c r="E622" s="965"/>
      <c r="F622" s="965"/>
      <c r="G622" s="965"/>
      <c r="H622" s="965"/>
      <c r="I622" s="965"/>
      <c r="J622" s="965"/>
      <c r="K622" s="965"/>
      <c r="L622" s="965"/>
      <c r="M622" s="965"/>
      <c r="N622" s="965"/>
      <c r="O622" s="965"/>
      <c r="P622" s="965"/>
      <c r="Q622" s="965"/>
      <c r="R622" s="965"/>
      <c r="S622" s="965"/>
      <c r="T622" s="965"/>
      <c r="U622" s="965"/>
      <c r="V622" s="965"/>
      <c r="W622" s="965"/>
      <c r="X622" s="965"/>
      <c r="Y622" s="965"/>
      <c r="Z622" s="965"/>
    </row>
    <row r="623">
      <c r="A623" s="965"/>
      <c r="B623" s="965"/>
      <c r="C623" s="965"/>
      <c r="D623" s="965"/>
      <c r="E623" s="965"/>
      <c r="F623" s="965"/>
      <c r="G623" s="965"/>
      <c r="H623" s="965"/>
      <c r="I623" s="965"/>
      <c r="J623" s="965"/>
      <c r="K623" s="965"/>
      <c r="L623" s="965"/>
      <c r="M623" s="965"/>
      <c r="N623" s="965"/>
      <c r="O623" s="965"/>
      <c r="P623" s="965"/>
      <c r="Q623" s="965"/>
      <c r="R623" s="965"/>
      <c r="S623" s="965"/>
      <c r="T623" s="965"/>
      <c r="U623" s="965"/>
      <c r="V623" s="965"/>
      <c r="W623" s="965"/>
      <c r="X623" s="965"/>
      <c r="Y623" s="965"/>
      <c r="Z623" s="965"/>
    </row>
    <row r="624">
      <c r="A624" s="965"/>
      <c r="B624" s="965"/>
      <c r="C624" s="965"/>
      <c r="D624" s="965"/>
      <c r="E624" s="965"/>
      <c r="F624" s="965"/>
      <c r="G624" s="965"/>
      <c r="H624" s="965"/>
      <c r="I624" s="965"/>
      <c r="J624" s="965"/>
      <c r="K624" s="965"/>
      <c r="L624" s="965"/>
      <c r="M624" s="965"/>
      <c r="N624" s="965"/>
      <c r="O624" s="965"/>
      <c r="P624" s="965"/>
      <c r="Q624" s="965"/>
      <c r="R624" s="965"/>
      <c r="S624" s="965"/>
      <c r="T624" s="965"/>
      <c r="U624" s="965"/>
      <c r="V624" s="965"/>
      <c r="W624" s="965"/>
      <c r="X624" s="965"/>
      <c r="Y624" s="965"/>
      <c r="Z624" s="965"/>
    </row>
    <row r="625">
      <c r="A625" s="965"/>
      <c r="B625" s="965"/>
      <c r="C625" s="965"/>
      <c r="D625" s="965"/>
      <c r="E625" s="965"/>
      <c r="F625" s="965"/>
      <c r="G625" s="965"/>
      <c r="H625" s="965"/>
      <c r="I625" s="965"/>
      <c r="J625" s="965"/>
      <c r="K625" s="965"/>
      <c r="L625" s="965"/>
      <c r="M625" s="965"/>
      <c r="N625" s="965"/>
      <c r="O625" s="965"/>
      <c r="P625" s="965"/>
      <c r="Q625" s="965"/>
      <c r="R625" s="965"/>
      <c r="S625" s="965"/>
      <c r="T625" s="965"/>
      <c r="U625" s="965"/>
      <c r="V625" s="965"/>
      <c r="W625" s="965"/>
      <c r="X625" s="965"/>
      <c r="Y625" s="965"/>
      <c r="Z625" s="965"/>
    </row>
    <row r="626">
      <c r="A626" s="965"/>
      <c r="B626" s="965"/>
      <c r="C626" s="965"/>
      <c r="D626" s="965"/>
      <c r="E626" s="965"/>
      <c r="F626" s="965"/>
      <c r="G626" s="965"/>
      <c r="H626" s="965"/>
      <c r="I626" s="965"/>
      <c r="J626" s="965"/>
      <c r="K626" s="965"/>
      <c r="L626" s="965"/>
      <c r="M626" s="965"/>
      <c r="N626" s="965"/>
      <c r="O626" s="965"/>
      <c r="P626" s="965"/>
      <c r="Q626" s="965"/>
      <c r="R626" s="965"/>
      <c r="S626" s="965"/>
      <c r="T626" s="965"/>
      <c r="U626" s="965"/>
      <c r="V626" s="965"/>
      <c r="W626" s="965"/>
      <c r="X626" s="965"/>
      <c r="Y626" s="965"/>
      <c r="Z626" s="965"/>
    </row>
    <row r="627">
      <c r="A627" s="965"/>
      <c r="B627" s="965"/>
      <c r="C627" s="965"/>
      <c r="D627" s="965"/>
      <c r="E627" s="965"/>
      <c r="F627" s="965"/>
      <c r="G627" s="965"/>
      <c r="H627" s="965"/>
      <c r="I627" s="965"/>
      <c r="J627" s="965"/>
      <c r="K627" s="965"/>
      <c r="L627" s="965"/>
      <c r="M627" s="965"/>
      <c r="N627" s="965"/>
      <c r="O627" s="965"/>
      <c r="P627" s="965"/>
      <c r="Q627" s="965"/>
      <c r="R627" s="965"/>
      <c r="S627" s="965"/>
      <c r="T627" s="965"/>
      <c r="U627" s="965"/>
      <c r="V627" s="965"/>
      <c r="W627" s="965"/>
      <c r="X627" s="965"/>
      <c r="Y627" s="965"/>
      <c r="Z627" s="965"/>
    </row>
    <row r="628">
      <c r="A628" s="965"/>
      <c r="B628" s="965"/>
      <c r="C628" s="965"/>
      <c r="D628" s="965"/>
      <c r="E628" s="965"/>
      <c r="F628" s="965"/>
      <c r="G628" s="965"/>
      <c r="H628" s="965"/>
      <c r="I628" s="965"/>
      <c r="J628" s="965"/>
      <c r="K628" s="965"/>
      <c r="L628" s="965"/>
      <c r="M628" s="965"/>
      <c r="N628" s="965"/>
      <c r="O628" s="965"/>
      <c r="P628" s="965"/>
      <c r="Q628" s="965"/>
      <c r="R628" s="965"/>
      <c r="S628" s="965"/>
      <c r="T628" s="965"/>
      <c r="U628" s="965"/>
      <c r="V628" s="965"/>
      <c r="W628" s="965"/>
      <c r="X628" s="965"/>
      <c r="Y628" s="965"/>
      <c r="Z628" s="965"/>
    </row>
    <row r="629">
      <c r="A629" s="965"/>
      <c r="B629" s="965"/>
      <c r="C629" s="965"/>
      <c r="D629" s="965"/>
      <c r="E629" s="965"/>
      <c r="F629" s="965"/>
      <c r="G629" s="965"/>
      <c r="H629" s="965"/>
      <c r="I629" s="965"/>
      <c r="J629" s="965"/>
      <c r="K629" s="965"/>
      <c r="L629" s="965"/>
      <c r="M629" s="965"/>
      <c r="N629" s="965"/>
      <c r="O629" s="965"/>
      <c r="P629" s="965"/>
      <c r="Q629" s="965"/>
      <c r="R629" s="965"/>
      <c r="S629" s="965"/>
      <c r="T629" s="965"/>
      <c r="U629" s="965"/>
      <c r="V629" s="965"/>
      <c r="W629" s="965"/>
      <c r="X629" s="965"/>
      <c r="Y629" s="965"/>
      <c r="Z629" s="965"/>
    </row>
    <row r="630">
      <c r="A630" s="965"/>
      <c r="B630" s="965"/>
      <c r="C630" s="965"/>
      <c r="D630" s="965"/>
      <c r="E630" s="965"/>
      <c r="F630" s="965"/>
      <c r="G630" s="965"/>
      <c r="H630" s="965"/>
      <c r="I630" s="965"/>
      <c r="J630" s="965"/>
      <c r="K630" s="965"/>
      <c r="L630" s="965"/>
      <c r="M630" s="965"/>
      <c r="N630" s="965"/>
      <c r="O630" s="965"/>
      <c r="P630" s="965"/>
      <c r="Q630" s="965"/>
      <c r="R630" s="965"/>
      <c r="S630" s="965"/>
      <c r="T630" s="965"/>
      <c r="U630" s="965"/>
      <c r="V630" s="965"/>
      <c r="W630" s="965"/>
      <c r="X630" s="965"/>
      <c r="Y630" s="965"/>
      <c r="Z630" s="965"/>
    </row>
    <row r="631">
      <c r="A631" s="965"/>
      <c r="B631" s="965"/>
      <c r="C631" s="965"/>
      <c r="D631" s="965"/>
      <c r="E631" s="965"/>
      <c r="F631" s="965"/>
      <c r="G631" s="965"/>
      <c r="H631" s="965"/>
      <c r="I631" s="965"/>
      <c r="J631" s="965"/>
      <c r="K631" s="965"/>
      <c r="L631" s="965"/>
      <c r="M631" s="965"/>
      <c r="N631" s="965"/>
      <c r="O631" s="965"/>
      <c r="P631" s="965"/>
      <c r="Q631" s="965"/>
      <c r="R631" s="965"/>
      <c r="S631" s="965"/>
      <c r="T631" s="965"/>
      <c r="U631" s="965"/>
      <c r="V631" s="965"/>
      <c r="W631" s="965"/>
      <c r="X631" s="965"/>
      <c r="Y631" s="965"/>
      <c r="Z631" s="965"/>
    </row>
    <row r="632">
      <c r="A632" s="965"/>
      <c r="B632" s="965"/>
      <c r="C632" s="965"/>
      <c r="D632" s="965"/>
      <c r="E632" s="965"/>
      <c r="F632" s="965"/>
      <c r="G632" s="965"/>
      <c r="H632" s="965"/>
      <c r="I632" s="965"/>
      <c r="J632" s="965"/>
      <c r="K632" s="965"/>
      <c r="L632" s="965"/>
      <c r="M632" s="965"/>
      <c r="N632" s="965"/>
      <c r="O632" s="965"/>
      <c r="P632" s="965"/>
      <c r="Q632" s="965"/>
      <c r="R632" s="965"/>
      <c r="S632" s="965"/>
      <c r="T632" s="965"/>
      <c r="U632" s="965"/>
      <c r="V632" s="965"/>
      <c r="W632" s="965"/>
      <c r="X632" s="965"/>
      <c r="Y632" s="965"/>
      <c r="Z632" s="965"/>
    </row>
    <row r="633">
      <c r="A633" s="965"/>
      <c r="B633" s="965"/>
      <c r="C633" s="965"/>
      <c r="D633" s="965"/>
      <c r="E633" s="965"/>
      <c r="F633" s="965"/>
      <c r="G633" s="965"/>
      <c r="H633" s="965"/>
      <c r="I633" s="965"/>
      <c r="J633" s="965"/>
      <c r="K633" s="965"/>
      <c r="L633" s="965"/>
      <c r="M633" s="965"/>
      <c r="N633" s="965"/>
      <c r="O633" s="965"/>
      <c r="P633" s="965"/>
      <c r="Q633" s="965"/>
      <c r="R633" s="965"/>
      <c r="S633" s="965"/>
      <c r="T633" s="965"/>
      <c r="U633" s="965"/>
      <c r="V633" s="965"/>
      <c r="W633" s="965"/>
      <c r="X633" s="965"/>
      <c r="Y633" s="965"/>
      <c r="Z633" s="965"/>
    </row>
    <row r="634">
      <c r="A634" s="965"/>
      <c r="B634" s="965"/>
      <c r="C634" s="965"/>
      <c r="D634" s="965"/>
      <c r="E634" s="965"/>
      <c r="F634" s="965"/>
      <c r="G634" s="965"/>
      <c r="H634" s="965"/>
      <c r="I634" s="965"/>
      <c r="J634" s="965"/>
      <c r="K634" s="965"/>
      <c r="L634" s="965"/>
      <c r="M634" s="965"/>
      <c r="N634" s="965"/>
      <c r="O634" s="965"/>
      <c r="P634" s="965"/>
      <c r="Q634" s="965"/>
      <c r="R634" s="965"/>
      <c r="S634" s="965"/>
      <c r="T634" s="965"/>
      <c r="U634" s="965"/>
      <c r="V634" s="965"/>
      <c r="W634" s="965"/>
      <c r="X634" s="965"/>
      <c r="Y634" s="965"/>
      <c r="Z634" s="965"/>
    </row>
    <row r="635">
      <c r="A635" s="965"/>
      <c r="B635" s="965"/>
      <c r="C635" s="965"/>
      <c r="D635" s="965"/>
      <c r="E635" s="965"/>
      <c r="F635" s="965"/>
      <c r="G635" s="965"/>
      <c r="H635" s="965"/>
      <c r="I635" s="965"/>
      <c r="J635" s="965"/>
      <c r="K635" s="965"/>
      <c r="L635" s="965"/>
      <c r="M635" s="965"/>
      <c r="N635" s="965"/>
      <c r="O635" s="965"/>
      <c r="P635" s="965"/>
      <c r="Q635" s="965"/>
      <c r="R635" s="965"/>
      <c r="S635" s="965"/>
      <c r="T635" s="965"/>
      <c r="U635" s="965"/>
      <c r="V635" s="965"/>
      <c r="W635" s="965"/>
      <c r="X635" s="965"/>
      <c r="Y635" s="965"/>
      <c r="Z635" s="965"/>
    </row>
    <row r="636">
      <c r="A636" s="965"/>
      <c r="B636" s="965"/>
      <c r="C636" s="965"/>
      <c r="D636" s="965"/>
      <c r="E636" s="965"/>
      <c r="F636" s="965"/>
      <c r="G636" s="965"/>
      <c r="H636" s="965"/>
      <c r="I636" s="965"/>
      <c r="J636" s="965"/>
      <c r="K636" s="965"/>
      <c r="L636" s="965"/>
      <c r="M636" s="965"/>
      <c r="N636" s="965"/>
      <c r="O636" s="965"/>
      <c r="P636" s="965"/>
      <c r="Q636" s="965"/>
      <c r="R636" s="965"/>
      <c r="S636" s="965"/>
      <c r="T636" s="965"/>
      <c r="U636" s="965"/>
      <c r="V636" s="965"/>
      <c r="W636" s="965"/>
      <c r="X636" s="965"/>
      <c r="Y636" s="965"/>
      <c r="Z636" s="965"/>
    </row>
    <row r="637">
      <c r="A637" s="965"/>
      <c r="B637" s="965"/>
      <c r="C637" s="965"/>
      <c r="D637" s="965"/>
      <c r="E637" s="965"/>
      <c r="F637" s="965"/>
      <c r="G637" s="965"/>
      <c r="H637" s="965"/>
      <c r="I637" s="965"/>
      <c r="J637" s="965"/>
      <c r="K637" s="965"/>
      <c r="L637" s="965"/>
      <c r="M637" s="965"/>
      <c r="N637" s="965"/>
      <c r="O637" s="965"/>
      <c r="P637" s="965"/>
      <c r="Q637" s="965"/>
      <c r="R637" s="965"/>
      <c r="S637" s="965"/>
      <c r="T637" s="965"/>
      <c r="U637" s="965"/>
      <c r="V637" s="965"/>
      <c r="W637" s="965"/>
      <c r="X637" s="965"/>
      <c r="Y637" s="965"/>
      <c r="Z637" s="965"/>
    </row>
    <row r="638">
      <c r="A638" s="965"/>
      <c r="B638" s="965"/>
      <c r="C638" s="965"/>
      <c r="D638" s="965"/>
      <c r="E638" s="965"/>
      <c r="F638" s="965"/>
      <c r="G638" s="965"/>
      <c r="H638" s="965"/>
      <c r="I638" s="965"/>
      <c r="J638" s="965"/>
      <c r="K638" s="965"/>
      <c r="L638" s="965"/>
      <c r="M638" s="965"/>
      <c r="N638" s="965"/>
      <c r="O638" s="965"/>
      <c r="P638" s="965"/>
      <c r="Q638" s="965"/>
      <c r="R638" s="965"/>
      <c r="S638" s="965"/>
      <c r="T638" s="965"/>
      <c r="U638" s="965"/>
      <c r="V638" s="965"/>
      <c r="W638" s="965"/>
      <c r="X638" s="965"/>
      <c r="Y638" s="965"/>
      <c r="Z638" s="965"/>
    </row>
    <row r="639">
      <c r="A639" s="965"/>
      <c r="B639" s="965"/>
      <c r="C639" s="965"/>
      <c r="D639" s="965"/>
      <c r="E639" s="965"/>
      <c r="F639" s="965"/>
      <c r="G639" s="965"/>
      <c r="H639" s="965"/>
      <c r="I639" s="965"/>
      <c r="J639" s="965"/>
      <c r="K639" s="965"/>
      <c r="L639" s="965"/>
      <c r="M639" s="965"/>
      <c r="N639" s="965"/>
      <c r="O639" s="965"/>
      <c r="P639" s="965"/>
      <c r="Q639" s="965"/>
      <c r="R639" s="965"/>
      <c r="S639" s="965"/>
      <c r="T639" s="965"/>
      <c r="U639" s="965"/>
      <c r="V639" s="965"/>
      <c r="W639" s="965"/>
      <c r="X639" s="965"/>
      <c r="Y639" s="965"/>
      <c r="Z639" s="965"/>
    </row>
    <row r="640">
      <c r="A640" s="965"/>
      <c r="B640" s="965"/>
      <c r="C640" s="965"/>
      <c r="D640" s="965"/>
      <c r="E640" s="965"/>
      <c r="F640" s="965"/>
      <c r="G640" s="965"/>
      <c r="H640" s="965"/>
      <c r="I640" s="965"/>
      <c r="J640" s="965"/>
      <c r="K640" s="965"/>
      <c r="L640" s="965"/>
      <c r="M640" s="965"/>
      <c r="N640" s="965"/>
      <c r="O640" s="965"/>
      <c r="P640" s="965"/>
      <c r="Q640" s="965"/>
      <c r="R640" s="965"/>
      <c r="S640" s="965"/>
      <c r="T640" s="965"/>
      <c r="U640" s="965"/>
      <c r="V640" s="965"/>
      <c r="W640" s="965"/>
      <c r="X640" s="965"/>
      <c r="Y640" s="965"/>
      <c r="Z640" s="965"/>
    </row>
    <row r="641">
      <c r="A641" s="965"/>
      <c r="B641" s="965"/>
      <c r="C641" s="965"/>
      <c r="D641" s="965"/>
      <c r="E641" s="965"/>
      <c r="F641" s="965"/>
      <c r="G641" s="965"/>
      <c r="H641" s="965"/>
      <c r="I641" s="965"/>
      <c r="J641" s="965"/>
      <c r="K641" s="965"/>
      <c r="L641" s="965"/>
      <c r="M641" s="965"/>
      <c r="N641" s="965"/>
      <c r="O641" s="965"/>
      <c r="P641" s="965"/>
      <c r="Q641" s="965"/>
      <c r="R641" s="965"/>
      <c r="S641" s="965"/>
      <c r="T641" s="965"/>
      <c r="U641" s="965"/>
      <c r="V641" s="965"/>
      <c r="W641" s="965"/>
      <c r="X641" s="965"/>
      <c r="Y641" s="965"/>
      <c r="Z641" s="965"/>
    </row>
    <row r="642">
      <c r="A642" s="965"/>
      <c r="B642" s="965"/>
      <c r="C642" s="965"/>
      <c r="D642" s="965"/>
      <c r="E642" s="965"/>
      <c r="F642" s="965"/>
      <c r="G642" s="965"/>
      <c r="H642" s="965"/>
      <c r="I642" s="965"/>
      <c r="J642" s="965"/>
      <c r="K642" s="965"/>
      <c r="L642" s="965"/>
      <c r="M642" s="965"/>
      <c r="N642" s="965"/>
      <c r="O642" s="965"/>
      <c r="P642" s="965"/>
      <c r="Q642" s="965"/>
      <c r="R642" s="965"/>
      <c r="S642" s="965"/>
      <c r="T642" s="965"/>
      <c r="U642" s="965"/>
      <c r="V642" s="965"/>
      <c r="W642" s="965"/>
      <c r="X642" s="965"/>
      <c r="Y642" s="965"/>
      <c r="Z642" s="965"/>
    </row>
    <row r="643">
      <c r="A643" s="965"/>
      <c r="B643" s="965"/>
      <c r="C643" s="965"/>
      <c r="D643" s="965"/>
      <c r="E643" s="965"/>
      <c r="F643" s="965"/>
      <c r="G643" s="965"/>
      <c r="H643" s="965"/>
      <c r="I643" s="965"/>
      <c r="J643" s="965"/>
      <c r="K643" s="965"/>
      <c r="L643" s="965"/>
      <c r="M643" s="965"/>
      <c r="N643" s="965"/>
      <c r="O643" s="965"/>
      <c r="P643" s="965"/>
      <c r="Q643" s="965"/>
      <c r="R643" s="965"/>
      <c r="S643" s="965"/>
      <c r="T643" s="965"/>
      <c r="U643" s="965"/>
      <c r="V643" s="965"/>
      <c r="W643" s="965"/>
      <c r="X643" s="965"/>
      <c r="Y643" s="965"/>
      <c r="Z643" s="965"/>
    </row>
    <row r="644">
      <c r="A644" s="965"/>
      <c r="B644" s="965"/>
      <c r="C644" s="965"/>
      <c r="D644" s="965"/>
      <c r="E644" s="965"/>
      <c r="F644" s="965"/>
      <c r="G644" s="965"/>
      <c r="H644" s="965"/>
      <c r="I644" s="965"/>
      <c r="J644" s="965"/>
      <c r="K644" s="965"/>
      <c r="L644" s="965"/>
      <c r="M644" s="965"/>
      <c r="N644" s="965"/>
      <c r="O644" s="965"/>
      <c r="P644" s="965"/>
      <c r="Q644" s="965"/>
      <c r="R644" s="965"/>
      <c r="S644" s="965"/>
      <c r="T644" s="965"/>
      <c r="U644" s="965"/>
      <c r="V644" s="965"/>
      <c r="W644" s="965"/>
      <c r="X644" s="965"/>
      <c r="Y644" s="965"/>
      <c r="Z644" s="965"/>
    </row>
    <row r="645">
      <c r="A645" s="965"/>
      <c r="B645" s="965"/>
      <c r="C645" s="965"/>
      <c r="D645" s="965"/>
      <c r="E645" s="965"/>
      <c r="F645" s="965"/>
      <c r="G645" s="965"/>
      <c r="H645" s="965"/>
      <c r="I645" s="965"/>
      <c r="J645" s="965"/>
      <c r="K645" s="965"/>
      <c r="L645" s="965"/>
      <c r="M645" s="965"/>
      <c r="N645" s="965"/>
      <c r="O645" s="965"/>
      <c r="P645" s="965"/>
      <c r="Q645" s="965"/>
      <c r="R645" s="965"/>
      <c r="S645" s="965"/>
      <c r="T645" s="965"/>
      <c r="U645" s="965"/>
      <c r="V645" s="965"/>
      <c r="W645" s="965"/>
      <c r="X645" s="965"/>
      <c r="Y645" s="965"/>
      <c r="Z645" s="965"/>
    </row>
    <row r="646">
      <c r="A646" s="965"/>
      <c r="B646" s="965"/>
      <c r="C646" s="965"/>
      <c r="D646" s="965"/>
      <c r="E646" s="965"/>
      <c r="F646" s="965"/>
      <c r="G646" s="965"/>
      <c r="H646" s="965"/>
      <c r="I646" s="965"/>
      <c r="J646" s="965"/>
      <c r="K646" s="965"/>
      <c r="L646" s="965"/>
      <c r="M646" s="965"/>
      <c r="N646" s="965"/>
      <c r="O646" s="965"/>
      <c r="P646" s="965"/>
      <c r="Q646" s="965"/>
      <c r="R646" s="965"/>
      <c r="S646" s="965"/>
      <c r="T646" s="965"/>
      <c r="U646" s="965"/>
      <c r="V646" s="965"/>
      <c r="W646" s="965"/>
      <c r="X646" s="965"/>
      <c r="Y646" s="965"/>
      <c r="Z646" s="965"/>
    </row>
    <row r="647">
      <c r="A647" s="965"/>
      <c r="B647" s="965"/>
      <c r="C647" s="965"/>
      <c r="D647" s="965"/>
      <c r="E647" s="965"/>
      <c r="F647" s="965"/>
      <c r="G647" s="965"/>
      <c r="H647" s="965"/>
      <c r="I647" s="965"/>
      <c r="J647" s="965"/>
      <c r="K647" s="965"/>
      <c r="L647" s="965"/>
      <c r="M647" s="965"/>
      <c r="N647" s="965"/>
      <c r="O647" s="965"/>
      <c r="P647" s="965"/>
      <c r="Q647" s="965"/>
      <c r="R647" s="965"/>
      <c r="S647" s="965"/>
      <c r="T647" s="965"/>
      <c r="U647" s="965"/>
      <c r="V647" s="965"/>
      <c r="W647" s="965"/>
      <c r="X647" s="965"/>
      <c r="Y647" s="965"/>
      <c r="Z647" s="965"/>
    </row>
    <row r="648">
      <c r="A648" s="965"/>
      <c r="B648" s="965"/>
      <c r="C648" s="965"/>
      <c r="D648" s="965"/>
      <c r="E648" s="965"/>
      <c r="F648" s="965"/>
      <c r="G648" s="965"/>
      <c r="H648" s="965"/>
      <c r="I648" s="965"/>
      <c r="J648" s="965"/>
      <c r="K648" s="965"/>
      <c r="L648" s="965"/>
      <c r="M648" s="965"/>
      <c r="N648" s="965"/>
      <c r="O648" s="965"/>
      <c r="P648" s="965"/>
      <c r="Q648" s="965"/>
      <c r="R648" s="965"/>
      <c r="S648" s="965"/>
      <c r="T648" s="965"/>
      <c r="U648" s="965"/>
      <c r="V648" s="965"/>
      <c r="W648" s="965"/>
      <c r="X648" s="965"/>
      <c r="Y648" s="965"/>
      <c r="Z648" s="965"/>
    </row>
    <row r="649">
      <c r="A649" s="965"/>
      <c r="B649" s="965"/>
      <c r="C649" s="965"/>
      <c r="D649" s="965"/>
      <c r="E649" s="965"/>
      <c r="F649" s="965"/>
      <c r="G649" s="965"/>
      <c r="H649" s="965"/>
      <c r="I649" s="965"/>
      <c r="J649" s="965"/>
      <c r="K649" s="965"/>
      <c r="L649" s="965"/>
      <c r="M649" s="965"/>
      <c r="N649" s="965"/>
      <c r="O649" s="965"/>
      <c r="P649" s="965"/>
      <c r="Q649" s="965"/>
      <c r="R649" s="965"/>
      <c r="S649" s="965"/>
      <c r="T649" s="965"/>
      <c r="U649" s="965"/>
      <c r="V649" s="965"/>
      <c r="W649" s="965"/>
      <c r="X649" s="965"/>
      <c r="Y649" s="965"/>
      <c r="Z649" s="965"/>
    </row>
    <row r="650">
      <c r="A650" s="965"/>
      <c r="B650" s="965"/>
      <c r="C650" s="965"/>
      <c r="D650" s="965"/>
      <c r="E650" s="965"/>
      <c r="F650" s="965"/>
      <c r="G650" s="965"/>
      <c r="H650" s="965"/>
      <c r="I650" s="965"/>
      <c r="J650" s="965"/>
      <c r="K650" s="965"/>
      <c r="L650" s="965"/>
      <c r="M650" s="965"/>
      <c r="N650" s="965"/>
      <c r="O650" s="965"/>
      <c r="P650" s="965"/>
      <c r="Q650" s="965"/>
      <c r="R650" s="965"/>
      <c r="S650" s="965"/>
      <c r="T650" s="965"/>
      <c r="U650" s="965"/>
      <c r="V650" s="965"/>
      <c r="W650" s="965"/>
      <c r="X650" s="965"/>
      <c r="Y650" s="965"/>
      <c r="Z650" s="965"/>
    </row>
    <row r="651">
      <c r="A651" s="965"/>
      <c r="B651" s="965"/>
      <c r="C651" s="965"/>
      <c r="D651" s="965"/>
      <c r="E651" s="965"/>
      <c r="F651" s="965"/>
      <c r="G651" s="965"/>
      <c r="H651" s="965"/>
      <c r="I651" s="965"/>
      <c r="J651" s="965"/>
      <c r="K651" s="965"/>
      <c r="L651" s="965"/>
      <c r="M651" s="965"/>
      <c r="N651" s="965"/>
      <c r="O651" s="965"/>
      <c r="P651" s="965"/>
      <c r="Q651" s="965"/>
      <c r="R651" s="965"/>
      <c r="S651" s="965"/>
      <c r="T651" s="965"/>
      <c r="U651" s="965"/>
      <c r="V651" s="965"/>
      <c r="W651" s="965"/>
      <c r="X651" s="965"/>
      <c r="Y651" s="965"/>
      <c r="Z651" s="965"/>
    </row>
    <row r="652">
      <c r="A652" s="965"/>
      <c r="B652" s="965"/>
      <c r="C652" s="965"/>
      <c r="D652" s="965"/>
      <c r="E652" s="965"/>
      <c r="F652" s="965"/>
      <c r="G652" s="965"/>
      <c r="H652" s="965"/>
      <c r="I652" s="965"/>
      <c r="J652" s="965"/>
      <c r="K652" s="965"/>
      <c r="L652" s="965"/>
      <c r="M652" s="965"/>
      <c r="N652" s="965"/>
      <c r="O652" s="965"/>
      <c r="P652" s="965"/>
      <c r="Q652" s="965"/>
      <c r="R652" s="965"/>
      <c r="S652" s="965"/>
      <c r="T652" s="965"/>
      <c r="U652" s="965"/>
      <c r="V652" s="965"/>
      <c r="W652" s="965"/>
      <c r="X652" s="965"/>
      <c r="Y652" s="965"/>
      <c r="Z652" s="965"/>
    </row>
    <row r="653">
      <c r="A653" s="965"/>
      <c r="B653" s="965"/>
      <c r="C653" s="965"/>
      <c r="D653" s="965"/>
      <c r="E653" s="965"/>
      <c r="F653" s="965"/>
      <c r="G653" s="965"/>
      <c r="H653" s="965"/>
      <c r="I653" s="965"/>
      <c r="J653" s="965"/>
      <c r="K653" s="965"/>
      <c r="L653" s="965"/>
      <c r="M653" s="965"/>
      <c r="N653" s="965"/>
      <c r="O653" s="965"/>
      <c r="P653" s="965"/>
      <c r="Q653" s="965"/>
      <c r="R653" s="965"/>
      <c r="S653" s="965"/>
      <c r="T653" s="965"/>
      <c r="U653" s="965"/>
      <c r="V653" s="965"/>
      <c r="W653" s="965"/>
      <c r="X653" s="965"/>
      <c r="Y653" s="965"/>
      <c r="Z653" s="965"/>
    </row>
    <row r="654">
      <c r="A654" s="965"/>
      <c r="B654" s="965"/>
      <c r="C654" s="965"/>
      <c r="D654" s="965"/>
      <c r="E654" s="965"/>
      <c r="F654" s="965"/>
      <c r="G654" s="965"/>
      <c r="H654" s="965"/>
      <c r="I654" s="965"/>
      <c r="J654" s="965"/>
      <c r="K654" s="965"/>
      <c r="L654" s="965"/>
      <c r="M654" s="965"/>
      <c r="N654" s="965"/>
      <c r="O654" s="965"/>
      <c r="P654" s="965"/>
      <c r="Q654" s="965"/>
      <c r="R654" s="965"/>
      <c r="S654" s="965"/>
      <c r="T654" s="965"/>
      <c r="U654" s="965"/>
      <c r="V654" s="965"/>
      <c r="W654" s="965"/>
      <c r="X654" s="965"/>
      <c r="Y654" s="965"/>
      <c r="Z654" s="965"/>
    </row>
    <row r="655">
      <c r="A655" s="965"/>
      <c r="B655" s="965"/>
      <c r="C655" s="965"/>
      <c r="D655" s="965"/>
      <c r="E655" s="965"/>
      <c r="F655" s="965"/>
      <c r="G655" s="965"/>
      <c r="H655" s="965"/>
      <c r="I655" s="965"/>
      <c r="J655" s="965"/>
      <c r="K655" s="965"/>
      <c r="L655" s="965"/>
      <c r="M655" s="965"/>
      <c r="N655" s="965"/>
      <c r="O655" s="965"/>
      <c r="P655" s="965"/>
      <c r="Q655" s="965"/>
      <c r="R655" s="965"/>
      <c r="S655" s="965"/>
      <c r="T655" s="965"/>
      <c r="U655" s="965"/>
      <c r="V655" s="965"/>
      <c r="W655" s="965"/>
      <c r="X655" s="965"/>
      <c r="Y655" s="965"/>
      <c r="Z655" s="965"/>
    </row>
    <row r="656">
      <c r="A656" s="965"/>
      <c r="B656" s="965"/>
      <c r="C656" s="965"/>
      <c r="D656" s="965"/>
      <c r="E656" s="965"/>
      <c r="F656" s="965"/>
      <c r="G656" s="965"/>
      <c r="H656" s="965"/>
      <c r="I656" s="965"/>
      <c r="J656" s="965"/>
      <c r="K656" s="965"/>
      <c r="L656" s="965"/>
      <c r="M656" s="965"/>
      <c r="N656" s="965"/>
      <c r="O656" s="965"/>
      <c r="P656" s="965"/>
      <c r="Q656" s="965"/>
      <c r="R656" s="965"/>
      <c r="S656" s="965"/>
      <c r="T656" s="965"/>
      <c r="U656" s="965"/>
      <c r="V656" s="965"/>
      <c r="W656" s="965"/>
      <c r="X656" s="965"/>
      <c r="Y656" s="965"/>
      <c r="Z656" s="965"/>
    </row>
    <row r="657">
      <c r="A657" s="965"/>
      <c r="B657" s="965"/>
      <c r="C657" s="965"/>
      <c r="D657" s="965"/>
      <c r="E657" s="965"/>
      <c r="F657" s="965"/>
      <c r="G657" s="965"/>
      <c r="H657" s="965"/>
      <c r="I657" s="965"/>
      <c r="J657" s="965"/>
      <c r="K657" s="965"/>
      <c r="L657" s="965"/>
      <c r="M657" s="965"/>
      <c r="N657" s="965"/>
      <c r="O657" s="965"/>
      <c r="P657" s="965"/>
      <c r="Q657" s="965"/>
      <c r="R657" s="965"/>
      <c r="S657" s="965"/>
      <c r="T657" s="965"/>
      <c r="U657" s="965"/>
      <c r="V657" s="965"/>
      <c r="W657" s="965"/>
      <c r="X657" s="965"/>
      <c r="Y657" s="965"/>
      <c r="Z657" s="965"/>
    </row>
    <row r="658">
      <c r="A658" s="965"/>
      <c r="B658" s="965"/>
      <c r="C658" s="965"/>
      <c r="D658" s="965"/>
      <c r="E658" s="965"/>
      <c r="F658" s="965"/>
      <c r="G658" s="965"/>
      <c r="H658" s="965"/>
      <c r="I658" s="965"/>
      <c r="J658" s="965"/>
      <c r="K658" s="965"/>
      <c r="L658" s="965"/>
      <c r="M658" s="965"/>
      <c r="N658" s="965"/>
      <c r="O658" s="965"/>
      <c r="P658" s="965"/>
      <c r="Q658" s="965"/>
      <c r="R658" s="965"/>
      <c r="S658" s="965"/>
      <c r="T658" s="965"/>
      <c r="U658" s="965"/>
      <c r="V658" s="965"/>
      <c r="W658" s="965"/>
      <c r="X658" s="965"/>
      <c r="Y658" s="965"/>
      <c r="Z658" s="965"/>
    </row>
    <row r="659">
      <c r="A659" s="965"/>
      <c r="B659" s="965"/>
      <c r="C659" s="965"/>
      <c r="D659" s="965"/>
      <c r="E659" s="965"/>
      <c r="F659" s="965"/>
      <c r="G659" s="965"/>
      <c r="H659" s="965"/>
      <c r="I659" s="965"/>
      <c r="J659" s="965"/>
      <c r="K659" s="965"/>
      <c r="L659" s="965"/>
      <c r="M659" s="965"/>
      <c r="N659" s="965"/>
      <c r="O659" s="965"/>
      <c r="P659" s="965"/>
      <c r="Q659" s="965"/>
      <c r="R659" s="965"/>
      <c r="S659" s="965"/>
      <c r="T659" s="965"/>
      <c r="U659" s="965"/>
      <c r="V659" s="965"/>
      <c r="W659" s="965"/>
      <c r="X659" s="965"/>
      <c r="Y659" s="965"/>
      <c r="Z659" s="965"/>
    </row>
    <row r="660">
      <c r="A660" s="965"/>
      <c r="B660" s="965"/>
      <c r="C660" s="965"/>
      <c r="D660" s="965"/>
      <c r="E660" s="965"/>
      <c r="F660" s="965"/>
      <c r="G660" s="965"/>
      <c r="H660" s="965"/>
      <c r="I660" s="965"/>
      <c r="J660" s="965"/>
      <c r="K660" s="965"/>
      <c r="L660" s="965"/>
      <c r="M660" s="965"/>
      <c r="N660" s="965"/>
      <c r="O660" s="965"/>
      <c r="P660" s="965"/>
      <c r="Q660" s="965"/>
      <c r="R660" s="965"/>
      <c r="S660" s="965"/>
      <c r="T660" s="965"/>
      <c r="U660" s="965"/>
      <c r="V660" s="965"/>
      <c r="W660" s="965"/>
      <c r="X660" s="965"/>
      <c r="Y660" s="965"/>
      <c r="Z660" s="965"/>
    </row>
    <row r="661">
      <c r="A661" s="965"/>
      <c r="B661" s="965"/>
      <c r="C661" s="965"/>
      <c r="D661" s="965"/>
      <c r="E661" s="965"/>
      <c r="F661" s="965"/>
      <c r="G661" s="965"/>
      <c r="H661" s="965"/>
      <c r="I661" s="965"/>
      <c r="J661" s="965"/>
      <c r="K661" s="965"/>
      <c r="L661" s="965"/>
      <c r="M661" s="965"/>
      <c r="N661" s="965"/>
      <c r="O661" s="965"/>
      <c r="P661" s="965"/>
      <c r="Q661" s="965"/>
      <c r="R661" s="965"/>
      <c r="S661" s="965"/>
      <c r="T661" s="965"/>
      <c r="U661" s="965"/>
      <c r="V661" s="965"/>
      <c r="W661" s="965"/>
      <c r="X661" s="965"/>
      <c r="Y661" s="965"/>
      <c r="Z661" s="965"/>
    </row>
    <row r="662">
      <c r="A662" s="965"/>
      <c r="B662" s="965"/>
      <c r="C662" s="965"/>
      <c r="D662" s="965"/>
      <c r="E662" s="965"/>
      <c r="F662" s="965"/>
      <c r="G662" s="965"/>
      <c r="H662" s="965"/>
      <c r="I662" s="965"/>
      <c r="J662" s="965"/>
      <c r="K662" s="965"/>
      <c r="L662" s="965"/>
      <c r="M662" s="965"/>
      <c r="N662" s="965"/>
      <c r="O662" s="965"/>
      <c r="P662" s="965"/>
      <c r="Q662" s="965"/>
      <c r="R662" s="965"/>
      <c r="S662" s="965"/>
      <c r="T662" s="965"/>
      <c r="U662" s="965"/>
      <c r="V662" s="965"/>
      <c r="W662" s="965"/>
      <c r="X662" s="965"/>
      <c r="Y662" s="965"/>
      <c r="Z662" s="965"/>
    </row>
    <row r="663">
      <c r="A663" s="965"/>
      <c r="B663" s="965"/>
      <c r="C663" s="965"/>
      <c r="D663" s="965"/>
      <c r="E663" s="965"/>
      <c r="F663" s="965"/>
      <c r="G663" s="965"/>
      <c r="H663" s="965"/>
      <c r="I663" s="965"/>
      <c r="J663" s="965"/>
      <c r="K663" s="965"/>
      <c r="L663" s="965"/>
      <c r="M663" s="965"/>
      <c r="N663" s="965"/>
      <c r="O663" s="965"/>
      <c r="P663" s="965"/>
      <c r="Q663" s="965"/>
      <c r="R663" s="965"/>
      <c r="S663" s="965"/>
      <c r="T663" s="965"/>
      <c r="U663" s="965"/>
      <c r="V663" s="965"/>
      <c r="W663" s="965"/>
      <c r="X663" s="965"/>
      <c r="Y663" s="965"/>
      <c r="Z663" s="965"/>
    </row>
    <row r="664">
      <c r="A664" s="965"/>
      <c r="B664" s="965"/>
      <c r="C664" s="965"/>
      <c r="D664" s="965"/>
      <c r="E664" s="965"/>
      <c r="F664" s="965"/>
      <c r="G664" s="965"/>
      <c r="H664" s="965"/>
      <c r="I664" s="965"/>
      <c r="J664" s="965"/>
      <c r="K664" s="965"/>
      <c r="L664" s="965"/>
      <c r="M664" s="965"/>
      <c r="N664" s="965"/>
      <c r="O664" s="965"/>
      <c r="P664" s="965"/>
      <c r="Q664" s="965"/>
      <c r="R664" s="965"/>
      <c r="S664" s="965"/>
      <c r="T664" s="965"/>
      <c r="U664" s="965"/>
      <c r="V664" s="965"/>
      <c r="W664" s="965"/>
      <c r="X664" s="965"/>
      <c r="Y664" s="965"/>
      <c r="Z664" s="965"/>
    </row>
    <row r="665">
      <c r="A665" s="965"/>
      <c r="B665" s="965"/>
      <c r="C665" s="965"/>
      <c r="D665" s="965"/>
      <c r="E665" s="965"/>
      <c r="F665" s="965"/>
      <c r="G665" s="965"/>
      <c r="H665" s="965"/>
      <c r="I665" s="965"/>
      <c r="J665" s="965"/>
      <c r="K665" s="965"/>
      <c r="L665" s="965"/>
      <c r="M665" s="965"/>
      <c r="N665" s="965"/>
      <c r="O665" s="965"/>
      <c r="P665" s="965"/>
      <c r="Q665" s="965"/>
      <c r="R665" s="965"/>
      <c r="S665" s="965"/>
      <c r="T665" s="965"/>
      <c r="U665" s="965"/>
      <c r="V665" s="965"/>
      <c r="W665" s="965"/>
      <c r="X665" s="965"/>
      <c r="Y665" s="965"/>
      <c r="Z665" s="965"/>
    </row>
    <row r="666">
      <c r="A666" s="965"/>
      <c r="B666" s="965"/>
      <c r="C666" s="965"/>
      <c r="D666" s="965"/>
      <c r="E666" s="965"/>
      <c r="F666" s="965"/>
      <c r="G666" s="965"/>
      <c r="H666" s="965"/>
      <c r="I666" s="965"/>
      <c r="J666" s="965"/>
      <c r="K666" s="965"/>
      <c r="L666" s="965"/>
      <c r="M666" s="965"/>
      <c r="N666" s="965"/>
      <c r="O666" s="965"/>
      <c r="P666" s="965"/>
      <c r="Q666" s="965"/>
      <c r="R666" s="965"/>
      <c r="S666" s="965"/>
      <c r="T666" s="965"/>
      <c r="U666" s="965"/>
      <c r="V666" s="965"/>
      <c r="W666" s="965"/>
      <c r="X666" s="965"/>
      <c r="Y666" s="965"/>
      <c r="Z666" s="965"/>
    </row>
    <row r="667">
      <c r="A667" s="965"/>
      <c r="B667" s="965"/>
      <c r="C667" s="965"/>
      <c r="D667" s="965"/>
      <c r="E667" s="965"/>
      <c r="F667" s="965"/>
      <c r="G667" s="965"/>
      <c r="H667" s="965"/>
      <c r="I667" s="965"/>
      <c r="J667" s="965"/>
      <c r="K667" s="965"/>
      <c r="L667" s="965"/>
      <c r="M667" s="965"/>
      <c r="N667" s="965"/>
      <c r="O667" s="965"/>
      <c r="P667" s="965"/>
      <c r="Q667" s="965"/>
      <c r="R667" s="965"/>
      <c r="S667" s="965"/>
      <c r="T667" s="965"/>
      <c r="U667" s="965"/>
      <c r="V667" s="965"/>
      <c r="W667" s="965"/>
      <c r="X667" s="965"/>
      <c r="Y667" s="965"/>
      <c r="Z667" s="965"/>
    </row>
    <row r="668">
      <c r="A668" s="965"/>
      <c r="B668" s="965"/>
      <c r="C668" s="965"/>
      <c r="D668" s="965"/>
      <c r="E668" s="965"/>
      <c r="F668" s="965"/>
      <c r="G668" s="965"/>
      <c r="H668" s="965"/>
      <c r="I668" s="965"/>
      <c r="J668" s="965"/>
      <c r="K668" s="965"/>
      <c r="L668" s="965"/>
      <c r="M668" s="965"/>
      <c r="N668" s="965"/>
      <c r="O668" s="965"/>
      <c r="P668" s="965"/>
      <c r="Q668" s="965"/>
      <c r="R668" s="965"/>
      <c r="S668" s="965"/>
      <c r="T668" s="965"/>
      <c r="U668" s="965"/>
      <c r="V668" s="965"/>
      <c r="W668" s="965"/>
      <c r="X668" s="965"/>
      <c r="Y668" s="965"/>
      <c r="Z668" s="965"/>
    </row>
    <row r="669">
      <c r="A669" s="965"/>
      <c r="B669" s="965"/>
      <c r="C669" s="965"/>
      <c r="D669" s="965"/>
      <c r="E669" s="965"/>
      <c r="F669" s="965"/>
      <c r="G669" s="965"/>
      <c r="H669" s="965"/>
      <c r="I669" s="965"/>
      <c r="J669" s="965"/>
      <c r="K669" s="965"/>
      <c r="L669" s="965"/>
      <c r="M669" s="965"/>
      <c r="N669" s="965"/>
      <c r="O669" s="965"/>
      <c r="P669" s="965"/>
      <c r="Q669" s="965"/>
      <c r="R669" s="965"/>
      <c r="S669" s="965"/>
      <c r="T669" s="965"/>
      <c r="U669" s="965"/>
      <c r="V669" s="965"/>
      <c r="W669" s="965"/>
      <c r="X669" s="965"/>
      <c r="Y669" s="965"/>
      <c r="Z669" s="965"/>
    </row>
    <row r="670">
      <c r="A670" s="965"/>
      <c r="B670" s="965"/>
      <c r="C670" s="965"/>
      <c r="D670" s="965"/>
      <c r="E670" s="965"/>
      <c r="F670" s="965"/>
      <c r="G670" s="965"/>
      <c r="H670" s="965"/>
      <c r="I670" s="965"/>
      <c r="J670" s="965"/>
      <c r="K670" s="965"/>
      <c r="L670" s="965"/>
      <c r="M670" s="965"/>
      <c r="N670" s="965"/>
      <c r="O670" s="965"/>
      <c r="P670" s="965"/>
      <c r="Q670" s="965"/>
      <c r="R670" s="965"/>
      <c r="S670" s="965"/>
      <c r="T670" s="965"/>
      <c r="U670" s="965"/>
      <c r="V670" s="965"/>
      <c r="W670" s="965"/>
      <c r="X670" s="965"/>
      <c r="Y670" s="965"/>
      <c r="Z670" s="965"/>
    </row>
    <row r="671">
      <c r="A671" s="965"/>
      <c r="B671" s="965"/>
      <c r="C671" s="965"/>
      <c r="D671" s="965"/>
      <c r="E671" s="965"/>
      <c r="F671" s="965"/>
      <c r="G671" s="965"/>
      <c r="H671" s="965"/>
      <c r="I671" s="965"/>
      <c r="J671" s="965"/>
      <c r="K671" s="965"/>
      <c r="L671" s="965"/>
      <c r="M671" s="965"/>
      <c r="N671" s="965"/>
      <c r="O671" s="965"/>
      <c r="P671" s="965"/>
      <c r="Q671" s="965"/>
      <c r="R671" s="965"/>
      <c r="S671" s="965"/>
      <c r="T671" s="965"/>
      <c r="U671" s="965"/>
      <c r="V671" s="965"/>
      <c r="W671" s="965"/>
      <c r="X671" s="965"/>
      <c r="Y671" s="965"/>
      <c r="Z671" s="965"/>
    </row>
    <row r="672">
      <c r="A672" s="965"/>
      <c r="B672" s="965"/>
      <c r="C672" s="965"/>
      <c r="D672" s="965"/>
      <c r="E672" s="965"/>
      <c r="F672" s="965"/>
      <c r="G672" s="965"/>
      <c r="H672" s="965"/>
      <c r="I672" s="965"/>
      <c r="J672" s="965"/>
      <c r="K672" s="965"/>
      <c r="L672" s="965"/>
      <c r="M672" s="965"/>
      <c r="N672" s="965"/>
      <c r="O672" s="965"/>
      <c r="P672" s="965"/>
      <c r="Q672" s="965"/>
      <c r="R672" s="965"/>
      <c r="S672" s="965"/>
      <c r="T672" s="965"/>
      <c r="U672" s="965"/>
      <c r="V672" s="965"/>
      <c r="W672" s="965"/>
      <c r="X672" s="965"/>
      <c r="Y672" s="965"/>
      <c r="Z672" s="965"/>
    </row>
    <row r="673">
      <c r="A673" s="965"/>
      <c r="B673" s="965"/>
      <c r="C673" s="965"/>
      <c r="D673" s="965"/>
      <c r="E673" s="965"/>
      <c r="F673" s="965"/>
      <c r="G673" s="965"/>
      <c r="H673" s="965"/>
      <c r="I673" s="965"/>
      <c r="J673" s="965"/>
      <c r="K673" s="965"/>
      <c r="L673" s="965"/>
      <c r="M673" s="965"/>
      <c r="N673" s="965"/>
      <c r="O673" s="965"/>
      <c r="P673" s="965"/>
      <c r="Q673" s="965"/>
      <c r="R673" s="965"/>
      <c r="S673" s="965"/>
      <c r="T673" s="965"/>
      <c r="U673" s="965"/>
      <c r="V673" s="965"/>
      <c r="W673" s="965"/>
      <c r="X673" s="965"/>
      <c r="Y673" s="965"/>
      <c r="Z673" s="965"/>
    </row>
    <row r="674">
      <c r="A674" s="965"/>
      <c r="B674" s="965"/>
      <c r="C674" s="965"/>
      <c r="D674" s="965"/>
      <c r="E674" s="965"/>
      <c r="F674" s="965"/>
      <c r="G674" s="965"/>
      <c r="H674" s="965"/>
      <c r="I674" s="965"/>
      <c r="J674" s="965"/>
      <c r="K674" s="965"/>
      <c r="L674" s="965"/>
      <c r="M674" s="965"/>
      <c r="N674" s="965"/>
      <c r="O674" s="965"/>
      <c r="P674" s="965"/>
      <c r="Q674" s="965"/>
      <c r="R674" s="965"/>
      <c r="S674" s="965"/>
      <c r="T674" s="965"/>
      <c r="U674" s="965"/>
      <c r="V674" s="965"/>
      <c r="W674" s="965"/>
      <c r="X674" s="965"/>
      <c r="Y674" s="965"/>
      <c r="Z674" s="965"/>
    </row>
    <row r="675">
      <c r="A675" s="965"/>
      <c r="B675" s="965"/>
      <c r="C675" s="965"/>
      <c r="D675" s="965"/>
      <c r="E675" s="965"/>
      <c r="F675" s="965"/>
      <c r="G675" s="965"/>
      <c r="H675" s="965"/>
      <c r="I675" s="965"/>
      <c r="J675" s="965"/>
      <c r="K675" s="965"/>
      <c r="L675" s="965"/>
      <c r="M675" s="965"/>
      <c r="N675" s="965"/>
      <c r="O675" s="965"/>
      <c r="P675" s="965"/>
      <c r="Q675" s="965"/>
      <c r="R675" s="965"/>
      <c r="S675" s="965"/>
      <c r="T675" s="965"/>
      <c r="U675" s="965"/>
      <c r="V675" s="965"/>
      <c r="W675" s="965"/>
      <c r="X675" s="965"/>
      <c r="Y675" s="965"/>
      <c r="Z675" s="965"/>
    </row>
    <row r="676">
      <c r="A676" s="965"/>
      <c r="B676" s="965"/>
      <c r="C676" s="965"/>
      <c r="D676" s="965"/>
      <c r="E676" s="965"/>
      <c r="F676" s="965"/>
      <c r="G676" s="965"/>
      <c r="H676" s="965"/>
      <c r="I676" s="965"/>
      <c r="J676" s="965"/>
      <c r="K676" s="965"/>
      <c r="L676" s="965"/>
      <c r="M676" s="965"/>
      <c r="N676" s="965"/>
      <c r="O676" s="965"/>
      <c r="P676" s="965"/>
      <c r="Q676" s="965"/>
      <c r="R676" s="965"/>
      <c r="S676" s="965"/>
      <c r="T676" s="965"/>
      <c r="U676" s="965"/>
      <c r="V676" s="965"/>
      <c r="W676" s="965"/>
      <c r="X676" s="965"/>
      <c r="Y676" s="965"/>
      <c r="Z676" s="965"/>
    </row>
    <row r="677">
      <c r="A677" s="965"/>
      <c r="B677" s="965"/>
      <c r="C677" s="965"/>
      <c r="D677" s="965"/>
      <c r="E677" s="965"/>
      <c r="F677" s="965"/>
      <c r="G677" s="965"/>
      <c r="H677" s="965"/>
      <c r="I677" s="965"/>
      <c r="J677" s="965"/>
      <c r="K677" s="965"/>
      <c r="L677" s="965"/>
      <c r="M677" s="965"/>
      <c r="N677" s="965"/>
      <c r="O677" s="965"/>
      <c r="P677" s="965"/>
      <c r="Q677" s="965"/>
      <c r="R677" s="965"/>
      <c r="S677" s="965"/>
      <c r="T677" s="965"/>
      <c r="U677" s="965"/>
      <c r="V677" s="965"/>
      <c r="W677" s="965"/>
      <c r="X677" s="965"/>
      <c r="Y677" s="965"/>
      <c r="Z677" s="965"/>
    </row>
    <row r="678">
      <c r="A678" s="965"/>
      <c r="B678" s="965"/>
      <c r="C678" s="965"/>
      <c r="D678" s="965"/>
      <c r="E678" s="965"/>
      <c r="F678" s="965"/>
      <c r="G678" s="965"/>
      <c r="H678" s="965"/>
      <c r="I678" s="965"/>
      <c r="J678" s="965"/>
      <c r="K678" s="965"/>
      <c r="L678" s="965"/>
      <c r="M678" s="965"/>
      <c r="N678" s="965"/>
      <c r="O678" s="965"/>
      <c r="P678" s="965"/>
      <c r="Q678" s="965"/>
      <c r="R678" s="965"/>
      <c r="S678" s="965"/>
      <c r="T678" s="965"/>
      <c r="U678" s="965"/>
      <c r="V678" s="965"/>
      <c r="W678" s="965"/>
      <c r="X678" s="965"/>
      <c r="Y678" s="965"/>
      <c r="Z678" s="965"/>
    </row>
    <row r="679">
      <c r="A679" s="965"/>
      <c r="B679" s="965"/>
      <c r="C679" s="965"/>
      <c r="D679" s="965"/>
      <c r="E679" s="965"/>
      <c r="F679" s="965"/>
      <c r="G679" s="965"/>
      <c r="H679" s="965"/>
      <c r="I679" s="965"/>
      <c r="J679" s="965"/>
      <c r="K679" s="965"/>
      <c r="L679" s="965"/>
      <c r="M679" s="965"/>
      <c r="N679" s="965"/>
      <c r="O679" s="965"/>
      <c r="P679" s="965"/>
      <c r="Q679" s="965"/>
      <c r="R679" s="965"/>
      <c r="S679" s="965"/>
      <c r="T679" s="965"/>
      <c r="U679" s="965"/>
      <c r="V679" s="965"/>
      <c r="W679" s="965"/>
      <c r="X679" s="965"/>
      <c r="Y679" s="965"/>
      <c r="Z679" s="965"/>
    </row>
    <row r="680">
      <c r="A680" s="965"/>
      <c r="B680" s="965"/>
      <c r="C680" s="965"/>
      <c r="D680" s="965"/>
      <c r="E680" s="965"/>
      <c r="F680" s="965"/>
      <c r="G680" s="965"/>
      <c r="H680" s="965"/>
      <c r="I680" s="965"/>
      <c r="J680" s="965"/>
      <c r="K680" s="965"/>
      <c r="L680" s="965"/>
      <c r="M680" s="965"/>
      <c r="N680" s="965"/>
      <c r="O680" s="965"/>
      <c r="P680" s="965"/>
      <c r="Q680" s="965"/>
      <c r="R680" s="965"/>
      <c r="S680" s="965"/>
      <c r="T680" s="965"/>
      <c r="U680" s="965"/>
      <c r="V680" s="965"/>
      <c r="W680" s="965"/>
      <c r="X680" s="965"/>
      <c r="Y680" s="965"/>
      <c r="Z680" s="965"/>
    </row>
    <row r="681">
      <c r="A681" s="965"/>
      <c r="B681" s="965"/>
      <c r="C681" s="965"/>
      <c r="D681" s="965"/>
      <c r="E681" s="965"/>
      <c r="F681" s="965"/>
      <c r="G681" s="965"/>
      <c r="H681" s="965"/>
      <c r="I681" s="965"/>
      <c r="J681" s="965"/>
      <c r="K681" s="965"/>
      <c r="L681" s="965"/>
      <c r="M681" s="965"/>
      <c r="N681" s="965"/>
      <c r="O681" s="965"/>
      <c r="P681" s="965"/>
      <c r="Q681" s="965"/>
      <c r="R681" s="965"/>
      <c r="S681" s="965"/>
      <c r="T681" s="965"/>
      <c r="U681" s="965"/>
      <c r="V681" s="965"/>
      <c r="W681" s="965"/>
      <c r="X681" s="965"/>
      <c r="Y681" s="965"/>
      <c r="Z681" s="965"/>
    </row>
    <row r="682">
      <c r="A682" s="965"/>
      <c r="B682" s="965"/>
      <c r="C682" s="965"/>
      <c r="D682" s="965"/>
      <c r="E682" s="965"/>
      <c r="F682" s="965"/>
      <c r="G682" s="965"/>
      <c r="H682" s="965"/>
      <c r="I682" s="965"/>
      <c r="J682" s="965"/>
      <c r="K682" s="965"/>
      <c r="L682" s="965"/>
      <c r="M682" s="965"/>
      <c r="N682" s="965"/>
      <c r="O682" s="965"/>
      <c r="P682" s="965"/>
      <c r="Q682" s="965"/>
      <c r="R682" s="965"/>
      <c r="S682" s="965"/>
      <c r="T682" s="965"/>
      <c r="U682" s="965"/>
      <c r="V682" s="965"/>
      <c r="W682" s="965"/>
      <c r="X682" s="965"/>
      <c r="Y682" s="965"/>
      <c r="Z682" s="965"/>
    </row>
    <row r="683">
      <c r="A683" s="965"/>
      <c r="B683" s="965"/>
      <c r="C683" s="965"/>
      <c r="D683" s="965"/>
      <c r="E683" s="965"/>
      <c r="F683" s="965"/>
      <c r="G683" s="965"/>
      <c r="H683" s="965"/>
      <c r="I683" s="965"/>
      <c r="J683" s="965"/>
      <c r="K683" s="965"/>
      <c r="L683" s="965"/>
      <c r="M683" s="965"/>
      <c r="N683" s="965"/>
      <c r="O683" s="965"/>
      <c r="P683" s="965"/>
      <c r="Q683" s="965"/>
      <c r="R683" s="965"/>
      <c r="S683" s="965"/>
      <c r="T683" s="965"/>
      <c r="U683" s="965"/>
      <c r="V683" s="965"/>
      <c r="W683" s="965"/>
      <c r="X683" s="965"/>
      <c r="Y683" s="965"/>
      <c r="Z683" s="965"/>
    </row>
    <row r="684">
      <c r="A684" s="965"/>
      <c r="B684" s="965"/>
      <c r="C684" s="965"/>
      <c r="D684" s="965"/>
      <c r="E684" s="965"/>
      <c r="F684" s="965"/>
      <c r="G684" s="965"/>
      <c r="H684" s="965"/>
      <c r="I684" s="965"/>
      <c r="J684" s="965"/>
      <c r="K684" s="965"/>
      <c r="L684" s="965"/>
      <c r="M684" s="965"/>
      <c r="N684" s="965"/>
      <c r="O684" s="965"/>
      <c r="P684" s="965"/>
      <c r="Q684" s="965"/>
      <c r="R684" s="965"/>
      <c r="S684" s="965"/>
      <c r="T684" s="965"/>
      <c r="U684" s="965"/>
      <c r="V684" s="965"/>
      <c r="W684" s="965"/>
      <c r="X684" s="965"/>
      <c r="Y684" s="965"/>
      <c r="Z684" s="965"/>
    </row>
    <row r="685">
      <c r="A685" s="965"/>
      <c r="B685" s="965"/>
      <c r="C685" s="965"/>
      <c r="D685" s="965"/>
      <c r="E685" s="965"/>
      <c r="F685" s="965"/>
      <c r="G685" s="965"/>
      <c r="H685" s="965"/>
      <c r="I685" s="965"/>
      <c r="J685" s="965"/>
      <c r="K685" s="965"/>
      <c r="L685" s="965"/>
      <c r="M685" s="965"/>
      <c r="N685" s="965"/>
      <c r="O685" s="965"/>
      <c r="P685" s="965"/>
      <c r="Q685" s="965"/>
      <c r="R685" s="965"/>
      <c r="S685" s="965"/>
      <c r="T685" s="965"/>
      <c r="U685" s="965"/>
      <c r="V685" s="965"/>
      <c r="W685" s="965"/>
      <c r="X685" s="965"/>
      <c r="Y685" s="965"/>
      <c r="Z685" s="965"/>
    </row>
    <row r="686">
      <c r="A686" s="965"/>
      <c r="B686" s="965"/>
      <c r="C686" s="965"/>
      <c r="D686" s="965"/>
      <c r="E686" s="965"/>
      <c r="F686" s="965"/>
      <c r="G686" s="965"/>
      <c r="H686" s="965"/>
      <c r="I686" s="965"/>
      <c r="J686" s="965"/>
      <c r="K686" s="965"/>
      <c r="L686" s="965"/>
      <c r="M686" s="965"/>
      <c r="N686" s="965"/>
      <c r="O686" s="965"/>
      <c r="P686" s="965"/>
      <c r="Q686" s="965"/>
      <c r="R686" s="965"/>
      <c r="S686" s="965"/>
      <c r="T686" s="965"/>
      <c r="U686" s="965"/>
      <c r="V686" s="965"/>
      <c r="W686" s="965"/>
      <c r="X686" s="965"/>
      <c r="Y686" s="965"/>
      <c r="Z686" s="965"/>
    </row>
    <row r="687">
      <c r="A687" s="965"/>
      <c r="B687" s="965"/>
      <c r="C687" s="965"/>
      <c r="D687" s="965"/>
      <c r="E687" s="965"/>
      <c r="F687" s="965"/>
      <c r="G687" s="965"/>
      <c r="H687" s="965"/>
      <c r="I687" s="965"/>
      <c r="J687" s="965"/>
      <c r="K687" s="965"/>
      <c r="L687" s="965"/>
      <c r="M687" s="965"/>
      <c r="N687" s="965"/>
      <c r="O687" s="965"/>
      <c r="P687" s="965"/>
      <c r="Q687" s="965"/>
      <c r="R687" s="965"/>
      <c r="S687" s="965"/>
      <c r="T687" s="965"/>
      <c r="U687" s="965"/>
      <c r="V687" s="965"/>
      <c r="W687" s="965"/>
      <c r="X687" s="965"/>
      <c r="Y687" s="965"/>
      <c r="Z687" s="965"/>
    </row>
    <row r="688">
      <c r="A688" s="965"/>
      <c r="B688" s="965"/>
      <c r="C688" s="965"/>
      <c r="D688" s="965"/>
      <c r="E688" s="965"/>
      <c r="F688" s="965"/>
      <c r="G688" s="965"/>
      <c r="H688" s="965"/>
      <c r="I688" s="965"/>
      <c r="J688" s="965"/>
      <c r="K688" s="965"/>
      <c r="L688" s="965"/>
      <c r="M688" s="965"/>
      <c r="N688" s="965"/>
      <c r="O688" s="965"/>
      <c r="P688" s="965"/>
      <c r="Q688" s="965"/>
      <c r="R688" s="965"/>
      <c r="S688" s="965"/>
      <c r="T688" s="965"/>
      <c r="U688" s="965"/>
      <c r="V688" s="965"/>
      <c r="W688" s="965"/>
      <c r="X688" s="965"/>
      <c r="Y688" s="965"/>
      <c r="Z688" s="965"/>
    </row>
    <row r="689">
      <c r="A689" s="965"/>
      <c r="B689" s="965"/>
      <c r="C689" s="965"/>
      <c r="D689" s="965"/>
      <c r="E689" s="965"/>
      <c r="F689" s="965"/>
      <c r="G689" s="965"/>
      <c r="H689" s="965"/>
      <c r="I689" s="965"/>
      <c r="J689" s="965"/>
      <c r="K689" s="965"/>
      <c r="L689" s="965"/>
      <c r="M689" s="965"/>
      <c r="N689" s="965"/>
      <c r="O689" s="965"/>
      <c r="P689" s="965"/>
      <c r="Q689" s="965"/>
      <c r="R689" s="965"/>
      <c r="S689" s="965"/>
      <c r="T689" s="965"/>
      <c r="U689" s="965"/>
      <c r="V689" s="965"/>
      <c r="W689" s="965"/>
      <c r="X689" s="965"/>
      <c r="Y689" s="965"/>
      <c r="Z689" s="965"/>
    </row>
    <row r="690">
      <c r="A690" s="965"/>
      <c r="B690" s="965"/>
      <c r="C690" s="965"/>
      <c r="D690" s="965"/>
      <c r="E690" s="965"/>
      <c r="F690" s="965"/>
      <c r="G690" s="965"/>
      <c r="H690" s="965"/>
      <c r="I690" s="965"/>
      <c r="J690" s="965"/>
      <c r="K690" s="965"/>
      <c r="L690" s="965"/>
      <c r="M690" s="965"/>
      <c r="N690" s="965"/>
      <c r="O690" s="965"/>
      <c r="P690" s="965"/>
      <c r="Q690" s="965"/>
      <c r="R690" s="965"/>
      <c r="S690" s="965"/>
      <c r="T690" s="965"/>
      <c r="U690" s="965"/>
      <c r="V690" s="965"/>
      <c r="W690" s="965"/>
      <c r="X690" s="965"/>
      <c r="Y690" s="965"/>
      <c r="Z690" s="965"/>
    </row>
    <row r="691">
      <c r="A691" s="965"/>
      <c r="B691" s="965"/>
      <c r="C691" s="965"/>
      <c r="D691" s="965"/>
      <c r="E691" s="965"/>
      <c r="F691" s="965"/>
      <c r="G691" s="965"/>
      <c r="H691" s="965"/>
      <c r="I691" s="965"/>
      <c r="J691" s="965"/>
      <c r="K691" s="965"/>
      <c r="L691" s="965"/>
      <c r="M691" s="965"/>
      <c r="N691" s="965"/>
      <c r="O691" s="965"/>
      <c r="P691" s="965"/>
      <c r="Q691" s="965"/>
      <c r="R691" s="965"/>
      <c r="S691" s="965"/>
      <c r="T691" s="965"/>
      <c r="U691" s="965"/>
      <c r="V691" s="965"/>
      <c r="W691" s="965"/>
      <c r="X691" s="965"/>
      <c r="Y691" s="965"/>
      <c r="Z691" s="965"/>
    </row>
    <row r="692">
      <c r="A692" s="965"/>
      <c r="B692" s="965"/>
      <c r="C692" s="965"/>
      <c r="D692" s="965"/>
      <c r="E692" s="965"/>
      <c r="F692" s="965"/>
      <c r="G692" s="965"/>
      <c r="H692" s="965"/>
      <c r="I692" s="965"/>
      <c r="J692" s="965"/>
      <c r="K692" s="965"/>
      <c r="L692" s="965"/>
      <c r="M692" s="965"/>
      <c r="N692" s="965"/>
      <c r="O692" s="965"/>
      <c r="P692" s="965"/>
      <c r="Q692" s="965"/>
      <c r="R692" s="965"/>
      <c r="S692" s="965"/>
      <c r="T692" s="965"/>
      <c r="U692" s="965"/>
      <c r="V692" s="965"/>
      <c r="W692" s="965"/>
      <c r="X692" s="965"/>
      <c r="Y692" s="965"/>
      <c r="Z692" s="965"/>
    </row>
    <row r="693">
      <c r="A693" s="965"/>
      <c r="B693" s="965"/>
      <c r="C693" s="965"/>
      <c r="D693" s="965"/>
      <c r="E693" s="965"/>
      <c r="F693" s="965"/>
      <c r="G693" s="965"/>
      <c r="H693" s="965"/>
      <c r="I693" s="965"/>
      <c r="J693" s="965"/>
      <c r="K693" s="965"/>
      <c r="L693" s="965"/>
      <c r="M693" s="965"/>
      <c r="N693" s="965"/>
      <c r="O693" s="965"/>
      <c r="P693" s="965"/>
      <c r="Q693" s="965"/>
      <c r="R693" s="965"/>
      <c r="S693" s="965"/>
      <c r="T693" s="965"/>
      <c r="U693" s="965"/>
      <c r="V693" s="965"/>
      <c r="W693" s="965"/>
      <c r="X693" s="965"/>
      <c r="Y693" s="965"/>
      <c r="Z693" s="965"/>
    </row>
    <row r="694">
      <c r="A694" s="965"/>
      <c r="B694" s="965"/>
      <c r="C694" s="965"/>
      <c r="D694" s="965"/>
      <c r="E694" s="965"/>
      <c r="F694" s="965"/>
      <c r="G694" s="965"/>
      <c r="H694" s="965"/>
      <c r="I694" s="965"/>
      <c r="J694" s="965"/>
      <c r="K694" s="965"/>
      <c r="L694" s="965"/>
      <c r="M694" s="965"/>
      <c r="N694" s="965"/>
      <c r="O694" s="965"/>
      <c r="P694" s="965"/>
      <c r="Q694" s="965"/>
      <c r="R694" s="965"/>
      <c r="S694" s="965"/>
      <c r="T694" s="965"/>
      <c r="U694" s="965"/>
      <c r="V694" s="965"/>
      <c r="W694" s="965"/>
      <c r="X694" s="965"/>
      <c r="Y694" s="965"/>
      <c r="Z694" s="965"/>
    </row>
    <row r="695">
      <c r="A695" s="965"/>
      <c r="B695" s="965"/>
      <c r="C695" s="965"/>
      <c r="D695" s="965"/>
      <c r="E695" s="965"/>
      <c r="F695" s="965"/>
      <c r="G695" s="965"/>
      <c r="H695" s="965"/>
      <c r="I695" s="965"/>
      <c r="J695" s="965"/>
      <c r="K695" s="965"/>
      <c r="L695" s="965"/>
      <c r="M695" s="965"/>
      <c r="N695" s="965"/>
      <c r="O695" s="965"/>
      <c r="P695" s="965"/>
      <c r="Q695" s="965"/>
      <c r="R695" s="965"/>
      <c r="S695" s="965"/>
      <c r="T695" s="965"/>
      <c r="U695" s="965"/>
      <c r="V695" s="965"/>
      <c r="W695" s="965"/>
      <c r="X695" s="965"/>
      <c r="Y695" s="965"/>
      <c r="Z695" s="965"/>
    </row>
    <row r="696">
      <c r="A696" s="965"/>
      <c r="B696" s="965"/>
      <c r="C696" s="965"/>
      <c r="D696" s="965"/>
      <c r="E696" s="965"/>
      <c r="F696" s="965"/>
      <c r="G696" s="965"/>
      <c r="H696" s="965"/>
      <c r="I696" s="965"/>
      <c r="J696" s="965"/>
      <c r="K696" s="965"/>
      <c r="L696" s="965"/>
      <c r="M696" s="965"/>
      <c r="N696" s="965"/>
      <c r="O696" s="965"/>
      <c r="P696" s="965"/>
      <c r="Q696" s="965"/>
      <c r="R696" s="965"/>
      <c r="S696" s="965"/>
      <c r="T696" s="965"/>
      <c r="U696" s="965"/>
      <c r="V696" s="965"/>
      <c r="W696" s="965"/>
      <c r="X696" s="965"/>
      <c r="Y696" s="965"/>
      <c r="Z696" s="965"/>
    </row>
    <row r="697">
      <c r="A697" s="965"/>
      <c r="B697" s="965"/>
      <c r="C697" s="965"/>
      <c r="D697" s="965"/>
      <c r="E697" s="965"/>
      <c r="F697" s="965"/>
      <c r="G697" s="965"/>
      <c r="H697" s="965"/>
      <c r="I697" s="965"/>
      <c r="J697" s="965"/>
      <c r="K697" s="965"/>
      <c r="L697" s="965"/>
      <c r="M697" s="965"/>
      <c r="N697" s="965"/>
      <c r="O697" s="965"/>
      <c r="P697" s="965"/>
      <c r="Q697" s="965"/>
      <c r="R697" s="965"/>
      <c r="S697" s="965"/>
      <c r="T697" s="965"/>
      <c r="U697" s="965"/>
      <c r="V697" s="965"/>
      <c r="W697" s="965"/>
      <c r="X697" s="965"/>
      <c r="Y697" s="965"/>
      <c r="Z697" s="965"/>
    </row>
    <row r="698">
      <c r="A698" s="965"/>
      <c r="B698" s="965"/>
      <c r="C698" s="965"/>
      <c r="D698" s="965"/>
      <c r="E698" s="965"/>
      <c r="F698" s="965"/>
      <c r="G698" s="965"/>
      <c r="H698" s="965"/>
      <c r="I698" s="965"/>
      <c r="J698" s="965"/>
      <c r="K698" s="965"/>
      <c r="L698" s="965"/>
      <c r="M698" s="965"/>
      <c r="N698" s="965"/>
      <c r="O698" s="965"/>
      <c r="P698" s="965"/>
      <c r="Q698" s="965"/>
      <c r="R698" s="965"/>
      <c r="S698" s="965"/>
      <c r="T698" s="965"/>
      <c r="U698" s="965"/>
      <c r="V698" s="965"/>
      <c r="W698" s="965"/>
      <c r="X698" s="965"/>
      <c r="Y698" s="965"/>
      <c r="Z698" s="965"/>
    </row>
    <row r="699">
      <c r="A699" s="965"/>
      <c r="B699" s="965"/>
      <c r="C699" s="965"/>
      <c r="D699" s="965"/>
      <c r="E699" s="965"/>
      <c r="F699" s="965"/>
      <c r="G699" s="965"/>
      <c r="H699" s="965"/>
      <c r="I699" s="965"/>
      <c r="J699" s="965"/>
      <c r="K699" s="965"/>
      <c r="L699" s="965"/>
      <c r="M699" s="965"/>
      <c r="N699" s="965"/>
      <c r="O699" s="965"/>
      <c r="P699" s="965"/>
      <c r="Q699" s="965"/>
      <c r="R699" s="965"/>
      <c r="S699" s="965"/>
      <c r="T699" s="965"/>
      <c r="U699" s="965"/>
      <c r="V699" s="965"/>
      <c r="W699" s="965"/>
      <c r="X699" s="965"/>
      <c r="Y699" s="965"/>
      <c r="Z699" s="965"/>
    </row>
    <row r="700">
      <c r="A700" s="965"/>
      <c r="B700" s="965"/>
      <c r="C700" s="965"/>
      <c r="D700" s="965"/>
      <c r="E700" s="965"/>
      <c r="F700" s="965"/>
      <c r="G700" s="965"/>
      <c r="H700" s="965"/>
      <c r="I700" s="965"/>
      <c r="J700" s="965"/>
      <c r="K700" s="965"/>
      <c r="L700" s="965"/>
      <c r="M700" s="965"/>
      <c r="N700" s="965"/>
      <c r="O700" s="965"/>
      <c r="P700" s="965"/>
      <c r="Q700" s="965"/>
      <c r="R700" s="965"/>
      <c r="S700" s="965"/>
      <c r="T700" s="965"/>
      <c r="U700" s="965"/>
      <c r="V700" s="965"/>
      <c r="W700" s="965"/>
      <c r="X700" s="965"/>
      <c r="Y700" s="965"/>
      <c r="Z700" s="965"/>
    </row>
    <row r="701">
      <c r="A701" s="965"/>
      <c r="B701" s="965"/>
      <c r="C701" s="965"/>
      <c r="D701" s="965"/>
      <c r="E701" s="965"/>
      <c r="F701" s="965"/>
      <c r="G701" s="965"/>
      <c r="H701" s="965"/>
      <c r="I701" s="965"/>
      <c r="J701" s="965"/>
      <c r="K701" s="965"/>
      <c r="L701" s="965"/>
      <c r="M701" s="965"/>
      <c r="N701" s="965"/>
      <c r="O701" s="965"/>
      <c r="P701" s="965"/>
      <c r="Q701" s="965"/>
      <c r="R701" s="965"/>
      <c r="S701" s="965"/>
      <c r="T701" s="965"/>
      <c r="U701" s="965"/>
      <c r="V701" s="965"/>
      <c r="W701" s="965"/>
      <c r="X701" s="965"/>
      <c r="Y701" s="965"/>
      <c r="Z701" s="965"/>
    </row>
    <row r="702">
      <c r="A702" s="965"/>
      <c r="B702" s="965"/>
      <c r="C702" s="965"/>
      <c r="D702" s="965"/>
      <c r="E702" s="965"/>
      <c r="F702" s="965"/>
      <c r="G702" s="965"/>
      <c r="H702" s="965"/>
      <c r="I702" s="965"/>
      <c r="J702" s="965"/>
      <c r="K702" s="965"/>
      <c r="L702" s="965"/>
      <c r="M702" s="965"/>
      <c r="N702" s="965"/>
      <c r="O702" s="965"/>
      <c r="P702" s="965"/>
      <c r="Q702" s="965"/>
      <c r="R702" s="965"/>
      <c r="S702" s="965"/>
      <c r="T702" s="965"/>
      <c r="U702" s="965"/>
      <c r="V702" s="965"/>
      <c r="W702" s="965"/>
      <c r="X702" s="965"/>
      <c r="Y702" s="965"/>
      <c r="Z702" s="965"/>
    </row>
    <row r="703">
      <c r="A703" s="965"/>
      <c r="B703" s="965"/>
      <c r="C703" s="965"/>
      <c r="D703" s="965"/>
      <c r="E703" s="965"/>
      <c r="F703" s="965"/>
      <c r="G703" s="965"/>
      <c r="H703" s="965"/>
      <c r="I703" s="965"/>
      <c r="J703" s="965"/>
      <c r="K703" s="965"/>
      <c r="L703" s="965"/>
      <c r="M703" s="965"/>
      <c r="N703" s="965"/>
      <c r="O703" s="965"/>
      <c r="P703" s="965"/>
      <c r="Q703" s="965"/>
      <c r="R703" s="965"/>
      <c r="S703" s="965"/>
      <c r="T703" s="965"/>
      <c r="U703" s="965"/>
      <c r="V703" s="965"/>
      <c r="W703" s="965"/>
      <c r="X703" s="965"/>
      <c r="Y703" s="965"/>
      <c r="Z703" s="965"/>
    </row>
    <row r="704">
      <c r="A704" s="965"/>
      <c r="B704" s="965"/>
      <c r="C704" s="965"/>
      <c r="D704" s="965"/>
      <c r="E704" s="965"/>
      <c r="F704" s="965"/>
      <c r="G704" s="965"/>
      <c r="H704" s="965"/>
      <c r="I704" s="965"/>
      <c r="J704" s="965"/>
      <c r="K704" s="965"/>
      <c r="L704" s="965"/>
      <c r="M704" s="965"/>
      <c r="N704" s="965"/>
      <c r="O704" s="965"/>
      <c r="P704" s="965"/>
      <c r="Q704" s="965"/>
      <c r="R704" s="965"/>
      <c r="S704" s="965"/>
      <c r="T704" s="965"/>
      <c r="U704" s="965"/>
      <c r="V704" s="965"/>
      <c r="W704" s="965"/>
      <c r="X704" s="965"/>
      <c r="Y704" s="965"/>
      <c r="Z704" s="965"/>
    </row>
    <row r="705">
      <c r="A705" s="965"/>
      <c r="B705" s="965"/>
      <c r="C705" s="965"/>
      <c r="D705" s="965"/>
      <c r="E705" s="965"/>
      <c r="F705" s="965"/>
      <c r="G705" s="965"/>
      <c r="H705" s="965"/>
      <c r="I705" s="965"/>
      <c r="J705" s="965"/>
      <c r="K705" s="965"/>
      <c r="L705" s="965"/>
      <c r="M705" s="965"/>
      <c r="N705" s="965"/>
      <c r="O705" s="965"/>
      <c r="P705" s="965"/>
      <c r="Q705" s="965"/>
      <c r="R705" s="965"/>
      <c r="S705" s="965"/>
      <c r="T705" s="965"/>
      <c r="U705" s="965"/>
      <c r="V705" s="965"/>
      <c r="W705" s="965"/>
      <c r="X705" s="965"/>
      <c r="Y705" s="965"/>
      <c r="Z705" s="965"/>
    </row>
    <row r="706">
      <c r="A706" s="965"/>
      <c r="B706" s="965"/>
      <c r="C706" s="965"/>
      <c r="D706" s="965"/>
      <c r="E706" s="965"/>
      <c r="F706" s="965"/>
      <c r="G706" s="965"/>
      <c r="H706" s="965"/>
      <c r="I706" s="965"/>
      <c r="J706" s="965"/>
      <c r="K706" s="965"/>
      <c r="L706" s="965"/>
      <c r="M706" s="965"/>
      <c r="N706" s="965"/>
      <c r="O706" s="965"/>
      <c r="P706" s="965"/>
      <c r="Q706" s="965"/>
      <c r="R706" s="965"/>
      <c r="S706" s="965"/>
      <c r="T706" s="965"/>
      <c r="U706" s="965"/>
      <c r="V706" s="965"/>
      <c r="W706" s="965"/>
      <c r="X706" s="965"/>
      <c r="Y706" s="965"/>
      <c r="Z706" s="965"/>
    </row>
    <row r="707">
      <c r="A707" s="965"/>
      <c r="B707" s="965"/>
      <c r="C707" s="965"/>
      <c r="D707" s="965"/>
      <c r="E707" s="965"/>
      <c r="F707" s="965"/>
      <c r="G707" s="965"/>
      <c r="H707" s="965"/>
      <c r="I707" s="965"/>
      <c r="J707" s="965"/>
      <c r="K707" s="965"/>
      <c r="L707" s="965"/>
      <c r="M707" s="965"/>
      <c r="N707" s="965"/>
      <c r="O707" s="965"/>
      <c r="P707" s="965"/>
      <c r="Q707" s="965"/>
      <c r="R707" s="965"/>
      <c r="S707" s="965"/>
      <c r="T707" s="965"/>
      <c r="U707" s="965"/>
      <c r="V707" s="965"/>
      <c r="W707" s="965"/>
      <c r="X707" s="965"/>
      <c r="Y707" s="965"/>
      <c r="Z707" s="965"/>
    </row>
    <row r="708">
      <c r="A708" s="965"/>
      <c r="B708" s="965"/>
      <c r="C708" s="965"/>
      <c r="D708" s="965"/>
      <c r="E708" s="965"/>
      <c r="F708" s="965"/>
      <c r="G708" s="965"/>
      <c r="H708" s="965"/>
      <c r="I708" s="965"/>
      <c r="J708" s="965"/>
      <c r="K708" s="965"/>
      <c r="L708" s="965"/>
      <c r="M708" s="965"/>
      <c r="N708" s="965"/>
      <c r="O708" s="965"/>
      <c r="P708" s="965"/>
      <c r="Q708" s="965"/>
      <c r="R708" s="965"/>
      <c r="S708" s="965"/>
      <c r="T708" s="965"/>
      <c r="U708" s="965"/>
      <c r="V708" s="965"/>
      <c r="W708" s="965"/>
      <c r="X708" s="965"/>
      <c r="Y708" s="965"/>
      <c r="Z708" s="965"/>
    </row>
    <row r="709">
      <c r="A709" s="965"/>
      <c r="B709" s="965"/>
      <c r="C709" s="965"/>
      <c r="D709" s="965"/>
      <c r="E709" s="965"/>
      <c r="F709" s="965"/>
      <c r="G709" s="965"/>
      <c r="H709" s="965"/>
      <c r="I709" s="965"/>
      <c r="J709" s="965"/>
      <c r="K709" s="965"/>
      <c r="L709" s="965"/>
      <c r="M709" s="965"/>
      <c r="N709" s="965"/>
      <c r="O709" s="965"/>
      <c r="P709" s="965"/>
      <c r="Q709" s="965"/>
      <c r="R709" s="965"/>
      <c r="S709" s="965"/>
      <c r="T709" s="965"/>
      <c r="U709" s="965"/>
      <c r="V709" s="965"/>
      <c r="W709" s="965"/>
      <c r="X709" s="965"/>
      <c r="Y709" s="965"/>
      <c r="Z709" s="965"/>
    </row>
    <row r="710">
      <c r="A710" s="965"/>
      <c r="B710" s="965"/>
      <c r="C710" s="965"/>
      <c r="D710" s="965"/>
      <c r="E710" s="965"/>
      <c r="F710" s="965"/>
      <c r="G710" s="965"/>
      <c r="H710" s="965"/>
      <c r="I710" s="965"/>
      <c r="J710" s="965"/>
      <c r="K710" s="965"/>
      <c r="L710" s="965"/>
      <c r="M710" s="965"/>
      <c r="N710" s="965"/>
      <c r="O710" s="965"/>
      <c r="P710" s="965"/>
      <c r="Q710" s="965"/>
      <c r="R710" s="965"/>
      <c r="S710" s="965"/>
      <c r="T710" s="965"/>
      <c r="U710" s="965"/>
      <c r="V710" s="965"/>
      <c r="W710" s="965"/>
      <c r="X710" s="965"/>
      <c r="Y710" s="965"/>
      <c r="Z710" s="965"/>
    </row>
    <row r="711">
      <c r="A711" s="965"/>
      <c r="B711" s="965"/>
      <c r="C711" s="965"/>
      <c r="D711" s="965"/>
      <c r="E711" s="965"/>
      <c r="F711" s="965"/>
      <c r="G711" s="965"/>
      <c r="H711" s="965"/>
      <c r="I711" s="965"/>
      <c r="J711" s="965"/>
      <c r="K711" s="965"/>
      <c r="L711" s="965"/>
      <c r="M711" s="965"/>
      <c r="N711" s="965"/>
      <c r="O711" s="965"/>
      <c r="P711" s="965"/>
      <c r="Q711" s="965"/>
      <c r="R711" s="965"/>
      <c r="S711" s="965"/>
      <c r="T711" s="965"/>
      <c r="U711" s="965"/>
      <c r="V711" s="965"/>
      <c r="W711" s="965"/>
      <c r="X711" s="965"/>
      <c r="Y711" s="965"/>
      <c r="Z711" s="965"/>
    </row>
    <row r="712">
      <c r="A712" s="965"/>
      <c r="B712" s="965"/>
      <c r="C712" s="965"/>
      <c r="D712" s="965"/>
      <c r="E712" s="965"/>
      <c r="F712" s="965"/>
      <c r="G712" s="965"/>
      <c r="H712" s="965"/>
      <c r="I712" s="965"/>
      <c r="J712" s="965"/>
      <c r="K712" s="965"/>
      <c r="L712" s="965"/>
      <c r="M712" s="965"/>
      <c r="N712" s="965"/>
      <c r="O712" s="965"/>
      <c r="P712" s="965"/>
      <c r="Q712" s="965"/>
      <c r="R712" s="965"/>
      <c r="S712" s="965"/>
      <c r="T712" s="965"/>
      <c r="U712" s="965"/>
      <c r="V712" s="965"/>
      <c r="W712" s="965"/>
      <c r="X712" s="965"/>
      <c r="Y712" s="965"/>
      <c r="Z712" s="965"/>
    </row>
    <row r="713">
      <c r="A713" s="965"/>
      <c r="B713" s="965"/>
      <c r="C713" s="965"/>
      <c r="D713" s="965"/>
      <c r="E713" s="965"/>
      <c r="F713" s="965"/>
      <c r="G713" s="965"/>
      <c r="H713" s="965"/>
      <c r="I713" s="965"/>
      <c r="J713" s="965"/>
      <c r="K713" s="965"/>
      <c r="L713" s="965"/>
      <c r="M713" s="965"/>
      <c r="N713" s="965"/>
      <c r="O713" s="965"/>
      <c r="P713" s="965"/>
      <c r="Q713" s="965"/>
      <c r="R713" s="965"/>
      <c r="S713" s="965"/>
      <c r="T713" s="965"/>
      <c r="U713" s="965"/>
      <c r="V713" s="965"/>
      <c r="W713" s="965"/>
      <c r="X713" s="965"/>
      <c r="Y713" s="965"/>
      <c r="Z713" s="965"/>
    </row>
    <row r="714">
      <c r="A714" s="965"/>
      <c r="B714" s="965"/>
      <c r="C714" s="965"/>
      <c r="D714" s="965"/>
      <c r="E714" s="965"/>
      <c r="F714" s="965"/>
      <c r="G714" s="965"/>
      <c r="H714" s="965"/>
      <c r="I714" s="965"/>
      <c r="J714" s="965"/>
      <c r="K714" s="965"/>
      <c r="L714" s="965"/>
      <c r="M714" s="965"/>
      <c r="N714" s="965"/>
      <c r="O714" s="965"/>
      <c r="P714" s="965"/>
      <c r="Q714" s="965"/>
      <c r="R714" s="965"/>
      <c r="S714" s="965"/>
      <c r="T714" s="965"/>
      <c r="U714" s="965"/>
      <c r="V714" s="965"/>
      <c r="W714" s="965"/>
      <c r="X714" s="965"/>
      <c r="Y714" s="965"/>
      <c r="Z714" s="965"/>
    </row>
    <row r="715">
      <c r="A715" s="965"/>
      <c r="B715" s="965"/>
      <c r="C715" s="965"/>
      <c r="D715" s="965"/>
      <c r="E715" s="965"/>
      <c r="F715" s="965"/>
      <c r="G715" s="965"/>
      <c r="H715" s="965"/>
      <c r="I715" s="965"/>
      <c r="J715" s="965"/>
      <c r="K715" s="965"/>
      <c r="L715" s="965"/>
      <c r="M715" s="965"/>
      <c r="N715" s="965"/>
      <c r="O715" s="965"/>
      <c r="P715" s="965"/>
      <c r="Q715" s="965"/>
      <c r="R715" s="965"/>
      <c r="S715" s="965"/>
      <c r="T715" s="965"/>
      <c r="U715" s="965"/>
      <c r="V715" s="965"/>
      <c r="W715" s="965"/>
      <c r="X715" s="965"/>
      <c r="Y715" s="965"/>
      <c r="Z715" s="965"/>
    </row>
    <row r="716">
      <c r="A716" s="965"/>
      <c r="B716" s="965"/>
      <c r="C716" s="965"/>
      <c r="D716" s="965"/>
      <c r="E716" s="965"/>
      <c r="F716" s="965"/>
      <c r="G716" s="965"/>
      <c r="H716" s="965"/>
      <c r="I716" s="965"/>
      <c r="J716" s="965"/>
      <c r="K716" s="965"/>
      <c r="L716" s="965"/>
      <c r="M716" s="965"/>
      <c r="N716" s="965"/>
      <c r="O716" s="965"/>
      <c r="P716" s="965"/>
      <c r="Q716" s="965"/>
      <c r="R716" s="965"/>
      <c r="S716" s="965"/>
      <c r="T716" s="965"/>
      <c r="U716" s="965"/>
      <c r="V716" s="965"/>
      <c r="W716" s="965"/>
      <c r="X716" s="965"/>
      <c r="Y716" s="965"/>
      <c r="Z716" s="965"/>
    </row>
    <row r="717">
      <c r="A717" s="965"/>
      <c r="B717" s="965"/>
      <c r="C717" s="965"/>
      <c r="D717" s="965"/>
      <c r="E717" s="965"/>
      <c r="F717" s="965"/>
      <c r="G717" s="965"/>
      <c r="H717" s="965"/>
      <c r="I717" s="965"/>
      <c r="J717" s="965"/>
      <c r="K717" s="965"/>
      <c r="L717" s="965"/>
      <c r="M717" s="965"/>
      <c r="N717" s="965"/>
      <c r="O717" s="965"/>
      <c r="P717" s="965"/>
      <c r="Q717" s="965"/>
      <c r="R717" s="965"/>
      <c r="S717" s="965"/>
      <c r="T717" s="965"/>
      <c r="U717" s="965"/>
      <c r="V717" s="965"/>
      <c r="W717" s="965"/>
      <c r="X717" s="965"/>
      <c r="Y717" s="965"/>
      <c r="Z717" s="965"/>
    </row>
    <row r="718">
      <c r="A718" s="965"/>
      <c r="B718" s="965"/>
      <c r="C718" s="965"/>
      <c r="D718" s="965"/>
      <c r="E718" s="965"/>
      <c r="F718" s="965"/>
      <c r="G718" s="965"/>
      <c r="H718" s="965"/>
      <c r="I718" s="965"/>
      <c r="J718" s="965"/>
      <c r="K718" s="965"/>
      <c r="L718" s="965"/>
      <c r="M718" s="965"/>
      <c r="N718" s="965"/>
      <c r="O718" s="965"/>
      <c r="P718" s="965"/>
      <c r="Q718" s="965"/>
      <c r="R718" s="965"/>
      <c r="S718" s="965"/>
      <c r="T718" s="965"/>
      <c r="U718" s="965"/>
      <c r="V718" s="965"/>
      <c r="W718" s="965"/>
      <c r="X718" s="965"/>
      <c r="Y718" s="965"/>
      <c r="Z718" s="965"/>
    </row>
    <row r="719">
      <c r="A719" s="965"/>
      <c r="B719" s="965"/>
      <c r="C719" s="965"/>
      <c r="D719" s="965"/>
      <c r="E719" s="965"/>
      <c r="F719" s="965"/>
      <c r="G719" s="965"/>
      <c r="H719" s="965"/>
      <c r="I719" s="965"/>
      <c r="J719" s="965"/>
      <c r="K719" s="965"/>
      <c r="L719" s="965"/>
      <c r="M719" s="965"/>
      <c r="N719" s="965"/>
      <c r="O719" s="965"/>
      <c r="P719" s="965"/>
      <c r="Q719" s="965"/>
      <c r="R719" s="965"/>
      <c r="S719" s="965"/>
      <c r="T719" s="965"/>
      <c r="U719" s="965"/>
      <c r="V719" s="965"/>
      <c r="W719" s="965"/>
      <c r="X719" s="965"/>
      <c r="Y719" s="965"/>
      <c r="Z719" s="965"/>
    </row>
    <row r="720">
      <c r="A720" s="965"/>
      <c r="B720" s="965"/>
      <c r="C720" s="965"/>
      <c r="D720" s="965"/>
      <c r="E720" s="965"/>
      <c r="F720" s="965"/>
      <c r="G720" s="965"/>
      <c r="H720" s="965"/>
      <c r="I720" s="965"/>
      <c r="J720" s="965"/>
      <c r="K720" s="965"/>
      <c r="L720" s="965"/>
      <c r="M720" s="965"/>
      <c r="N720" s="965"/>
      <c r="O720" s="965"/>
      <c r="P720" s="965"/>
      <c r="Q720" s="965"/>
      <c r="R720" s="965"/>
      <c r="S720" s="965"/>
      <c r="T720" s="965"/>
      <c r="U720" s="965"/>
      <c r="V720" s="965"/>
      <c r="W720" s="965"/>
      <c r="X720" s="965"/>
      <c r="Y720" s="965"/>
      <c r="Z720" s="965"/>
    </row>
    <row r="721">
      <c r="A721" s="965"/>
      <c r="B721" s="965"/>
      <c r="C721" s="965"/>
      <c r="D721" s="965"/>
      <c r="E721" s="965"/>
      <c r="F721" s="965"/>
      <c r="G721" s="965"/>
      <c r="H721" s="965"/>
      <c r="I721" s="965"/>
      <c r="J721" s="965"/>
      <c r="K721" s="965"/>
      <c r="L721" s="965"/>
      <c r="M721" s="965"/>
      <c r="N721" s="965"/>
      <c r="O721" s="965"/>
      <c r="P721" s="965"/>
      <c r="Q721" s="965"/>
      <c r="R721" s="965"/>
      <c r="S721" s="965"/>
      <c r="T721" s="965"/>
      <c r="U721" s="965"/>
      <c r="V721" s="965"/>
      <c r="W721" s="965"/>
      <c r="X721" s="965"/>
      <c r="Y721" s="965"/>
      <c r="Z721" s="965"/>
    </row>
    <row r="722">
      <c r="A722" s="965"/>
      <c r="B722" s="965"/>
      <c r="C722" s="965"/>
      <c r="D722" s="965"/>
      <c r="E722" s="965"/>
      <c r="F722" s="965"/>
      <c r="G722" s="965"/>
      <c r="H722" s="965"/>
      <c r="I722" s="965"/>
      <c r="J722" s="965"/>
      <c r="K722" s="965"/>
      <c r="L722" s="965"/>
      <c r="M722" s="965"/>
      <c r="N722" s="965"/>
      <c r="O722" s="965"/>
      <c r="P722" s="965"/>
      <c r="Q722" s="965"/>
      <c r="R722" s="965"/>
      <c r="S722" s="965"/>
      <c r="T722" s="965"/>
      <c r="U722" s="965"/>
      <c r="V722" s="965"/>
      <c r="W722" s="965"/>
      <c r="X722" s="965"/>
      <c r="Y722" s="965"/>
      <c r="Z722" s="965"/>
    </row>
    <row r="723">
      <c r="A723" s="965"/>
      <c r="B723" s="965"/>
      <c r="C723" s="965"/>
      <c r="D723" s="965"/>
      <c r="E723" s="965"/>
      <c r="F723" s="965"/>
      <c r="G723" s="965"/>
      <c r="H723" s="965"/>
      <c r="I723" s="965"/>
      <c r="J723" s="965"/>
      <c r="K723" s="965"/>
      <c r="L723" s="965"/>
      <c r="M723" s="965"/>
      <c r="N723" s="965"/>
      <c r="O723" s="965"/>
      <c r="P723" s="965"/>
      <c r="Q723" s="965"/>
      <c r="R723" s="965"/>
      <c r="S723" s="965"/>
      <c r="T723" s="965"/>
      <c r="U723" s="965"/>
      <c r="V723" s="965"/>
      <c r="W723" s="965"/>
      <c r="X723" s="965"/>
      <c r="Y723" s="965"/>
      <c r="Z723" s="965"/>
    </row>
    <row r="724">
      <c r="A724" s="965"/>
      <c r="B724" s="965"/>
      <c r="C724" s="965"/>
      <c r="D724" s="965"/>
      <c r="E724" s="965"/>
      <c r="F724" s="965"/>
      <c r="G724" s="965"/>
      <c r="H724" s="965"/>
      <c r="I724" s="965"/>
      <c r="J724" s="965"/>
      <c r="K724" s="965"/>
      <c r="L724" s="965"/>
      <c r="M724" s="965"/>
      <c r="N724" s="965"/>
      <c r="O724" s="965"/>
      <c r="P724" s="965"/>
      <c r="Q724" s="965"/>
      <c r="R724" s="965"/>
      <c r="S724" s="965"/>
      <c r="T724" s="965"/>
      <c r="U724" s="965"/>
      <c r="V724" s="965"/>
      <c r="W724" s="965"/>
      <c r="X724" s="965"/>
      <c r="Y724" s="965"/>
      <c r="Z724" s="965"/>
    </row>
    <row r="725">
      <c r="A725" s="965"/>
      <c r="B725" s="965"/>
      <c r="C725" s="965"/>
      <c r="D725" s="965"/>
      <c r="E725" s="965"/>
      <c r="F725" s="965"/>
      <c r="G725" s="965"/>
      <c r="H725" s="965"/>
      <c r="I725" s="965"/>
      <c r="J725" s="965"/>
      <c r="K725" s="965"/>
      <c r="L725" s="965"/>
      <c r="M725" s="965"/>
      <c r="N725" s="965"/>
      <c r="O725" s="965"/>
      <c r="P725" s="965"/>
      <c r="Q725" s="965"/>
      <c r="R725" s="965"/>
      <c r="S725" s="965"/>
      <c r="T725" s="965"/>
      <c r="U725" s="965"/>
      <c r="V725" s="965"/>
      <c r="W725" s="965"/>
      <c r="X725" s="965"/>
      <c r="Y725" s="965"/>
      <c r="Z725" s="965"/>
    </row>
    <row r="726">
      <c r="A726" s="965"/>
      <c r="B726" s="965"/>
      <c r="C726" s="965"/>
      <c r="D726" s="965"/>
      <c r="E726" s="965"/>
      <c r="F726" s="965"/>
      <c r="G726" s="965"/>
      <c r="H726" s="965"/>
      <c r="I726" s="965"/>
      <c r="J726" s="965"/>
      <c r="K726" s="965"/>
      <c r="L726" s="965"/>
      <c r="M726" s="965"/>
      <c r="N726" s="965"/>
      <c r="O726" s="965"/>
      <c r="P726" s="965"/>
      <c r="Q726" s="965"/>
      <c r="R726" s="965"/>
      <c r="S726" s="965"/>
      <c r="T726" s="965"/>
      <c r="U726" s="965"/>
      <c r="V726" s="965"/>
      <c r="W726" s="965"/>
      <c r="X726" s="965"/>
      <c r="Y726" s="965"/>
      <c r="Z726" s="965"/>
    </row>
    <row r="727">
      <c r="A727" s="965"/>
      <c r="B727" s="965"/>
      <c r="C727" s="965"/>
      <c r="D727" s="965"/>
      <c r="E727" s="965"/>
      <c r="F727" s="965"/>
      <c r="G727" s="965"/>
      <c r="H727" s="965"/>
      <c r="I727" s="965"/>
      <c r="J727" s="965"/>
      <c r="K727" s="965"/>
      <c r="L727" s="965"/>
      <c r="M727" s="965"/>
      <c r="N727" s="965"/>
      <c r="O727" s="965"/>
      <c r="P727" s="965"/>
      <c r="Q727" s="965"/>
      <c r="R727" s="965"/>
      <c r="S727" s="965"/>
      <c r="T727" s="965"/>
      <c r="U727" s="965"/>
      <c r="V727" s="965"/>
      <c r="W727" s="965"/>
      <c r="X727" s="965"/>
      <c r="Y727" s="965"/>
      <c r="Z727" s="965"/>
    </row>
    <row r="728">
      <c r="A728" s="965"/>
      <c r="B728" s="965"/>
      <c r="C728" s="965"/>
      <c r="D728" s="965"/>
      <c r="E728" s="965"/>
      <c r="F728" s="965"/>
      <c r="G728" s="965"/>
      <c r="H728" s="965"/>
      <c r="I728" s="965"/>
      <c r="J728" s="965"/>
      <c r="K728" s="965"/>
      <c r="L728" s="965"/>
      <c r="M728" s="965"/>
      <c r="N728" s="965"/>
      <c r="O728" s="965"/>
      <c r="P728" s="965"/>
      <c r="Q728" s="965"/>
      <c r="R728" s="965"/>
      <c r="S728" s="965"/>
      <c r="T728" s="965"/>
      <c r="U728" s="965"/>
      <c r="V728" s="965"/>
      <c r="W728" s="965"/>
      <c r="X728" s="965"/>
      <c r="Y728" s="965"/>
      <c r="Z728" s="965"/>
    </row>
    <row r="729">
      <c r="A729" s="965"/>
      <c r="B729" s="965"/>
      <c r="C729" s="965"/>
      <c r="D729" s="965"/>
      <c r="E729" s="965"/>
      <c r="F729" s="965"/>
      <c r="G729" s="965"/>
      <c r="H729" s="965"/>
      <c r="I729" s="965"/>
      <c r="J729" s="965"/>
      <c r="K729" s="965"/>
      <c r="L729" s="965"/>
      <c r="M729" s="965"/>
      <c r="N729" s="965"/>
      <c r="O729" s="965"/>
      <c r="P729" s="965"/>
      <c r="Q729" s="965"/>
      <c r="R729" s="965"/>
      <c r="S729" s="965"/>
      <c r="T729" s="965"/>
      <c r="U729" s="965"/>
      <c r="V729" s="965"/>
      <c r="W729" s="965"/>
      <c r="X729" s="965"/>
      <c r="Y729" s="965"/>
      <c r="Z729" s="965"/>
    </row>
    <row r="730">
      <c r="A730" s="965"/>
      <c r="B730" s="965"/>
      <c r="C730" s="965"/>
      <c r="D730" s="965"/>
      <c r="E730" s="965"/>
      <c r="F730" s="965"/>
      <c r="G730" s="965"/>
      <c r="H730" s="965"/>
      <c r="I730" s="965"/>
      <c r="J730" s="965"/>
      <c r="K730" s="965"/>
      <c r="L730" s="965"/>
      <c r="M730" s="965"/>
      <c r="N730" s="965"/>
      <c r="O730" s="965"/>
      <c r="P730" s="965"/>
      <c r="Q730" s="965"/>
      <c r="R730" s="965"/>
      <c r="S730" s="965"/>
      <c r="T730" s="965"/>
      <c r="U730" s="965"/>
      <c r="V730" s="965"/>
      <c r="W730" s="965"/>
      <c r="X730" s="965"/>
      <c r="Y730" s="965"/>
      <c r="Z730" s="965"/>
    </row>
    <row r="731">
      <c r="A731" s="965"/>
      <c r="B731" s="965"/>
      <c r="C731" s="965"/>
      <c r="D731" s="965"/>
      <c r="E731" s="965"/>
      <c r="F731" s="965"/>
      <c r="G731" s="965"/>
      <c r="H731" s="965"/>
      <c r="I731" s="965"/>
      <c r="J731" s="965"/>
      <c r="K731" s="965"/>
      <c r="L731" s="965"/>
      <c r="M731" s="965"/>
      <c r="N731" s="965"/>
      <c r="O731" s="965"/>
      <c r="P731" s="965"/>
      <c r="Q731" s="965"/>
      <c r="R731" s="965"/>
      <c r="S731" s="965"/>
      <c r="T731" s="965"/>
      <c r="U731" s="965"/>
      <c r="V731" s="965"/>
      <c r="W731" s="965"/>
      <c r="X731" s="965"/>
      <c r="Y731" s="965"/>
      <c r="Z731" s="965"/>
    </row>
    <row r="732">
      <c r="A732" s="965"/>
      <c r="B732" s="965"/>
      <c r="C732" s="965"/>
      <c r="D732" s="965"/>
      <c r="E732" s="965"/>
      <c r="F732" s="965"/>
      <c r="G732" s="965"/>
      <c r="H732" s="965"/>
      <c r="I732" s="965"/>
      <c r="J732" s="965"/>
      <c r="K732" s="965"/>
      <c r="L732" s="965"/>
      <c r="M732" s="965"/>
      <c r="N732" s="965"/>
      <c r="O732" s="965"/>
      <c r="P732" s="965"/>
      <c r="Q732" s="965"/>
      <c r="R732" s="965"/>
      <c r="S732" s="965"/>
      <c r="T732" s="965"/>
      <c r="U732" s="965"/>
      <c r="V732" s="965"/>
      <c r="W732" s="965"/>
      <c r="X732" s="965"/>
      <c r="Y732" s="965"/>
      <c r="Z732" s="965"/>
    </row>
    <row r="733">
      <c r="A733" s="965"/>
      <c r="B733" s="965"/>
      <c r="C733" s="965"/>
      <c r="D733" s="965"/>
      <c r="E733" s="965"/>
      <c r="F733" s="965"/>
      <c r="G733" s="965"/>
      <c r="H733" s="965"/>
      <c r="I733" s="965"/>
      <c r="J733" s="965"/>
      <c r="K733" s="965"/>
      <c r="L733" s="965"/>
      <c r="M733" s="965"/>
      <c r="N733" s="965"/>
      <c r="O733" s="965"/>
      <c r="P733" s="965"/>
      <c r="Q733" s="965"/>
      <c r="R733" s="965"/>
      <c r="S733" s="965"/>
      <c r="T733" s="965"/>
      <c r="U733" s="965"/>
      <c r="V733" s="965"/>
      <c r="W733" s="965"/>
      <c r="X733" s="965"/>
      <c r="Y733" s="965"/>
      <c r="Z733" s="965"/>
    </row>
    <row r="734">
      <c r="A734" s="965"/>
      <c r="B734" s="965"/>
      <c r="C734" s="965"/>
      <c r="D734" s="965"/>
      <c r="E734" s="965"/>
      <c r="F734" s="965"/>
      <c r="G734" s="965"/>
      <c r="H734" s="965"/>
      <c r="I734" s="965"/>
      <c r="J734" s="965"/>
      <c r="K734" s="965"/>
      <c r="L734" s="965"/>
      <c r="M734" s="965"/>
      <c r="N734" s="965"/>
      <c r="O734" s="965"/>
      <c r="P734" s="965"/>
      <c r="Q734" s="965"/>
      <c r="R734" s="965"/>
      <c r="S734" s="965"/>
      <c r="T734" s="965"/>
      <c r="U734" s="965"/>
      <c r="V734" s="965"/>
      <c r="W734" s="965"/>
      <c r="X734" s="965"/>
      <c r="Y734" s="965"/>
      <c r="Z734" s="965"/>
    </row>
    <row r="735">
      <c r="A735" s="965"/>
      <c r="B735" s="965"/>
      <c r="C735" s="965"/>
      <c r="D735" s="965"/>
      <c r="E735" s="965"/>
      <c r="F735" s="965"/>
      <c r="G735" s="965"/>
      <c r="H735" s="965"/>
      <c r="I735" s="965"/>
      <c r="J735" s="965"/>
      <c r="K735" s="965"/>
      <c r="L735" s="965"/>
      <c r="M735" s="965"/>
      <c r="N735" s="965"/>
      <c r="O735" s="965"/>
      <c r="P735" s="965"/>
      <c r="Q735" s="965"/>
      <c r="R735" s="965"/>
      <c r="S735" s="965"/>
      <c r="T735" s="965"/>
      <c r="U735" s="965"/>
      <c r="V735" s="965"/>
      <c r="W735" s="965"/>
      <c r="X735" s="965"/>
      <c r="Y735" s="965"/>
      <c r="Z735" s="965"/>
    </row>
    <row r="736">
      <c r="A736" s="965"/>
      <c r="B736" s="965"/>
      <c r="C736" s="965"/>
      <c r="D736" s="965"/>
      <c r="E736" s="965"/>
      <c r="F736" s="965"/>
      <c r="G736" s="965"/>
      <c r="H736" s="965"/>
      <c r="I736" s="965"/>
      <c r="J736" s="965"/>
      <c r="K736" s="965"/>
      <c r="L736" s="965"/>
      <c r="M736" s="965"/>
      <c r="N736" s="965"/>
      <c r="O736" s="965"/>
      <c r="P736" s="965"/>
      <c r="Q736" s="965"/>
      <c r="R736" s="965"/>
      <c r="S736" s="965"/>
      <c r="T736" s="965"/>
      <c r="U736" s="965"/>
      <c r="V736" s="965"/>
      <c r="W736" s="965"/>
      <c r="X736" s="965"/>
      <c r="Y736" s="965"/>
      <c r="Z736" s="965"/>
    </row>
    <row r="737">
      <c r="A737" s="965"/>
      <c r="B737" s="965"/>
      <c r="C737" s="965"/>
      <c r="D737" s="965"/>
      <c r="E737" s="965"/>
      <c r="F737" s="965"/>
      <c r="G737" s="965"/>
      <c r="H737" s="965"/>
      <c r="I737" s="965"/>
      <c r="J737" s="965"/>
      <c r="K737" s="965"/>
      <c r="L737" s="965"/>
      <c r="M737" s="965"/>
      <c r="N737" s="965"/>
      <c r="O737" s="965"/>
      <c r="P737" s="965"/>
      <c r="Q737" s="965"/>
      <c r="R737" s="965"/>
      <c r="S737" s="965"/>
      <c r="T737" s="965"/>
      <c r="U737" s="965"/>
      <c r="V737" s="965"/>
      <c r="W737" s="965"/>
      <c r="X737" s="965"/>
      <c r="Y737" s="965"/>
      <c r="Z737" s="965"/>
    </row>
    <row r="738">
      <c r="A738" s="965"/>
      <c r="B738" s="965"/>
      <c r="C738" s="965"/>
      <c r="D738" s="965"/>
      <c r="E738" s="965"/>
      <c r="F738" s="965"/>
      <c r="G738" s="965"/>
      <c r="H738" s="965"/>
      <c r="I738" s="965"/>
      <c r="J738" s="965"/>
      <c r="K738" s="965"/>
      <c r="L738" s="965"/>
      <c r="M738" s="965"/>
      <c r="N738" s="965"/>
      <c r="O738" s="965"/>
      <c r="P738" s="965"/>
      <c r="Q738" s="965"/>
      <c r="R738" s="965"/>
      <c r="S738" s="965"/>
      <c r="T738" s="965"/>
      <c r="U738" s="965"/>
      <c r="V738" s="965"/>
      <c r="W738" s="965"/>
      <c r="X738" s="965"/>
      <c r="Y738" s="965"/>
      <c r="Z738" s="965"/>
    </row>
    <row r="739">
      <c r="A739" s="965"/>
      <c r="B739" s="965"/>
      <c r="C739" s="965"/>
      <c r="D739" s="965"/>
      <c r="E739" s="965"/>
      <c r="F739" s="965"/>
      <c r="G739" s="965"/>
      <c r="H739" s="965"/>
      <c r="I739" s="965"/>
      <c r="J739" s="965"/>
      <c r="K739" s="965"/>
      <c r="L739" s="965"/>
      <c r="M739" s="965"/>
      <c r="N739" s="965"/>
      <c r="O739" s="965"/>
      <c r="P739" s="965"/>
      <c r="Q739" s="965"/>
      <c r="R739" s="965"/>
      <c r="S739" s="965"/>
      <c r="T739" s="965"/>
      <c r="U739" s="965"/>
      <c r="V739" s="965"/>
      <c r="W739" s="965"/>
      <c r="X739" s="965"/>
      <c r="Y739" s="965"/>
      <c r="Z739" s="965"/>
    </row>
    <row r="740">
      <c r="A740" s="965"/>
      <c r="B740" s="965"/>
      <c r="C740" s="965"/>
      <c r="D740" s="965"/>
      <c r="E740" s="965"/>
      <c r="F740" s="965"/>
      <c r="G740" s="965"/>
      <c r="H740" s="965"/>
      <c r="I740" s="965"/>
      <c r="J740" s="965"/>
      <c r="K740" s="965"/>
      <c r="L740" s="965"/>
      <c r="M740" s="965"/>
      <c r="N740" s="965"/>
      <c r="O740" s="965"/>
      <c r="P740" s="965"/>
      <c r="Q740" s="965"/>
      <c r="R740" s="965"/>
      <c r="S740" s="965"/>
      <c r="T740" s="965"/>
      <c r="U740" s="965"/>
      <c r="V740" s="965"/>
      <c r="W740" s="965"/>
      <c r="X740" s="965"/>
      <c r="Y740" s="965"/>
      <c r="Z740" s="965"/>
    </row>
    <row r="741">
      <c r="A741" s="965"/>
      <c r="B741" s="965"/>
      <c r="C741" s="965"/>
      <c r="D741" s="965"/>
      <c r="E741" s="965"/>
      <c r="F741" s="965"/>
      <c r="G741" s="965"/>
      <c r="H741" s="965"/>
      <c r="I741" s="965"/>
      <c r="J741" s="965"/>
      <c r="K741" s="965"/>
      <c r="L741" s="965"/>
      <c r="M741" s="965"/>
      <c r="N741" s="965"/>
      <c r="O741" s="965"/>
      <c r="P741" s="965"/>
      <c r="Q741" s="965"/>
      <c r="R741" s="965"/>
      <c r="S741" s="965"/>
      <c r="T741" s="965"/>
      <c r="U741" s="965"/>
      <c r="V741" s="965"/>
      <c r="W741" s="965"/>
      <c r="X741" s="965"/>
      <c r="Y741" s="965"/>
      <c r="Z741" s="965"/>
    </row>
    <row r="742">
      <c r="A742" s="965"/>
      <c r="B742" s="965"/>
      <c r="C742" s="965"/>
      <c r="D742" s="965"/>
      <c r="E742" s="965"/>
      <c r="F742" s="965"/>
      <c r="G742" s="965"/>
      <c r="H742" s="965"/>
      <c r="I742" s="965"/>
      <c r="J742" s="965"/>
      <c r="K742" s="965"/>
      <c r="L742" s="965"/>
      <c r="M742" s="965"/>
      <c r="N742" s="965"/>
      <c r="O742" s="965"/>
      <c r="P742" s="965"/>
      <c r="Q742" s="965"/>
      <c r="R742" s="965"/>
      <c r="S742" s="965"/>
      <c r="T742" s="965"/>
      <c r="U742" s="965"/>
      <c r="V742" s="965"/>
      <c r="W742" s="965"/>
      <c r="X742" s="965"/>
      <c r="Y742" s="965"/>
      <c r="Z742" s="965"/>
    </row>
    <row r="743">
      <c r="A743" s="965"/>
      <c r="B743" s="965"/>
      <c r="C743" s="965"/>
      <c r="D743" s="965"/>
      <c r="E743" s="965"/>
      <c r="F743" s="965"/>
      <c r="G743" s="965"/>
      <c r="H743" s="965"/>
      <c r="I743" s="965"/>
      <c r="J743" s="965"/>
      <c r="K743" s="965"/>
      <c r="L743" s="965"/>
      <c r="M743" s="965"/>
      <c r="N743" s="965"/>
      <c r="O743" s="965"/>
      <c r="P743" s="965"/>
      <c r="Q743" s="965"/>
      <c r="R743" s="965"/>
      <c r="S743" s="965"/>
      <c r="T743" s="965"/>
      <c r="U743" s="965"/>
      <c r="V743" s="965"/>
      <c r="W743" s="965"/>
      <c r="X743" s="965"/>
      <c r="Y743" s="965"/>
      <c r="Z743" s="965"/>
    </row>
    <row r="744">
      <c r="A744" s="965"/>
      <c r="B744" s="965"/>
      <c r="C744" s="965"/>
      <c r="D744" s="965"/>
      <c r="E744" s="965"/>
      <c r="F744" s="965"/>
      <c r="G744" s="965"/>
      <c r="H744" s="965"/>
      <c r="I744" s="965"/>
      <c r="J744" s="965"/>
      <c r="K744" s="965"/>
      <c r="L744" s="965"/>
      <c r="M744" s="965"/>
      <c r="N744" s="965"/>
      <c r="O744" s="965"/>
      <c r="P744" s="965"/>
      <c r="Q744" s="965"/>
      <c r="R744" s="965"/>
      <c r="S744" s="965"/>
      <c r="T744" s="965"/>
      <c r="U744" s="965"/>
      <c r="V744" s="965"/>
      <c r="W744" s="965"/>
      <c r="X744" s="965"/>
      <c r="Y744" s="965"/>
      <c r="Z744" s="965"/>
    </row>
    <row r="745">
      <c r="A745" s="965"/>
      <c r="B745" s="965"/>
      <c r="C745" s="965"/>
      <c r="D745" s="965"/>
      <c r="E745" s="965"/>
      <c r="F745" s="965"/>
      <c r="G745" s="965"/>
      <c r="H745" s="965"/>
      <c r="I745" s="965"/>
      <c r="J745" s="965"/>
      <c r="K745" s="965"/>
      <c r="L745" s="965"/>
      <c r="M745" s="965"/>
      <c r="N745" s="965"/>
      <c r="O745" s="965"/>
      <c r="P745" s="965"/>
      <c r="Q745" s="965"/>
      <c r="R745" s="965"/>
      <c r="S745" s="965"/>
      <c r="T745" s="965"/>
      <c r="U745" s="965"/>
      <c r="V745" s="965"/>
      <c r="W745" s="965"/>
      <c r="X745" s="965"/>
      <c r="Y745" s="965"/>
      <c r="Z745" s="965"/>
    </row>
    <row r="746">
      <c r="A746" s="965"/>
      <c r="B746" s="965"/>
      <c r="C746" s="965"/>
      <c r="D746" s="965"/>
      <c r="E746" s="965"/>
      <c r="F746" s="965"/>
      <c r="G746" s="965"/>
      <c r="H746" s="965"/>
      <c r="I746" s="965"/>
      <c r="J746" s="965"/>
      <c r="K746" s="965"/>
      <c r="L746" s="965"/>
      <c r="M746" s="965"/>
      <c r="N746" s="965"/>
      <c r="O746" s="965"/>
      <c r="P746" s="965"/>
      <c r="Q746" s="965"/>
      <c r="R746" s="965"/>
      <c r="S746" s="965"/>
      <c r="T746" s="965"/>
      <c r="U746" s="965"/>
      <c r="V746" s="965"/>
      <c r="W746" s="965"/>
      <c r="X746" s="965"/>
      <c r="Y746" s="965"/>
      <c r="Z746" s="965"/>
    </row>
    <row r="747">
      <c r="A747" s="965"/>
      <c r="B747" s="965"/>
      <c r="C747" s="965"/>
      <c r="D747" s="965"/>
      <c r="E747" s="965"/>
      <c r="F747" s="965"/>
      <c r="G747" s="965"/>
      <c r="H747" s="965"/>
      <c r="I747" s="965"/>
      <c r="J747" s="965"/>
      <c r="K747" s="965"/>
      <c r="L747" s="965"/>
      <c r="M747" s="965"/>
      <c r="N747" s="965"/>
      <c r="O747" s="965"/>
      <c r="P747" s="965"/>
      <c r="Q747" s="965"/>
      <c r="R747" s="965"/>
      <c r="S747" s="965"/>
      <c r="T747" s="965"/>
      <c r="U747" s="965"/>
      <c r="V747" s="965"/>
      <c r="W747" s="965"/>
      <c r="X747" s="965"/>
      <c r="Y747" s="965"/>
      <c r="Z747" s="965"/>
    </row>
    <row r="748">
      <c r="A748" s="965"/>
      <c r="B748" s="965"/>
      <c r="C748" s="965"/>
      <c r="D748" s="965"/>
      <c r="E748" s="965"/>
      <c r="F748" s="965"/>
      <c r="G748" s="965"/>
      <c r="H748" s="965"/>
      <c r="I748" s="965"/>
      <c r="J748" s="965"/>
      <c r="K748" s="965"/>
      <c r="L748" s="965"/>
      <c r="M748" s="965"/>
      <c r="N748" s="965"/>
      <c r="O748" s="965"/>
      <c r="P748" s="965"/>
      <c r="Q748" s="965"/>
      <c r="R748" s="965"/>
      <c r="S748" s="965"/>
      <c r="T748" s="965"/>
      <c r="U748" s="965"/>
      <c r="V748" s="965"/>
      <c r="W748" s="965"/>
      <c r="X748" s="965"/>
      <c r="Y748" s="965"/>
      <c r="Z748" s="965"/>
    </row>
    <row r="749">
      <c r="A749" s="965"/>
      <c r="B749" s="965"/>
      <c r="C749" s="965"/>
      <c r="D749" s="965"/>
      <c r="E749" s="965"/>
      <c r="F749" s="965"/>
      <c r="G749" s="965"/>
      <c r="H749" s="965"/>
      <c r="I749" s="965"/>
      <c r="J749" s="965"/>
      <c r="K749" s="965"/>
      <c r="L749" s="965"/>
      <c r="M749" s="965"/>
      <c r="N749" s="965"/>
      <c r="O749" s="965"/>
      <c r="P749" s="965"/>
      <c r="Q749" s="965"/>
      <c r="R749" s="965"/>
      <c r="S749" s="965"/>
      <c r="T749" s="965"/>
      <c r="U749" s="965"/>
      <c r="V749" s="965"/>
      <c r="W749" s="965"/>
      <c r="X749" s="965"/>
      <c r="Y749" s="965"/>
      <c r="Z749" s="965"/>
    </row>
    <row r="750">
      <c r="A750" s="965"/>
      <c r="B750" s="965"/>
      <c r="C750" s="965"/>
      <c r="D750" s="965"/>
      <c r="E750" s="965"/>
      <c r="F750" s="965"/>
      <c r="G750" s="965"/>
      <c r="H750" s="965"/>
      <c r="I750" s="965"/>
      <c r="J750" s="965"/>
      <c r="K750" s="965"/>
      <c r="L750" s="965"/>
      <c r="M750" s="965"/>
      <c r="N750" s="965"/>
      <c r="O750" s="965"/>
      <c r="P750" s="965"/>
      <c r="Q750" s="965"/>
      <c r="R750" s="965"/>
      <c r="S750" s="965"/>
      <c r="T750" s="965"/>
      <c r="U750" s="965"/>
      <c r="V750" s="965"/>
      <c r="W750" s="965"/>
      <c r="X750" s="965"/>
      <c r="Y750" s="965"/>
      <c r="Z750" s="965"/>
    </row>
    <row r="751">
      <c r="A751" s="965"/>
      <c r="B751" s="965"/>
      <c r="C751" s="965"/>
      <c r="D751" s="965"/>
      <c r="E751" s="965"/>
      <c r="F751" s="965"/>
      <c r="G751" s="965"/>
      <c r="H751" s="965"/>
      <c r="I751" s="965"/>
      <c r="J751" s="965"/>
      <c r="K751" s="965"/>
      <c r="L751" s="965"/>
      <c r="M751" s="965"/>
      <c r="N751" s="965"/>
      <c r="O751" s="965"/>
      <c r="P751" s="965"/>
      <c r="Q751" s="965"/>
      <c r="R751" s="965"/>
      <c r="S751" s="965"/>
      <c r="T751" s="965"/>
      <c r="U751" s="965"/>
      <c r="V751" s="965"/>
      <c r="W751" s="965"/>
      <c r="X751" s="965"/>
      <c r="Y751" s="965"/>
      <c r="Z751" s="965"/>
    </row>
    <row r="752">
      <c r="A752" s="965"/>
      <c r="B752" s="965"/>
      <c r="C752" s="965"/>
      <c r="D752" s="965"/>
      <c r="E752" s="965"/>
      <c r="F752" s="965"/>
      <c r="G752" s="965"/>
      <c r="H752" s="965"/>
      <c r="I752" s="965"/>
      <c r="J752" s="965"/>
      <c r="K752" s="965"/>
      <c r="L752" s="965"/>
      <c r="M752" s="965"/>
      <c r="N752" s="965"/>
      <c r="O752" s="965"/>
      <c r="P752" s="965"/>
      <c r="Q752" s="965"/>
      <c r="R752" s="965"/>
      <c r="S752" s="965"/>
      <c r="T752" s="965"/>
      <c r="U752" s="965"/>
      <c r="V752" s="965"/>
      <c r="W752" s="965"/>
      <c r="X752" s="965"/>
      <c r="Y752" s="965"/>
      <c r="Z752" s="965"/>
    </row>
    <row r="753">
      <c r="A753" s="965"/>
      <c r="B753" s="965"/>
      <c r="C753" s="965"/>
      <c r="D753" s="965"/>
      <c r="E753" s="965"/>
      <c r="F753" s="965"/>
      <c r="G753" s="965"/>
      <c r="H753" s="965"/>
      <c r="I753" s="965"/>
      <c r="J753" s="965"/>
      <c r="K753" s="965"/>
      <c r="L753" s="965"/>
      <c r="M753" s="965"/>
      <c r="N753" s="965"/>
      <c r="O753" s="965"/>
      <c r="P753" s="965"/>
      <c r="Q753" s="965"/>
      <c r="R753" s="965"/>
      <c r="S753" s="965"/>
      <c r="T753" s="965"/>
      <c r="U753" s="965"/>
      <c r="V753" s="965"/>
      <c r="W753" s="965"/>
      <c r="X753" s="965"/>
      <c r="Y753" s="965"/>
      <c r="Z753" s="965"/>
    </row>
    <row r="754">
      <c r="A754" s="965"/>
      <c r="B754" s="965"/>
      <c r="C754" s="965"/>
      <c r="D754" s="965"/>
      <c r="E754" s="965"/>
      <c r="F754" s="965"/>
      <c r="G754" s="965"/>
      <c r="H754" s="965"/>
      <c r="I754" s="965"/>
      <c r="J754" s="965"/>
      <c r="K754" s="965"/>
      <c r="L754" s="965"/>
      <c r="M754" s="965"/>
      <c r="N754" s="965"/>
      <c r="O754" s="965"/>
      <c r="P754" s="965"/>
      <c r="Q754" s="965"/>
      <c r="R754" s="965"/>
      <c r="S754" s="965"/>
      <c r="T754" s="965"/>
      <c r="U754" s="965"/>
      <c r="V754" s="965"/>
      <c r="W754" s="965"/>
      <c r="X754" s="965"/>
      <c r="Y754" s="965"/>
      <c r="Z754" s="965"/>
    </row>
    <row r="755">
      <c r="A755" s="965"/>
      <c r="B755" s="965"/>
      <c r="C755" s="965"/>
      <c r="D755" s="965"/>
      <c r="E755" s="965"/>
      <c r="F755" s="965"/>
      <c r="G755" s="965"/>
      <c r="H755" s="965"/>
      <c r="I755" s="965"/>
      <c r="J755" s="965"/>
      <c r="K755" s="965"/>
      <c r="L755" s="965"/>
      <c r="M755" s="965"/>
      <c r="N755" s="965"/>
      <c r="O755" s="965"/>
      <c r="P755" s="965"/>
      <c r="Q755" s="965"/>
      <c r="R755" s="965"/>
      <c r="S755" s="965"/>
      <c r="T755" s="965"/>
      <c r="U755" s="965"/>
      <c r="V755" s="965"/>
      <c r="W755" s="965"/>
      <c r="X755" s="965"/>
      <c r="Y755" s="965"/>
      <c r="Z755" s="965"/>
    </row>
    <row r="756">
      <c r="A756" s="965"/>
      <c r="B756" s="965"/>
      <c r="C756" s="965"/>
      <c r="D756" s="965"/>
      <c r="E756" s="965"/>
      <c r="F756" s="965"/>
      <c r="G756" s="965"/>
      <c r="H756" s="965"/>
      <c r="I756" s="965"/>
      <c r="J756" s="965"/>
      <c r="K756" s="965"/>
      <c r="L756" s="965"/>
      <c r="M756" s="965"/>
      <c r="N756" s="965"/>
      <c r="O756" s="965"/>
      <c r="P756" s="965"/>
      <c r="Q756" s="965"/>
      <c r="R756" s="965"/>
      <c r="S756" s="965"/>
      <c r="T756" s="965"/>
      <c r="U756" s="965"/>
      <c r="V756" s="965"/>
      <c r="W756" s="965"/>
      <c r="X756" s="965"/>
      <c r="Y756" s="965"/>
      <c r="Z756" s="965"/>
    </row>
    <row r="757">
      <c r="A757" s="965"/>
      <c r="B757" s="965"/>
      <c r="C757" s="965"/>
      <c r="D757" s="965"/>
      <c r="E757" s="965"/>
      <c r="F757" s="965"/>
      <c r="G757" s="965"/>
      <c r="H757" s="965"/>
      <c r="I757" s="965"/>
      <c r="J757" s="965"/>
      <c r="K757" s="965"/>
      <c r="L757" s="965"/>
      <c r="M757" s="965"/>
      <c r="N757" s="965"/>
      <c r="O757" s="965"/>
      <c r="P757" s="965"/>
      <c r="Q757" s="965"/>
      <c r="R757" s="965"/>
      <c r="S757" s="965"/>
      <c r="T757" s="965"/>
      <c r="U757" s="965"/>
      <c r="V757" s="965"/>
      <c r="W757" s="965"/>
      <c r="X757" s="965"/>
      <c r="Y757" s="965"/>
      <c r="Z757" s="965"/>
    </row>
    <row r="758">
      <c r="A758" s="965"/>
      <c r="B758" s="965"/>
      <c r="C758" s="965"/>
      <c r="D758" s="965"/>
      <c r="E758" s="965"/>
      <c r="F758" s="965"/>
      <c r="G758" s="965"/>
      <c r="H758" s="965"/>
      <c r="I758" s="965"/>
      <c r="J758" s="965"/>
      <c r="K758" s="965"/>
      <c r="L758" s="965"/>
      <c r="M758" s="965"/>
      <c r="N758" s="965"/>
      <c r="O758" s="965"/>
      <c r="P758" s="965"/>
      <c r="Q758" s="965"/>
      <c r="R758" s="965"/>
      <c r="S758" s="965"/>
      <c r="T758" s="965"/>
      <c r="U758" s="965"/>
      <c r="V758" s="965"/>
      <c r="W758" s="965"/>
      <c r="X758" s="965"/>
      <c r="Y758" s="965"/>
      <c r="Z758" s="965"/>
    </row>
    <row r="759">
      <c r="A759" s="965"/>
      <c r="B759" s="965"/>
      <c r="C759" s="965"/>
      <c r="D759" s="965"/>
      <c r="E759" s="965"/>
      <c r="F759" s="965"/>
      <c r="G759" s="965"/>
      <c r="H759" s="965"/>
      <c r="I759" s="965"/>
      <c r="J759" s="965"/>
      <c r="K759" s="965"/>
      <c r="L759" s="965"/>
      <c r="M759" s="965"/>
      <c r="N759" s="965"/>
      <c r="O759" s="965"/>
      <c r="P759" s="965"/>
      <c r="Q759" s="965"/>
      <c r="R759" s="965"/>
      <c r="S759" s="965"/>
      <c r="T759" s="965"/>
      <c r="U759" s="965"/>
      <c r="V759" s="965"/>
      <c r="W759" s="965"/>
      <c r="X759" s="965"/>
      <c r="Y759" s="965"/>
      <c r="Z759" s="965"/>
    </row>
    <row r="760">
      <c r="A760" s="965"/>
      <c r="B760" s="965"/>
      <c r="C760" s="965"/>
      <c r="D760" s="965"/>
      <c r="E760" s="965"/>
      <c r="F760" s="965"/>
      <c r="G760" s="965"/>
      <c r="H760" s="965"/>
      <c r="I760" s="965"/>
      <c r="J760" s="965"/>
      <c r="K760" s="965"/>
      <c r="L760" s="965"/>
      <c r="M760" s="965"/>
      <c r="N760" s="965"/>
      <c r="O760" s="965"/>
      <c r="P760" s="965"/>
      <c r="Q760" s="965"/>
      <c r="R760" s="965"/>
      <c r="S760" s="965"/>
      <c r="T760" s="965"/>
      <c r="U760" s="965"/>
      <c r="V760" s="965"/>
      <c r="W760" s="965"/>
      <c r="X760" s="965"/>
      <c r="Y760" s="965"/>
      <c r="Z760" s="965"/>
    </row>
    <row r="761">
      <c r="A761" s="965"/>
      <c r="B761" s="965"/>
      <c r="C761" s="965"/>
      <c r="D761" s="965"/>
      <c r="E761" s="965"/>
      <c r="F761" s="965"/>
      <c r="G761" s="965"/>
      <c r="H761" s="965"/>
      <c r="I761" s="965"/>
      <c r="J761" s="965"/>
      <c r="K761" s="965"/>
      <c r="L761" s="965"/>
      <c r="M761" s="965"/>
      <c r="N761" s="965"/>
      <c r="O761" s="965"/>
      <c r="P761" s="965"/>
      <c r="Q761" s="965"/>
      <c r="R761" s="965"/>
      <c r="S761" s="965"/>
      <c r="T761" s="965"/>
      <c r="U761" s="965"/>
      <c r="V761" s="965"/>
      <c r="W761" s="965"/>
      <c r="X761" s="965"/>
      <c r="Y761" s="965"/>
      <c r="Z761" s="965"/>
    </row>
    <row r="762">
      <c r="A762" s="965"/>
      <c r="B762" s="965"/>
      <c r="C762" s="965"/>
      <c r="D762" s="965"/>
      <c r="E762" s="965"/>
      <c r="F762" s="965"/>
      <c r="G762" s="965"/>
      <c r="H762" s="965"/>
      <c r="I762" s="965"/>
      <c r="J762" s="965"/>
      <c r="K762" s="965"/>
      <c r="L762" s="965"/>
      <c r="M762" s="965"/>
      <c r="N762" s="965"/>
      <c r="O762" s="965"/>
      <c r="P762" s="965"/>
      <c r="Q762" s="965"/>
      <c r="R762" s="965"/>
      <c r="S762" s="965"/>
      <c r="T762" s="965"/>
      <c r="U762" s="965"/>
      <c r="V762" s="965"/>
      <c r="W762" s="965"/>
      <c r="X762" s="965"/>
      <c r="Y762" s="965"/>
      <c r="Z762" s="965"/>
    </row>
    <row r="763">
      <c r="A763" s="965"/>
      <c r="B763" s="965"/>
      <c r="C763" s="965"/>
      <c r="D763" s="965"/>
      <c r="E763" s="965"/>
      <c r="F763" s="965"/>
      <c r="G763" s="965"/>
      <c r="H763" s="965"/>
      <c r="I763" s="965"/>
      <c r="J763" s="965"/>
      <c r="K763" s="965"/>
      <c r="L763" s="965"/>
      <c r="M763" s="965"/>
      <c r="N763" s="965"/>
      <c r="O763" s="965"/>
      <c r="P763" s="965"/>
      <c r="Q763" s="965"/>
      <c r="R763" s="965"/>
      <c r="S763" s="965"/>
      <c r="T763" s="965"/>
      <c r="U763" s="965"/>
      <c r="V763" s="965"/>
      <c r="W763" s="965"/>
      <c r="X763" s="965"/>
      <c r="Y763" s="965"/>
      <c r="Z763" s="965"/>
    </row>
    <row r="764">
      <c r="A764" s="965"/>
      <c r="B764" s="965"/>
      <c r="C764" s="965"/>
      <c r="D764" s="965"/>
      <c r="E764" s="965"/>
      <c r="F764" s="965"/>
      <c r="G764" s="965"/>
      <c r="H764" s="965"/>
      <c r="I764" s="965"/>
      <c r="J764" s="965"/>
      <c r="K764" s="965"/>
      <c r="L764" s="965"/>
      <c r="M764" s="965"/>
      <c r="N764" s="965"/>
      <c r="O764" s="965"/>
      <c r="P764" s="965"/>
      <c r="Q764" s="965"/>
      <c r="R764" s="965"/>
      <c r="S764" s="965"/>
      <c r="T764" s="965"/>
      <c r="U764" s="965"/>
      <c r="V764" s="965"/>
      <c r="W764" s="965"/>
      <c r="X764" s="965"/>
      <c r="Y764" s="965"/>
      <c r="Z764" s="965"/>
    </row>
    <row r="765">
      <c r="A765" s="965"/>
      <c r="B765" s="965"/>
      <c r="C765" s="965"/>
      <c r="D765" s="965"/>
      <c r="E765" s="965"/>
      <c r="F765" s="965"/>
      <c r="G765" s="965"/>
      <c r="H765" s="965"/>
      <c r="I765" s="965"/>
      <c r="J765" s="965"/>
      <c r="K765" s="965"/>
      <c r="L765" s="965"/>
      <c r="M765" s="965"/>
      <c r="N765" s="965"/>
      <c r="O765" s="965"/>
      <c r="P765" s="965"/>
      <c r="Q765" s="965"/>
      <c r="R765" s="965"/>
      <c r="S765" s="965"/>
      <c r="T765" s="965"/>
      <c r="U765" s="965"/>
      <c r="V765" s="965"/>
      <c r="W765" s="965"/>
      <c r="X765" s="965"/>
      <c r="Y765" s="965"/>
      <c r="Z765" s="965"/>
    </row>
    <row r="766">
      <c r="A766" s="965"/>
      <c r="B766" s="965"/>
      <c r="C766" s="965"/>
      <c r="D766" s="965"/>
      <c r="E766" s="965"/>
      <c r="F766" s="965"/>
      <c r="G766" s="965"/>
      <c r="H766" s="965"/>
      <c r="I766" s="965"/>
      <c r="J766" s="965"/>
      <c r="K766" s="965"/>
      <c r="L766" s="965"/>
      <c r="M766" s="965"/>
      <c r="N766" s="965"/>
      <c r="O766" s="965"/>
      <c r="P766" s="965"/>
      <c r="Q766" s="965"/>
      <c r="R766" s="965"/>
      <c r="S766" s="965"/>
      <c r="T766" s="965"/>
      <c r="U766" s="965"/>
      <c r="V766" s="965"/>
      <c r="W766" s="965"/>
      <c r="X766" s="965"/>
      <c r="Y766" s="965"/>
      <c r="Z766" s="965"/>
    </row>
    <row r="767">
      <c r="A767" s="965"/>
      <c r="B767" s="965"/>
      <c r="C767" s="965"/>
      <c r="D767" s="965"/>
      <c r="E767" s="965"/>
      <c r="F767" s="965"/>
      <c r="G767" s="965"/>
      <c r="H767" s="965"/>
      <c r="I767" s="965"/>
      <c r="J767" s="965"/>
      <c r="K767" s="965"/>
      <c r="L767" s="965"/>
      <c r="M767" s="965"/>
      <c r="N767" s="965"/>
      <c r="O767" s="965"/>
      <c r="P767" s="965"/>
      <c r="Q767" s="965"/>
      <c r="R767" s="965"/>
      <c r="S767" s="965"/>
      <c r="T767" s="965"/>
      <c r="U767" s="965"/>
      <c r="V767" s="965"/>
      <c r="W767" s="965"/>
      <c r="X767" s="965"/>
      <c r="Y767" s="965"/>
      <c r="Z767" s="965"/>
    </row>
    <row r="768">
      <c r="A768" s="965"/>
      <c r="B768" s="965"/>
      <c r="C768" s="965"/>
      <c r="D768" s="965"/>
      <c r="E768" s="965"/>
      <c r="F768" s="965"/>
      <c r="G768" s="965"/>
      <c r="H768" s="965"/>
      <c r="I768" s="965"/>
      <c r="J768" s="965"/>
      <c r="K768" s="965"/>
      <c r="L768" s="965"/>
      <c r="M768" s="965"/>
      <c r="N768" s="965"/>
      <c r="O768" s="965"/>
      <c r="P768" s="965"/>
      <c r="Q768" s="965"/>
      <c r="R768" s="965"/>
      <c r="S768" s="965"/>
      <c r="T768" s="965"/>
      <c r="U768" s="965"/>
      <c r="V768" s="965"/>
      <c r="W768" s="965"/>
      <c r="X768" s="965"/>
      <c r="Y768" s="965"/>
      <c r="Z768" s="965"/>
    </row>
    <row r="769">
      <c r="A769" s="965"/>
      <c r="B769" s="965"/>
      <c r="C769" s="965"/>
      <c r="D769" s="965"/>
      <c r="E769" s="965"/>
      <c r="F769" s="965"/>
      <c r="G769" s="965"/>
      <c r="H769" s="965"/>
      <c r="I769" s="965"/>
      <c r="J769" s="965"/>
      <c r="K769" s="965"/>
      <c r="L769" s="965"/>
      <c r="M769" s="965"/>
      <c r="N769" s="965"/>
      <c r="O769" s="965"/>
      <c r="P769" s="965"/>
      <c r="Q769" s="965"/>
      <c r="R769" s="965"/>
      <c r="S769" s="965"/>
      <c r="T769" s="965"/>
      <c r="U769" s="965"/>
      <c r="V769" s="965"/>
      <c r="W769" s="965"/>
      <c r="X769" s="965"/>
      <c r="Y769" s="965"/>
      <c r="Z769" s="965"/>
    </row>
    <row r="770">
      <c r="A770" s="965"/>
      <c r="B770" s="965"/>
      <c r="C770" s="965"/>
      <c r="D770" s="965"/>
      <c r="E770" s="965"/>
      <c r="F770" s="965"/>
      <c r="G770" s="965"/>
      <c r="H770" s="965"/>
      <c r="I770" s="965"/>
      <c r="J770" s="965"/>
      <c r="K770" s="965"/>
      <c r="L770" s="965"/>
      <c r="M770" s="965"/>
      <c r="N770" s="965"/>
      <c r="O770" s="965"/>
      <c r="P770" s="965"/>
      <c r="Q770" s="965"/>
      <c r="R770" s="965"/>
      <c r="S770" s="965"/>
      <c r="T770" s="965"/>
      <c r="U770" s="965"/>
      <c r="V770" s="965"/>
      <c r="W770" s="965"/>
      <c r="X770" s="965"/>
      <c r="Y770" s="965"/>
      <c r="Z770" s="965"/>
    </row>
    <row r="771">
      <c r="A771" s="965"/>
      <c r="B771" s="965"/>
      <c r="C771" s="965"/>
      <c r="D771" s="965"/>
      <c r="E771" s="965"/>
      <c r="F771" s="965"/>
      <c r="G771" s="965"/>
      <c r="H771" s="965"/>
      <c r="I771" s="965"/>
      <c r="J771" s="965"/>
      <c r="K771" s="965"/>
      <c r="L771" s="965"/>
      <c r="M771" s="965"/>
      <c r="N771" s="965"/>
      <c r="O771" s="965"/>
      <c r="P771" s="965"/>
      <c r="Q771" s="965"/>
      <c r="R771" s="965"/>
      <c r="S771" s="965"/>
      <c r="T771" s="965"/>
      <c r="U771" s="965"/>
      <c r="V771" s="965"/>
      <c r="W771" s="965"/>
      <c r="X771" s="965"/>
      <c r="Y771" s="965"/>
      <c r="Z771" s="965"/>
    </row>
    <row r="772">
      <c r="A772" s="965"/>
      <c r="B772" s="965"/>
      <c r="C772" s="965"/>
      <c r="D772" s="965"/>
      <c r="E772" s="965"/>
      <c r="F772" s="965"/>
      <c r="G772" s="965"/>
      <c r="H772" s="965"/>
      <c r="I772" s="965"/>
      <c r="J772" s="965"/>
      <c r="K772" s="965"/>
      <c r="L772" s="965"/>
      <c r="M772" s="965"/>
      <c r="N772" s="965"/>
      <c r="O772" s="965"/>
      <c r="P772" s="965"/>
      <c r="Q772" s="965"/>
      <c r="R772" s="965"/>
      <c r="S772" s="965"/>
      <c r="T772" s="965"/>
      <c r="U772" s="965"/>
      <c r="V772" s="965"/>
      <c r="W772" s="965"/>
      <c r="X772" s="965"/>
      <c r="Y772" s="965"/>
      <c r="Z772" s="965"/>
    </row>
    <row r="773">
      <c r="A773" s="965"/>
      <c r="B773" s="965"/>
      <c r="C773" s="965"/>
      <c r="D773" s="965"/>
      <c r="E773" s="965"/>
      <c r="F773" s="965"/>
      <c r="G773" s="965"/>
      <c r="H773" s="965"/>
      <c r="I773" s="965"/>
      <c r="J773" s="965"/>
      <c r="K773" s="965"/>
      <c r="L773" s="965"/>
      <c r="M773" s="965"/>
      <c r="N773" s="965"/>
      <c r="O773" s="965"/>
      <c r="P773" s="965"/>
      <c r="Q773" s="965"/>
      <c r="R773" s="965"/>
      <c r="S773" s="965"/>
      <c r="T773" s="965"/>
      <c r="U773" s="965"/>
      <c r="V773" s="965"/>
      <c r="W773" s="965"/>
      <c r="X773" s="965"/>
      <c r="Y773" s="965"/>
      <c r="Z773" s="965"/>
    </row>
    <row r="774">
      <c r="A774" s="965"/>
      <c r="B774" s="965"/>
      <c r="C774" s="965"/>
      <c r="D774" s="965"/>
      <c r="E774" s="965"/>
      <c r="F774" s="965"/>
      <c r="G774" s="965"/>
      <c r="H774" s="965"/>
      <c r="I774" s="965"/>
      <c r="J774" s="965"/>
      <c r="K774" s="965"/>
      <c r="L774" s="965"/>
      <c r="M774" s="965"/>
      <c r="N774" s="965"/>
      <c r="O774" s="965"/>
      <c r="P774" s="965"/>
      <c r="Q774" s="965"/>
      <c r="R774" s="965"/>
      <c r="S774" s="965"/>
      <c r="T774" s="965"/>
      <c r="U774" s="965"/>
      <c r="V774" s="965"/>
      <c r="W774" s="965"/>
      <c r="X774" s="965"/>
      <c r="Y774" s="965"/>
      <c r="Z774" s="965"/>
    </row>
    <row r="775">
      <c r="A775" s="965"/>
      <c r="B775" s="965"/>
      <c r="C775" s="965"/>
      <c r="D775" s="965"/>
      <c r="E775" s="965"/>
      <c r="F775" s="965"/>
      <c r="G775" s="965"/>
      <c r="H775" s="965"/>
      <c r="I775" s="965"/>
      <c r="J775" s="965"/>
      <c r="K775" s="965"/>
      <c r="L775" s="965"/>
      <c r="M775" s="965"/>
      <c r="N775" s="965"/>
      <c r="O775" s="965"/>
      <c r="P775" s="965"/>
      <c r="Q775" s="965"/>
      <c r="R775" s="965"/>
      <c r="S775" s="965"/>
      <c r="T775" s="965"/>
      <c r="U775" s="965"/>
      <c r="V775" s="965"/>
      <c r="W775" s="965"/>
      <c r="X775" s="965"/>
      <c r="Y775" s="965"/>
      <c r="Z775" s="965"/>
    </row>
    <row r="776">
      <c r="A776" s="965"/>
      <c r="B776" s="965"/>
      <c r="C776" s="965"/>
      <c r="D776" s="965"/>
      <c r="E776" s="965"/>
      <c r="F776" s="965"/>
      <c r="G776" s="965"/>
      <c r="H776" s="965"/>
      <c r="I776" s="965"/>
      <c r="J776" s="965"/>
      <c r="K776" s="965"/>
      <c r="L776" s="965"/>
      <c r="M776" s="965"/>
      <c r="N776" s="965"/>
      <c r="O776" s="965"/>
      <c r="P776" s="965"/>
      <c r="Q776" s="965"/>
      <c r="R776" s="965"/>
      <c r="S776" s="965"/>
      <c r="T776" s="965"/>
      <c r="U776" s="965"/>
      <c r="V776" s="965"/>
      <c r="W776" s="965"/>
      <c r="X776" s="965"/>
      <c r="Y776" s="965"/>
      <c r="Z776" s="965"/>
    </row>
    <row r="777">
      <c r="A777" s="965"/>
      <c r="B777" s="965"/>
      <c r="C777" s="965"/>
      <c r="D777" s="965"/>
      <c r="E777" s="965"/>
      <c r="F777" s="965"/>
      <c r="G777" s="965"/>
      <c r="H777" s="965"/>
      <c r="I777" s="965"/>
      <c r="J777" s="965"/>
      <c r="K777" s="965"/>
      <c r="L777" s="965"/>
      <c r="M777" s="965"/>
      <c r="N777" s="965"/>
      <c r="O777" s="965"/>
      <c r="P777" s="965"/>
      <c r="Q777" s="965"/>
      <c r="R777" s="965"/>
      <c r="S777" s="965"/>
      <c r="T777" s="965"/>
      <c r="U777" s="965"/>
      <c r="V777" s="965"/>
      <c r="W777" s="965"/>
      <c r="X777" s="965"/>
      <c r="Y777" s="965"/>
      <c r="Z777" s="965"/>
    </row>
    <row r="778">
      <c r="A778" s="965"/>
      <c r="B778" s="965"/>
      <c r="C778" s="965"/>
      <c r="D778" s="965"/>
      <c r="E778" s="965"/>
      <c r="F778" s="965"/>
      <c r="G778" s="965"/>
      <c r="H778" s="965"/>
      <c r="I778" s="965"/>
      <c r="J778" s="965"/>
      <c r="K778" s="965"/>
      <c r="L778" s="965"/>
      <c r="M778" s="965"/>
      <c r="N778" s="965"/>
      <c r="O778" s="965"/>
      <c r="P778" s="965"/>
      <c r="Q778" s="965"/>
      <c r="R778" s="965"/>
      <c r="S778" s="965"/>
      <c r="T778" s="965"/>
      <c r="U778" s="965"/>
      <c r="V778" s="965"/>
      <c r="W778" s="965"/>
      <c r="X778" s="965"/>
      <c r="Y778" s="965"/>
      <c r="Z778" s="965"/>
    </row>
    <row r="779">
      <c r="A779" s="965"/>
      <c r="B779" s="965"/>
      <c r="C779" s="965"/>
      <c r="D779" s="965"/>
      <c r="E779" s="965"/>
      <c r="F779" s="965"/>
      <c r="G779" s="965"/>
      <c r="H779" s="965"/>
      <c r="I779" s="965"/>
      <c r="J779" s="965"/>
      <c r="K779" s="965"/>
      <c r="L779" s="965"/>
      <c r="M779" s="965"/>
      <c r="N779" s="965"/>
      <c r="O779" s="965"/>
      <c r="P779" s="965"/>
      <c r="Q779" s="965"/>
      <c r="R779" s="965"/>
      <c r="S779" s="965"/>
      <c r="T779" s="965"/>
      <c r="U779" s="965"/>
      <c r="V779" s="965"/>
      <c r="W779" s="965"/>
      <c r="X779" s="965"/>
      <c r="Y779" s="965"/>
      <c r="Z779" s="965"/>
    </row>
    <row r="780">
      <c r="A780" s="965"/>
      <c r="B780" s="965"/>
      <c r="C780" s="965"/>
      <c r="D780" s="965"/>
      <c r="E780" s="965"/>
      <c r="F780" s="965"/>
      <c r="G780" s="965"/>
      <c r="H780" s="965"/>
      <c r="I780" s="965"/>
      <c r="J780" s="965"/>
      <c r="K780" s="965"/>
      <c r="L780" s="965"/>
      <c r="M780" s="965"/>
      <c r="N780" s="965"/>
      <c r="O780" s="965"/>
      <c r="P780" s="965"/>
      <c r="Q780" s="965"/>
      <c r="R780" s="965"/>
      <c r="S780" s="965"/>
      <c r="T780" s="965"/>
      <c r="U780" s="965"/>
      <c r="V780" s="965"/>
      <c r="W780" s="965"/>
      <c r="X780" s="965"/>
      <c r="Y780" s="965"/>
      <c r="Z780" s="965"/>
    </row>
    <row r="781">
      <c r="A781" s="965"/>
      <c r="B781" s="965"/>
      <c r="C781" s="965"/>
      <c r="D781" s="965"/>
      <c r="E781" s="965"/>
      <c r="F781" s="965"/>
      <c r="G781" s="965"/>
      <c r="H781" s="965"/>
      <c r="I781" s="965"/>
      <c r="J781" s="965"/>
      <c r="K781" s="965"/>
      <c r="L781" s="965"/>
      <c r="M781" s="965"/>
      <c r="N781" s="965"/>
      <c r="O781" s="965"/>
      <c r="P781" s="965"/>
      <c r="Q781" s="965"/>
      <c r="R781" s="965"/>
      <c r="S781" s="965"/>
      <c r="T781" s="965"/>
      <c r="U781" s="965"/>
      <c r="V781" s="965"/>
      <c r="W781" s="965"/>
      <c r="X781" s="965"/>
      <c r="Y781" s="965"/>
      <c r="Z781" s="965"/>
    </row>
    <row r="782">
      <c r="A782" s="965"/>
      <c r="B782" s="965"/>
      <c r="C782" s="965"/>
      <c r="D782" s="965"/>
      <c r="E782" s="965"/>
      <c r="F782" s="965"/>
      <c r="G782" s="965"/>
      <c r="H782" s="965"/>
      <c r="I782" s="965"/>
      <c r="J782" s="965"/>
      <c r="K782" s="965"/>
      <c r="L782" s="965"/>
      <c r="M782" s="965"/>
      <c r="N782" s="965"/>
      <c r="O782" s="965"/>
      <c r="P782" s="965"/>
      <c r="Q782" s="965"/>
      <c r="R782" s="965"/>
      <c r="S782" s="965"/>
      <c r="T782" s="965"/>
      <c r="U782" s="965"/>
      <c r="V782" s="965"/>
      <c r="W782" s="965"/>
      <c r="X782" s="965"/>
      <c r="Y782" s="965"/>
      <c r="Z782" s="965"/>
    </row>
    <row r="783">
      <c r="A783" s="965"/>
      <c r="B783" s="965"/>
      <c r="C783" s="965"/>
      <c r="D783" s="965"/>
      <c r="E783" s="965"/>
      <c r="F783" s="965"/>
      <c r="G783" s="965"/>
      <c r="H783" s="965"/>
      <c r="I783" s="965"/>
      <c r="J783" s="965"/>
      <c r="K783" s="965"/>
      <c r="L783" s="965"/>
      <c r="M783" s="965"/>
      <c r="N783" s="965"/>
      <c r="O783" s="965"/>
      <c r="P783" s="965"/>
      <c r="Q783" s="965"/>
      <c r="R783" s="965"/>
      <c r="S783" s="965"/>
      <c r="T783" s="965"/>
      <c r="U783" s="965"/>
      <c r="V783" s="965"/>
      <c r="W783" s="965"/>
      <c r="X783" s="965"/>
      <c r="Y783" s="965"/>
      <c r="Z783" s="965"/>
    </row>
    <row r="784">
      <c r="A784" s="965"/>
      <c r="B784" s="965"/>
      <c r="C784" s="965"/>
      <c r="D784" s="965"/>
      <c r="E784" s="965"/>
      <c r="F784" s="965"/>
      <c r="G784" s="965"/>
      <c r="H784" s="965"/>
      <c r="I784" s="965"/>
      <c r="J784" s="965"/>
      <c r="K784" s="965"/>
      <c r="L784" s="965"/>
      <c r="M784" s="965"/>
      <c r="N784" s="965"/>
      <c r="O784" s="965"/>
      <c r="P784" s="965"/>
      <c r="Q784" s="965"/>
      <c r="R784" s="965"/>
      <c r="S784" s="965"/>
      <c r="T784" s="965"/>
      <c r="U784" s="965"/>
      <c r="V784" s="965"/>
      <c r="W784" s="965"/>
      <c r="X784" s="965"/>
      <c r="Y784" s="965"/>
      <c r="Z784" s="965"/>
    </row>
    <row r="785">
      <c r="A785" s="965"/>
      <c r="B785" s="965"/>
      <c r="C785" s="965"/>
      <c r="D785" s="965"/>
      <c r="E785" s="965"/>
      <c r="F785" s="965"/>
      <c r="G785" s="965"/>
      <c r="H785" s="965"/>
      <c r="I785" s="965"/>
      <c r="J785" s="965"/>
      <c r="K785" s="965"/>
      <c r="L785" s="965"/>
      <c r="M785" s="965"/>
      <c r="N785" s="965"/>
      <c r="O785" s="965"/>
      <c r="P785" s="965"/>
      <c r="Q785" s="965"/>
      <c r="R785" s="965"/>
      <c r="S785" s="965"/>
      <c r="T785" s="965"/>
      <c r="U785" s="965"/>
      <c r="V785" s="965"/>
      <c r="W785" s="965"/>
      <c r="X785" s="965"/>
      <c r="Y785" s="965"/>
      <c r="Z785" s="965"/>
    </row>
    <row r="786">
      <c r="A786" s="965"/>
      <c r="B786" s="965"/>
      <c r="C786" s="965"/>
      <c r="D786" s="965"/>
      <c r="E786" s="965"/>
      <c r="F786" s="965"/>
      <c r="G786" s="965"/>
      <c r="H786" s="965"/>
      <c r="I786" s="965"/>
      <c r="J786" s="965"/>
      <c r="K786" s="965"/>
      <c r="L786" s="965"/>
      <c r="M786" s="965"/>
      <c r="N786" s="965"/>
      <c r="O786" s="965"/>
      <c r="P786" s="965"/>
      <c r="Q786" s="965"/>
      <c r="R786" s="965"/>
      <c r="S786" s="965"/>
      <c r="T786" s="965"/>
      <c r="U786" s="965"/>
      <c r="V786" s="965"/>
      <c r="W786" s="965"/>
      <c r="X786" s="965"/>
      <c r="Y786" s="965"/>
      <c r="Z786" s="965"/>
    </row>
    <row r="787">
      <c r="A787" s="965"/>
      <c r="B787" s="965"/>
      <c r="C787" s="965"/>
      <c r="D787" s="965"/>
      <c r="E787" s="965"/>
      <c r="F787" s="965"/>
      <c r="G787" s="965"/>
      <c r="H787" s="965"/>
      <c r="I787" s="965"/>
      <c r="J787" s="965"/>
      <c r="K787" s="965"/>
      <c r="L787" s="965"/>
      <c r="M787" s="965"/>
      <c r="N787" s="965"/>
      <c r="O787" s="965"/>
      <c r="P787" s="965"/>
      <c r="Q787" s="965"/>
      <c r="R787" s="965"/>
      <c r="S787" s="965"/>
      <c r="T787" s="965"/>
      <c r="U787" s="965"/>
      <c r="V787" s="965"/>
      <c r="W787" s="965"/>
      <c r="X787" s="965"/>
      <c r="Y787" s="965"/>
      <c r="Z787" s="965"/>
    </row>
    <row r="788">
      <c r="A788" s="965"/>
      <c r="B788" s="965"/>
      <c r="C788" s="965"/>
      <c r="D788" s="965"/>
      <c r="E788" s="965"/>
      <c r="F788" s="965"/>
      <c r="G788" s="965"/>
      <c r="H788" s="965"/>
      <c r="I788" s="965"/>
      <c r="J788" s="965"/>
      <c r="K788" s="965"/>
      <c r="L788" s="965"/>
      <c r="M788" s="965"/>
      <c r="N788" s="965"/>
      <c r="O788" s="965"/>
      <c r="P788" s="965"/>
      <c r="Q788" s="965"/>
      <c r="R788" s="965"/>
      <c r="S788" s="965"/>
      <c r="T788" s="965"/>
      <c r="U788" s="965"/>
      <c r="V788" s="965"/>
      <c r="W788" s="965"/>
      <c r="X788" s="965"/>
      <c r="Y788" s="965"/>
      <c r="Z788" s="965"/>
    </row>
    <row r="789">
      <c r="A789" s="965"/>
      <c r="B789" s="965"/>
      <c r="C789" s="965"/>
      <c r="D789" s="965"/>
      <c r="E789" s="965"/>
      <c r="F789" s="965"/>
      <c r="G789" s="965"/>
      <c r="H789" s="965"/>
      <c r="I789" s="965"/>
      <c r="J789" s="965"/>
      <c r="K789" s="965"/>
      <c r="L789" s="965"/>
      <c r="M789" s="965"/>
      <c r="N789" s="965"/>
      <c r="O789" s="965"/>
      <c r="P789" s="965"/>
      <c r="Q789" s="965"/>
      <c r="R789" s="965"/>
      <c r="S789" s="965"/>
      <c r="T789" s="965"/>
      <c r="U789" s="965"/>
      <c r="V789" s="965"/>
      <c r="W789" s="965"/>
      <c r="X789" s="965"/>
      <c r="Y789" s="965"/>
      <c r="Z789" s="965"/>
    </row>
    <row r="790">
      <c r="A790" s="965"/>
      <c r="B790" s="965"/>
      <c r="C790" s="965"/>
      <c r="D790" s="965"/>
      <c r="E790" s="965"/>
      <c r="F790" s="965"/>
      <c r="G790" s="965"/>
      <c r="H790" s="965"/>
      <c r="I790" s="965"/>
      <c r="J790" s="965"/>
      <c r="K790" s="965"/>
      <c r="L790" s="965"/>
      <c r="M790" s="965"/>
      <c r="N790" s="965"/>
      <c r="O790" s="965"/>
      <c r="P790" s="965"/>
      <c r="Q790" s="965"/>
      <c r="R790" s="965"/>
      <c r="S790" s="965"/>
      <c r="T790" s="965"/>
      <c r="U790" s="965"/>
      <c r="V790" s="965"/>
      <c r="W790" s="965"/>
      <c r="X790" s="965"/>
      <c r="Y790" s="965"/>
      <c r="Z790" s="965"/>
    </row>
    <row r="791">
      <c r="A791" s="965"/>
      <c r="B791" s="965"/>
      <c r="C791" s="965"/>
      <c r="D791" s="965"/>
      <c r="E791" s="965"/>
      <c r="F791" s="965"/>
      <c r="G791" s="965"/>
      <c r="H791" s="965"/>
      <c r="I791" s="965"/>
      <c r="J791" s="965"/>
      <c r="K791" s="965"/>
      <c r="L791" s="965"/>
      <c r="M791" s="965"/>
      <c r="N791" s="965"/>
      <c r="O791" s="965"/>
      <c r="P791" s="965"/>
      <c r="Q791" s="965"/>
      <c r="R791" s="965"/>
      <c r="S791" s="965"/>
      <c r="T791" s="965"/>
      <c r="U791" s="965"/>
      <c r="V791" s="965"/>
      <c r="W791" s="965"/>
      <c r="X791" s="965"/>
      <c r="Y791" s="965"/>
      <c r="Z791" s="965"/>
    </row>
    <row r="792">
      <c r="A792" s="965"/>
      <c r="B792" s="965"/>
      <c r="C792" s="965"/>
      <c r="D792" s="965"/>
      <c r="E792" s="965"/>
      <c r="F792" s="965"/>
      <c r="G792" s="965"/>
      <c r="H792" s="965"/>
      <c r="I792" s="965"/>
      <c r="J792" s="965"/>
      <c r="K792" s="965"/>
      <c r="L792" s="965"/>
      <c r="M792" s="965"/>
      <c r="N792" s="965"/>
      <c r="O792" s="965"/>
      <c r="P792" s="965"/>
      <c r="Q792" s="965"/>
      <c r="R792" s="965"/>
      <c r="S792" s="965"/>
      <c r="T792" s="965"/>
      <c r="U792" s="965"/>
      <c r="V792" s="965"/>
      <c r="W792" s="965"/>
      <c r="X792" s="965"/>
      <c r="Y792" s="965"/>
      <c r="Z792" s="965"/>
    </row>
    <row r="793">
      <c r="A793" s="965"/>
      <c r="B793" s="965"/>
      <c r="C793" s="965"/>
      <c r="D793" s="965"/>
      <c r="E793" s="965"/>
      <c r="F793" s="965"/>
      <c r="G793" s="965"/>
      <c r="H793" s="965"/>
      <c r="I793" s="965"/>
      <c r="J793" s="965"/>
      <c r="K793" s="965"/>
      <c r="L793" s="965"/>
      <c r="M793" s="965"/>
      <c r="N793" s="965"/>
      <c r="O793" s="965"/>
      <c r="P793" s="965"/>
      <c r="Q793" s="965"/>
      <c r="R793" s="965"/>
      <c r="S793" s="965"/>
      <c r="T793" s="965"/>
      <c r="U793" s="965"/>
      <c r="V793" s="965"/>
      <c r="W793" s="965"/>
      <c r="X793" s="965"/>
      <c r="Y793" s="965"/>
      <c r="Z793" s="965"/>
    </row>
    <row r="794">
      <c r="A794" s="965"/>
      <c r="B794" s="965"/>
      <c r="C794" s="965"/>
      <c r="D794" s="965"/>
      <c r="E794" s="965"/>
      <c r="F794" s="965"/>
      <c r="G794" s="965"/>
      <c r="H794" s="965"/>
      <c r="I794" s="965"/>
      <c r="J794" s="965"/>
      <c r="K794" s="965"/>
      <c r="L794" s="965"/>
      <c r="M794" s="965"/>
      <c r="N794" s="965"/>
      <c r="O794" s="965"/>
      <c r="P794" s="965"/>
      <c r="Q794" s="965"/>
      <c r="R794" s="965"/>
      <c r="S794" s="965"/>
      <c r="T794" s="965"/>
      <c r="U794" s="965"/>
      <c r="V794" s="965"/>
      <c r="W794" s="965"/>
      <c r="X794" s="965"/>
      <c r="Y794" s="965"/>
      <c r="Z794" s="965"/>
    </row>
    <row r="795">
      <c r="A795" s="965"/>
      <c r="B795" s="965"/>
      <c r="C795" s="965"/>
      <c r="D795" s="965"/>
      <c r="E795" s="965"/>
      <c r="F795" s="965"/>
      <c r="G795" s="965"/>
      <c r="H795" s="965"/>
      <c r="I795" s="965"/>
      <c r="J795" s="965"/>
      <c r="K795" s="965"/>
      <c r="L795" s="965"/>
      <c r="M795" s="965"/>
      <c r="N795" s="965"/>
      <c r="O795" s="965"/>
      <c r="P795" s="965"/>
      <c r="Q795" s="965"/>
      <c r="R795" s="965"/>
      <c r="S795" s="965"/>
      <c r="T795" s="965"/>
      <c r="U795" s="965"/>
      <c r="V795" s="965"/>
      <c r="W795" s="965"/>
      <c r="X795" s="965"/>
      <c r="Y795" s="965"/>
      <c r="Z795" s="965"/>
    </row>
    <row r="796">
      <c r="A796" s="965"/>
      <c r="B796" s="965"/>
      <c r="C796" s="965"/>
      <c r="D796" s="965"/>
      <c r="E796" s="965"/>
      <c r="F796" s="965"/>
      <c r="G796" s="965"/>
      <c r="H796" s="965"/>
      <c r="I796" s="965"/>
      <c r="J796" s="965"/>
      <c r="K796" s="965"/>
      <c r="L796" s="965"/>
      <c r="M796" s="965"/>
      <c r="N796" s="965"/>
      <c r="O796" s="965"/>
      <c r="P796" s="965"/>
      <c r="Q796" s="965"/>
      <c r="R796" s="965"/>
      <c r="S796" s="965"/>
      <c r="T796" s="965"/>
      <c r="U796" s="965"/>
      <c r="V796" s="965"/>
      <c r="W796" s="965"/>
      <c r="X796" s="965"/>
      <c r="Y796" s="965"/>
      <c r="Z796" s="965"/>
    </row>
    <row r="797">
      <c r="A797" s="965"/>
      <c r="B797" s="965"/>
      <c r="C797" s="965"/>
      <c r="D797" s="965"/>
      <c r="E797" s="965"/>
      <c r="F797" s="965"/>
      <c r="G797" s="965"/>
      <c r="H797" s="965"/>
      <c r="I797" s="965"/>
      <c r="J797" s="965"/>
      <c r="K797" s="965"/>
      <c r="L797" s="965"/>
      <c r="M797" s="965"/>
      <c r="N797" s="965"/>
      <c r="O797" s="965"/>
      <c r="P797" s="965"/>
      <c r="Q797" s="965"/>
      <c r="R797" s="965"/>
      <c r="S797" s="965"/>
      <c r="T797" s="965"/>
      <c r="U797" s="965"/>
      <c r="V797" s="965"/>
      <c r="W797" s="965"/>
      <c r="X797" s="965"/>
      <c r="Y797" s="965"/>
      <c r="Z797" s="965"/>
    </row>
    <row r="798">
      <c r="A798" s="965"/>
      <c r="B798" s="965"/>
      <c r="C798" s="965"/>
      <c r="D798" s="965"/>
      <c r="E798" s="965"/>
      <c r="F798" s="965"/>
      <c r="G798" s="965"/>
      <c r="H798" s="965"/>
      <c r="I798" s="965"/>
      <c r="J798" s="965"/>
      <c r="K798" s="965"/>
      <c r="L798" s="965"/>
      <c r="M798" s="965"/>
      <c r="N798" s="965"/>
      <c r="O798" s="965"/>
      <c r="P798" s="965"/>
      <c r="Q798" s="965"/>
      <c r="R798" s="965"/>
      <c r="S798" s="965"/>
      <c r="T798" s="965"/>
      <c r="U798" s="965"/>
      <c r="V798" s="965"/>
      <c r="W798" s="965"/>
      <c r="X798" s="965"/>
      <c r="Y798" s="965"/>
      <c r="Z798" s="965"/>
    </row>
    <row r="799">
      <c r="A799" s="965"/>
      <c r="B799" s="965"/>
      <c r="C799" s="965"/>
      <c r="D799" s="965"/>
      <c r="E799" s="965"/>
      <c r="F799" s="965"/>
      <c r="G799" s="965"/>
      <c r="H799" s="965"/>
      <c r="I799" s="965"/>
      <c r="J799" s="965"/>
      <c r="K799" s="965"/>
      <c r="L799" s="965"/>
      <c r="M799" s="965"/>
      <c r="N799" s="965"/>
      <c r="O799" s="965"/>
      <c r="P799" s="965"/>
      <c r="Q799" s="965"/>
      <c r="R799" s="965"/>
      <c r="S799" s="965"/>
      <c r="T799" s="965"/>
      <c r="U799" s="965"/>
      <c r="V799" s="965"/>
      <c r="W799" s="965"/>
      <c r="X799" s="965"/>
      <c r="Y799" s="965"/>
      <c r="Z799" s="965"/>
    </row>
    <row r="800">
      <c r="A800" s="965"/>
      <c r="B800" s="965"/>
      <c r="C800" s="965"/>
      <c r="D800" s="965"/>
      <c r="E800" s="965"/>
      <c r="F800" s="965"/>
      <c r="G800" s="965"/>
      <c r="H800" s="965"/>
      <c r="I800" s="965"/>
      <c r="J800" s="965"/>
      <c r="K800" s="965"/>
      <c r="L800" s="965"/>
      <c r="M800" s="965"/>
      <c r="N800" s="965"/>
      <c r="O800" s="965"/>
      <c r="P800" s="965"/>
      <c r="Q800" s="965"/>
      <c r="R800" s="965"/>
      <c r="S800" s="965"/>
      <c r="T800" s="965"/>
      <c r="U800" s="965"/>
      <c r="V800" s="965"/>
      <c r="W800" s="965"/>
      <c r="X800" s="965"/>
      <c r="Y800" s="965"/>
      <c r="Z800" s="965"/>
    </row>
    <row r="801">
      <c r="A801" s="965"/>
      <c r="B801" s="965"/>
      <c r="C801" s="965"/>
      <c r="D801" s="965"/>
      <c r="E801" s="965"/>
      <c r="F801" s="965"/>
      <c r="G801" s="965"/>
      <c r="H801" s="965"/>
      <c r="I801" s="965"/>
      <c r="J801" s="965"/>
      <c r="K801" s="965"/>
      <c r="L801" s="965"/>
      <c r="M801" s="965"/>
      <c r="N801" s="965"/>
      <c r="O801" s="965"/>
      <c r="P801" s="965"/>
      <c r="Q801" s="965"/>
      <c r="R801" s="965"/>
      <c r="S801" s="965"/>
      <c r="T801" s="965"/>
      <c r="U801" s="965"/>
      <c r="V801" s="965"/>
      <c r="W801" s="965"/>
      <c r="X801" s="965"/>
      <c r="Y801" s="965"/>
      <c r="Z801" s="965"/>
    </row>
    <row r="802">
      <c r="A802" s="965"/>
      <c r="B802" s="965"/>
      <c r="C802" s="965"/>
      <c r="D802" s="965"/>
      <c r="E802" s="965"/>
      <c r="F802" s="965"/>
      <c r="G802" s="965"/>
      <c r="H802" s="965"/>
      <c r="I802" s="965"/>
      <c r="J802" s="965"/>
      <c r="K802" s="965"/>
      <c r="L802" s="965"/>
      <c r="M802" s="965"/>
      <c r="N802" s="965"/>
      <c r="O802" s="965"/>
      <c r="P802" s="965"/>
      <c r="Q802" s="965"/>
      <c r="R802" s="965"/>
      <c r="S802" s="965"/>
      <c r="T802" s="965"/>
      <c r="U802" s="965"/>
      <c r="V802" s="965"/>
      <c r="W802" s="965"/>
      <c r="X802" s="965"/>
      <c r="Y802" s="965"/>
      <c r="Z802" s="965"/>
    </row>
    <row r="803">
      <c r="A803" s="965"/>
      <c r="B803" s="965"/>
      <c r="C803" s="965"/>
      <c r="D803" s="965"/>
      <c r="E803" s="965"/>
      <c r="F803" s="965"/>
      <c r="G803" s="965"/>
      <c r="H803" s="965"/>
      <c r="I803" s="965"/>
      <c r="J803" s="965"/>
      <c r="K803" s="965"/>
      <c r="L803" s="965"/>
      <c r="M803" s="965"/>
      <c r="N803" s="965"/>
      <c r="O803" s="965"/>
      <c r="P803" s="965"/>
      <c r="Q803" s="965"/>
      <c r="R803" s="965"/>
      <c r="S803" s="965"/>
      <c r="T803" s="965"/>
      <c r="U803" s="965"/>
      <c r="V803" s="965"/>
      <c r="W803" s="965"/>
      <c r="X803" s="965"/>
      <c r="Y803" s="965"/>
      <c r="Z803" s="965"/>
    </row>
    <row r="804">
      <c r="A804" s="965"/>
      <c r="B804" s="965"/>
      <c r="C804" s="965"/>
      <c r="D804" s="965"/>
      <c r="E804" s="965"/>
      <c r="F804" s="965"/>
      <c r="G804" s="965"/>
      <c r="H804" s="965"/>
      <c r="I804" s="965"/>
      <c r="J804" s="965"/>
      <c r="K804" s="965"/>
      <c r="L804" s="965"/>
      <c r="M804" s="965"/>
      <c r="N804" s="965"/>
      <c r="O804" s="965"/>
      <c r="P804" s="965"/>
      <c r="Q804" s="965"/>
      <c r="R804" s="965"/>
      <c r="S804" s="965"/>
      <c r="T804" s="965"/>
      <c r="U804" s="965"/>
      <c r="V804" s="965"/>
      <c r="W804" s="965"/>
      <c r="X804" s="965"/>
      <c r="Y804" s="965"/>
      <c r="Z804" s="965"/>
    </row>
    <row r="805">
      <c r="A805" s="965"/>
      <c r="B805" s="965"/>
      <c r="C805" s="965"/>
      <c r="D805" s="965"/>
      <c r="E805" s="965"/>
      <c r="F805" s="965"/>
      <c r="G805" s="965"/>
      <c r="H805" s="965"/>
      <c r="I805" s="965"/>
      <c r="J805" s="965"/>
      <c r="K805" s="965"/>
      <c r="L805" s="965"/>
      <c r="M805" s="965"/>
      <c r="N805" s="965"/>
      <c r="O805" s="965"/>
      <c r="P805" s="965"/>
      <c r="Q805" s="965"/>
      <c r="R805" s="965"/>
      <c r="S805" s="965"/>
      <c r="T805" s="965"/>
      <c r="U805" s="965"/>
      <c r="V805" s="965"/>
      <c r="W805" s="965"/>
      <c r="X805" s="965"/>
      <c r="Y805" s="965"/>
      <c r="Z805" s="965"/>
    </row>
    <row r="806">
      <c r="A806" s="965"/>
      <c r="B806" s="965"/>
      <c r="C806" s="965"/>
      <c r="D806" s="965"/>
      <c r="E806" s="965"/>
      <c r="F806" s="965"/>
      <c r="G806" s="965"/>
      <c r="H806" s="965"/>
      <c r="I806" s="965"/>
      <c r="J806" s="965"/>
      <c r="K806" s="965"/>
      <c r="L806" s="965"/>
      <c r="M806" s="965"/>
      <c r="N806" s="965"/>
      <c r="O806" s="965"/>
      <c r="P806" s="965"/>
      <c r="Q806" s="965"/>
      <c r="R806" s="965"/>
      <c r="S806" s="965"/>
      <c r="T806" s="965"/>
      <c r="U806" s="965"/>
      <c r="V806" s="965"/>
      <c r="W806" s="965"/>
      <c r="X806" s="965"/>
      <c r="Y806" s="965"/>
      <c r="Z806" s="965"/>
    </row>
    <row r="807">
      <c r="A807" s="965"/>
      <c r="B807" s="965"/>
      <c r="C807" s="965"/>
      <c r="D807" s="965"/>
      <c r="E807" s="965"/>
      <c r="F807" s="965"/>
      <c r="G807" s="965"/>
      <c r="H807" s="965"/>
      <c r="I807" s="965"/>
      <c r="J807" s="965"/>
      <c r="K807" s="965"/>
      <c r="L807" s="965"/>
      <c r="M807" s="965"/>
      <c r="N807" s="965"/>
      <c r="O807" s="965"/>
      <c r="P807" s="965"/>
      <c r="Q807" s="965"/>
      <c r="R807" s="965"/>
      <c r="S807" s="965"/>
      <c r="T807" s="965"/>
      <c r="U807" s="965"/>
      <c r="V807" s="965"/>
      <c r="W807" s="965"/>
      <c r="X807" s="965"/>
      <c r="Y807" s="965"/>
      <c r="Z807" s="965"/>
    </row>
    <row r="808">
      <c r="A808" s="965"/>
      <c r="B808" s="965"/>
      <c r="C808" s="965"/>
      <c r="D808" s="965"/>
      <c r="E808" s="965"/>
      <c r="F808" s="965"/>
      <c r="G808" s="965"/>
      <c r="H808" s="965"/>
      <c r="I808" s="965"/>
      <c r="J808" s="965"/>
      <c r="K808" s="965"/>
      <c r="L808" s="965"/>
      <c r="M808" s="965"/>
      <c r="N808" s="965"/>
      <c r="O808" s="965"/>
      <c r="P808" s="965"/>
      <c r="Q808" s="965"/>
      <c r="R808" s="965"/>
      <c r="S808" s="965"/>
      <c r="T808" s="965"/>
      <c r="U808" s="965"/>
      <c r="V808" s="965"/>
      <c r="W808" s="965"/>
      <c r="X808" s="965"/>
      <c r="Y808" s="965"/>
      <c r="Z808" s="965"/>
    </row>
    <row r="809">
      <c r="A809" s="965"/>
      <c r="B809" s="965"/>
      <c r="C809" s="965"/>
      <c r="D809" s="965"/>
      <c r="E809" s="965"/>
      <c r="F809" s="965"/>
      <c r="G809" s="965"/>
      <c r="H809" s="965"/>
      <c r="I809" s="965"/>
      <c r="J809" s="965"/>
      <c r="K809" s="965"/>
      <c r="L809" s="965"/>
      <c r="M809" s="965"/>
      <c r="N809" s="965"/>
      <c r="O809" s="965"/>
      <c r="P809" s="965"/>
      <c r="Q809" s="965"/>
      <c r="R809" s="965"/>
      <c r="S809" s="965"/>
      <c r="T809" s="965"/>
      <c r="U809" s="965"/>
      <c r="V809" s="965"/>
      <c r="W809" s="965"/>
      <c r="X809" s="965"/>
      <c r="Y809" s="965"/>
      <c r="Z809" s="965"/>
    </row>
    <row r="810">
      <c r="A810" s="965"/>
      <c r="B810" s="965"/>
      <c r="C810" s="965"/>
      <c r="D810" s="965"/>
      <c r="E810" s="965"/>
      <c r="F810" s="965"/>
      <c r="G810" s="965"/>
      <c r="H810" s="965"/>
      <c r="I810" s="965"/>
      <c r="J810" s="965"/>
      <c r="K810" s="965"/>
      <c r="L810" s="965"/>
      <c r="M810" s="965"/>
      <c r="N810" s="965"/>
      <c r="O810" s="965"/>
      <c r="P810" s="965"/>
      <c r="Q810" s="965"/>
      <c r="R810" s="965"/>
      <c r="S810" s="965"/>
      <c r="T810" s="965"/>
      <c r="U810" s="965"/>
      <c r="V810" s="965"/>
      <c r="W810" s="965"/>
      <c r="X810" s="965"/>
      <c r="Y810" s="965"/>
      <c r="Z810" s="965"/>
    </row>
    <row r="811">
      <c r="A811" s="965"/>
      <c r="B811" s="965"/>
      <c r="C811" s="965"/>
      <c r="D811" s="965"/>
      <c r="E811" s="965"/>
      <c r="F811" s="965"/>
      <c r="G811" s="965"/>
      <c r="H811" s="965"/>
      <c r="I811" s="965"/>
      <c r="J811" s="965"/>
      <c r="K811" s="965"/>
      <c r="L811" s="965"/>
      <c r="M811" s="965"/>
      <c r="N811" s="965"/>
      <c r="O811" s="965"/>
      <c r="P811" s="965"/>
      <c r="Q811" s="965"/>
      <c r="R811" s="965"/>
      <c r="S811" s="965"/>
      <c r="T811" s="965"/>
      <c r="U811" s="965"/>
      <c r="V811" s="965"/>
      <c r="W811" s="965"/>
      <c r="X811" s="965"/>
      <c r="Y811" s="965"/>
      <c r="Z811" s="965"/>
    </row>
    <row r="812">
      <c r="A812" s="965"/>
      <c r="B812" s="965"/>
      <c r="C812" s="965"/>
      <c r="D812" s="965"/>
      <c r="E812" s="965"/>
      <c r="F812" s="965"/>
      <c r="G812" s="965"/>
      <c r="H812" s="965"/>
      <c r="I812" s="965"/>
      <c r="J812" s="965"/>
      <c r="K812" s="965"/>
      <c r="L812" s="965"/>
      <c r="M812" s="965"/>
      <c r="N812" s="965"/>
      <c r="O812" s="965"/>
      <c r="P812" s="965"/>
      <c r="Q812" s="965"/>
      <c r="R812" s="965"/>
      <c r="S812" s="965"/>
      <c r="T812" s="965"/>
      <c r="U812" s="965"/>
      <c r="V812" s="965"/>
      <c r="W812" s="965"/>
      <c r="X812" s="965"/>
      <c r="Y812" s="965"/>
      <c r="Z812" s="965"/>
    </row>
    <row r="813">
      <c r="A813" s="965"/>
      <c r="B813" s="965"/>
      <c r="C813" s="965"/>
      <c r="D813" s="965"/>
      <c r="E813" s="965"/>
      <c r="F813" s="965"/>
      <c r="G813" s="965"/>
      <c r="H813" s="965"/>
      <c r="I813" s="965"/>
      <c r="J813" s="965"/>
      <c r="K813" s="965"/>
      <c r="L813" s="965"/>
      <c r="M813" s="965"/>
      <c r="N813" s="965"/>
      <c r="O813" s="965"/>
      <c r="P813" s="965"/>
      <c r="Q813" s="965"/>
      <c r="R813" s="965"/>
      <c r="S813" s="965"/>
      <c r="T813" s="965"/>
      <c r="U813" s="965"/>
      <c r="V813" s="965"/>
      <c r="W813" s="965"/>
      <c r="X813" s="965"/>
      <c r="Y813" s="965"/>
      <c r="Z813" s="965"/>
    </row>
    <row r="814">
      <c r="A814" s="965"/>
      <c r="B814" s="965"/>
      <c r="C814" s="965"/>
      <c r="D814" s="965"/>
      <c r="E814" s="965"/>
      <c r="F814" s="965"/>
      <c r="G814" s="965"/>
      <c r="H814" s="965"/>
      <c r="I814" s="965"/>
      <c r="J814" s="965"/>
      <c r="K814" s="965"/>
      <c r="L814" s="965"/>
      <c r="M814" s="965"/>
      <c r="N814" s="965"/>
      <c r="O814" s="965"/>
      <c r="P814" s="965"/>
      <c r="Q814" s="965"/>
      <c r="R814" s="965"/>
      <c r="S814" s="965"/>
      <c r="T814" s="965"/>
      <c r="U814" s="965"/>
      <c r="V814" s="965"/>
      <c r="W814" s="965"/>
      <c r="X814" s="965"/>
      <c r="Y814" s="965"/>
      <c r="Z814" s="965"/>
    </row>
    <row r="815">
      <c r="A815" s="965"/>
      <c r="B815" s="965"/>
      <c r="C815" s="965"/>
      <c r="D815" s="965"/>
      <c r="E815" s="965"/>
      <c r="F815" s="965"/>
      <c r="G815" s="965"/>
      <c r="H815" s="965"/>
      <c r="I815" s="965"/>
      <c r="J815" s="965"/>
      <c r="K815" s="965"/>
      <c r="L815" s="965"/>
      <c r="M815" s="965"/>
      <c r="N815" s="965"/>
      <c r="O815" s="965"/>
      <c r="P815" s="965"/>
      <c r="Q815" s="965"/>
      <c r="R815" s="965"/>
      <c r="S815" s="965"/>
      <c r="T815" s="965"/>
      <c r="U815" s="965"/>
      <c r="V815" s="965"/>
      <c r="W815" s="965"/>
      <c r="X815" s="965"/>
      <c r="Y815" s="965"/>
      <c r="Z815" s="965"/>
    </row>
    <row r="816">
      <c r="A816" s="965"/>
      <c r="B816" s="965"/>
      <c r="C816" s="965"/>
      <c r="D816" s="965"/>
      <c r="E816" s="965"/>
      <c r="F816" s="965"/>
      <c r="G816" s="965"/>
      <c r="H816" s="965"/>
      <c r="I816" s="965"/>
      <c r="J816" s="965"/>
      <c r="K816" s="965"/>
      <c r="L816" s="965"/>
      <c r="M816" s="965"/>
      <c r="N816" s="965"/>
      <c r="O816" s="965"/>
      <c r="P816" s="965"/>
      <c r="Q816" s="965"/>
      <c r="R816" s="965"/>
      <c r="S816" s="965"/>
      <c r="T816" s="965"/>
      <c r="U816" s="965"/>
      <c r="V816" s="965"/>
      <c r="W816" s="965"/>
      <c r="X816" s="965"/>
      <c r="Y816" s="965"/>
      <c r="Z816" s="965"/>
    </row>
    <row r="817">
      <c r="A817" s="965"/>
      <c r="B817" s="965"/>
      <c r="C817" s="965"/>
      <c r="D817" s="965"/>
      <c r="E817" s="965"/>
      <c r="F817" s="965"/>
      <c r="G817" s="965"/>
      <c r="H817" s="965"/>
      <c r="I817" s="965"/>
      <c r="J817" s="965"/>
      <c r="K817" s="965"/>
      <c r="L817" s="965"/>
      <c r="M817" s="965"/>
      <c r="N817" s="965"/>
      <c r="O817" s="965"/>
      <c r="P817" s="965"/>
      <c r="Q817" s="965"/>
      <c r="R817" s="965"/>
      <c r="S817" s="965"/>
      <c r="T817" s="965"/>
      <c r="U817" s="965"/>
      <c r="V817" s="965"/>
      <c r="W817" s="965"/>
      <c r="X817" s="965"/>
      <c r="Y817" s="965"/>
      <c r="Z817" s="965"/>
    </row>
    <row r="818">
      <c r="A818" s="965"/>
      <c r="B818" s="965"/>
      <c r="C818" s="965"/>
      <c r="D818" s="965"/>
      <c r="E818" s="965"/>
      <c r="F818" s="965"/>
      <c r="G818" s="965"/>
      <c r="H818" s="965"/>
      <c r="I818" s="965"/>
      <c r="J818" s="965"/>
      <c r="K818" s="965"/>
      <c r="L818" s="965"/>
      <c r="M818" s="965"/>
      <c r="N818" s="965"/>
      <c r="O818" s="965"/>
      <c r="P818" s="965"/>
      <c r="Q818" s="965"/>
      <c r="R818" s="965"/>
      <c r="S818" s="965"/>
      <c r="T818" s="965"/>
      <c r="U818" s="965"/>
      <c r="V818" s="965"/>
      <c r="W818" s="965"/>
      <c r="X818" s="965"/>
      <c r="Y818" s="965"/>
      <c r="Z818" s="965"/>
    </row>
    <row r="819">
      <c r="A819" s="965"/>
      <c r="B819" s="965"/>
      <c r="C819" s="965"/>
      <c r="D819" s="965"/>
      <c r="E819" s="965"/>
      <c r="F819" s="965"/>
      <c r="G819" s="965"/>
      <c r="H819" s="965"/>
      <c r="I819" s="965"/>
      <c r="J819" s="965"/>
      <c r="K819" s="965"/>
      <c r="L819" s="965"/>
      <c r="M819" s="965"/>
      <c r="N819" s="965"/>
      <c r="O819" s="965"/>
      <c r="P819" s="965"/>
      <c r="Q819" s="965"/>
      <c r="R819" s="965"/>
      <c r="S819" s="965"/>
      <c r="T819" s="965"/>
      <c r="U819" s="965"/>
      <c r="V819" s="965"/>
      <c r="W819" s="965"/>
      <c r="X819" s="965"/>
      <c r="Y819" s="965"/>
      <c r="Z819" s="965"/>
    </row>
    <row r="820">
      <c r="A820" s="965"/>
      <c r="B820" s="965"/>
      <c r="C820" s="965"/>
      <c r="D820" s="965"/>
      <c r="E820" s="965"/>
      <c r="F820" s="965"/>
      <c r="G820" s="965"/>
      <c r="H820" s="965"/>
      <c r="I820" s="965"/>
      <c r="J820" s="965"/>
      <c r="K820" s="965"/>
      <c r="L820" s="965"/>
      <c r="M820" s="965"/>
      <c r="N820" s="965"/>
      <c r="O820" s="965"/>
      <c r="P820" s="965"/>
      <c r="Q820" s="965"/>
      <c r="R820" s="965"/>
      <c r="S820" s="965"/>
      <c r="T820" s="965"/>
      <c r="U820" s="965"/>
      <c r="V820" s="965"/>
      <c r="W820" s="965"/>
      <c r="X820" s="965"/>
      <c r="Y820" s="965"/>
      <c r="Z820" s="965"/>
    </row>
    <row r="821">
      <c r="A821" s="965"/>
      <c r="B821" s="965"/>
      <c r="C821" s="965"/>
      <c r="D821" s="965"/>
      <c r="E821" s="965"/>
      <c r="F821" s="965"/>
      <c r="G821" s="965"/>
      <c r="H821" s="965"/>
      <c r="I821" s="965"/>
      <c r="J821" s="965"/>
      <c r="K821" s="965"/>
      <c r="L821" s="965"/>
      <c r="M821" s="965"/>
      <c r="N821" s="965"/>
      <c r="O821" s="965"/>
      <c r="P821" s="965"/>
      <c r="Q821" s="965"/>
      <c r="R821" s="965"/>
      <c r="S821" s="965"/>
      <c r="T821" s="965"/>
      <c r="U821" s="965"/>
      <c r="V821" s="965"/>
      <c r="W821" s="965"/>
      <c r="X821" s="965"/>
      <c r="Y821" s="965"/>
      <c r="Z821" s="965"/>
    </row>
    <row r="822">
      <c r="A822" s="965"/>
      <c r="B822" s="965"/>
      <c r="C822" s="965"/>
      <c r="D822" s="965"/>
      <c r="E822" s="965"/>
      <c r="F822" s="965"/>
      <c r="G822" s="965"/>
      <c r="H822" s="965"/>
      <c r="I822" s="965"/>
      <c r="J822" s="965"/>
      <c r="K822" s="965"/>
      <c r="L822" s="965"/>
      <c r="M822" s="965"/>
      <c r="N822" s="965"/>
      <c r="O822" s="965"/>
      <c r="P822" s="965"/>
      <c r="Q822" s="965"/>
      <c r="R822" s="965"/>
      <c r="S822" s="965"/>
      <c r="T822" s="965"/>
      <c r="U822" s="965"/>
      <c r="V822" s="965"/>
      <c r="W822" s="965"/>
      <c r="X822" s="965"/>
      <c r="Y822" s="965"/>
      <c r="Z822" s="965"/>
    </row>
    <row r="823">
      <c r="A823" s="965"/>
      <c r="B823" s="965"/>
      <c r="C823" s="965"/>
      <c r="D823" s="965"/>
      <c r="E823" s="965"/>
      <c r="F823" s="965"/>
      <c r="G823" s="965"/>
      <c r="H823" s="965"/>
      <c r="I823" s="965"/>
      <c r="J823" s="965"/>
      <c r="K823" s="965"/>
      <c r="L823" s="965"/>
      <c r="M823" s="965"/>
      <c r="N823" s="965"/>
      <c r="O823" s="965"/>
      <c r="P823" s="965"/>
      <c r="Q823" s="965"/>
      <c r="R823" s="965"/>
      <c r="S823" s="965"/>
      <c r="T823" s="965"/>
      <c r="U823" s="965"/>
      <c r="V823" s="965"/>
      <c r="W823" s="965"/>
      <c r="X823" s="965"/>
      <c r="Y823" s="965"/>
      <c r="Z823" s="965"/>
    </row>
    <row r="824">
      <c r="A824" s="965"/>
      <c r="B824" s="965"/>
      <c r="C824" s="965"/>
      <c r="D824" s="965"/>
      <c r="E824" s="965"/>
      <c r="F824" s="965"/>
      <c r="G824" s="965"/>
      <c r="H824" s="965"/>
      <c r="I824" s="965"/>
      <c r="J824" s="965"/>
      <c r="K824" s="965"/>
      <c r="L824" s="965"/>
      <c r="M824" s="965"/>
      <c r="N824" s="965"/>
      <c r="O824" s="965"/>
      <c r="P824" s="965"/>
      <c r="Q824" s="965"/>
      <c r="R824" s="965"/>
      <c r="S824" s="965"/>
      <c r="T824" s="965"/>
      <c r="U824" s="965"/>
      <c r="V824" s="965"/>
      <c r="W824" s="965"/>
      <c r="X824" s="965"/>
      <c r="Y824" s="965"/>
      <c r="Z824" s="965"/>
    </row>
    <row r="825">
      <c r="A825" s="965"/>
      <c r="B825" s="965"/>
      <c r="C825" s="965"/>
      <c r="D825" s="965"/>
      <c r="E825" s="965"/>
      <c r="F825" s="965"/>
      <c r="G825" s="965"/>
      <c r="H825" s="965"/>
      <c r="I825" s="965"/>
      <c r="J825" s="965"/>
      <c r="K825" s="965"/>
      <c r="L825" s="965"/>
      <c r="M825" s="965"/>
      <c r="N825" s="965"/>
      <c r="O825" s="965"/>
      <c r="P825" s="965"/>
      <c r="Q825" s="965"/>
      <c r="R825" s="965"/>
      <c r="S825" s="965"/>
      <c r="T825" s="965"/>
      <c r="U825" s="965"/>
      <c r="V825" s="965"/>
      <c r="W825" s="965"/>
      <c r="X825" s="965"/>
      <c r="Y825" s="965"/>
      <c r="Z825" s="965"/>
    </row>
    <row r="826">
      <c r="A826" s="965"/>
      <c r="B826" s="965"/>
      <c r="C826" s="965"/>
      <c r="D826" s="965"/>
      <c r="E826" s="965"/>
      <c r="F826" s="965"/>
      <c r="G826" s="965"/>
      <c r="H826" s="965"/>
      <c r="I826" s="965"/>
      <c r="J826" s="965"/>
      <c r="K826" s="965"/>
      <c r="L826" s="965"/>
      <c r="M826" s="965"/>
      <c r="N826" s="965"/>
      <c r="O826" s="965"/>
      <c r="P826" s="965"/>
      <c r="Q826" s="965"/>
      <c r="R826" s="965"/>
      <c r="S826" s="965"/>
      <c r="T826" s="965"/>
      <c r="U826" s="965"/>
      <c r="V826" s="965"/>
      <c r="W826" s="965"/>
      <c r="X826" s="965"/>
      <c r="Y826" s="965"/>
      <c r="Z826" s="965"/>
    </row>
    <row r="827">
      <c r="A827" s="965"/>
      <c r="B827" s="965"/>
      <c r="C827" s="965"/>
      <c r="D827" s="965"/>
      <c r="E827" s="965"/>
      <c r="F827" s="965"/>
      <c r="G827" s="965"/>
      <c r="H827" s="965"/>
      <c r="I827" s="965"/>
      <c r="J827" s="965"/>
      <c r="K827" s="965"/>
      <c r="L827" s="965"/>
      <c r="M827" s="965"/>
      <c r="N827" s="965"/>
      <c r="O827" s="965"/>
      <c r="P827" s="965"/>
      <c r="Q827" s="965"/>
      <c r="R827" s="965"/>
      <c r="S827" s="965"/>
      <c r="T827" s="965"/>
      <c r="U827" s="965"/>
      <c r="V827" s="965"/>
      <c r="W827" s="965"/>
      <c r="X827" s="965"/>
      <c r="Y827" s="965"/>
      <c r="Z827" s="965"/>
    </row>
    <row r="828">
      <c r="A828" s="965"/>
      <c r="B828" s="965"/>
      <c r="C828" s="965"/>
      <c r="D828" s="965"/>
      <c r="E828" s="965"/>
      <c r="F828" s="965"/>
      <c r="G828" s="965"/>
      <c r="H828" s="965"/>
      <c r="I828" s="965"/>
      <c r="J828" s="965"/>
      <c r="K828" s="965"/>
      <c r="L828" s="965"/>
      <c r="M828" s="965"/>
      <c r="N828" s="965"/>
      <c r="O828" s="965"/>
      <c r="P828" s="965"/>
      <c r="Q828" s="965"/>
      <c r="R828" s="965"/>
      <c r="S828" s="965"/>
      <c r="T828" s="965"/>
      <c r="U828" s="965"/>
      <c r="V828" s="965"/>
      <c r="W828" s="965"/>
      <c r="X828" s="965"/>
      <c r="Y828" s="965"/>
      <c r="Z828" s="965"/>
    </row>
    <row r="829">
      <c r="A829" s="965"/>
      <c r="B829" s="965"/>
      <c r="C829" s="965"/>
      <c r="D829" s="965"/>
      <c r="E829" s="965"/>
      <c r="F829" s="965"/>
      <c r="G829" s="965"/>
      <c r="H829" s="965"/>
      <c r="I829" s="965"/>
      <c r="J829" s="965"/>
      <c r="K829" s="965"/>
      <c r="L829" s="965"/>
      <c r="M829" s="965"/>
      <c r="N829" s="965"/>
      <c r="O829" s="965"/>
      <c r="P829" s="965"/>
      <c r="Q829" s="965"/>
      <c r="R829" s="965"/>
      <c r="S829" s="965"/>
      <c r="T829" s="965"/>
      <c r="U829" s="965"/>
      <c r="V829" s="965"/>
      <c r="W829" s="965"/>
      <c r="X829" s="965"/>
      <c r="Y829" s="965"/>
      <c r="Z829" s="965"/>
    </row>
    <row r="830">
      <c r="A830" s="965"/>
      <c r="B830" s="965"/>
      <c r="C830" s="965"/>
      <c r="D830" s="965"/>
      <c r="E830" s="965"/>
      <c r="F830" s="965"/>
      <c r="G830" s="965"/>
      <c r="H830" s="965"/>
      <c r="I830" s="965"/>
      <c r="J830" s="965"/>
      <c r="K830" s="965"/>
      <c r="L830" s="965"/>
      <c r="M830" s="965"/>
      <c r="N830" s="965"/>
      <c r="O830" s="965"/>
      <c r="P830" s="965"/>
      <c r="Q830" s="965"/>
      <c r="R830" s="965"/>
      <c r="S830" s="965"/>
      <c r="T830" s="965"/>
      <c r="U830" s="965"/>
      <c r="V830" s="965"/>
      <c r="W830" s="965"/>
      <c r="X830" s="965"/>
      <c r="Y830" s="965"/>
      <c r="Z830" s="965"/>
    </row>
    <row r="831">
      <c r="A831" s="965"/>
      <c r="B831" s="965"/>
      <c r="C831" s="965"/>
      <c r="D831" s="965"/>
      <c r="E831" s="965"/>
      <c r="F831" s="965"/>
      <c r="G831" s="965"/>
      <c r="H831" s="965"/>
      <c r="I831" s="965"/>
      <c r="J831" s="965"/>
      <c r="K831" s="965"/>
      <c r="L831" s="965"/>
      <c r="M831" s="965"/>
      <c r="N831" s="965"/>
      <c r="O831" s="965"/>
      <c r="P831" s="965"/>
      <c r="Q831" s="965"/>
      <c r="R831" s="965"/>
      <c r="S831" s="965"/>
      <c r="T831" s="965"/>
      <c r="U831" s="965"/>
      <c r="V831" s="965"/>
      <c r="W831" s="965"/>
      <c r="X831" s="965"/>
      <c r="Y831" s="965"/>
      <c r="Z831" s="965"/>
    </row>
    <row r="832">
      <c r="A832" s="965"/>
      <c r="B832" s="965"/>
      <c r="C832" s="965"/>
      <c r="D832" s="965"/>
      <c r="E832" s="965"/>
      <c r="F832" s="965"/>
      <c r="G832" s="965"/>
      <c r="H832" s="965"/>
      <c r="I832" s="965"/>
      <c r="J832" s="965"/>
      <c r="K832" s="965"/>
      <c r="L832" s="965"/>
      <c r="M832" s="965"/>
      <c r="N832" s="965"/>
      <c r="O832" s="965"/>
      <c r="P832" s="965"/>
      <c r="Q832" s="965"/>
      <c r="R832" s="965"/>
      <c r="S832" s="965"/>
      <c r="T832" s="965"/>
      <c r="U832" s="965"/>
      <c r="V832" s="965"/>
      <c r="W832" s="965"/>
      <c r="X832" s="965"/>
      <c r="Y832" s="965"/>
      <c r="Z832" s="965"/>
    </row>
    <row r="833">
      <c r="A833" s="965"/>
      <c r="B833" s="965"/>
      <c r="C833" s="965"/>
      <c r="D833" s="965"/>
      <c r="E833" s="965"/>
      <c r="F833" s="965"/>
      <c r="G833" s="965"/>
      <c r="H833" s="965"/>
      <c r="I833" s="965"/>
      <c r="J833" s="965"/>
      <c r="K833" s="965"/>
      <c r="L833" s="965"/>
      <c r="M833" s="965"/>
      <c r="N833" s="965"/>
      <c r="O833" s="965"/>
      <c r="P833" s="965"/>
      <c r="Q833" s="965"/>
      <c r="R833" s="965"/>
      <c r="S833" s="965"/>
      <c r="T833" s="965"/>
      <c r="U833" s="965"/>
      <c r="V833" s="965"/>
      <c r="W833" s="965"/>
      <c r="X833" s="965"/>
      <c r="Y833" s="965"/>
      <c r="Z833" s="965"/>
    </row>
    <row r="834">
      <c r="A834" s="965"/>
      <c r="B834" s="965"/>
      <c r="C834" s="965"/>
      <c r="D834" s="965"/>
      <c r="E834" s="965"/>
      <c r="F834" s="965"/>
      <c r="G834" s="965"/>
      <c r="H834" s="965"/>
      <c r="I834" s="965"/>
      <c r="J834" s="965"/>
      <c r="K834" s="965"/>
      <c r="L834" s="965"/>
      <c r="M834" s="965"/>
      <c r="N834" s="965"/>
      <c r="O834" s="965"/>
      <c r="P834" s="965"/>
      <c r="Q834" s="965"/>
      <c r="R834" s="965"/>
      <c r="S834" s="965"/>
      <c r="T834" s="965"/>
      <c r="U834" s="965"/>
      <c r="V834" s="965"/>
      <c r="W834" s="965"/>
      <c r="X834" s="965"/>
      <c r="Y834" s="965"/>
      <c r="Z834" s="965"/>
    </row>
    <row r="835">
      <c r="A835" s="965"/>
      <c r="B835" s="965"/>
      <c r="C835" s="965"/>
      <c r="D835" s="965"/>
      <c r="E835" s="965"/>
      <c r="F835" s="965"/>
      <c r="G835" s="965"/>
      <c r="H835" s="965"/>
      <c r="I835" s="965"/>
      <c r="J835" s="965"/>
      <c r="K835" s="965"/>
      <c r="L835" s="965"/>
      <c r="M835" s="965"/>
      <c r="N835" s="965"/>
      <c r="O835" s="965"/>
      <c r="P835" s="965"/>
      <c r="Q835" s="965"/>
      <c r="R835" s="965"/>
      <c r="S835" s="965"/>
      <c r="T835" s="965"/>
      <c r="U835" s="965"/>
      <c r="V835" s="965"/>
      <c r="W835" s="965"/>
      <c r="X835" s="965"/>
      <c r="Y835" s="965"/>
      <c r="Z835" s="965"/>
    </row>
    <row r="836">
      <c r="A836" s="965"/>
      <c r="B836" s="965"/>
      <c r="C836" s="965"/>
      <c r="D836" s="965"/>
      <c r="E836" s="965"/>
      <c r="F836" s="965"/>
      <c r="G836" s="965"/>
      <c r="H836" s="965"/>
      <c r="I836" s="965"/>
      <c r="J836" s="965"/>
      <c r="K836" s="965"/>
      <c r="L836" s="965"/>
      <c r="M836" s="965"/>
      <c r="N836" s="965"/>
      <c r="O836" s="965"/>
      <c r="P836" s="965"/>
      <c r="Q836" s="965"/>
      <c r="R836" s="965"/>
      <c r="S836" s="965"/>
      <c r="T836" s="965"/>
      <c r="U836" s="965"/>
      <c r="V836" s="965"/>
      <c r="W836" s="965"/>
      <c r="X836" s="965"/>
      <c r="Y836" s="965"/>
      <c r="Z836" s="965"/>
    </row>
    <row r="837">
      <c r="A837" s="965"/>
      <c r="B837" s="965"/>
      <c r="C837" s="965"/>
      <c r="D837" s="965"/>
      <c r="E837" s="965"/>
      <c r="F837" s="965"/>
      <c r="G837" s="965"/>
      <c r="H837" s="965"/>
      <c r="I837" s="965"/>
      <c r="J837" s="965"/>
      <c r="K837" s="965"/>
      <c r="L837" s="965"/>
      <c r="M837" s="965"/>
      <c r="N837" s="965"/>
      <c r="O837" s="965"/>
      <c r="P837" s="965"/>
      <c r="Q837" s="965"/>
      <c r="R837" s="965"/>
      <c r="S837" s="965"/>
      <c r="T837" s="965"/>
      <c r="U837" s="965"/>
      <c r="V837" s="965"/>
      <c r="W837" s="965"/>
      <c r="X837" s="965"/>
      <c r="Y837" s="965"/>
      <c r="Z837" s="965"/>
    </row>
    <row r="838">
      <c r="A838" s="965"/>
      <c r="B838" s="965"/>
      <c r="C838" s="965"/>
      <c r="D838" s="965"/>
      <c r="E838" s="965"/>
      <c r="F838" s="965"/>
      <c r="G838" s="965"/>
      <c r="H838" s="965"/>
      <c r="I838" s="965"/>
      <c r="J838" s="965"/>
      <c r="K838" s="965"/>
      <c r="L838" s="965"/>
      <c r="M838" s="965"/>
      <c r="N838" s="965"/>
      <c r="O838" s="965"/>
      <c r="P838" s="965"/>
      <c r="Q838" s="965"/>
      <c r="R838" s="965"/>
      <c r="S838" s="965"/>
      <c r="T838" s="965"/>
      <c r="U838" s="965"/>
      <c r="V838" s="965"/>
      <c r="W838" s="965"/>
      <c r="X838" s="965"/>
      <c r="Y838" s="965"/>
      <c r="Z838" s="965"/>
    </row>
    <row r="839">
      <c r="A839" s="965"/>
      <c r="B839" s="965"/>
      <c r="C839" s="965"/>
      <c r="D839" s="965"/>
      <c r="E839" s="965"/>
      <c r="F839" s="965"/>
      <c r="G839" s="965"/>
      <c r="H839" s="965"/>
      <c r="I839" s="965"/>
      <c r="J839" s="965"/>
      <c r="K839" s="965"/>
      <c r="L839" s="965"/>
      <c r="M839" s="965"/>
      <c r="N839" s="965"/>
      <c r="O839" s="965"/>
      <c r="P839" s="965"/>
      <c r="Q839" s="965"/>
      <c r="R839" s="965"/>
      <c r="S839" s="965"/>
      <c r="T839" s="965"/>
      <c r="U839" s="965"/>
      <c r="V839" s="965"/>
      <c r="W839" s="965"/>
      <c r="X839" s="965"/>
      <c r="Y839" s="965"/>
      <c r="Z839" s="965"/>
    </row>
    <row r="840">
      <c r="A840" s="965"/>
      <c r="B840" s="965"/>
      <c r="C840" s="965"/>
      <c r="D840" s="965"/>
      <c r="E840" s="965"/>
      <c r="F840" s="965"/>
      <c r="G840" s="965"/>
      <c r="H840" s="965"/>
      <c r="I840" s="965"/>
      <c r="J840" s="965"/>
      <c r="K840" s="965"/>
      <c r="L840" s="965"/>
      <c r="M840" s="965"/>
      <c r="N840" s="965"/>
      <c r="O840" s="965"/>
      <c r="P840" s="965"/>
      <c r="Q840" s="965"/>
      <c r="R840" s="965"/>
      <c r="S840" s="965"/>
      <c r="T840" s="965"/>
      <c r="U840" s="965"/>
      <c r="V840" s="965"/>
      <c r="W840" s="965"/>
      <c r="X840" s="965"/>
      <c r="Y840" s="965"/>
      <c r="Z840" s="965"/>
    </row>
    <row r="841">
      <c r="A841" s="965"/>
      <c r="B841" s="965"/>
      <c r="C841" s="965"/>
      <c r="D841" s="965"/>
      <c r="E841" s="965"/>
      <c r="F841" s="965"/>
      <c r="G841" s="965"/>
      <c r="H841" s="965"/>
      <c r="I841" s="965"/>
      <c r="J841" s="965"/>
      <c r="K841" s="965"/>
      <c r="L841" s="965"/>
      <c r="M841" s="965"/>
      <c r="N841" s="965"/>
      <c r="O841" s="965"/>
      <c r="P841" s="965"/>
      <c r="Q841" s="965"/>
      <c r="R841" s="965"/>
      <c r="S841" s="965"/>
      <c r="T841" s="965"/>
      <c r="U841" s="965"/>
      <c r="V841" s="965"/>
      <c r="W841" s="965"/>
      <c r="X841" s="965"/>
      <c r="Y841" s="965"/>
      <c r="Z841" s="965"/>
    </row>
    <row r="842">
      <c r="A842" s="965"/>
      <c r="B842" s="965"/>
      <c r="C842" s="965"/>
      <c r="D842" s="965"/>
      <c r="E842" s="965"/>
      <c r="F842" s="965"/>
      <c r="G842" s="965"/>
      <c r="H842" s="965"/>
      <c r="I842" s="965"/>
      <c r="J842" s="965"/>
      <c r="K842" s="965"/>
      <c r="L842" s="965"/>
      <c r="M842" s="965"/>
      <c r="N842" s="965"/>
      <c r="O842" s="965"/>
      <c r="P842" s="965"/>
      <c r="Q842" s="965"/>
      <c r="R842" s="965"/>
      <c r="S842" s="965"/>
      <c r="T842" s="965"/>
      <c r="U842" s="965"/>
      <c r="V842" s="965"/>
      <c r="W842" s="965"/>
      <c r="X842" s="965"/>
      <c r="Y842" s="965"/>
      <c r="Z842" s="965"/>
    </row>
    <row r="843">
      <c r="A843" s="965"/>
      <c r="B843" s="965"/>
      <c r="C843" s="965"/>
      <c r="D843" s="965"/>
      <c r="E843" s="965"/>
      <c r="F843" s="965"/>
      <c r="G843" s="965"/>
      <c r="H843" s="965"/>
      <c r="I843" s="965"/>
      <c r="J843" s="965"/>
      <c r="K843" s="965"/>
      <c r="L843" s="965"/>
      <c r="M843" s="965"/>
      <c r="N843" s="965"/>
      <c r="O843" s="965"/>
      <c r="P843" s="965"/>
      <c r="Q843" s="965"/>
      <c r="R843" s="965"/>
      <c r="S843" s="965"/>
      <c r="T843" s="965"/>
      <c r="U843" s="965"/>
      <c r="V843" s="965"/>
      <c r="W843" s="965"/>
      <c r="X843" s="965"/>
      <c r="Y843" s="965"/>
      <c r="Z843" s="965"/>
    </row>
    <row r="844">
      <c r="A844" s="965"/>
      <c r="B844" s="965"/>
      <c r="C844" s="965"/>
      <c r="D844" s="965"/>
      <c r="E844" s="965"/>
      <c r="F844" s="965"/>
      <c r="G844" s="965"/>
      <c r="H844" s="965"/>
      <c r="I844" s="965"/>
      <c r="J844" s="965"/>
      <c r="K844" s="965"/>
      <c r="L844" s="965"/>
      <c r="M844" s="965"/>
      <c r="N844" s="965"/>
      <c r="O844" s="965"/>
      <c r="P844" s="965"/>
      <c r="Q844" s="965"/>
      <c r="R844" s="965"/>
      <c r="S844" s="965"/>
      <c r="T844" s="965"/>
      <c r="U844" s="965"/>
      <c r="V844" s="965"/>
      <c r="W844" s="965"/>
      <c r="X844" s="965"/>
      <c r="Y844" s="965"/>
      <c r="Z844" s="965"/>
    </row>
    <row r="845">
      <c r="A845" s="965"/>
      <c r="B845" s="965"/>
      <c r="C845" s="965"/>
      <c r="D845" s="965"/>
      <c r="E845" s="965"/>
      <c r="F845" s="965"/>
      <c r="G845" s="965"/>
      <c r="H845" s="965"/>
      <c r="I845" s="965"/>
      <c r="J845" s="965"/>
      <c r="K845" s="965"/>
      <c r="L845" s="965"/>
      <c r="M845" s="965"/>
      <c r="N845" s="965"/>
      <c r="O845" s="965"/>
      <c r="P845" s="965"/>
      <c r="Q845" s="965"/>
      <c r="R845" s="965"/>
      <c r="S845" s="965"/>
      <c r="T845" s="965"/>
      <c r="U845" s="965"/>
      <c r="V845" s="965"/>
      <c r="W845" s="965"/>
      <c r="X845" s="965"/>
      <c r="Y845" s="965"/>
      <c r="Z845" s="965"/>
    </row>
    <row r="846">
      <c r="A846" s="965"/>
      <c r="B846" s="965"/>
      <c r="C846" s="965"/>
      <c r="D846" s="965"/>
      <c r="E846" s="965"/>
      <c r="F846" s="965"/>
      <c r="G846" s="965"/>
      <c r="H846" s="965"/>
      <c r="I846" s="965"/>
      <c r="J846" s="965"/>
      <c r="K846" s="965"/>
      <c r="L846" s="965"/>
      <c r="M846" s="965"/>
      <c r="N846" s="965"/>
      <c r="O846" s="965"/>
      <c r="P846" s="965"/>
      <c r="Q846" s="965"/>
      <c r="R846" s="965"/>
      <c r="S846" s="965"/>
      <c r="T846" s="965"/>
      <c r="U846" s="965"/>
      <c r="V846" s="965"/>
      <c r="W846" s="965"/>
      <c r="X846" s="965"/>
      <c r="Y846" s="965"/>
      <c r="Z846" s="965"/>
    </row>
    <row r="847">
      <c r="A847" s="965"/>
      <c r="B847" s="965"/>
      <c r="C847" s="965"/>
      <c r="D847" s="965"/>
      <c r="E847" s="965"/>
      <c r="F847" s="965"/>
      <c r="G847" s="965"/>
      <c r="H847" s="965"/>
      <c r="I847" s="965"/>
      <c r="J847" s="965"/>
      <c r="K847" s="965"/>
      <c r="L847" s="965"/>
      <c r="M847" s="965"/>
      <c r="N847" s="965"/>
      <c r="O847" s="965"/>
      <c r="P847" s="965"/>
      <c r="Q847" s="965"/>
      <c r="R847" s="965"/>
      <c r="S847" s="965"/>
      <c r="T847" s="965"/>
      <c r="U847" s="965"/>
      <c r="V847" s="965"/>
      <c r="W847" s="965"/>
      <c r="X847" s="965"/>
      <c r="Y847" s="965"/>
      <c r="Z847" s="965"/>
    </row>
    <row r="848">
      <c r="A848" s="965"/>
      <c r="B848" s="965"/>
      <c r="C848" s="965"/>
      <c r="D848" s="965"/>
      <c r="E848" s="965"/>
      <c r="F848" s="965"/>
      <c r="G848" s="965"/>
      <c r="H848" s="965"/>
      <c r="I848" s="965"/>
      <c r="J848" s="965"/>
      <c r="K848" s="965"/>
      <c r="L848" s="965"/>
      <c r="M848" s="965"/>
      <c r="N848" s="965"/>
      <c r="O848" s="965"/>
      <c r="P848" s="965"/>
      <c r="Q848" s="965"/>
      <c r="R848" s="965"/>
      <c r="S848" s="965"/>
      <c r="T848" s="965"/>
      <c r="U848" s="965"/>
      <c r="V848" s="965"/>
      <c r="W848" s="965"/>
      <c r="X848" s="965"/>
      <c r="Y848" s="965"/>
      <c r="Z848" s="965"/>
    </row>
    <row r="849">
      <c r="A849" s="965"/>
      <c r="B849" s="965"/>
      <c r="C849" s="965"/>
      <c r="D849" s="965"/>
      <c r="E849" s="965"/>
      <c r="F849" s="965"/>
      <c r="G849" s="965"/>
      <c r="H849" s="965"/>
      <c r="I849" s="965"/>
      <c r="J849" s="965"/>
      <c r="K849" s="965"/>
      <c r="L849" s="965"/>
      <c r="M849" s="965"/>
      <c r="N849" s="965"/>
      <c r="O849" s="965"/>
      <c r="P849" s="965"/>
      <c r="Q849" s="965"/>
      <c r="R849" s="965"/>
      <c r="S849" s="965"/>
      <c r="T849" s="965"/>
      <c r="U849" s="965"/>
      <c r="V849" s="965"/>
      <c r="W849" s="965"/>
      <c r="X849" s="965"/>
      <c r="Y849" s="965"/>
      <c r="Z849" s="965"/>
    </row>
    <row r="850">
      <c r="A850" s="965"/>
      <c r="B850" s="965"/>
      <c r="C850" s="965"/>
      <c r="D850" s="965"/>
      <c r="E850" s="965"/>
      <c r="F850" s="965"/>
      <c r="G850" s="965"/>
      <c r="H850" s="965"/>
      <c r="I850" s="965"/>
      <c r="J850" s="965"/>
      <c r="K850" s="965"/>
      <c r="L850" s="965"/>
      <c r="M850" s="965"/>
      <c r="N850" s="965"/>
      <c r="O850" s="965"/>
      <c r="P850" s="965"/>
      <c r="Q850" s="965"/>
      <c r="R850" s="965"/>
      <c r="S850" s="965"/>
      <c r="T850" s="965"/>
      <c r="U850" s="965"/>
      <c r="V850" s="965"/>
      <c r="W850" s="965"/>
      <c r="X850" s="965"/>
      <c r="Y850" s="965"/>
      <c r="Z850" s="965"/>
    </row>
    <row r="851">
      <c r="A851" s="965"/>
      <c r="B851" s="965"/>
      <c r="C851" s="965"/>
      <c r="D851" s="965"/>
      <c r="E851" s="965"/>
      <c r="F851" s="965"/>
      <c r="G851" s="965"/>
      <c r="H851" s="965"/>
      <c r="I851" s="965"/>
      <c r="J851" s="965"/>
      <c r="K851" s="965"/>
      <c r="L851" s="965"/>
      <c r="M851" s="965"/>
      <c r="N851" s="965"/>
      <c r="O851" s="965"/>
      <c r="P851" s="965"/>
      <c r="Q851" s="965"/>
      <c r="R851" s="965"/>
      <c r="S851" s="965"/>
      <c r="T851" s="965"/>
      <c r="U851" s="965"/>
      <c r="V851" s="965"/>
      <c r="W851" s="965"/>
      <c r="X851" s="965"/>
      <c r="Y851" s="965"/>
      <c r="Z851" s="965"/>
    </row>
    <row r="852">
      <c r="A852" s="965"/>
      <c r="B852" s="965"/>
      <c r="C852" s="965"/>
      <c r="D852" s="965"/>
      <c r="E852" s="965"/>
      <c r="F852" s="965"/>
      <c r="G852" s="965"/>
      <c r="H852" s="965"/>
      <c r="I852" s="965"/>
      <c r="J852" s="965"/>
      <c r="K852" s="965"/>
      <c r="L852" s="965"/>
      <c r="M852" s="965"/>
      <c r="N852" s="965"/>
      <c r="O852" s="965"/>
      <c r="P852" s="965"/>
      <c r="Q852" s="965"/>
      <c r="R852" s="965"/>
      <c r="S852" s="965"/>
      <c r="T852" s="965"/>
      <c r="U852" s="965"/>
      <c r="V852" s="965"/>
      <c r="W852" s="965"/>
      <c r="X852" s="965"/>
      <c r="Y852" s="965"/>
      <c r="Z852" s="965"/>
    </row>
    <row r="853">
      <c r="A853" s="965"/>
      <c r="B853" s="965"/>
      <c r="C853" s="965"/>
      <c r="D853" s="965"/>
      <c r="E853" s="965"/>
      <c r="F853" s="965"/>
      <c r="G853" s="965"/>
      <c r="H853" s="965"/>
      <c r="I853" s="965"/>
      <c r="J853" s="965"/>
      <c r="K853" s="965"/>
      <c r="L853" s="965"/>
      <c r="M853" s="965"/>
      <c r="N853" s="965"/>
      <c r="O853" s="965"/>
      <c r="P853" s="965"/>
      <c r="Q853" s="965"/>
      <c r="R853" s="965"/>
      <c r="S853" s="965"/>
      <c r="T853" s="965"/>
      <c r="U853" s="965"/>
      <c r="V853" s="965"/>
      <c r="W853" s="965"/>
      <c r="X853" s="965"/>
      <c r="Y853" s="965"/>
      <c r="Z853" s="965"/>
    </row>
    <row r="854">
      <c r="A854" s="965"/>
      <c r="B854" s="965"/>
      <c r="C854" s="965"/>
      <c r="D854" s="965"/>
      <c r="E854" s="965"/>
      <c r="F854" s="965"/>
      <c r="G854" s="965"/>
      <c r="H854" s="965"/>
      <c r="I854" s="965"/>
      <c r="J854" s="965"/>
      <c r="K854" s="965"/>
      <c r="L854" s="965"/>
      <c r="M854" s="965"/>
      <c r="N854" s="965"/>
      <c r="O854" s="965"/>
      <c r="P854" s="965"/>
      <c r="Q854" s="965"/>
      <c r="R854" s="965"/>
      <c r="S854" s="965"/>
      <c r="T854" s="965"/>
      <c r="U854" s="965"/>
      <c r="V854" s="965"/>
      <c r="W854" s="965"/>
      <c r="X854" s="965"/>
      <c r="Y854" s="965"/>
      <c r="Z854" s="965"/>
    </row>
    <row r="855">
      <c r="A855" s="965"/>
      <c r="B855" s="965"/>
      <c r="C855" s="965"/>
      <c r="D855" s="965"/>
      <c r="E855" s="965"/>
      <c r="F855" s="965"/>
      <c r="G855" s="965"/>
      <c r="H855" s="965"/>
      <c r="I855" s="965"/>
      <c r="J855" s="965"/>
      <c r="K855" s="965"/>
      <c r="L855" s="965"/>
      <c r="M855" s="965"/>
      <c r="N855" s="965"/>
      <c r="O855" s="965"/>
      <c r="P855" s="965"/>
      <c r="Q855" s="965"/>
      <c r="R855" s="965"/>
      <c r="S855" s="965"/>
      <c r="T855" s="965"/>
      <c r="U855" s="965"/>
      <c r="V855" s="965"/>
      <c r="W855" s="965"/>
      <c r="X855" s="965"/>
      <c r="Y855" s="965"/>
      <c r="Z855" s="965"/>
    </row>
    <row r="856">
      <c r="A856" s="965"/>
      <c r="B856" s="965"/>
      <c r="C856" s="965"/>
      <c r="D856" s="965"/>
      <c r="E856" s="965"/>
      <c r="F856" s="965"/>
      <c r="G856" s="965"/>
      <c r="H856" s="965"/>
      <c r="I856" s="965"/>
      <c r="J856" s="965"/>
      <c r="K856" s="965"/>
      <c r="L856" s="965"/>
      <c r="M856" s="965"/>
      <c r="N856" s="965"/>
      <c r="O856" s="965"/>
      <c r="P856" s="965"/>
      <c r="Q856" s="965"/>
      <c r="R856" s="965"/>
      <c r="S856" s="965"/>
      <c r="T856" s="965"/>
      <c r="U856" s="965"/>
      <c r="V856" s="965"/>
      <c r="W856" s="965"/>
      <c r="X856" s="965"/>
      <c r="Y856" s="965"/>
      <c r="Z856" s="965"/>
    </row>
    <row r="857">
      <c r="A857" s="965"/>
      <c r="B857" s="965"/>
      <c r="C857" s="965"/>
      <c r="D857" s="965"/>
      <c r="E857" s="965"/>
      <c r="F857" s="965"/>
      <c r="G857" s="965"/>
      <c r="H857" s="965"/>
      <c r="I857" s="965"/>
      <c r="J857" s="965"/>
      <c r="K857" s="965"/>
      <c r="L857" s="965"/>
      <c r="M857" s="965"/>
      <c r="N857" s="965"/>
      <c r="O857" s="965"/>
      <c r="P857" s="965"/>
      <c r="Q857" s="965"/>
      <c r="R857" s="965"/>
      <c r="S857" s="965"/>
      <c r="T857" s="965"/>
      <c r="U857" s="965"/>
      <c r="V857" s="965"/>
      <c r="W857" s="965"/>
      <c r="X857" s="965"/>
      <c r="Y857" s="965"/>
      <c r="Z857" s="965"/>
    </row>
    <row r="858">
      <c r="A858" s="965"/>
      <c r="B858" s="965"/>
      <c r="C858" s="965"/>
      <c r="D858" s="965"/>
      <c r="E858" s="965"/>
      <c r="F858" s="965"/>
      <c r="G858" s="965"/>
      <c r="H858" s="965"/>
      <c r="I858" s="965"/>
      <c r="J858" s="965"/>
      <c r="K858" s="965"/>
      <c r="L858" s="965"/>
      <c r="M858" s="965"/>
      <c r="N858" s="965"/>
      <c r="O858" s="965"/>
      <c r="P858" s="965"/>
      <c r="Q858" s="965"/>
      <c r="R858" s="965"/>
      <c r="S858" s="965"/>
      <c r="T858" s="965"/>
      <c r="U858" s="965"/>
      <c r="V858" s="965"/>
      <c r="W858" s="965"/>
      <c r="X858" s="965"/>
      <c r="Y858" s="965"/>
      <c r="Z858" s="965"/>
    </row>
    <row r="859">
      <c r="A859" s="965"/>
      <c r="B859" s="965"/>
      <c r="C859" s="965"/>
      <c r="D859" s="965"/>
      <c r="E859" s="965"/>
      <c r="F859" s="965"/>
      <c r="G859" s="965"/>
      <c r="H859" s="965"/>
      <c r="I859" s="965"/>
      <c r="J859" s="965"/>
      <c r="K859" s="965"/>
      <c r="L859" s="965"/>
      <c r="M859" s="965"/>
      <c r="N859" s="965"/>
      <c r="O859" s="965"/>
      <c r="P859" s="965"/>
      <c r="Q859" s="965"/>
      <c r="R859" s="965"/>
      <c r="S859" s="965"/>
      <c r="T859" s="965"/>
      <c r="U859" s="965"/>
      <c r="V859" s="965"/>
      <c r="W859" s="965"/>
      <c r="X859" s="965"/>
      <c r="Y859" s="965"/>
      <c r="Z859" s="965"/>
    </row>
    <row r="860">
      <c r="A860" s="965"/>
      <c r="B860" s="965"/>
      <c r="C860" s="965"/>
      <c r="D860" s="965"/>
      <c r="E860" s="965"/>
      <c r="F860" s="965"/>
      <c r="G860" s="965"/>
      <c r="H860" s="965"/>
      <c r="I860" s="965"/>
      <c r="J860" s="965"/>
      <c r="K860" s="965"/>
      <c r="L860" s="965"/>
      <c r="M860" s="965"/>
      <c r="N860" s="965"/>
      <c r="O860" s="965"/>
      <c r="P860" s="965"/>
      <c r="Q860" s="965"/>
      <c r="R860" s="965"/>
      <c r="S860" s="965"/>
      <c r="T860" s="965"/>
      <c r="U860" s="965"/>
      <c r="V860" s="965"/>
      <c r="W860" s="965"/>
      <c r="X860" s="965"/>
      <c r="Y860" s="965"/>
      <c r="Z860" s="965"/>
    </row>
    <row r="861">
      <c r="A861" s="965"/>
      <c r="B861" s="965"/>
      <c r="C861" s="965"/>
      <c r="D861" s="965"/>
      <c r="E861" s="965"/>
      <c r="F861" s="965"/>
      <c r="G861" s="965"/>
      <c r="H861" s="965"/>
      <c r="I861" s="965"/>
      <c r="J861" s="965"/>
      <c r="K861" s="965"/>
      <c r="L861" s="965"/>
      <c r="M861" s="965"/>
      <c r="N861" s="965"/>
      <c r="O861" s="965"/>
      <c r="P861" s="965"/>
      <c r="Q861" s="965"/>
      <c r="R861" s="965"/>
      <c r="S861" s="965"/>
      <c r="T861" s="965"/>
      <c r="U861" s="965"/>
      <c r="V861" s="965"/>
      <c r="W861" s="965"/>
      <c r="X861" s="965"/>
      <c r="Y861" s="965"/>
      <c r="Z861" s="965"/>
    </row>
    <row r="862">
      <c r="A862" s="965"/>
      <c r="B862" s="965"/>
      <c r="C862" s="965"/>
      <c r="D862" s="965"/>
      <c r="E862" s="965"/>
      <c r="F862" s="965"/>
      <c r="G862" s="965"/>
      <c r="H862" s="965"/>
      <c r="I862" s="965"/>
      <c r="J862" s="965"/>
      <c r="K862" s="965"/>
      <c r="L862" s="965"/>
      <c r="M862" s="965"/>
      <c r="N862" s="965"/>
      <c r="O862" s="965"/>
      <c r="P862" s="965"/>
      <c r="Q862" s="965"/>
      <c r="R862" s="965"/>
      <c r="S862" s="965"/>
      <c r="T862" s="965"/>
      <c r="U862" s="965"/>
      <c r="V862" s="965"/>
      <c r="W862" s="965"/>
      <c r="X862" s="965"/>
      <c r="Y862" s="965"/>
      <c r="Z862" s="965"/>
    </row>
    <row r="863">
      <c r="A863" s="965"/>
      <c r="B863" s="965"/>
      <c r="C863" s="965"/>
      <c r="D863" s="965"/>
      <c r="E863" s="965"/>
      <c r="F863" s="965"/>
      <c r="G863" s="965"/>
      <c r="H863" s="965"/>
      <c r="I863" s="965"/>
      <c r="J863" s="965"/>
      <c r="K863" s="965"/>
      <c r="L863" s="965"/>
      <c r="M863" s="965"/>
      <c r="N863" s="965"/>
      <c r="O863" s="965"/>
      <c r="P863" s="965"/>
      <c r="Q863" s="965"/>
      <c r="R863" s="965"/>
      <c r="S863" s="965"/>
      <c r="T863" s="965"/>
      <c r="U863" s="965"/>
      <c r="V863" s="965"/>
      <c r="W863" s="965"/>
      <c r="X863" s="965"/>
      <c r="Y863" s="965"/>
      <c r="Z863" s="965"/>
    </row>
    <row r="864">
      <c r="A864" s="965"/>
      <c r="B864" s="965"/>
      <c r="C864" s="965"/>
      <c r="D864" s="965"/>
      <c r="E864" s="965"/>
      <c r="F864" s="965"/>
      <c r="G864" s="965"/>
      <c r="H864" s="965"/>
      <c r="I864" s="965"/>
      <c r="J864" s="965"/>
      <c r="K864" s="965"/>
      <c r="L864" s="965"/>
      <c r="M864" s="965"/>
      <c r="N864" s="965"/>
      <c r="O864" s="965"/>
      <c r="P864" s="965"/>
      <c r="Q864" s="965"/>
      <c r="R864" s="965"/>
      <c r="S864" s="965"/>
      <c r="T864" s="965"/>
      <c r="U864" s="965"/>
      <c r="V864" s="965"/>
      <c r="W864" s="965"/>
      <c r="X864" s="965"/>
      <c r="Y864" s="965"/>
      <c r="Z864" s="965"/>
    </row>
    <row r="865">
      <c r="A865" s="965"/>
      <c r="B865" s="965"/>
      <c r="C865" s="965"/>
      <c r="D865" s="965"/>
      <c r="E865" s="965"/>
      <c r="F865" s="965"/>
      <c r="G865" s="965"/>
      <c r="H865" s="965"/>
      <c r="I865" s="965"/>
      <c r="J865" s="965"/>
      <c r="K865" s="965"/>
      <c r="L865" s="965"/>
      <c r="M865" s="965"/>
      <c r="N865" s="965"/>
      <c r="O865" s="965"/>
      <c r="P865" s="965"/>
      <c r="Q865" s="965"/>
      <c r="R865" s="965"/>
      <c r="S865" s="965"/>
      <c r="T865" s="965"/>
      <c r="U865" s="965"/>
      <c r="V865" s="965"/>
      <c r="W865" s="965"/>
      <c r="X865" s="965"/>
      <c r="Y865" s="965"/>
      <c r="Z865" s="965"/>
    </row>
    <row r="866">
      <c r="A866" s="965"/>
      <c r="B866" s="965"/>
      <c r="C866" s="965"/>
      <c r="D866" s="965"/>
      <c r="E866" s="965"/>
      <c r="F866" s="965"/>
      <c r="G866" s="965"/>
      <c r="H866" s="965"/>
      <c r="I866" s="965"/>
      <c r="J866" s="965"/>
      <c r="K866" s="965"/>
      <c r="L866" s="965"/>
      <c r="M866" s="965"/>
      <c r="N866" s="965"/>
      <c r="O866" s="965"/>
      <c r="P866" s="965"/>
      <c r="Q866" s="965"/>
      <c r="R866" s="965"/>
      <c r="S866" s="965"/>
      <c r="T866" s="965"/>
      <c r="U866" s="965"/>
      <c r="V866" s="965"/>
      <c r="W866" s="965"/>
      <c r="X866" s="965"/>
      <c r="Y866" s="965"/>
      <c r="Z866" s="965"/>
    </row>
    <row r="867">
      <c r="A867" s="965"/>
      <c r="B867" s="965"/>
      <c r="C867" s="965"/>
      <c r="D867" s="965"/>
      <c r="E867" s="965"/>
      <c r="F867" s="965"/>
      <c r="G867" s="965"/>
      <c r="H867" s="965"/>
      <c r="I867" s="965"/>
      <c r="J867" s="965"/>
      <c r="K867" s="965"/>
      <c r="L867" s="965"/>
      <c r="M867" s="965"/>
      <c r="N867" s="965"/>
      <c r="O867" s="965"/>
      <c r="P867" s="965"/>
      <c r="Q867" s="965"/>
      <c r="R867" s="965"/>
      <c r="S867" s="965"/>
      <c r="T867" s="965"/>
      <c r="U867" s="965"/>
      <c r="V867" s="965"/>
      <c r="W867" s="965"/>
      <c r="X867" s="965"/>
      <c r="Y867" s="965"/>
      <c r="Z867" s="965"/>
    </row>
    <row r="868">
      <c r="A868" s="965"/>
      <c r="B868" s="965"/>
      <c r="C868" s="965"/>
      <c r="D868" s="965"/>
      <c r="E868" s="965"/>
      <c r="F868" s="965"/>
      <c r="G868" s="965"/>
      <c r="H868" s="965"/>
      <c r="I868" s="965"/>
      <c r="J868" s="965"/>
      <c r="K868" s="965"/>
      <c r="L868" s="965"/>
      <c r="M868" s="965"/>
      <c r="N868" s="965"/>
      <c r="O868" s="965"/>
      <c r="P868" s="965"/>
      <c r="Q868" s="965"/>
      <c r="R868" s="965"/>
      <c r="S868" s="965"/>
      <c r="T868" s="965"/>
      <c r="U868" s="965"/>
      <c r="V868" s="965"/>
      <c r="W868" s="965"/>
      <c r="X868" s="965"/>
      <c r="Y868" s="965"/>
      <c r="Z868" s="965"/>
    </row>
    <row r="869">
      <c r="A869" s="965"/>
      <c r="B869" s="965"/>
      <c r="C869" s="965"/>
      <c r="D869" s="965"/>
      <c r="E869" s="965"/>
      <c r="F869" s="965"/>
      <c r="G869" s="965"/>
      <c r="H869" s="965"/>
      <c r="I869" s="965"/>
      <c r="J869" s="965"/>
      <c r="K869" s="965"/>
      <c r="L869" s="965"/>
      <c r="M869" s="965"/>
      <c r="N869" s="965"/>
      <c r="O869" s="965"/>
      <c r="P869" s="965"/>
      <c r="Q869" s="965"/>
      <c r="R869" s="965"/>
      <c r="S869" s="965"/>
      <c r="T869" s="965"/>
      <c r="U869" s="965"/>
      <c r="V869" s="965"/>
      <c r="W869" s="965"/>
      <c r="X869" s="965"/>
      <c r="Y869" s="965"/>
      <c r="Z869" s="965"/>
    </row>
    <row r="870">
      <c r="A870" s="965"/>
      <c r="B870" s="965"/>
      <c r="C870" s="965"/>
      <c r="D870" s="965"/>
      <c r="E870" s="965"/>
      <c r="F870" s="965"/>
      <c r="G870" s="965"/>
      <c r="H870" s="965"/>
      <c r="I870" s="965"/>
      <c r="J870" s="965"/>
      <c r="K870" s="965"/>
      <c r="L870" s="965"/>
      <c r="M870" s="965"/>
      <c r="N870" s="965"/>
      <c r="O870" s="965"/>
      <c r="P870" s="965"/>
      <c r="Q870" s="965"/>
      <c r="R870" s="965"/>
      <c r="S870" s="965"/>
      <c r="T870" s="965"/>
      <c r="U870" s="965"/>
      <c r="V870" s="965"/>
      <c r="W870" s="965"/>
      <c r="X870" s="965"/>
      <c r="Y870" s="965"/>
      <c r="Z870" s="965"/>
    </row>
    <row r="871">
      <c r="A871" s="965"/>
      <c r="B871" s="965"/>
      <c r="C871" s="965"/>
      <c r="D871" s="965"/>
      <c r="E871" s="965"/>
      <c r="F871" s="965"/>
      <c r="G871" s="965"/>
      <c r="H871" s="965"/>
      <c r="I871" s="965"/>
      <c r="J871" s="965"/>
      <c r="K871" s="965"/>
      <c r="L871" s="965"/>
      <c r="M871" s="965"/>
      <c r="N871" s="965"/>
      <c r="O871" s="965"/>
      <c r="P871" s="965"/>
      <c r="Q871" s="965"/>
      <c r="R871" s="965"/>
      <c r="S871" s="965"/>
      <c r="T871" s="965"/>
      <c r="U871" s="965"/>
      <c r="V871" s="965"/>
      <c r="W871" s="965"/>
      <c r="X871" s="965"/>
      <c r="Y871" s="965"/>
      <c r="Z871" s="965"/>
    </row>
    <row r="872">
      <c r="A872" s="965"/>
      <c r="B872" s="965"/>
      <c r="C872" s="965"/>
      <c r="D872" s="965"/>
      <c r="E872" s="965"/>
      <c r="F872" s="965"/>
      <c r="G872" s="965"/>
      <c r="H872" s="965"/>
      <c r="I872" s="965"/>
      <c r="J872" s="965"/>
      <c r="K872" s="965"/>
      <c r="L872" s="965"/>
      <c r="M872" s="965"/>
      <c r="N872" s="965"/>
      <c r="O872" s="965"/>
      <c r="P872" s="965"/>
      <c r="Q872" s="965"/>
      <c r="R872" s="965"/>
      <c r="S872" s="965"/>
      <c r="T872" s="965"/>
      <c r="U872" s="965"/>
      <c r="V872" s="965"/>
      <c r="W872" s="965"/>
      <c r="X872" s="965"/>
      <c r="Y872" s="965"/>
      <c r="Z872" s="965"/>
    </row>
    <row r="873">
      <c r="A873" s="965"/>
      <c r="B873" s="965"/>
      <c r="C873" s="965"/>
      <c r="D873" s="965"/>
      <c r="E873" s="965"/>
      <c r="F873" s="965"/>
      <c r="G873" s="965"/>
      <c r="H873" s="965"/>
      <c r="I873" s="965"/>
      <c r="J873" s="965"/>
      <c r="K873" s="965"/>
      <c r="L873" s="965"/>
      <c r="M873" s="965"/>
      <c r="N873" s="965"/>
      <c r="O873" s="965"/>
      <c r="P873" s="965"/>
      <c r="Q873" s="965"/>
      <c r="R873" s="965"/>
      <c r="S873" s="965"/>
      <c r="T873" s="965"/>
      <c r="U873" s="965"/>
      <c r="V873" s="965"/>
      <c r="W873" s="965"/>
      <c r="X873" s="965"/>
      <c r="Y873" s="965"/>
      <c r="Z873" s="965"/>
    </row>
    <row r="874">
      <c r="A874" s="965"/>
      <c r="B874" s="965"/>
      <c r="C874" s="965"/>
      <c r="D874" s="965"/>
      <c r="E874" s="965"/>
      <c r="F874" s="965"/>
      <c r="G874" s="965"/>
      <c r="H874" s="965"/>
      <c r="I874" s="965"/>
      <c r="J874" s="965"/>
      <c r="K874" s="965"/>
      <c r="L874" s="965"/>
      <c r="M874" s="965"/>
      <c r="N874" s="965"/>
      <c r="O874" s="965"/>
      <c r="P874" s="965"/>
      <c r="Q874" s="965"/>
      <c r="R874" s="965"/>
      <c r="S874" s="965"/>
      <c r="T874" s="965"/>
      <c r="U874" s="965"/>
      <c r="V874" s="965"/>
      <c r="W874" s="965"/>
      <c r="X874" s="965"/>
      <c r="Y874" s="965"/>
      <c r="Z874" s="965"/>
    </row>
    <row r="875">
      <c r="A875" s="965"/>
      <c r="B875" s="965"/>
      <c r="C875" s="965"/>
      <c r="D875" s="965"/>
      <c r="E875" s="965"/>
      <c r="F875" s="965"/>
      <c r="G875" s="965"/>
      <c r="H875" s="965"/>
      <c r="I875" s="965"/>
      <c r="J875" s="965"/>
      <c r="K875" s="965"/>
      <c r="L875" s="965"/>
      <c r="M875" s="965"/>
      <c r="N875" s="965"/>
      <c r="O875" s="965"/>
      <c r="P875" s="965"/>
      <c r="Q875" s="965"/>
      <c r="R875" s="965"/>
      <c r="S875" s="965"/>
      <c r="T875" s="965"/>
      <c r="U875" s="965"/>
      <c r="V875" s="965"/>
      <c r="W875" s="965"/>
      <c r="X875" s="965"/>
      <c r="Y875" s="965"/>
      <c r="Z875" s="965"/>
    </row>
    <row r="876">
      <c r="A876" s="965"/>
      <c r="B876" s="965"/>
      <c r="C876" s="965"/>
      <c r="D876" s="965"/>
      <c r="E876" s="965"/>
      <c r="F876" s="965"/>
      <c r="G876" s="965"/>
      <c r="H876" s="965"/>
      <c r="I876" s="965"/>
      <c r="J876" s="965"/>
      <c r="K876" s="965"/>
      <c r="L876" s="965"/>
      <c r="M876" s="965"/>
      <c r="N876" s="965"/>
      <c r="O876" s="965"/>
      <c r="P876" s="965"/>
      <c r="Q876" s="965"/>
      <c r="R876" s="965"/>
      <c r="S876" s="965"/>
      <c r="T876" s="965"/>
      <c r="U876" s="965"/>
      <c r="V876" s="965"/>
      <c r="W876" s="965"/>
      <c r="X876" s="965"/>
      <c r="Y876" s="965"/>
      <c r="Z876" s="965"/>
    </row>
    <row r="877">
      <c r="A877" s="965"/>
      <c r="B877" s="965"/>
      <c r="C877" s="965"/>
      <c r="D877" s="965"/>
      <c r="E877" s="965"/>
      <c r="F877" s="965"/>
      <c r="G877" s="965"/>
      <c r="H877" s="965"/>
      <c r="I877" s="965"/>
      <c r="J877" s="965"/>
      <c r="K877" s="965"/>
      <c r="L877" s="965"/>
      <c r="M877" s="965"/>
      <c r="N877" s="965"/>
      <c r="O877" s="965"/>
      <c r="P877" s="965"/>
      <c r="Q877" s="965"/>
      <c r="R877" s="965"/>
      <c r="S877" s="965"/>
      <c r="T877" s="965"/>
      <c r="U877" s="965"/>
      <c r="V877" s="965"/>
      <c r="W877" s="965"/>
      <c r="X877" s="965"/>
      <c r="Y877" s="965"/>
      <c r="Z877" s="965"/>
    </row>
    <row r="878">
      <c r="A878" s="965"/>
      <c r="B878" s="965"/>
      <c r="C878" s="965"/>
      <c r="D878" s="965"/>
      <c r="E878" s="965"/>
      <c r="F878" s="965"/>
      <c r="G878" s="965"/>
      <c r="H878" s="965"/>
      <c r="I878" s="965"/>
      <c r="J878" s="965"/>
      <c r="K878" s="965"/>
      <c r="L878" s="965"/>
      <c r="M878" s="965"/>
      <c r="N878" s="965"/>
      <c r="O878" s="965"/>
      <c r="P878" s="965"/>
      <c r="Q878" s="965"/>
      <c r="R878" s="965"/>
      <c r="S878" s="965"/>
      <c r="T878" s="965"/>
      <c r="U878" s="965"/>
      <c r="V878" s="965"/>
      <c r="W878" s="965"/>
      <c r="X878" s="965"/>
      <c r="Y878" s="965"/>
      <c r="Z878" s="965"/>
    </row>
    <row r="879">
      <c r="A879" s="965"/>
      <c r="B879" s="965"/>
      <c r="C879" s="965"/>
      <c r="D879" s="965"/>
      <c r="E879" s="965"/>
      <c r="F879" s="965"/>
      <c r="G879" s="965"/>
      <c r="H879" s="965"/>
      <c r="I879" s="965"/>
      <c r="J879" s="965"/>
      <c r="K879" s="965"/>
      <c r="L879" s="965"/>
      <c r="M879" s="965"/>
      <c r="N879" s="965"/>
      <c r="O879" s="965"/>
      <c r="P879" s="965"/>
      <c r="Q879" s="965"/>
      <c r="R879" s="965"/>
      <c r="S879" s="965"/>
      <c r="T879" s="965"/>
      <c r="U879" s="965"/>
      <c r="V879" s="965"/>
      <c r="W879" s="965"/>
      <c r="X879" s="965"/>
      <c r="Y879" s="965"/>
      <c r="Z879" s="965"/>
    </row>
    <row r="880">
      <c r="A880" s="965"/>
      <c r="B880" s="965"/>
      <c r="C880" s="965"/>
      <c r="D880" s="965"/>
      <c r="E880" s="965"/>
      <c r="F880" s="965"/>
      <c r="G880" s="965"/>
      <c r="H880" s="965"/>
      <c r="I880" s="965"/>
      <c r="J880" s="965"/>
      <c r="K880" s="965"/>
      <c r="L880" s="965"/>
      <c r="M880" s="965"/>
      <c r="N880" s="965"/>
      <c r="O880" s="965"/>
      <c r="P880" s="965"/>
      <c r="Q880" s="965"/>
      <c r="R880" s="965"/>
      <c r="S880" s="965"/>
      <c r="T880" s="965"/>
      <c r="U880" s="965"/>
      <c r="V880" s="965"/>
      <c r="W880" s="965"/>
      <c r="X880" s="965"/>
      <c r="Y880" s="965"/>
      <c r="Z880" s="965"/>
    </row>
    <row r="881">
      <c r="A881" s="965"/>
      <c r="B881" s="965"/>
      <c r="C881" s="965"/>
      <c r="D881" s="965"/>
      <c r="E881" s="965"/>
      <c r="F881" s="965"/>
      <c r="G881" s="965"/>
      <c r="H881" s="965"/>
      <c r="I881" s="965"/>
      <c r="J881" s="965"/>
      <c r="K881" s="965"/>
      <c r="L881" s="965"/>
      <c r="M881" s="965"/>
      <c r="N881" s="965"/>
      <c r="O881" s="965"/>
      <c r="P881" s="965"/>
      <c r="Q881" s="965"/>
      <c r="R881" s="965"/>
      <c r="S881" s="965"/>
      <c r="T881" s="965"/>
      <c r="U881" s="965"/>
      <c r="V881" s="965"/>
      <c r="W881" s="965"/>
      <c r="X881" s="965"/>
      <c r="Y881" s="965"/>
      <c r="Z881" s="965"/>
    </row>
    <row r="882">
      <c r="A882" s="965"/>
      <c r="B882" s="965"/>
      <c r="C882" s="965"/>
      <c r="D882" s="965"/>
      <c r="E882" s="965"/>
      <c r="F882" s="965"/>
      <c r="G882" s="965"/>
      <c r="H882" s="965"/>
      <c r="I882" s="965"/>
      <c r="J882" s="965"/>
      <c r="K882" s="965"/>
      <c r="L882" s="965"/>
      <c r="M882" s="965"/>
      <c r="N882" s="965"/>
      <c r="O882" s="965"/>
      <c r="P882" s="965"/>
      <c r="Q882" s="965"/>
      <c r="R882" s="965"/>
      <c r="S882" s="965"/>
      <c r="T882" s="965"/>
      <c r="U882" s="965"/>
      <c r="V882" s="965"/>
      <c r="W882" s="965"/>
      <c r="X882" s="965"/>
      <c r="Y882" s="965"/>
      <c r="Z882" s="965"/>
    </row>
    <row r="883">
      <c r="A883" s="965"/>
      <c r="B883" s="965"/>
      <c r="C883" s="965"/>
      <c r="D883" s="965"/>
      <c r="E883" s="965"/>
      <c r="F883" s="965"/>
      <c r="G883" s="965"/>
      <c r="H883" s="965"/>
      <c r="I883" s="965"/>
      <c r="J883" s="965"/>
      <c r="K883" s="965"/>
      <c r="L883" s="965"/>
      <c r="M883" s="965"/>
      <c r="N883" s="965"/>
      <c r="O883" s="965"/>
      <c r="P883" s="965"/>
      <c r="Q883" s="965"/>
      <c r="R883" s="965"/>
      <c r="S883" s="965"/>
      <c r="T883" s="965"/>
      <c r="U883" s="965"/>
      <c r="V883" s="965"/>
      <c r="W883" s="965"/>
      <c r="X883" s="965"/>
      <c r="Y883" s="965"/>
      <c r="Z883" s="965"/>
    </row>
    <row r="884">
      <c r="A884" s="965"/>
      <c r="B884" s="965"/>
      <c r="C884" s="965"/>
      <c r="D884" s="965"/>
      <c r="E884" s="965"/>
      <c r="F884" s="965"/>
      <c r="G884" s="965"/>
      <c r="H884" s="965"/>
      <c r="I884" s="965"/>
      <c r="J884" s="965"/>
      <c r="K884" s="965"/>
      <c r="L884" s="965"/>
      <c r="M884" s="965"/>
      <c r="N884" s="965"/>
      <c r="O884" s="965"/>
      <c r="P884" s="965"/>
      <c r="Q884" s="965"/>
      <c r="R884" s="965"/>
      <c r="S884" s="965"/>
      <c r="T884" s="965"/>
      <c r="U884" s="965"/>
      <c r="V884" s="965"/>
      <c r="W884" s="965"/>
      <c r="X884" s="965"/>
      <c r="Y884" s="965"/>
      <c r="Z884" s="965"/>
    </row>
    <row r="885">
      <c r="A885" s="965"/>
      <c r="B885" s="965"/>
      <c r="C885" s="965"/>
      <c r="D885" s="965"/>
      <c r="E885" s="965"/>
      <c r="F885" s="965"/>
      <c r="G885" s="965"/>
      <c r="H885" s="965"/>
      <c r="I885" s="965"/>
      <c r="J885" s="965"/>
      <c r="K885" s="965"/>
      <c r="L885" s="965"/>
      <c r="M885" s="965"/>
      <c r="N885" s="965"/>
      <c r="O885" s="965"/>
      <c r="P885" s="965"/>
      <c r="Q885" s="965"/>
      <c r="R885" s="965"/>
      <c r="S885" s="965"/>
      <c r="T885" s="965"/>
      <c r="U885" s="965"/>
      <c r="V885" s="965"/>
      <c r="W885" s="965"/>
      <c r="X885" s="965"/>
      <c r="Y885" s="965"/>
      <c r="Z885" s="965"/>
    </row>
    <row r="886">
      <c r="A886" s="965"/>
      <c r="B886" s="965"/>
      <c r="C886" s="965"/>
      <c r="D886" s="965"/>
      <c r="E886" s="965"/>
      <c r="F886" s="965"/>
      <c r="G886" s="965"/>
      <c r="H886" s="965"/>
      <c r="I886" s="965"/>
      <c r="J886" s="965"/>
      <c r="K886" s="965"/>
      <c r="L886" s="965"/>
      <c r="M886" s="965"/>
      <c r="N886" s="965"/>
      <c r="O886" s="965"/>
      <c r="P886" s="965"/>
      <c r="Q886" s="965"/>
      <c r="R886" s="965"/>
      <c r="S886" s="965"/>
      <c r="T886" s="965"/>
      <c r="U886" s="965"/>
      <c r="V886" s="965"/>
      <c r="W886" s="965"/>
      <c r="X886" s="965"/>
      <c r="Y886" s="965"/>
      <c r="Z886" s="965"/>
    </row>
    <row r="887">
      <c r="A887" s="965"/>
      <c r="B887" s="965"/>
      <c r="C887" s="965"/>
      <c r="D887" s="965"/>
      <c r="E887" s="965"/>
      <c r="F887" s="965"/>
      <c r="G887" s="965"/>
      <c r="H887" s="965"/>
      <c r="I887" s="965"/>
      <c r="J887" s="965"/>
      <c r="K887" s="965"/>
      <c r="L887" s="965"/>
      <c r="M887" s="965"/>
      <c r="N887" s="965"/>
      <c r="O887" s="965"/>
      <c r="P887" s="965"/>
      <c r="Q887" s="965"/>
      <c r="R887" s="965"/>
      <c r="S887" s="965"/>
      <c r="T887" s="965"/>
      <c r="U887" s="965"/>
      <c r="V887" s="965"/>
      <c r="W887" s="965"/>
      <c r="X887" s="965"/>
      <c r="Y887" s="965"/>
      <c r="Z887" s="965"/>
    </row>
    <row r="888">
      <c r="A888" s="965"/>
      <c r="B888" s="965"/>
      <c r="C888" s="965"/>
      <c r="D888" s="965"/>
      <c r="E888" s="965"/>
      <c r="F888" s="965"/>
      <c r="G888" s="965"/>
      <c r="H888" s="965"/>
      <c r="I888" s="965"/>
      <c r="J888" s="965"/>
      <c r="K888" s="965"/>
      <c r="L888" s="965"/>
      <c r="M888" s="965"/>
      <c r="N888" s="965"/>
      <c r="O888" s="965"/>
      <c r="P888" s="965"/>
      <c r="Q888" s="965"/>
      <c r="R888" s="965"/>
      <c r="S888" s="965"/>
      <c r="T888" s="965"/>
      <c r="U888" s="965"/>
      <c r="V888" s="965"/>
      <c r="W888" s="965"/>
      <c r="X888" s="965"/>
      <c r="Y888" s="965"/>
      <c r="Z888" s="965"/>
    </row>
    <row r="889">
      <c r="A889" s="965"/>
      <c r="B889" s="965"/>
      <c r="C889" s="965"/>
      <c r="D889" s="965"/>
      <c r="E889" s="965"/>
      <c r="F889" s="965"/>
      <c r="G889" s="965"/>
      <c r="H889" s="965"/>
      <c r="I889" s="965"/>
      <c r="J889" s="965"/>
      <c r="K889" s="965"/>
      <c r="L889" s="965"/>
      <c r="M889" s="965"/>
      <c r="N889" s="965"/>
      <c r="O889" s="965"/>
      <c r="P889" s="965"/>
      <c r="Q889" s="965"/>
      <c r="R889" s="965"/>
      <c r="S889" s="965"/>
      <c r="T889" s="965"/>
      <c r="U889" s="965"/>
      <c r="V889" s="965"/>
      <c r="W889" s="965"/>
      <c r="X889" s="965"/>
      <c r="Y889" s="965"/>
      <c r="Z889" s="965"/>
    </row>
    <row r="890">
      <c r="A890" s="965"/>
      <c r="B890" s="965"/>
      <c r="C890" s="965"/>
      <c r="D890" s="965"/>
      <c r="E890" s="965"/>
      <c r="F890" s="965"/>
      <c r="G890" s="965"/>
      <c r="H890" s="965"/>
      <c r="I890" s="965"/>
      <c r="J890" s="965"/>
      <c r="K890" s="965"/>
      <c r="L890" s="965"/>
      <c r="M890" s="965"/>
      <c r="N890" s="965"/>
      <c r="O890" s="965"/>
      <c r="P890" s="965"/>
      <c r="Q890" s="965"/>
      <c r="R890" s="965"/>
      <c r="S890" s="965"/>
      <c r="T890" s="965"/>
      <c r="U890" s="965"/>
      <c r="V890" s="965"/>
      <c r="W890" s="965"/>
      <c r="X890" s="965"/>
      <c r="Y890" s="965"/>
      <c r="Z890" s="965"/>
    </row>
    <row r="891">
      <c r="A891" s="965"/>
      <c r="B891" s="965"/>
      <c r="C891" s="965"/>
      <c r="D891" s="965"/>
      <c r="E891" s="965"/>
      <c r="F891" s="965"/>
      <c r="G891" s="965"/>
      <c r="H891" s="965"/>
      <c r="I891" s="965"/>
      <c r="J891" s="965"/>
      <c r="K891" s="965"/>
      <c r="L891" s="965"/>
      <c r="M891" s="965"/>
      <c r="N891" s="965"/>
      <c r="O891" s="965"/>
      <c r="P891" s="965"/>
      <c r="Q891" s="965"/>
      <c r="R891" s="965"/>
      <c r="S891" s="965"/>
      <c r="T891" s="965"/>
      <c r="U891" s="965"/>
      <c r="V891" s="965"/>
      <c r="W891" s="965"/>
      <c r="X891" s="965"/>
      <c r="Y891" s="965"/>
      <c r="Z891" s="965"/>
    </row>
    <row r="892">
      <c r="A892" s="965"/>
      <c r="B892" s="965"/>
      <c r="C892" s="965"/>
      <c r="D892" s="965"/>
      <c r="E892" s="965"/>
      <c r="F892" s="965"/>
      <c r="G892" s="965"/>
      <c r="H892" s="965"/>
      <c r="I892" s="965"/>
      <c r="J892" s="965"/>
      <c r="K892" s="965"/>
      <c r="L892" s="965"/>
      <c r="M892" s="965"/>
      <c r="N892" s="965"/>
      <c r="O892" s="965"/>
      <c r="P892" s="965"/>
      <c r="Q892" s="965"/>
      <c r="R892" s="965"/>
      <c r="S892" s="965"/>
      <c r="T892" s="965"/>
      <c r="U892" s="965"/>
      <c r="V892" s="965"/>
      <c r="W892" s="965"/>
      <c r="X892" s="965"/>
      <c r="Y892" s="965"/>
      <c r="Z892" s="965"/>
    </row>
    <row r="893">
      <c r="A893" s="965"/>
      <c r="B893" s="965"/>
      <c r="C893" s="965"/>
      <c r="D893" s="965"/>
      <c r="E893" s="965"/>
      <c r="F893" s="965"/>
      <c r="G893" s="965"/>
      <c r="H893" s="965"/>
      <c r="I893" s="965"/>
      <c r="J893" s="965"/>
      <c r="K893" s="965"/>
      <c r="L893" s="965"/>
      <c r="M893" s="965"/>
      <c r="N893" s="965"/>
      <c r="O893" s="965"/>
      <c r="P893" s="965"/>
      <c r="Q893" s="965"/>
      <c r="R893" s="965"/>
      <c r="S893" s="965"/>
      <c r="T893" s="965"/>
      <c r="U893" s="965"/>
      <c r="V893" s="965"/>
      <c r="W893" s="965"/>
      <c r="X893" s="965"/>
      <c r="Y893" s="965"/>
      <c r="Z893" s="965"/>
    </row>
    <row r="894">
      <c r="A894" s="965"/>
      <c r="B894" s="965"/>
      <c r="C894" s="965"/>
      <c r="D894" s="965"/>
      <c r="E894" s="965"/>
      <c r="F894" s="965"/>
      <c r="G894" s="965"/>
      <c r="H894" s="965"/>
      <c r="I894" s="965"/>
      <c r="J894" s="965"/>
      <c r="K894" s="965"/>
      <c r="L894" s="965"/>
      <c r="M894" s="965"/>
      <c r="N894" s="965"/>
      <c r="O894" s="965"/>
      <c r="P894" s="965"/>
      <c r="Q894" s="965"/>
      <c r="R894" s="965"/>
      <c r="S894" s="965"/>
      <c r="T894" s="965"/>
      <c r="U894" s="965"/>
      <c r="V894" s="965"/>
      <c r="W894" s="965"/>
      <c r="X894" s="965"/>
      <c r="Y894" s="965"/>
      <c r="Z894" s="965"/>
    </row>
    <row r="895">
      <c r="A895" s="965"/>
      <c r="B895" s="965"/>
      <c r="C895" s="965"/>
      <c r="D895" s="965"/>
      <c r="E895" s="965"/>
      <c r="F895" s="965"/>
      <c r="G895" s="965"/>
      <c r="H895" s="965"/>
      <c r="I895" s="965"/>
      <c r="J895" s="965"/>
      <c r="K895" s="965"/>
      <c r="L895" s="965"/>
      <c r="M895" s="965"/>
      <c r="N895" s="965"/>
      <c r="O895" s="965"/>
      <c r="P895" s="965"/>
      <c r="Q895" s="965"/>
      <c r="R895" s="965"/>
      <c r="S895" s="965"/>
      <c r="T895" s="965"/>
      <c r="U895" s="965"/>
      <c r="V895" s="965"/>
      <c r="W895" s="965"/>
      <c r="X895" s="965"/>
      <c r="Y895" s="965"/>
      <c r="Z895" s="965"/>
    </row>
    <row r="896">
      <c r="A896" s="965"/>
      <c r="B896" s="965"/>
      <c r="C896" s="965"/>
      <c r="D896" s="965"/>
      <c r="E896" s="965"/>
      <c r="F896" s="965"/>
      <c r="G896" s="965"/>
      <c r="H896" s="965"/>
      <c r="I896" s="965"/>
      <c r="J896" s="965"/>
      <c r="K896" s="965"/>
      <c r="L896" s="965"/>
      <c r="M896" s="965"/>
      <c r="N896" s="965"/>
      <c r="O896" s="965"/>
      <c r="P896" s="965"/>
      <c r="Q896" s="965"/>
      <c r="R896" s="965"/>
      <c r="S896" s="965"/>
      <c r="T896" s="965"/>
      <c r="U896" s="965"/>
      <c r="V896" s="965"/>
      <c r="W896" s="965"/>
      <c r="X896" s="965"/>
      <c r="Y896" s="965"/>
      <c r="Z896" s="965"/>
    </row>
    <row r="897">
      <c r="A897" s="965"/>
      <c r="B897" s="965"/>
      <c r="C897" s="965"/>
      <c r="D897" s="965"/>
      <c r="E897" s="965"/>
      <c r="F897" s="965"/>
      <c r="G897" s="965"/>
      <c r="H897" s="965"/>
      <c r="I897" s="965"/>
      <c r="J897" s="965"/>
      <c r="K897" s="965"/>
      <c r="L897" s="965"/>
      <c r="M897" s="965"/>
      <c r="N897" s="965"/>
      <c r="O897" s="965"/>
      <c r="P897" s="965"/>
      <c r="Q897" s="965"/>
      <c r="R897" s="965"/>
      <c r="S897" s="965"/>
      <c r="T897" s="965"/>
      <c r="U897" s="965"/>
      <c r="V897" s="965"/>
      <c r="W897" s="965"/>
      <c r="X897" s="965"/>
      <c r="Y897" s="965"/>
      <c r="Z897" s="965"/>
    </row>
    <row r="898">
      <c r="A898" s="965"/>
      <c r="B898" s="965"/>
      <c r="C898" s="965"/>
      <c r="D898" s="965"/>
      <c r="E898" s="965"/>
      <c r="F898" s="965"/>
      <c r="G898" s="965"/>
      <c r="H898" s="965"/>
      <c r="I898" s="965"/>
      <c r="J898" s="965"/>
      <c r="K898" s="965"/>
      <c r="L898" s="965"/>
      <c r="M898" s="965"/>
      <c r="N898" s="965"/>
      <c r="O898" s="965"/>
      <c r="P898" s="965"/>
      <c r="Q898" s="965"/>
      <c r="R898" s="965"/>
      <c r="S898" s="965"/>
      <c r="T898" s="965"/>
      <c r="U898" s="965"/>
      <c r="V898" s="965"/>
      <c r="W898" s="965"/>
      <c r="X898" s="965"/>
      <c r="Y898" s="965"/>
      <c r="Z898" s="965"/>
    </row>
    <row r="899">
      <c r="A899" s="965"/>
      <c r="B899" s="965"/>
      <c r="C899" s="965"/>
      <c r="D899" s="965"/>
      <c r="E899" s="965"/>
      <c r="F899" s="965"/>
      <c r="G899" s="965"/>
      <c r="H899" s="965"/>
      <c r="I899" s="965"/>
      <c r="J899" s="965"/>
      <c r="K899" s="965"/>
      <c r="L899" s="965"/>
      <c r="M899" s="965"/>
      <c r="N899" s="965"/>
      <c r="O899" s="965"/>
      <c r="P899" s="965"/>
      <c r="Q899" s="965"/>
      <c r="R899" s="965"/>
      <c r="S899" s="965"/>
      <c r="T899" s="965"/>
      <c r="U899" s="965"/>
      <c r="V899" s="965"/>
      <c r="W899" s="965"/>
      <c r="X899" s="965"/>
      <c r="Y899" s="965"/>
      <c r="Z899" s="965"/>
    </row>
    <row r="900">
      <c r="A900" s="965"/>
      <c r="B900" s="965"/>
      <c r="C900" s="965"/>
      <c r="D900" s="965"/>
      <c r="E900" s="965"/>
      <c r="F900" s="965"/>
      <c r="G900" s="965"/>
      <c r="H900" s="965"/>
      <c r="I900" s="965"/>
      <c r="J900" s="965"/>
      <c r="K900" s="965"/>
      <c r="L900" s="965"/>
      <c r="M900" s="965"/>
      <c r="N900" s="965"/>
      <c r="O900" s="965"/>
      <c r="P900" s="965"/>
      <c r="Q900" s="965"/>
      <c r="R900" s="965"/>
      <c r="S900" s="965"/>
      <c r="T900" s="965"/>
      <c r="U900" s="965"/>
      <c r="V900" s="965"/>
      <c r="W900" s="965"/>
      <c r="X900" s="965"/>
      <c r="Y900" s="965"/>
      <c r="Z900" s="965"/>
    </row>
    <row r="901">
      <c r="A901" s="965"/>
      <c r="B901" s="965"/>
      <c r="C901" s="965"/>
      <c r="D901" s="965"/>
      <c r="E901" s="965"/>
      <c r="F901" s="965"/>
      <c r="G901" s="965"/>
      <c r="H901" s="965"/>
      <c r="I901" s="965"/>
      <c r="J901" s="965"/>
      <c r="K901" s="965"/>
      <c r="L901" s="965"/>
      <c r="M901" s="965"/>
      <c r="N901" s="965"/>
      <c r="O901" s="965"/>
      <c r="P901" s="965"/>
      <c r="Q901" s="965"/>
      <c r="R901" s="965"/>
      <c r="S901" s="965"/>
      <c r="T901" s="965"/>
      <c r="U901" s="965"/>
      <c r="V901" s="965"/>
      <c r="W901" s="965"/>
      <c r="X901" s="965"/>
      <c r="Y901" s="965"/>
      <c r="Z901" s="965"/>
    </row>
    <row r="902">
      <c r="A902" s="965"/>
      <c r="B902" s="965"/>
      <c r="C902" s="965"/>
      <c r="D902" s="965"/>
      <c r="E902" s="965"/>
      <c r="F902" s="965"/>
      <c r="G902" s="965"/>
      <c r="H902" s="965"/>
      <c r="I902" s="965"/>
      <c r="J902" s="965"/>
      <c r="K902" s="965"/>
      <c r="L902" s="965"/>
      <c r="M902" s="965"/>
      <c r="N902" s="965"/>
      <c r="O902" s="965"/>
      <c r="P902" s="965"/>
      <c r="Q902" s="965"/>
      <c r="R902" s="965"/>
      <c r="S902" s="965"/>
      <c r="T902" s="965"/>
      <c r="U902" s="965"/>
      <c r="V902" s="965"/>
      <c r="W902" s="965"/>
      <c r="X902" s="965"/>
      <c r="Y902" s="965"/>
      <c r="Z902" s="965"/>
    </row>
    <row r="903">
      <c r="A903" s="965"/>
      <c r="B903" s="965"/>
      <c r="C903" s="965"/>
      <c r="D903" s="965"/>
      <c r="E903" s="965"/>
      <c r="F903" s="965"/>
      <c r="G903" s="965"/>
      <c r="H903" s="965"/>
      <c r="I903" s="965"/>
      <c r="J903" s="965"/>
      <c r="K903" s="965"/>
      <c r="L903" s="965"/>
      <c r="M903" s="965"/>
      <c r="N903" s="965"/>
      <c r="O903" s="965"/>
      <c r="P903" s="965"/>
      <c r="Q903" s="965"/>
      <c r="R903" s="965"/>
      <c r="S903" s="965"/>
      <c r="T903" s="965"/>
      <c r="U903" s="965"/>
      <c r="V903" s="965"/>
      <c r="W903" s="965"/>
      <c r="X903" s="965"/>
      <c r="Y903" s="965"/>
      <c r="Z903" s="965"/>
    </row>
    <row r="904">
      <c r="A904" s="965"/>
      <c r="B904" s="965"/>
      <c r="C904" s="965"/>
      <c r="D904" s="965"/>
      <c r="E904" s="965"/>
      <c r="F904" s="965"/>
      <c r="G904" s="965"/>
      <c r="H904" s="965"/>
      <c r="I904" s="965"/>
      <c r="J904" s="965"/>
      <c r="K904" s="965"/>
      <c r="L904" s="965"/>
      <c r="M904" s="965"/>
      <c r="N904" s="965"/>
      <c r="O904" s="965"/>
      <c r="P904" s="965"/>
      <c r="Q904" s="965"/>
      <c r="R904" s="965"/>
      <c r="S904" s="965"/>
      <c r="T904" s="965"/>
      <c r="U904" s="965"/>
      <c r="V904" s="965"/>
      <c r="W904" s="965"/>
      <c r="X904" s="965"/>
      <c r="Y904" s="965"/>
      <c r="Z904" s="965"/>
    </row>
    <row r="905">
      <c r="A905" s="965"/>
      <c r="B905" s="965"/>
      <c r="C905" s="965"/>
      <c r="D905" s="965"/>
      <c r="E905" s="965"/>
      <c r="F905" s="965"/>
      <c r="G905" s="965"/>
      <c r="H905" s="965"/>
      <c r="I905" s="965"/>
      <c r="J905" s="965"/>
      <c r="K905" s="965"/>
      <c r="L905" s="965"/>
      <c r="M905" s="965"/>
      <c r="N905" s="965"/>
      <c r="O905" s="965"/>
      <c r="P905" s="965"/>
      <c r="Q905" s="965"/>
      <c r="R905" s="965"/>
      <c r="S905" s="965"/>
      <c r="T905" s="965"/>
      <c r="U905" s="965"/>
      <c r="V905" s="965"/>
      <c r="W905" s="965"/>
      <c r="X905" s="965"/>
      <c r="Y905" s="965"/>
      <c r="Z905" s="965"/>
    </row>
    <row r="906">
      <c r="A906" s="965"/>
      <c r="B906" s="965"/>
      <c r="C906" s="965"/>
      <c r="D906" s="965"/>
      <c r="E906" s="965"/>
      <c r="F906" s="965"/>
      <c r="G906" s="965"/>
      <c r="H906" s="965"/>
      <c r="I906" s="965"/>
      <c r="J906" s="965"/>
      <c r="K906" s="965"/>
      <c r="L906" s="965"/>
      <c r="M906" s="965"/>
      <c r="N906" s="965"/>
      <c r="O906" s="965"/>
      <c r="P906" s="965"/>
      <c r="Q906" s="965"/>
      <c r="R906" s="965"/>
      <c r="S906" s="965"/>
      <c r="T906" s="965"/>
      <c r="U906" s="965"/>
      <c r="V906" s="965"/>
      <c r="W906" s="965"/>
      <c r="X906" s="965"/>
      <c r="Y906" s="965"/>
      <c r="Z906" s="965"/>
    </row>
    <row r="907">
      <c r="A907" s="965"/>
      <c r="B907" s="965"/>
      <c r="C907" s="965"/>
      <c r="D907" s="965"/>
      <c r="E907" s="965"/>
      <c r="F907" s="965"/>
      <c r="G907" s="965"/>
      <c r="H907" s="965"/>
      <c r="I907" s="965"/>
      <c r="J907" s="965"/>
      <c r="K907" s="965"/>
      <c r="L907" s="965"/>
      <c r="M907" s="965"/>
      <c r="N907" s="965"/>
      <c r="O907" s="965"/>
      <c r="P907" s="965"/>
      <c r="Q907" s="965"/>
      <c r="R907" s="965"/>
      <c r="S907" s="965"/>
      <c r="T907" s="965"/>
      <c r="U907" s="965"/>
      <c r="V907" s="965"/>
      <c r="W907" s="965"/>
      <c r="X907" s="965"/>
      <c r="Y907" s="965"/>
      <c r="Z907" s="965"/>
    </row>
    <row r="908">
      <c r="A908" s="965"/>
      <c r="B908" s="965"/>
      <c r="C908" s="965"/>
      <c r="D908" s="965"/>
      <c r="E908" s="965"/>
      <c r="F908" s="965"/>
      <c r="G908" s="965"/>
      <c r="H908" s="965"/>
      <c r="I908" s="965"/>
      <c r="J908" s="965"/>
      <c r="K908" s="965"/>
      <c r="L908" s="965"/>
      <c r="M908" s="965"/>
      <c r="N908" s="965"/>
      <c r="O908" s="965"/>
      <c r="P908" s="965"/>
      <c r="Q908" s="965"/>
      <c r="R908" s="965"/>
      <c r="S908" s="965"/>
      <c r="T908" s="965"/>
      <c r="U908" s="965"/>
      <c r="V908" s="965"/>
      <c r="W908" s="965"/>
      <c r="X908" s="965"/>
      <c r="Y908" s="965"/>
      <c r="Z908" s="965"/>
    </row>
    <row r="909">
      <c r="A909" s="965"/>
      <c r="B909" s="965"/>
      <c r="C909" s="965"/>
      <c r="D909" s="965"/>
      <c r="E909" s="965"/>
      <c r="F909" s="965"/>
      <c r="G909" s="965"/>
      <c r="H909" s="965"/>
      <c r="I909" s="965"/>
      <c r="J909" s="965"/>
      <c r="K909" s="965"/>
      <c r="L909" s="965"/>
      <c r="M909" s="965"/>
      <c r="N909" s="965"/>
      <c r="O909" s="965"/>
      <c r="P909" s="965"/>
      <c r="Q909" s="965"/>
      <c r="R909" s="965"/>
      <c r="S909" s="965"/>
      <c r="T909" s="965"/>
      <c r="U909" s="965"/>
      <c r="V909" s="965"/>
      <c r="W909" s="965"/>
      <c r="X909" s="965"/>
      <c r="Y909" s="965"/>
      <c r="Z909" s="965"/>
    </row>
    <row r="910">
      <c r="A910" s="965"/>
      <c r="B910" s="965"/>
      <c r="C910" s="965"/>
      <c r="D910" s="965"/>
      <c r="E910" s="965"/>
      <c r="F910" s="965"/>
      <c r="G910" s="965"/>
      <c r="H910" s="965"/>
      <c r="I910" s="965"/>
      <c r="J910" s="965"/>
      <c r="K910" s="965"/>
      <c r="L910" s="965"/>
      <c r="M910" s="965"/>
      <c r="N910" s="965"/>
      <c r="O910" s="965"/>
      <c r="P910" s="965"/>
      <c r="Q910" s="965"/>
      <c r="R910" s="965"/>
      <c r="S910" s="965"/>
      <c r="T910" s="965"/>
      <c r="U910" s="965"/>
      <c r="V910" s="965"/>
      <c r="W910" s="965"/>
      <c r="X910" s="965"/>
      <c r="Y910" s="965"/>
      <c r="Z910" s="965"/>
    </row>
    <row r="911">
      <c r="A911" s="965"/>
      <c r="B911" s="965"/>
      <c r="C911" s="965"/>
      <c r="D911" s="965"/>
      <c r="E911" s="965"/>
      <c r="F911" s="965"/>
      <c r="G911" s="965"/>
      <c r="H911" s="965"/>
      <c r="I911" s="965"/>
      <c r="J911" s="965"/>
      <c r="K911" s="965"/>
      <c r="L911" s="965"/>
      <c r="M911" s="965"/>
      <c r="N911" s="965"/>
      <c r="O911" s="965"/>
      <c r="P911" s="965"/>
      <c r="Q911" s="965"/>
      <c r="R911" s="965"/>
      <c r="S911" s="965"/>
      <c r="T911" s="965"/>
      <c r="U911" s="965"/>
      <c r="V911" s="965"/>
      <c r="W911" s="965"/>
      <c r="X911" s="965"/>
      <c r="Y911" s="965"/>
      <c r="Z911" s="965"/>
    </row>
    <row r="912">
      <c r="A912" s="965"/>
      <c r="B912" s="965"/>
      <c r="C912" s="965"/>
      <c r="D912" s="965"/>
      <c r="E912" s="965"/>
      <c r="F912" s="965"/>
      <c r="G912" s="965"/>
      <c r="H912" s="965"/>
      <c r="I912" s="965"/>
      <c r="J912" s="965"/>
      <c r="K912" s="965"/>
      <c r="L912" s="965"/>
      <c r="M912" s="965"/>
      <c r="N912" s="965"/>
      <c r="O912" s="965"/>
      <c r="P912" s="965"/>
      <c r="Q912" s="965"/>
      <c r="R912" s="965"/>
      <c r="S912" s="965"/>
      <c r="T912" s="965"/>
      <c r="U912" s="965"/>
      <c r="V912" s="965"/>
      <c r="W912" s="965"/>
      <c r="X912" s="965"/>
      <c r="Y912" s="965"/>
      <c r="Z912" s="965"/>
    </row>
    <row r="913">
      <c r="A913" s="965"/>
      <c r="B913" s="965"/>
      <c r="C913" s="965"/>
      <c r="D913" s="965"/>
      <c r="E913" s="965"/>
      <c r="F913" s="965"/>
      <c r="G913" s="965"/>
      <c r="H913" s="965"/>
      <c r="I913" s="965"/>
      <c r="J913" s="965"/>
      <c r="K913" s="965"/>
      <c r="L913" s="965"/>
      <c r="M913" s="965"/>
      <c r="N913" s="965"/>
      <c r="O913" s="965"/>
      <c r="P913" s="965"/>
      <c r="Q913" s="965"/>
      <c r="R913" s="965"/>
      <c r="S913" s="965"/>
      <c r="T913" s="965"/>
      <c r="U913" s="965"/>
      <c r="V913" s="965"/>
      <c r="W913" s="965"/>
      <c r="X913" s="965"/>
      <c r="Y913" s="965"/>
      <c r="Z913" s="965"/>
    </row>
    <row r="914">
      <c r="A914" s="965"/>
      <c r="B914" s="965"/>
      <c r="C914" s="965"/>
      <c r="D914" s="965"/>
      <c r="E914" s="965"/>
      <c r="F914" s="965"/>
      <c r="G914" s="965"/>
      <c r="H914" s="965"/>
      <c r="I914" s="965"/>
      <c r="J914" s="965"/>
      <c r="K914" s="965"/>
      <c r="L914" s="965"/>
      <c r="M914" s="965"/>
      <c r="N914" s="965"/>
      <c r="O914" s="965"/>
      <c r="P914" s="965"/>
      <c r="Q914" s="965"/>
      <c r="R914" s="965"/>
      <c r="S914" s="965"/>
      <c r="T914" s="965"/>
      <c r="U914" s="965"/>
      <c r="V914" s="965"/>
      <c r="W914" s="965"/>
      <c r="X914" s="965"/>
      <c r="Y914" s="965"/>
      <c r="Z914" s="965"/>
    </row>
    <row r="915">
      <c r="A915" s="965"/>
      <c r="B915" s="965"/>
      <c r="C915" s="965"/>
      <c r="D915" s="965"/>
      <c r="E915" s="965"/>
      <c r="F915" s="965"/>
      <c r="G915" s="965"/>
      <c r="H915" s="965"/>
      <c r="I915" s="965"/>
      <c r="J915" s="965"/>
      <c r="K915" s="965"/>
      <c r="L915" s="965"/>
      <c r="M915" s="965"/>
      <c r="N915" s="965"/>
      <c r="O915" s="965"/>
      <c r="P915" s="965"/>
      <c r="Q915" s="965"/>
      <c r="R915" s="965"/>
      <c r="S915" s="965"/>
      <c r="T915" s="965"/>
      <c r="U915" s="965"/>
      <c r="V915" s="965"/>
      <c r="W915" s="965"/>
      <c r="X915" s="965"/>
      <c r="Y915" s="965"/>
      <c r="Z915" s="965"/>
    </row>
    <row r="916">
      <c r="A916" s="965"/>
      <c r="B916" s="965"/>
      <c r="C916" s="965"/>
      <c r="D916" s="965"/>
      <c r="E916" s="965"/>
      <c r="F916" s="965"/>
      <c r="G916" s="965"/>
      <c r="H916" s="965"/>
      <c r="I916" s="965"/>
      <c r="J916" s="965"/>
      <c r="K916" s="965"/>
      <c r="L916" s="965"/>
      <c r="M916" s="965"/>
      <c r="N916" s="965"/>
      <c r="O916" s="965"/>
      <c r="P916" s="965"/>
      <c r="Q916" s="965"/>
      <c r="R916" s="965"/>
      <c r="S916" s="965"/>
      <c r="T916" s="965"/>
      <c r="U916" s="965"/>
      <c r="V916" s="965"/>
      <c r="W916" s="965"/>
      <c r="X916" s="965"/>
      <c r="Y916" s="965"/>
      <c r="Z916" s="965"/>
    </row>
    <row r="917">
      <c r="A917" s="965"/>
      <c r="B917" s="965"/>
      <c r="C917" s="965"/>
      <c r="D917" s="965"/>
      <c r="E917" s="965"/>
      <c r="F917" s="965"/>
      <c r="G917" s="965"/>
      <c r="H917" s="965"/>
      <c r="I917" s="965"/>
      <c r="J917" s="965"/>
      <c r="K917" s="965"/>
      <c r="L917" s="965"/>
      <c r="M917" s="965"/>
      <c r="N917" s="965"/>
      <c r="O917" s="965"/>
      <c r="P917" s="965"/>
      <c r="Q917" s="965"/>
      <c r="R917" s="965"/>
      <c r="S917" s="965"/>
      <c r="T917" s="965"/>
      <c r="U917" s="965"/>
      <c r="V917" s="965"/>
      <c r="W917" s="965"/>
      <c r="X917" s="965"/>
      <c r="Y917" s="965"/>
      <c r="Z917" s="965"/>
    </row>
    <row r="918">
      <c r="A918" s="965"/>
      <c r="B918" s="965"/>
      <c r="C918" s="965"/>
      <c r="D918" s="965"/>
      <c r="E918" s="965"/>
      <c r="F918" s="965"/>
      <c r="G918" s="965"/>
      <c r="H918" s="965"/>
      <c r="I918" s="965"/>
      <c r="J918" s="965"/>
      <c r="K918" s="965"/>
      <c r="L918" s="965"/>
      <c r="M918" s="965"/>
      <c r="N918" s="965"/>
      <c r="O918" s="965"/>
      <c r="P918" s="965"/>
      <c r="Q918" s="965"/>
      <c r="R918" s="965"/>
      <c r="S918" s="965"/>
      <c r="T918" s="965"/>
      <c r="U918" s="965"/>
      <c r="V918" s="965"/>
      <c r="W918" s="965"/>
      <c r="X918" s="965"/>
      <c r="Y918" s="965"/>
      <c r="Z918" s="965"/>
    </row>
    <row r="919">
      <c r="A919" s="965"/>
      <c r="B919" s="965"/>
      <c r="C919" s="965"/>
      <c r="D919" s="965"/>
      <c r="E919" s="965"/>
      <c r="F919" s="965"/>
      <c r="G919" s="965"/>
      <c r="H919" s="965"/>
      <c r="I919" s="965"/>
      <c r="J919" s="965"/>
      <c r="K919" s="965"/>
      <c r="L919" s="965"/>
      <c r="M919" s="965"/>
      <c r="N919" s="965"/>
      <c r="O919" s="965"/>
      <c r="P919" s="965"/>
      <c r="Q919" s="965"/>
      <c r="R919" s="965"/>
      <c r="S919" s="965"/>
      <c r="T919" s="965"/>
      <c r="U919" s="965"/>
      <c r="V919" s="965"/>
      <c r="W919" s="965"/>
      <c r="X919" s="965"/>
      <c r="Y919" s="965"/>
      <c r="Z919" s="965"/>
    </row>
    <row r="920">
      <c r="A920" s="965"/>
      <c r="B920" s="965"/>
      <c r="C920" s="965"/>
      <c r="D920" s="965"/>
      <c r="E920" s="965"/>
      <c r="F920" s="965"/>
      <c r="G920" s="965"/>
      <c r="H920" s="965"/>
      <c r="I920" s="965"/>
      <c r="J920" s="965"/>
      <c r="K920" s="965"/>
      <c r="L920" s="965"/>
      <c r="M920" s="965"/>
      <c r="N920" s="965"/>
      <c r="O920" s="965"/>
      <c r="P920" s="965"/>
      <c r="Q920" s="965"/>
      <c r="R920" s="965"/>
      <c r="S920" s="965"/>
      <c r="T920" s="965"/>
      <c r="U920" s="965"/>
      <c r="V920" s="965"/>
      <c r="W920" s="965"/>
      <c r="X920" s="965"/>
      <c r="Y920" s="965"/>
      <c r="Z920" s="965"/>
    </row>
    <row r="921">
      <c r="A921" s="965"/>
      <c r="B921" s="965"/>
      <c r="C921" s="965"/>
      <c r="D921" s="965"/>
      <c r="E921" s="965"/>
      <c r="F921" s="965"/>
      <c r="G921" s="965"/>
      <c r="H921" s="965"/>
      <c r="I921" s="965"/>
      <c r="J921" s="965"/>
      <c r="K921" s="965"/>
      <c r="L921" s="965"/>
      <c r="M921" s="965"/>
      <c r="N921" s="965"/>
      <c r="O921" s="965"/>
      <c r="P921" s="965"/>
      <c r="Q921" s="965"/>
      <c r="R921" s="965"/>
      <c r="S921" s="965"/>
      <c r="T921" s="965"/>
      <c r="U921" s="965"/>
      <c r="V921" s="965"/>
      <c r="W921" s="965"/>
      <c r="X921" s="965"/>
      <c r="Y921" s="965"/>
      <c r="Z921" s="965"/>
    </row>
    <row r="922">
      <c r="A922" s="965"/>
      <c r="B922" s="965"/>
      <c r="C922" s="965"/>
      <c r="D922" s="965"/>
      <c r="E922" s="965"/>
      <c r="F922" s="965"/>
      <c r="G922" s="965"/>
      <c r="H922" s="965"/>
      <c r="I922" s="965"/>
      <c r="J922" s="965"/>
      <c r="K922" s="965"/>
      <c r="L922" s="965"/>
      <c r="M922" s="965"/>
      <c r="N922" s="965"/>
      <c r="O922" s="965"/>
      <c r="P922" s="965"/>
      <c r="Q922" s="965"/>
      <c r="R922" s="965"/>
      <c r="S922" s="965"/>
      <c r="T922" s="965"/>
      <c r="U922" s="965"/>
      <c r="V922" s="965"/>
      <c r="W922" s="965"/>
      <c r="X922" s="965"/>
      <c r="Y922" s="965"/>
      <c r="Z922" s="965"/>
    </row>
    <row r="923">
      <c r="A923" s="965"/>
      <c r="B923" s="965"/>
      <c r="C923" s="965"/>
      <c r="D923" s="965"/>
      <c r="E923" s="965"/>
      <c r="F923" s="965"/>
      <c r="G923" s="965"/>
      <c r="H923" s="965"/>
      <c r="I923" s="965"/>
      <c r="J923" s="965"/>
      <c r="K923" s="965"/>
      <c r="L923" s="965"/>
      <c r="M923" s="965"/>
      <c r="N923" s="965"/>
      <c r="O923" s="965"/>
      <c r="P923" s="965"/>
      <c r="Q923" s="965"/>
      <c r="R923" s="965"/>
      <c r="S923" s="965"/>
      <c r="T923" s="965"/>
      <c r="U923" s="965"/>
      <c r="V923" s="965"/>
      <c r="W923" s="965"/>
      <c r="X923" s="965"/>
      <c r="Y923" s="965"/>
      <c r="Z923" s="965"/>
    </row>
    <row r="924">
      <c r="A924" s="965"/>
      <c r="B924" s="965"/>
      <c r="C924" s="965"/>
      <c r="D924" s="965"/>
      <c r="E924" s="965"/>
      <c r="F924" s="965"/>
      <c r="G924" s="965"/>
      <c r="H924" s="965"/>
      <c r="I924" s="965"/>
      <c r="J924" s="965"/>
      <c r="K924" s="965"/>
      <c r="L924" s="965"/>
      <c r="M924" s="965"/>
      <c r="N924" s="965"/>
      <c r="O924" s="965"/>
      <c r="P924" s="965"/>
      <c r="Q924" s="965"/>
      <c r="R924" s="965"/>
      <c r="S924" s="965"/>
      <c r="T924" s="965"/>
      <c r="U924" s="965"/>
      <c r="V924" s="965"/>
      <c r="W924" s="965"/>
      <c r="X924" s="965"/>
      <c r="Y924" s="965"/>
      <c r="Z924" s="965"/>
    </row>
    <row r="925">
      <c r="A925" s="965"/>
      <c r="B925" s="965"/>
      <c r="C925" s="965"/>
      <c r="D925" s="965"/>
      <c r="E925" s="965"/>
      <c r="F925" s="965"/>
      <c r="G925" s="965"/>
      <c r="H925" s="965"/>
      <c r="I925" s="965"/>
      <c r="J925" s="965"/>
      <c r="K925" s="965"/>
      <c r="L925" s="965"/>
      <c r="M925" s="965"/>
      <c r="N925" s="965"/>
      <c r="O925" s="965"/>
      <c r="P925" s="965"/>
      <c r="Q925" s="965"/>
      <c r="R925" s="965"/>
      <c r="S925" s="965"/>
      <c r="T925" s="965"/>
      <c r="U925" s="965"/>
      <c r="V925" s="965"/>
      <c r="W925" s="965"/>
      <c r="X925" s="965"/>
      <c r="Y925" s="965"/>
      <c r="Z925" s="965"/>
    </row>
    <row r="926">
      <c r="A926" s="965"/>
      <c r="B926" s="965"/>
      <c r="C926" s="965"/>
      <c r="D926" s="965"/>
      <c r="E926" s="965"/>
      <c r="F926" s="965"/>
      <c r="G926" s="965"/>
      <c r="H926" s="965"/>
      <c r="I926" s="965"/>
      <c r="J926" s="965"/>
      <c r="K926" s="965"/>
      <c r="L926" s="965"/>
      <c r="M926" s="965"/>
      <c r="N926" s="965"/>
      <c r="O926" s="965"/>
      <c r="P926" s="965"/>
      <c r="Q926" s="965"/>
      <c r="R926" s="965"/>
      <c r="S926" s="965"/>
      <c r="T926" s="965"/>
      <c r="U926" s="965"/>
      <c r="V926" s="965"/>
      <c r="W926" s="965"/>
      <c r="X926" s="965"/>
      <c r="Y926" s="965"/>
      <c r="Z926" s="965"/>
    </row>
    <row r="927">
      <c r="A927" s="965"/>
      <c r="B927" s="965"/>
      <c r="C927" s="965"/>
      <c r="D927" s="965"/>
      <c r="E927" s="965"/>
      <c r="F927" s="965"/>
      <c r="G927" s="965"/>
      <c r="H927" s="965"/>
      <c r="I927" s="965"/>
      <c r="J927" s="965"/>
      <c r="K927" s="965"/>
      <c r="L927" s="965"/>
      <c r="M927" s="965"/>
      <c r="N927" s="965"/>
      <c r="O927" s="965"/>
      <c r="P927" s="965"/>
      <c r="Q927" s="965"/>
      <c r="R927" s="965"/>
      <c r="S927" s="965"/>
      <c r="T927" s="965"/>
      <c r="U927" s="965"/>
      <c r="V927" s="965"/>
      <c r="W927" s="965"/>
      <c r="X927" s="965"/>
      <c r="Y927" s="965"/>
      <c r="Z927" s="965"/>
    </row>
    <row r="928">
      <c r="A928" s="965"/>
      <c r="B928" s="965"/>
      <c r="C928" s="965"/>
      <c r="D928" s="965"/>
      <c r="E928" s="965"/>
      <c r="F928" s="965"/>
      <c r="G928" s="965"/>
      <c r="H928" s="965"/>
      <c r="I928" s="965"/>
      <c r="J928" s="965"/>
      <c r="K928" s="965"/>
      <c r="L928" s="965"/>
      <c r="M928" s="965"/>
      <c r="N928" s="965"/>
      <c r="O928" s="965"/>
      <c r="P928" s="965"/>
      <c r="Q928" s="965"/>
      <c r="R928" s="965"/>
      <c r="S928" s="965"/>
      <c r="T928" s="965"/>
      <c r="U928" s="965"/>
      <c r="V928" s="965"/>
      <c r="W928" s="965"/>
      <c r="X928" s="965"/>
      <c r="Y928" s="965"/>
      <c r="Z928" s="965"/>
    </row>
    <row r="929">
      <c r="A929" s="965"/>
      <c r="B929" s="965"/>
      <c r="C929" s="965"/>
      <c r="D929" s="965"/>
      <c r="E929" s="965"/>
      <c r="F929" s="965"/>
      <c r="G929" s="965"/>
      <c r="H929" s="965"/>
      <c r="I929" s="965"/>
      <c r="J929" s="965"/>
      <c r="K929" s="965"/>
      <c r="L929" s="965"/>
      <c r="M929" s="965"/>
      <c r="N929" s="965"/>
      <c r="O929" s="965"/>
      <c r="P929" s="965"/>
      <c r="Q929" s="965"/>
      <c r="R929" s="965"/>
      <c r="S929" s="965"/>
      <c r="T929" s="965"/>
      <c r="U929" s="965"/>
      <c r="V929" s="965"/>
      <c r="W929" s="965"/>
      <c r="X929" s="965"/>
      <c r="Y929" s="965"/>
      <c r="Z929" s="965"/>
    </row>
    <row r="930">
      <c r="A930" s="965"/>
      <c r="B930" s="965"/>
      <c r="C930" s="965"/>
      <c r="D930" s="965"/>
      <c r="E930" s="965"/>
      <c r="F930" s="965"/>
      <c r="G930" s="965"/>
      <c r="H930" s="965"/>
      <c r="I930" s="965"/>
      <c r="J930" s="965"/>
      <c r="K930" s="965"/>
      <c r="L930" s="965"/>
      <c r="M930" s="965"/>
      <c r="N930" s="965"/>
      <c r="O930" s="965"/>
      <c r="P930" s="965"/>
      <c r="Q930" s="965"/>
      <c r="R930" s="965"/>
      <c r="S930" s="965"/>
      <c r="T930" s="965"/>
      <c r="U930" s="965"/>
      <c r="V930" s="965"/>
      <c r="W930" s="965"/>
      <c r="X930" s="965"/>
      <c r="Y930" s="965"/>
      <c r="Z930" s="965"/>
    </row>
    <row r="931">
      <c r="A931" s="965"/>
      <c r="B931" s="965"/>
      <c r="C931" s="965"/>
      <c r="D931" s="965"/>
      <c r="E931" s="965"/>
      <c r="F931" s="965"/>
      <c r="G931" s="965"/>
      <c r="H931" s="965"/>
      <c r="I931" s="965"/>
      <c r="J931" s="965"/>
      <c r="K931" s="965"/>
      <c r="L931" s="965"/>
      <c r="M931" s="965"/>
      <c r="N931" s="965"/>
      <c r="O931" s="965"/>
      <c r="P931" s="965"/>
      <c r="Q931" s="965"/>
      <c r="R931" s="965"/>
      <c r="S931" s="965"/>
      <c r="T931" s="965"/>
      <c r="U931" s="965"/>
      <c r="V931" s="965"/>
      <c r="W931" s="965"/>
      <c r="X931" s="965"/>
      <c r="Y931" s="965"/>
      <c r="Z931" s="965"/>
    </row>
    <row r="932">
      <c r="A932" s="965"/>
      <c r="B932" s="965"/>
      <c r="C932" s="965"/>
      <c r="D932" s="965"/>
      <c r="E932" s="965"/>
      <c r="F932" s="965"/>
      <c r="G932" s="965"/>
      <c r="H932" s="965"/>
      <c r="I932" s="965"/>
      <c r="J932" s="965"/>
      <c r="K932" s="965"/>
      <c r="L932" s="965"/>
      <c r="M932" s="965"/>
      <c r="N932" s="965"/>
      <c r="O932" s="965"/>
      <c r="P932" s="965"/>
      <c r="Q932" s="965"/>
      <c r="R932" s="965"/>
      <c r="S932" s="965"/>
      <c r="T932" s="965"/>
      <c r="U932" s="965"/>
      <c r="V932" s="965"/>
      <c r="W932" s="965"/>
      <c r="X932" s="965"/>
      <c r="Y932" s="965"/>
      <c r="Z932" s="965"/>
    </row>
    <row r="933">
      <c r="A933" s="965"/>
      <c r="B933" s="965"/>
      <c r="C933" s="965"/>
      <c r="D933" s="965"/>
      <c r="E933" s="965"/>
      <c r="F933" s="965"/>
      <c r="G933" s="965"/>
      <c r="H933" s="965"/>
      <c r="I933" s="965"/>
      <c r="J933" s="965"/>
      <c r="K933" s="965"/>
      <c r="L933" s="965"/>
      <c r="M933" s="965"/>
      <c r="N933" s="965"/>
      <c r="O933" s="965"/>
      <c r="P933" s="965"/>
      <c r="Q933" s="965"/>
      <c r="R933" s="965"/>
      <c r="S933" s="965"/>
      <c r="T933" s="965"/>
      <c r="U933" s="965"/>
      <c r="V933" s="965"/>
      <c r="W933" s="965"/>
      <c r="X933" s="965"/>
      <c r="Y933" s="965"/>
      <c r="Z933" s="965"/>
    </row>
    <row r="934">
      <c r="A934" s="965"/>
      <c r="B934" s="965"/>
      <c r="C934" s="965"/>
      <c r="D934" s="965"/>
      <c r="E934" s="965"/>
      <c r="F934" s="965"/>
      <c r="G934" s="965"/>
      <c r="H934" s="965"/>
      <c r="I934" s="965"/>
      <c r="J934" s="965"/>
      <c r="K934" s="965"/>
      <c r="L934" s="965"/>
      <c r="M934" s="965"/>
      <c r="N934" s="965"/>
      <c r="O934" s="965"/>
      <c r="P934" s="965"/>
      <c r="Q934" s="965"/>
      <c r="R934" s="965"/>
      <c r="S934" s="965"/>
      <c r="T934" s="965"/>
      <c r="U934" s="965"/>
      <c r="V934" s="965"/>
      <c r="W934" s="965"/>
      <c r="X934" s="965"/>
      <c r="Y934" s="965"/>
      <c r="Z934" s="965"/>
    </row>
    <row r="935">
      <c r="A935" s="965"/>
      <c r="B935" s="965"/>
      <c r="C935" s="965"/>
      <c r="D935" s="965"/>
      <c r="E935" s="965"/>
      <c r="F935" s="965"/>
      <c r="G935" s="965"/>
      <c r="H935" s="965"/>
      <c r="I935" s="965"/>
      <c r="J935" s="965"/>
      <c r="K935" s="965"/>
      <c r="L935" s="965"/>
      <c r="M935" s="965"/>
      <c r="N935" s="965"/>
      <c r="O935" s="965"/>
      <c r="P935" s="965"/>
      <c r="Q935" s="965"/>
      <c r="R935" s="965"/>
      <c r="S935" s="965"/>
      <c r="T935" s="965"/>
      <c r="U935" s="965"/>
      <c r="V935" s="965"/>
      <c r="W935" s="965"/>
      <c r="X935" s="965"/>
      <c r="Y935" s="965"/>
      <c r="Z935" s="965"/>
    </row>
    <row r="936">
      <c r="A936" s="965"/>
      <c r="B936" s="965"/>
      <c r="C936" s="965"/>
      <c r="D936" s="965"/>
      <c r="E936" s="965"/>
      <c r="F936" s="965"/>
      <c r="G936" s="965"/>
      <c r="H936" s="965"/>
      <c r="I936" s="965"/>
      <c r="J936" s="965"/>
      <c r="K936" s="965"/>
      <c r="L936" s="965"/>
      <c r="M936" s="965"/>
      <c r="N936" s="965"/>
      <c r="O936" s="965"/>
      <c r="P936" s="965"/>
      <c r="Q936" s="965"/>
      <c r="R936" s="965"/>
      <c r="S936" s="965"/>
      <c r="T936" s="965"/>
      <c r="U936" s="965"/>
      <c r="V936" s="965"/>
      <c r="W936" s="965"/>
      <c r="X936" s="965"/>
      <c r="Y936" s="965"/>
      <c r="Z936" s="965"/>
    </row>
    <row r="937">
      <c r="A937" s="965"/>
      <c r="B937" s="965"/>
      <c r="C937" s="965"/>
      <c r="D937" s="965"/>
      <c r="E937" s="965"/>
      <c r="F937" s="965"/>
      <c r="G937" s="965"/>
      <c r="H937" s="965"/>
      <c r="I937" s="965"/>
      <c r="J937" s="965"/>
      <c r="K937" s="965"/>
      <c r="L937" s="965"/>
      <c r="M937" s="965"/>
      <c r="N937" s="965"/>
      <c r="O937" s="965"/>
      <c r="P937" s="965"/>
      <c r="Q937" s="965"/>
      <c r="R937" s="965"/>
      <c r="S937" s="965"/>
      <c r="T937" s="965"/>
      <c r="U937" s="965"/>
      <c r="V937" s="965"/>
      <c r="W937" s="965"/>
      <c r="X937" s="965"/>
      <c r="Y937" s="965"/>
      <c r="Z937" s="965"/>
    </row>
    <row r="938">
      <c r="A938" s="965"/>
      <c r="B938" s="965"/>
      <c r="C938" s="965"/>
      <c r="D938" s="965"/>
      <c r="E938" s="965"/>
      <c r="F938" s="965"/>
      <c r="G938" s="965"/>
      <c r="H938" s="965"/>
      <c r="I938" s="965"/>
      <c r="J938" s="965"/>
      <c r="K938" s="965"/>
      <c r="L938" s="965"/>
      <c r="M938" s="965"/>
      <c r="N938" s="965"/>
      <c r="O938" s="965"/>
      <c r="P938" s="965"/>
      <c r="Q938" s="965"/>
      <c r="R938" s="965"/>
      <c r="S938" s="965"/>
      <c r="T938" s="965"/>
      <c r="U938" s="965"/>
      <c r="V938" s="965"/>
      <c r="W938" s="965"/>
      <c r="X938" s="965"/>
      <c r="Y938" s="965"/>
      <c r="Z938" s="965"/>
    </row>
    <row r="939">
      <c r="A939" s="965"/>
      <c r="B939" s="965"/>
      <c r="C939" s="965"/>
      <c r="D939" s="965"/>
      <c r="E939" s="965"/>
      <c r="F939" s="965"/>
      <c r="G939" s="965"/>
      <c r="H939" s="965"/>
      <c r="I939" s="965"/>
      <c r="J939" s="965"/>
      <c r="K939" s="965"/>
      <c r="L939" s="965"/>
      <c r="M939" s="965"/>
      <c r="N939" s="965"/>
      <c r="O939" s="965"/>
      <c r="P939" s="965"/>
      <c r="Q939" s="965"/>
      <c r="R939" s="965"/>
      <c r="S939" s="965"/>
      <c r="T939" s="965"/>
      <c r="U939" s="965"/>
      <c r="V939" s="965"/>
      <c r="W939" s="965"/>
      <c r="X939" s="965"/>
      <c r="Y939" s="965"/>
      <c r="Z939" s="965"/>
    </row>
    <row r="940">
      <c r="A940" s="965"/>
      <c r="B940" s="965"/>
      <c r="C940" s="965"/>
      <c r="D940" s="965"/>
      <c r="E940" s="965"/>
      <c r="F940" s="965"/>
      <c r="G940" s="965"/>
      <c r="H940" s="965"/>
      <c r="I940" s="965"/>
      <c r="J940" s="965"/>
      <c r="K940" s="965"/>
      <c r="L940" s="965"/>
      <c r="M940" s="965"/>
      <c r="N940" s="965"/>
      <c r="O940" s="965"/>
      <c r="P940" s="965"/>
      <c r="Q940" s="965"/>
      <c r="R940" s="965"/>
      <c r="S940" s="965"/>
      <c r="T940" s="965"/>
      <c r="U940" s="965"/>
      <c r="V940" s="965"/>
      <c r="W940" s="965"/>
      <c r="X940" s="965"/>
      <c r="Y940" s="965"/>
      <c r="Z940" s="965"/>
    </row>
    <row r="941">
      <c r="A941" s="965"/>
      <c r="B941" s="965"/>
      <c r="C941" s="965"/>
      <c r="D941" s="965"/>
      <c r="E941" s="965"/>
      <c r="F941" s="965"/>
      <c r="G941" s="965"/>
      <c r="H941" s="965"/>
      <c r="I941" s="965"/>
      <c r="J941" s="965"/>
      <c r="K941" s="965"/>
      <c r="L941" s="965"/>
      <c r="M941" s="965"/>
      <c r="N941" s="965"/>
      <c r="O941" s="965"/>
      <c r="P941" s="965"/>
      <c r="Q941" s="965"/>
      <c r="R941" s="965"/>
      <c r="S941" s="965"/>
      <c r="T941" s="965"/>
      <c r="U941" s="965"/>
      <c r="V941" s="965"/>
      <c r="W941" s="965"/>
      <c r="X941" s="965"/>
      <c r="Y941" s="965"/>
      <c r="Z941" s="965"/>
    </row>
    <row r="942">
      <c r="A942" s="965"/>
      <c r="B942" s="965"/>
      <c r="C942" s="965"/>
      <c r="D942" s="965"/>
      <c r="E942" s="965"/>
      <c r="F942" s="965"/>
      <c r="G942" s="965"/>
      <c r="H942" s="965"/>
      <c r="I942" s="965"/>
      <c r="J942" s="965"/>
      <c r="K942" s="965"/>
      <c r="L942" s="965"/>
      <c r="M942" s="965"/>
      <c r="N942" s="965"/>
      <c r="O942" s="965"/>
      <c r="P942" s="965"/>
      <c r="Q942" s="965"/>
      <c r="R942" s="965"/>
      <c r="S942" s="965"/>
      <c r="T942" s="965"/>
      <c r="U942" s="965"/>
      <c r="V942" s="965"/>
      <c r="W942" s="965"/>
      <c r="X942" s="965"/>
      <c r="Y942" s="965"/>
      <c r="Z942" s="965"/>
    </row>
    <row r="943">
      <c r="A943" s="965"/>
      <c r="B943" s="965"/>
      <c r="C943" s="965"/>
      <c r="D943" s="965"/>
      <c r="E943" s="965"/>
      <c r="F943" s="965"/>
      <c r="G943" s="965"/>
      <c r="H943" s="965"/>
      <c r="I943" s="965"/>
      <c r="J943" s="965"/>
      <c r="K943" s="965"/>
      <c r="L943" s="965"/>
      <c r="M943" s="965"/>
      <c r="N943" s="965"/>
      <c r="O943" s="965"/>
      <c r="P943" s="965"/>
      <c r="Q943" s="965"/>
      <c r="R943" s="965"/>
      <c r="S943" s="965"/>
      <c r="T943" s="965"/>
      <c r="U943" s="965"/>
      <c r="V943" s="965"/>
      <c r="W943" s="965"/>
      <c r="X943" s="965"/>
      <c r="Y943" s="965"/>
      <c r="Z943" s="965"/>
    </row>
    <row r="944">
      <c r="A944" s="965"/>
      <c r="B944" s="965"/>
      <c r="C944" s="965"/>
      <c r="D944" s="965"/>
      <c r="E944" s="965"/>
      <c r="F944" s="965"/>
      <c r="G944" s="965"/>
      <c r="H944" s="965"/>
      <c r="I944" s="965"/>
      <c r="J944" s="965"/>
      <c r="K944" s="965"/>
      <c r="L944" s="965"/>
      <c r="M944" s="965"/>
      <c r="N944" s="965"/>
      <c r="O944" s="965"/>
      <c r="P944" s="965"/>
      <c r="Q944" s="965"/>
      <c r="R944" s="965"/>
      <c r="S944" s="965"/>
      <c r="T944" s="965"/>
      <c r="U944" s="965"/>
      <c r="V944" s="965"/>
      <c r="W944" s="965"/>
      <c r="X944" s="965"/>
      <c r="Y944" s="965"/>
      <c r="Z944" s="965"/>
    </row>
    <row r="945">
      <c r="A945" s="965"/>
      <c r="B945" s="965"/>
      <c r="C945" s="965"/>
      <c r="D945" s="965"/>
      <c r="E945" s="965"/>
      <c r="F945" s="965"/>
      <c r="G945" s="965"/>
      <c r="H945" s="965"/>
      <c r="I945" s="965"/>
      <c r="J945" s="965"/>
      <c r="K945" s="965"/>
      <c r="L945" s="965"/>
      <c r="M945" s="965"/>
      <c r="N945" s="965"/>
      <c r="O945" s="965"/>
      <c r="P945" s="965"/>
      <c r="Q945" s="965"/>
      <c r="R945" s="965"/>
      <c r="S945" s="965"/>
      <c r="T945" s="965"/>
      <c r="U945" s="965"/>
      <c r="V945" s="965"/>
      <c r="W945" s="965"/>
      <c r="X945" s="965"/>
      <c r="Y945" s="965"/>
      <c r="Z945" s="965"/>
    </row>
    <row r="946">
      <c r="A946" s="965"/>
      <c r="B946" s="965"/>
      <c r="C946" s="965"/>
      <c r="D946" s="965"/>
      <c r="E946" s="965"/>
      <c r="F946" s="965"/>
      <c r="G946" s="965"/>
      <c r="H946" s="965"/>
      <c r="I946" s="965"/>
      <c r="J946" s="965"/>
      <c r="K946" s="965"/>
      <c r="L946" s="965"/>
      <c r="M946" s="965"/>
      <c r="N946" s="965"/>
      <c r="O946" s="965"/>
      <c r="P946" s="965"/>
      <c r="Q946" s="965"/>
      <c r="R946" s="965"/>
      <c r="S946" s="965"/>
      <c r="T946" s="965"/>
      <c r="U946" s="965"/>
      <c r="V946" s="965"/>
      <c r="W946" s="965"/>
      <c r="X946" s="965"/>
      <c r="Y946" s="965"/>
      <c r="Z946" s="965"/>
    </row>
    <row r="947">
      <c r="A947" s="965"/>
      <c r="B947" s="965"/>
      <c r="C947" s="965"/>
      <c r="D947" s="965"/>
      <c r="E947" s="965"/>
      <c r="F947" s="965"/>
      <c r="G947" s="965"/>
      <c r="H947" s="965"/>
      <c r="I947" s="965"/>
      <c r="J947" s="965"/>
      <c r="K947" s="965"/>
      <c r="L947" s="965"/>
      <c r="M947" s="965"/>
      <c r="N947" s="965"/>
      <c r="O947" s="965"/>
      <c r="P947" s="965"/>
      <c r="Q947" s="965"/>
      <c r="R947" s="965"/>
      <c r="S947" s="965"/>
      <c r="T947" s="965"/>
      <c r="U947" s="965"/>
      <c r="V947" s="965"/>
      <c r="W947" s="965"/>
      <c r="X947" s="965"/>
      <c r="Y947" s="965"/>
      <c r="Z947" s="965"/>
    </row>
    <row r="948">
      <c r="A948" s="965"/>
      <c r="B948" s="965"/>
      <c r="C948" s="965"/>
      <c r="D948" s="965"/>
      <c r="E948" s="965"/>
      <c r="F948" s="965"/>
      <c r="G948" s="965"/>
      <c r="H948" s="965"/>
      <c r="I948" s="965"/>
      <c r="J948" s="965"/>
      <c r="K948" s="965"/>
      <c r="L948" s="965"/>
      <c r="M948" s="965"/>
      <c r="N948" s="965"/>
      <c r="O948" s="965"/>
      <c r="P948" s="965"/>
      <c r="Q948" s="965"/>
      <c r="R948" s="965"/>
      <c r="S948" s="965"/>
      <c r="T948" s="965"/>
      <c r="U948" s="965"/>
      <c r="V948" s="965"/>
      <c r="W948" s="965"/>
      <c r="X948" s="965"/>
      <c r="Y948" s="965"/>
      <c r="Z948" s="965"/>
    </row>
    <row r="949">
      <c r="A949" s="965"/>
      <c r="B949" s="965"/>
      <c r="C949" s="965"/>
      <c r="D949" s="965"/>
      <c r="E949" s="965"/>
      <c r="F949" s="965"/>
      <c r="G949" s="965"/>
      <c r="H949" s="965"/>
      <c r="I949" s="965"/>
      <c r="J949" s="965"/>
      <c r="K949" s="965"/>
      <c r="L949" s="965"/>
      <c r="M949" s="965"/>
      <c r="N949" s="965"/>
      <c r="O949" s="965"/>
      <c r="P949" s="965"/>
      <c r="Q949" s="965"/>
      <c r="R949" s="965"/>
      <c r="S949" s="965"/>
      <c r="T949" s="965"/>
      <c r="U949" s="965"/>
      <c r="V949" s="965"/>
      <c r="W949" s="965"/>
      <c r="X949" s="965"/>
      <c r="Y949" s="965"/>
      <c r="Z949" s="965"/>
    </row>
    <row r="950">
      <c r="A950" s="965"/>
      <c r="B950" s="965"/>
      <c r="C950" s="965"/>
      <c r="D950" s="965"/>
      <c r="E950" s="965"/>
      <c r="F950" s="965"/>
      <c r="G950" s="965"/>
      <c r="H950" s="965"/>
      <c r="I950" s="965"/>
      <c r="J950" s="965"/>
      <c r="K950" s="965"/>
      <c r="L950" s="965"/>
      <c r="M950" s="965"/>
      <c r="N950" s="965"/>
      <c r="O950" s="965"/>
      <c r="P950" s="965"/>
      <c r="Q950" s="965"/>
      <c r="R950" s="965"/>
      <c r="S950" s="965"/>
      <c r="T950" s="965"/>
      <c r="U950" s="965"/>
      <c r="V950" s="965"/>
      <c r="W950" s="965"/>
      <c r="X950" s="965"/>
      <c r="Y950" s="965"/>
      <c r="Z950" s="965"/>
    </row>
    <row r="951">
      <c r="A951" s="965"/>
      <c r="B951" s="965"/>
      <c r="C951" s="965"/>
      <c r="D951" s="965"/>
      <c r="E951" s="965"/>
      <c r="F951" s="965"/>
      <c r="G951" s="965"/>
      <c r="H951" s="965"/>
      <c r="I951" s="965"/>
      <c r="J951" s="965"/>
      <c r="K951" s="965"/>
      <c r="L951" s="965"/>
      <c r="M951" s="965"/>
      <c r="N951" s="965"/>
      <c r="O951" s="965"/>
      <c r="P951" s="965"/>
      <c r="Q951" s="965"/>
      <c r="R951" s="965"/>
      <c r="S951" s="965"/>
      <c r="T951" s="965"/>
      <c r="U951" s="965"/>
      <c r="V951" s="965"/>
      <c r="W951" s="965"/>
      <c r="X951" s="965"/>
      <c r="Y951" s="965"/>
      <c r="Z951" s="965"/>
    </row>
    <row r="952">
      <c r="A952" s="965"/>
      <c r="B952" s="965"/>
      <c r="C952" s="965"/>
      <c r="D952" s="965"/>
      <c r="E952" s="965"/>
      <c r="F952" s="965"/>
      <c r="G952" s="965"/>
      <c r="H952" s="965"/>
      <c r="I952" s="965"/>
      <c r="J952" s="965"/>
      <c r="K952" s="965"/>
      <c r="L952" s="965"/>
      <c r="M952" s="965"/>
      <c r="N952" s="965"/>
      <c r="O952" s="965"/>
      <c r="P952" s="965"/>
      <c r="Q952" s="965"/>
      <c r="R952" s="965"/>
      <c r="S952" s="965"/>
      <c r="T952" s="965"/>
      <c r="U952" s="965"/>
      <c r="V952" s="965"/>
      <c r="W952" s="965"/>
      <c r="X952" s="965"/>
      <c r="Y952" s="965"/>
      <c r="Z952" s="965"/>
    </row>
    <row r="953">
      <c r="A953" s="965"/>
      <c r="B953" s="965"/>
      <c r="C953" s="965"/>
      <c r="D953" s="965"/>
      <c r="E953" s="965"/>
      <c r="F953" s="965"/>
      <c r="G953" s="965"/>
      <c r="H953" s="965"/>
      <c r="I953" s="965"/>
      <c r="J953" s="965"/>
      <c r="K953" s="965"/>
      <c r="L953" s="965"/>
      <c r="M953" s="965"/>
      <c r="N953" s="965"/>
      <c r="O953" s="965"/>
      <c r="P953" s="965"/>
      <c r="Q953" s="965"/>
      <c r="R953" s="965"/>
      <c r="S953" s="965"/>
      <c r="T953" s="965"/>
      <c r="U953" s="965"/>
      <c r="V953" s="965"/>
      <c r="W953" s="965"/>
      <c r="X953" s="965"/>
      <c r="Y953" s="965"/>
      <c r="Z953" s="965"/>
    </row>
    <row r="954">
      <c r="A954" s="965"/>
      <c r="B954" s="965"/>
      <c r="C954" s="965"/>
      <c r="D954" s="965"/>
      <c r="E954" s="965"/>
      <c r="F954" s="965"/>
      <c r="G954" s="965"/>
      <c r="H954" s="965"/>
      <c r="I954" s="965"/>
      <c r="J954" s="965"/>
      <c r="K954" s="965"/>
      <c r="L954" s="965"/>
      <c r="M954" s="965"/>
      <c r="N954" s="965"/>
      <c r="O954" s="965"/>
      <c r="P954" s="965"/>
      <c r="Q954" s="965"/>
      <c r="R954" s="965"/>
      <c r="S954" s="965"/>
      <c r="T954" s="965"/>
      <c r="U954" s="965"/>
      <c r="V954" s="965"/>
      <c r="W954" s="965"/>
      <c r="X954" s="965"/>
      <c r="Y954" s="965"/>
      <c r="Z954" s="965"/>
    </row>
    <row r="955">
      <c r="A955" s="965"/>
      <c r="B955" s="965"/>
      <c r="C955" s="965"/>
      <c r="D955" s="965"/>
      <c r="E955" s="965"/>
      <c r="F955" s="965"/>
      <c r="G955" s="965"/>
      <c r="H955" s="965"/>
      <c r="I955" s="965"/>
      <c r="J955" s="965"/>
      <c r="K955" s="965"/>
      <c r="L955" s="965"/>
      <c r="M955" s="965"/>
      <c r="N955" s="965"/>
      <c r="O955" s="965"/>
      <c r="P955" s="965"/>
      <c r="Q955" s="965"/>
      <c r="R955" s="965"/>
      <c r="S955" s="965"/>
      <c r="T955" s="965"/>
      <c r="U955" s="965"/>
      <c r="V955" s="965"/>
      <c r="W955" s="965"/>
      <c r="X955" s="965"/>
      <c r="Y955" s="965"/>
      <c r="Z955" s="965"/>
    </row>
    <row r="956">
      <c r="A956" s="965"/>
      <c r="B956" s="965"/>
      <c r="C956" s="965"/>
      <c r="D956" s="965"/>
      <c r="E956" s="965"/>
      <c r="F956" s="965"/>
      <c r="G956" s="965"/>
      <c r="H956" s="965"/>
      <c r="I956" s="965"/>
      <c r="J956" s="965"/>
      <c r="K956" s="965"/>
      <c r="L956" s="965"/>
      <c r="M956" s="965"/>
      <c r="N956" s="965"/>
      <c r="O956" s="965"/>
      <c r="P956" s="965"/>
      <c r="Q956" s="965"/>
      <c r="R956" s="965"/>
      <c r="S956" s="965"/>
      <c r="T956" s="965"/>
      <c r="U956" s="965"/>
      <c r="V956" s="965"/>
      <c r="W956" s="965"/>
      <c r="X956" s="965"/>
      <c r="Y956" s="965"/>
      <c r="Z956" s="965"/>
    </row>
    <row r="957">
      <c r="A957" s="965"/>
      <c r="B957" s="965"/>
      <c r="C957" s="965"/>
      <c r="D957" s="965"/>
      <c r="E957" s="965"/>
      <c r="F957" s="965"/>
      <c r="G957" s="965"/>
      <c r="H957" s="965"/>
      <c r="I957" s="965"/>
      <c r="J957" s="965"/>
      <c r="K957" s="965"/>
      <c r="L957" s="965"/>
      <c r="M957" s="965"/>
      <c r="N957" s="965"/>
      <c r="O957" s="965"/>
      <c r="P957" s="965"/>
      <c r="Q957" s="965"/>
      <c r="R957" s="965"/>
      <c r="S957" s="965"/>
      <c r="T957" s="965"/>
      <c r="U957" s="965"/>
      <c r="V957" s="965"/>
      <c r="W957" s="965"/>
      <c r="X957" s="965"/>
      <c r="Y957" s="965"/>
      <c r="Z957" s="965"/>
    </row>
    <row r="958">
      <c r="A958" s="965"/>
      <c r="B958" s="965"/>
      <c r="C958" s="965"/>
      <c r="D958" s="965"/>
      <c r="E958" s="965"/>
      <c r="F958" s="965"/>
      <c r="G958" s="965"/>
      <c r="H958" s="965"/>
      <c r="I958" s="965"/>
      <c r="J958" s="965"/>
      <c r="K958" s="965"/>
      <c r="L958" s="965"/>
      <c r="M958" s="965"/>
      <c r="N958" s="965"/>
      <c r="O958" s="965"/>
      <c r="P958" s="965"/>
      <c r="Q958" s="965"/>
      <c r="R958" s="965"/>
      <c r="S958" s="965"/>
      <c r="T958" s="965"/>
      <c r="U958" s="965"/>
      <c r="V958" s="965"/>
      <c r="W958" s="965"/>
      <c r="X958" s="965"/>
      <c r="Y958" s="965"/>
      <c r="Z958" s="965"/>
    </row>
    <row r="959">
      <c r="A959" s="965"/>
      <c r="B959" s="965"/>
      <c r="C959" s="965"/>
      <c r="D959" s="965"/>
      <c r="E959" s="965"/>
      <c r="F959" s="965"/>
      <c r="G959" s="965"/>
      <c r="H959" s="965"/>
      <c r="I959" s="965"/>
      <c r="J959" s="965"/>
      <c r="K959" s="965"/>
      <c r="L959" s="965"/>
      <c r="M959" s="965"/>
      <c r="N959" s="965"/>
      <c r="O959" s="965"/>
      <c r="P959" s="965"/>
      <c r="Q959" s="965"/>
      <c r="R959" s="965"/>
      <c r="S959" s="965"/>
      <c r="T959" s="965"/>
      <c r="U959" s="965"/>
      <c r="V959" s="965"/>
      <c r="W959" s="965"/>
      <c r="X959" s="965"/>
      <c r="Y959" s="965"/>
      <c r="Z959" s="965"/>
    </row>
    <row r="960">
      <c r="A960" s="965"/>
      <c r="B960" s="965"/>
      <c r="C960" s="965"/>
      <c r="D960" s="965"/>
      <c r="E960" s="965"/>
      <c r="F960" s="965"/>
      <c r="G960" s="965"/>
      <c r="H960" s="965"/>
      <c r="I960" s="965"/>
      <c r="J960" s="965"/>
      <c r="K960" s="965"/>
      <c r="L960" s="965"/>
      <c r="M960" s="965"/>
      <c r="N960" s="965"/>
      <c r="O960" s="965"/>
      <c r="P960" s="965"/>
      <c r="Q960" s="965"/>
      <c r="R960" s="965"/>
      <c r="S960" s="965"/>
      <c r="T960" s="965"/>
      <c r="U960" s="965"/>
      <c r="V960" s="965"/>
      <c r="W960" s="965"/>
      <c r="X960" s="965"/>
      <c r="Y960" s="965"/>
      <c r="Z960" s="965"/>
    </row>
    <row r="961">
      <c r="A961" s="965"/>
      <c r="B961" s="965"/>
      <c r="C961" s="965"/>
      <c r="D961" s="965"/>
      <c r="E961" s="965"/>
      <c r="F961" s="965"/>
      <c r="G961" s="965"/>
      <c r="H961" s="965"/>
      <c r="I961" s="965"/>
      <c r="J961" s="965"/>
      <c r="K961" s="965"/>
      <c r="L961" s="965"/>
      <c r="M961" s="965"/>
      <c r="N961" s="965"/>
      <c r="O961" s="965"/>
      <c r="P961" s="965"/>
      <c r="Q961" s="965"/>
      <c r="R961" s="965"/>
      <c r="S961" s="965"/>
      <c r="T961" s="965"/>
      <c r="U961" s="965"/>
      <c r="V961" s="965"/>
      <c r="W961" s="965"/>
      <c r="X961" s="965"/>
      <c r="Y961" s="965"/>
      <c r="Z961" s="965"/>
    </row>
    <row r="962">
      <c r="A962" s="965"/>
      <c r="B962" s="965"/>
      <c r="C962" s="965"/>
      <c r="D962" s="965"/>
      <c r="E962" s="965"/>
      <c r="F962" s="965"/>
      <c r="G962" s="965"/>
      <c r="H962" s="965"/>
      <c r="I962" s="965"/>
      <c r="J962" s="965"/>
      <c r="K962" s="965"/>
      <c r="L962" s="965"/>
      <c r="M962" s="965"/>
      <c r="N962" s="965"/>
      <c r="O962" s="965"/>
      <c r="P962" s="965"/>
      <c r="Q962" s="965"/>
      <c r="R962" s="965"/>
      <c r="S962" s="965"/>
      <c r="T962" s="965"/>
      <c r="U962" s="965"/>
      <c r="V962" s="965"/>
      <c r="W962" s="965"/>
      <c r="X962" s="965"/>
      <c r="Y962" s="965"/>
      <c r="Z962" s="965"/>
    </row>
    <row r="963">
      <c r="A963" s="965"/>
      <c r="B963" s="965"/>
      <c r="C963" s="965"/>
      <c r="D963" s="965"/>
      <c r="E963" s="965"/>
      <c r="F963" s="965"/>
      <c r="G963" s="965"/>
      <c r="H963" s="965"/>
      <c r="I963" s="965"/>
      <c r="J963" s="965"/>
      <c r="K963" s="965"/>
      <c r="L963" s="965"/>
      <c r="M963" s="965"/>
      <c r="N963" s="965"/>
      <c r="O963" s="965"/>
      <c r="P963" s="965"/>
      <c r="Q963" s="965"/>
      <c r="R963" s="965"/>
      <c r="S963" s="965"/>
      <c r="T963" s="965"/>
      <c r="U963" s="965"/>
      <c r="V963" s="965"/>
      <c r="W963" s="965"/>
      <c r="X963" s="965"/>
      <c r="Y963" s="965"/>
      <c r="Z963" s="965"/>
    </row>
    <row r="964">
      <c r="A964" s="965"/>
      <c r="B964" s="965"/>
      <c r="C964" s="965"/>
      <c r="D964" s="965"/>
      <c r="E964" s="965"/>
      <c r="F964" s="965"/>
      <c r="G964" s="965"/>
      <c r="H964" s="965"/>
      <c r="I964" s="965"/>
      <c r="J964" s="965"/>
      <c r="K964" s="965"/>
      <c r="L964" s="965"/>
      <c r="M964" s="965"/>
      <c r="N964" s="965"/>
      <c r="O964" s="965"/>
      <c r="P964" s="965"/>
      <c r="Q964" s="965"/>
      <c r="R964" s="965"/>
      <c r="S964" s="965"/>
      <c r="T964" s="965"/>
      <c r="U964" s="965"/>
      <c r="V964" s="965"/>
      <c r="W964" s="965"/>
      <c r="X964" s="965"/>
      <c r="Y964" s="965"/>
      <c r="Z964" s="965"/>
    </row>
    <row r="965">
      <c r="A965" s="965"/>
      <c r="B965" s="965"/>
      <c r="C965" s="965"/>
      <c r="D965" s="965"/>
      <c r="E965" s="965"/>
      <c r="F965" s="965"/>
      <c r="G965" s="965"/>
      <c r="H965" s="965"/>
      <c r="I965" s="965"/>
      <c r="J965" s="965"/>
      <c r="K965" s="965"/>
      <c r="L965" s="965"/>
      <c r="M965" s="965"/>
      <c r="N965" s="965"/>
      <c r="O965" s="965"/>
      <c r="P965" s="965"/>
      <c r="Q965" s="965"/>
      <c r="R965" s="965"/>
      <c r="S965" s="965"/>
      <c r="T965" s="965"/>
      <c r="U965" s="965"/>
      <c r="V965" s="965"/>
      <c r="W965" s="965"/>
      <c r="X965" s="965"/>
      <c r="Y965" s="965"/>
      <c r="Z965" s="965"/>
    </row>
    <row r="966">
      <c r="A966" s="965"/>
      <c r="B966" s="965"/>
      <c r="C966" s="965"/>
      <c r="D966" s="965"/>
      <c r="E966" s="965"/>
      <c r="F966" s="965"/>
      <c r="G966" s="965"/>
      <c r="H966" s="965"/>
      <c r="I966" s="965"/>
      <c r="J966" s="965"/>
      <c r="K966" s="965"/>
      <c r="L966" s="965"/>
      <c r="M966" s="965"/>
      <c r="N966" s="965"/>
      <c r="O966" s="965"/>
      <c r="P966" s="965"/>
      <c r="Q966" s="965"/>
      <c r="R966" s="965"/>
      <c r="S966" s="965"/>
      <c r="T966" s="965"/>
      <c r="U966" s="965"/>
      <c r="V966" s="965"/>
      <c r="W966" s="965"/>
      <c r="X966" s="965"/>
      <c r="Y966" s="965"/>
      <c r="Z966" s="965"/>
    </row>
    <row r="967">
      <c r="A967" s="965"/>
      <c r="B967" s="965"/>
      <c r="C967" s="965"/>
      <c r="D967" s="965"/>
      <c r="E967" s="965"/>
      <c r="F967" s="965"/>
      <c r="G967" s="965"/>
      <c r="H967" s="965"/>
      <c r="I967" s="965"/>
      <c r="J967" s="965"/>
      <c r="K967" s="965"/>
      <c r="L967" s="965"/>
      <c r="M967" s="965"/>
      <c r="N967" s="965"/>
      <c r="O967" s="965"/>
      <c r="P967" s="965"/>
      <c r="Q967" s="965"/>
      <c r="R967" s="965"/>
      <c r="S967" s="965"/>
      <c r="T967" s="965"/>
      <c r="U967" s="965"/>
      <c r="V967" s="965"/>
      <c r="W967" s="965"/>
      <c r="X967" s="965"/>
      <c r="Y967" s="965"/>
      <c r="Z967" s="965"/>
    </row>
    <row r="968">
      <c r="A968" s="965"/>
      <c r="B968" s="965"/>
      <c r="C968" s="965"/>
      <c r="D968" s="965"/>
      <c r="E968" s="965"/>
      <c r="F968" s="965"/>
      <c r="G968" s="965"/>
      <c r="H968" s="965"/>
      <c r="I968" s="965"/>
      <c r="J968" s="965"/>
      <c r="K968" s="965"/>
      <c r="L968" s="965"/>
      <c r="M968" s="965"/>
      <c r="N968" s="965"/>
      <c r="O968" s="965"/>
      <c r="P968" s="965"/>
      <c r="Q968" s="965"/>
      <c r="R968" s="965"/>
      <c r="S968" s="965"/>
      <c r="T968" s="965"/>
      <c r="U968" s="965"/>
      <c r="V968" s="965"/>
      <c r="W968" s="965"/>
      <c r="X968" s="965"/>
      <c r="Y968" s="965"/>
      <c r="Z968" s="965"/>
    </row>
    <row r="969">
      <c r="A969" s="965"/>
      <c r="B969" s="965"/>
      <c r="C969" s="965"/>
      <c r="D969" s="965"/>
      <c r="E969" s="965"/>
      <c r="F969" s="965"/>
      <c r="G969" s="965"/>
      <c r="H969" s="965"/>
      <c r="I969" s="965"/>
      <c r="J969" s="965"/>
      <c r="K969" s="965"/>
      <c r="L969" s="965"/>
      <c r="M969" s="965"/>
      <c r="N969" s="965"/>
      <c r="O969" s="965"/>
      <c r="P969" s="965"/>
      <c r="Q969" s="965"/>
      <c r="R969" s="965"/>
      <c r="S969" s="965"/>
      <c r="T969" s="965"/>
      <c r="U969" s="965"/>
      <c r="V969" s="965"/>
      <c r="W969" s="965"/>
      <c r="X969" s="965"/>
      <c r="Y969" s="965"/>
      <c r="Z969" s="965"/>
    </row>
    <row r="970">
      <c r="A970" s="965"/>
      <c r="B970" s="965"/>
      <c r="C970" s="965"/>
      <c r="D970" s="965"/>
      <c r="E970" s="965"/>
      <c r="F970" s="965"/>
      <c r="G970" s="965"/>
      <c r="H970" s="965"/>
      <c r="I970" s="965"/>
      <c r="J970" s="965"/>
      <c r="K970" s="965"/>
      <c r="L970" s="965"/>
      <c r="M970" s="965"/>
      <c r="N970" s="965"/>
      <c r="O970" s="965"/>
      <c r="P970" s="965"/>
      <c r="Q970" s="965"/>
      <c r="R970" s="965"/>
      <c r="S970" s="965"/>
      <c r="T970" s="965"/>
      <c r="U970" s="965"/>
      <c r="V970" s="965"/>
      <c r="W970" s="965"/>
      <c r="X970" s="965"/>
      <c r="Y970" s="965"/>
      <c r="Z970" s="965"/>
    </row>
    <row r="971">
      <c r="A971" s="965"/>
      <c r="B971" s="965"/>
      <c r="C971" s="965"/>
      <c r="D971" s="965"/>
      <c r="E971" s="965"/>
      <c r="F971" s="965"/>
      <c r="G971" s="965"/>
      <c r="H971" s="965"/>
      <c r="I971" s="965"/>
      <c r="J971" s="965"/>
      <c r="K971" s="965"/>
      <c r="L971" s="965"/>
      <c r="M971" s="965"/>
      <c r="N971" s="965"/>
      <c r="O971" s="965"/>
      <c r="P971" s="965"/>
      <c r="Q971" s="965"/>
      <c r="R971" s="965"/>
      <c r="S971" s="965"/>
      <c r="T971" s="965"/>
      <c r="U971" s="965"/>
      <c r="V971" s="965"/>
      <c r="W971" s="965"/>
      <c r="X971" s="965"/>
      <c r="Y971" s="965"/>
      <c r="Z971" s="965"/>
    </row>
    <row r="972">
      <c r="A972" s="965"/>
      <c r="B972" s="965"/>
      <c r="C972" s="965"/>
      <c r="D972" s="965"/>
      <c r="E972" s="965"/>
      <c r="F972" s="965"/>
      <c r="G972" s="965"/>
      <c r="H972" s="965"/>
      <c r="I972" s="965"/>
      <c r="J972" s="965"/>
      <c r="K972" s="965"/>
      <c r="L972" s="965"/>
      <c r="M972" s="965"/>
      <c r="N972" s="965"/>
      <c r="O972" s="965"/>
      <c r="P972" s="965"/>
      <c r="Q972" s="965"/>
      <c r="R972" s="965"/>
      <c r="S972" s="965"/>
      <c r="T972" s="965"/>
      <c r="U972" s="965"/>
      <c r="V972" s="965"/>
      <c r="W972" s="965"/>
      <c r="X972" s="965"/>
      <c r="Y972" s="965"/>
      <c r="Z972" s="965"/>
    </row>
    <row r="973">
      <c r="A973" s="965"/>
      <c r="B973" s="965"/>
      <c r="C973" s="965"/>
      <c r="D973" s="965"/>
      <c r="E973" s="965"/>
      <c r="F973" s="965"/>
      <c r="G973" s="965"/>
      <c r="H973" s="965"/>
      <c r="I973" s="965"/>
      <c r="J973" s="965"/>
      <c r="K973" s="965"/>
      <c r="L973" s="965"/>
      <c r="M973" s="965"/>
      <c r="N973" s="965"/>
      <c r="O973" s="965"/>
      <c r="P973" s="965"/>
      <c r="Q973" s="965"/>
      <c r="R973" s="965"/>
      <c r="S973" s="965"/>
      <c r="T973" s="965"/>
      <c r="U973" s="965"/>
      <c r="V973" s="965"/>
      <c r="W973" s="965"/>
      <c r="X973" s="965"/>
      <c r="Y973" s="965"/>
      <c r="Z973" s="965"/>
    </row>
    <row r="974">
      <c r="A974" s="965"/>
      <c r="B974" s="965"/>
      <c r="C974" s="965"/>
      <c r="D974" s="965"/>
      <c r="E974" s="965"/>
      <c r="F974" s="965"/>
      <c r="G974" s="965"/>
      <c r="H974" s="965"/>
      <c r="I974" s="965"/>
      <c r="J974" s="965"/>
      <c r="K974" s="965"/>
      <c r="L974" s="965"/>
      <c r="M974" s="965"/>
      <c r="N974" s="965"/>
      <c r="O974" s="965"/>
      <c r="P974" s="965"/>
      <c r="Q974" s="965"/>
      <c r="R974" s="965"/>
      <c r="S974" s="965"/>
      <c r="T974" s="965"/>
      <c r="U974" s="965"/>
      <c r="V974" s="965"/>
      <c r="W974" s="965"/>
      <c r="X974" s="965"/>
      <c r="Y974" s="965"/>
      <c r="Z974" s="965"/>
    </row>
    <row r="975">
      <c r="A975" s="965"/>
      <c r="B975" s="965"/>
      <c r="C975" s="965"/>
      <c r="D975" s="965"/>
      <c r="E975" s="965"/>
      <c r="F975" s="965"/>
      <c r="G975" s="965"/>
      <c r="H975" s="965"/>
      <c r="I975" s="965"/>
      <c r="J975" s="965"/>
      <c r="K975" s="965"/>
      <c r="L975" s="965"/>
      <c r="M975" s="965"/>
      <c r="N975" s="965"/>
      <c r="O975" s="965"/>
      <c r="P975" s="965"/>
      <c r="Q975" s="965"/>
      <c r="R975" s="965"/>
      <c r="S975" s="965"/>
      <c r="T975" s="965"/>
      <c r="U975" s="965"/>
      <c r="V975" s="965"/>
      <c r="W975" s="965"/>
      <c r="X975" s="965"/>
      <c r="Y975" s="965"/>
      <c r="Z975" s="965"/>
    </row>
    <row r="976">
      <c r="A976" s="965"/>
      <c r="B976" s="965"/>
      <c r="C976" s="965"/>
      <c r="D976" s="965"/>
      <c r="E976" s="965"/>
      <c r="F976" s="965"/>
      <c r="G976" s="965"/>
      <c r="H976" s="965"/>
      <c r="I976" s="965"/>
      <c r="J976" s="965"/>
      <c r="K976" s="965"/>
      <c r="L976" s="965"/>
      <c r="M976" s="965"/>
      <c r="N976" s="965"/>
      <c r="O976" s="965"/>
      <c r="P976" s="965"/>
      <c r="Q976" s="965"/>
      <c r="R976" s="965"/>
      <c r="S976" s="965"/>
      <c r="T976" s="965"/>
      <c r="U976" s="965"/>
      <c r="V976" s="965"/>
      <c r="W976" s="965"/>
      <c r="X976" s="965"/>
      <c r="Y976" s="965"/>
      <c r="Z976" s="965"/>
    </row>
    <row r="977">
      <c r="A977" s="965"/>
      <c r="B977" s="965"/>
      <c r="C977" s="965"/>
      <c r="D977" s="965"/>
      <c r="E977" s="965"/>
      <c r="F977" s="965"/>
      <c r="G977" s="965"/>
      <c r="H977" s="965"/>
      <c r="I977" s="965"/>
      <c r="J977" s="965"/>
      <c r="K977" s="965"/>
      <c r="L977" s="965"/>
      <c r="M977" s="965"/>
      <c r="N977" s="965"/>
      <c r="O977" s="965"/>
      <c r="P977" s="965"/>
      <c r="Q977" s="965"/>
      <c r="R977" s="965"/>
      <c r="S977" s="965"/>
      <c r="T977" s="965"/>
      <c r="U977" s="965"/>
      <c r="V977" s="965"/>
      <c r="W977" s="965"/>
      <c r="X977" s="965"/>
      <c r="Y977" s="965"/>
      <c r="Z977" s="965"/>
    </row>
    <row r="978">
      <c r="A978" s="965"/>
      <c r="B978" s="965"/>
      <c r="C978" s="965"/>
      <c r="D978" s="965"/>
      <c r="E978" s="965"/>
      <c r="F978" s="965"/>
      <c r="G978" s="965"/>
      <c r="H978" s="965"/>
      <c r="I978" s="965"/>
      <c r="J978" s="965"/>
      <c r="K978" s="965"/>
      <c r="L978" s="965"/>
      <c r="M978" s="965"/>
      <c r="N978" s="965"/>
      <c r="O978" s="965"/>
      <c r="P978" s="965"/>
      <c r="Q978" s="965"/>
      <c r="R978" s="965"/>
      <c r="S978" s="965"/>
      <c r="T978" s="965"/>
      <c r="U978" s="965"/>
      <c r="V978" s="965"/>
      <c r="W978" s="965"/>
      <c r="X978" s="965"/>
      <c r="Y978" s="965"/>
      <c r="Z978" s="965"/>
    </row>
    <row r="979">
      <c r="A979" s="965"/>
      <c r="B979" s="965"/>
      <c r="C979" s="965"/>
      <c r="D979" s="965"/>
      <c r="E979" s="965"/>
      <c r="F979" s="965"/>
      <c r="G979" s="965"/>
      <c r="H979" s="965"/>
      <c r="I979" s="965"/>
      <c r="J979" s="965"/>
      <c r="K979" s="965"/>
      <c r="L979" s="965"/>
      <c r="M979" s="965"/>
      <c r="N979" s="965"/>
      <c r="O979" s="965"/>
      <c r="P979" s="965"/>
      <c r="Q979" s="965"/>
      <c r="R979" s="965"/>
      <c r="S979" s="965"/>
      <c r="T979" s="965"/>
      <c r="U979" s="965"/>
      <c r="V979" s="965"/>
      <c r="W979" s="965"/>
      <c r="X979" s="965"/>
      <c r="Y979" s="965"/>
      <c r="Z979" s="965"/>
    </row>
    <row r="980">
      <c r="A980" s="965"/>
      <c r="B980" s="965"/>
      <c r="C980" s="965"/>
      <c r="D980" s="965"/>
      <c r="E980" s="965"/>
      <c r="F980" s="965"/>
      <c r="G980" s="965"/>
      <c r="H980" s="965"/>
      <c r="I980" s="965"/>
      <c r="J980" s="965"/>
      <c r="K980" s="965"/>
      <c r="L980" s="965"/>
      <c r="M980" s="965"/>
      <c r="N980" s="965"/>
      <c r="O980" s="965"/>
      <c r="P980" s="965"/>
      <c r="Q980" s="965"/>
      <c r="R980" s="965"/>
      <c r="S980" s="965"/>
      <c r="T980" s="965"/>
      <c r="U980" s="965"/>
      <c r="V980" s="965"/>
      <c r="W980" s="965"/>
      <c r="X980" s="965"/>
      <c r="Y980" s="965"/>
      <c r="Z980" s="965"/>
    </row>
    <row r="981">
      <c r="A981" s="965"/>
      <c r="B981" s="965"/>
      <c r="C981" s="965"/>
      <c r="D981" s="965"/>
      <c r="E981" s="965"/>
      <c r="F981" s="965"/>
      <c r="G981" s="965"/>
      <c r="H981" s="965"/>
      <c r="I981" s="965"/>
      <c r="J981" s="965"/>
      <c r="K981" s="965"/>
      <c r="L981" s="965"/>
      <c r="M981" s="965"/>
      <c r="N981" s="965"/>
      <c r="O981" s="965"/>
      <c r="P981" s="965"/>
      <c r="Q981" s="965"/>
      <c r="R981" s="965"/>
      <c r="S981" s="965"/>
      <c r="T981" s="965"/>
      <c r="U981" s="965"/>
      <c r="V981" s="965"/>
      <c r="W981" s="965"/>
      <c r="X981" s="965"/>
      <c r="Y981" s="965"/>
      <c r="Z981" s="965"/>
    </row>
    <row r="982">
      <c r="A982" s="965"/>
      <c r="B982" s="965"/>
      <c r="C982" s="965"/>
      <c r="D982" s="965"/>
      <c r="E982" s="965"/>
      <c r="F982" s="965"/>
      <c r="G982" s="965"/>
      <c r="H982" s="965"/>
      <c r="I982" s="965"/>
      <c r="J982" s="965"/>
      <c r="K982" s="965"/>
      <c r="L982" s="965"/>
      <c r="M982" s="965"/>
      <c r="N982" s="965"/>
      <c r="O982" s="965"/>
      <c r="P982" s="965"/>
      <c r="Q982" s="965"/>
      <c r="R982" s="965"/>
      <c r="S982" s="965"/>
      <c r="T982" s="965"/>
      <c r="U982" s="965"/>
      <c r="V982" s="965"/>
      <c r="W982" s="965"/>
      <c r="X982" s="965"/>
      <c r="Y982" s="965"/>
      <c r="Z982" s="965"/>
    </row>
    <row r="983">
      <c r="A983" s="965"/>
      <c r="B983" s="965"/>
      <c r="C983" s="965"/>
      <c r="D983" s="965"/>
      <c r="E983" s="965"/>
      <c r="F983" s="965"/>
      <c r="G983" s="965"/>
      <c r="H983" s="965"/>
      <c r="I983" s="965"/>
      <c r="J983" s="965"/>
      <c r="K983" s="965"/>
      <c r="L983" s="965"/>
      <c r="M983" s="965"/>
      <c r="N983" s="965"/>
      <c r="O983" s="965"/>
      <c r="P983" s="965"/>
      <c r="Q983" s="965"/>
      <c r="R983" s="965"/>
      <c r="S983" s="965"/>
      <c r="T983" s="965"/>
      <c r="U983" s="965"/>
      <c r="V983" s="965"/>
      <c r="W983" s="965"/>
      <c r="X983" s="965"/>
      <c r="Y983" s="965"/>
      <c r="Z983" s="965"/>
    </row>
    <row r="984">
      <c r="A984" s="965"/>
      <c r="B984" s="965"/>
      <c r="C984" s="965"/>
      <c r="D984" s="965"/>
      <c r="E984" s="965"/>
      <c r="F984" s="965"/>
      <c r="G984" s="965"/>
      <c r="H984" s="965"/>
      <c r="I984" s="965"/>
      <c r="J984" s="965"/>
      <c r="K984" s="965"/>
      <c r="L984" s="965"/>
      <c r="M984" s="965"/>
      <c r="N984" s="965"/>
      <c r="O984" s="965"/>
      <c r="P984" s="965"/>
      <c r="Q984" s="965"/>
      <c r="R984" s="965"/>
      <c r="S984" s="965"/>
      <c r="T984" s="965"/>
      <c r="U984" s="965"/>
      <c r="V984" s="965"/>
      <c r="W984" s="965"/>
      <c r="X984" s="965"/>
      <c r="Y984" s="965"/>
      <c r="Z984" s="965"/>
    </row>
    <row r="985">
      <c r="A985" s="965"/>
      <c r="B985" s="965"/>
      <c r="C985" s="965"/>
      <c r="D985" s="965"/>
      <c r="E985" s="965"/>
      <c r="F985" s="965"/>
      <c r="G985" s="965"/>
      <c r="H985" s="965"/>
      <c r="I985" s="965"/>
      <c r="J985" s="965"/>
      <c r="K985" s="965"/>
      <c r="L985" s="965"/>
      <c r="M985" s="965"/>
      <c r="N985" s="965"/>
      <c r="O985" s="965"/>
      <c r="P985" s="965"/>
      <c r="Q985" s="965"/>
      <c r="R985" s="965"/>
      <c r="S985" s="965"/>
      <c r="T985" s="965"/>
      <c r="U985" s="965"/>
      <c r="V985" s="965"/>
      <c r="W985" s="965"/>
      <c r="X985" s="965"/>
      <c r="Y985" s="965"/>
      <c r="Z985" s="965"/>
    </row>
    <row r="986">
      <c r="A986" s="965"/>
      <c r="B986" s="965"/>
      <c r="C986" s="965"/>
      <c r="D986" s="965"/>
      <c r="E986" s="965"/>
      <c r="F986" s="965"/>
      <c r="G986" s="965"/>
      <c r="H986" s="965"/>
      <c r="I986" s="965"/>
      <c r="J986" s="965"/>
      <c r="K986" s="965"/>
      <c r="L986" s="965"/>
      <c r="M986" s="965"/>
      <c r="N986" s="965"/>
      <c r="O986" s="965"/>
      <c r="P986" s="965"/>
      <c r="Q986" s="965"/>
      <c r="R986" s="965"/>
      <c r="S986" s="965"/>
      <c r="T986" s="965"/>
      <c r="U986" s="965"/>
      <c r="V986" s="965"/>
      <c r="W986" s="965"/>
      <c r="X986" s="965"/>
      <c r="Y986" s="965"/>
      <c r="Z986" s="965"/>
    </row>
    <row r="987">
      <c r="A987" s="965"/>
      <c r="B987" s="965"/>
      <c r="C987" s="965"/>
      <c r="D987" s="965"/>
      <c r="E987" s="965"/>
      <c r="F987" s="965"/>
      <c r="G987" s="965"/>
      <c r="H987" s="965"/>
      <c r="I987" s="965"/>
      <c r="J987" s="965"/>
      <c r="K987" s="965"/>
      <c r="L987" s="965"/>
      <c r="M987" s="965"/>
      <c r="N987" s="965"/>
      <c r="O987" s="965"/>
      <c r="P987" s="965"/>
      <c r="Q987" s="965"/>
      <c r="R987" s="965"/>
      <c r="S987" s="965"/>
      <c r="T987" s="965"/>
      <c r="U987" s="965"/>
      <c r="V987" s="965"/>
      <c r="W987" s="965"/>
      <c r="X987" s="965"/>
      <c r="Y987" s="965"/>
      <c r="Z987" s="965"/>
    </row>
    <row r="988">
      <c r="A988" s="965"/>
      <c r="B988" s="965"/>
      <c r="C988" s="965"/>
      <c r="D988" s="965"/>
      <c r="E988" s="965"/>
      <c r="F988" s="965"/>
      <c r="G988" s="965"/>
      <c r="H988" s="965"/>
      <c r="I988" s="965"/>
      <c r="J988" s="965"/>
      <c r="K988" s="965"/>
      <c r="L988" s="965"/>
      <c r="M988" s="965"/>
      <c r="N988" s="965"/>
      <c r="O988" s="965"/>
      <c r="P988" s="965"/>
      <c r="Q988" s="965"/>
      <c r="R988" s="965"/>
      <c r="S988" s="965"/>
      <c r="T988" s="965"/>
      <c r="U988" s="965"/>
      <c r="V988" s="965"/>
      <c r="W988" s="965"/>
      <c r="X988" s="965"/>
      <c r="Y988" s="965"/>
      <c r="Z988" s="965"/>
    </row>
    <row r="989">
      <c r="A989" s="965"/>
      <c r="B989" s="965"/>
      <c r="C989" s="965"/>
      <c r="D989" s="965"/>
      <c r="E989" s="965"/>
      <c r="F989" s="965"/>
      <c r="G989" s="965"/>
      <c r="H989" s="965"/>
      <c r="I989" s="965"/>
      <c r="J989" s="965"/>
      <c r="K989" s="965"/>
      <c r="L989" s="965"/>
      <c r="M989" s="965"/>
      <c r="N989" s="965"/>
      <c r="O989" s="965"/>
      <c r="P989" s="965"/>
      <c r="Q989" s="965"/>
      <c r="R989" s="965"/>
      <c r="S989" s="965"/>
      <c r="T989" s="965"/>
      <c r="U989" s="965"/>
      <c r="V989" s="965"/>
      <c r="W989" s="965"/>
      <c r="X989" s="965"/>
      <c r="Y989" s="965"/>
      <c r="Z989" s="965"/>
    </row>
    <row r="990">
      <c r="A990" s="965"/>
      <c r="B990" s="965"/>
      <c r="C990" s="965"/>
      <c r="D990" s="965"/>
      <c r="E990" s="965"/>
      <c r="F990" s="965"/>
      <c r="G990" s="965"/>
      <c r="H990" s="965"/>
      <c r="I990" s="965"/>
      <c r="J990" s="965"/>
      <c r="K990" s="965"/>
      <c r="L990" s="965"/>
      <c r="M990" s="965"/>
      <c r="N990" s="965"/>
      <c r="O990" s="965"/>
      <c r="P990" s="965"/>
      <c r="Q990" s="965"/>
      <c r="R990" s="965"/>
      <c r="S990" s="965"/>
      <c r="T990" s="965"/>
      <c r="U990" s="965"/>
      <c r="V990" s="965"/>
      <c r="W990" s="965"/>
      <c r="X990" s="965"/>
      <c r="Y990" s="965"/>
      <c r="Z990" s="965"/>
    </row>
    <row r="991">
      <c r="A991" s="965"/>
      <c r="B991" s="965"/>
      <c r="C991" s="965"/>
      <c r="D991" s="965"/>
      <c r="E991" s="965"/>
      <c r="F991" s="965"/>
      <c r="G991" s="965"/>
      <c r="H991" s="965"/>
      <c r="I991" s="965"/>
      <c r="J991" s="965"/>
      <c r="K991" s="965"/>
      <c r="L991" s="965"/>
      <c r="M991" s="965"/>
      <c r="N991" s="965"/>
      <c r="O991" s="965"/>
      <c r="P991" s="965"/>
      <c r="Q991" s="965"/>
      <c r="R991" s="965"/>
      <c r="S991" s="965"/>
      <c r="T991" s="965"/>
      <c r="U991" s="965"/>
      <c r="V991" s="965"/>
      <c r="W991" s="965"/>
      <c r="X991" s="965"/>
      <c r="Y991" s="965"/>
      <c r="Z991" s="965"/>
    </row>
    <row r="992">
      <c r="A992" s="965"/>
      <c r="B992" s="965"/>
      <c r="C992" s="965"/>
      <c r="D992" s="965"/>
      <c r="E992" s="965"/>
      <c r="F992" s="965"/>
      <c r="G992" s="965"/>
      <c r="H992" s="965"/>
      <c r="I992" s="965"/>
      <c r="J992" s="965"/>
      <c r="K992" s="965"/>
      <c r="L992" s="965"/>
      <c r="M992" s="965"/>
      <c r="N992" s="965"/>
      <c r="O992" s="965"/>
      <c r="P992" s="965"/>
      <c r="Q992" s="965"/>
      <c r="R992" s="965"/>
      <c r="S992" s="965"/>
      <c r="T992" s="965"/>
      <c r="U992" s="965"/>
      <c r="V992" s="965"/>
      <c r="W992" s="965"/>
      <c r="X992" s="965"/>
      <c r="Y992" s="965"/>
      <c r="Z992" s="965"/>
    </row>
    <row r="993">
      <c r="A993" s="965"/>
      <c r="B993" s="965"/>
      <c r="C993" s="965"/>
      <c r="D993" s="965"/>
      <c r="E993" s="965"/>
      <c r="F993" s="965"/>
      <c r="G993" s="965"/>
      <c r="H993" s="965"/>
      <c r="I993" s="965"/>
      <c r="J993" s="965"/>
      <c r="K993" s="965"/>
      <c r="L993" s="965"/>
      <c r="M993" s="965"/>
      <c r="N993" s="965"/>
      <c r="O993" s="965"/>
      <c r="P993" s="965"/>
      <c r="Q993" s="965"/>
      <c r="R993" s="965"/>
      <c r="S993" s="965"/>
      <c r="T993" s="965"/>
      <c r="U993" s="965"/>
      <c r="V993" s="965"/>
      <c r="W993" s="965"/>
      <c r="X993" s="965"/>
      <c r="Y993" s="965"/>
      <c r="Z993" s="965"/>
    </row>
  </sheetData>
  <mergeCells count="2">
    <mergeCell ref="B3:E3"/>
    <mergeCell ref="B8:E8"/>
  </mergeCells>
  <hyperlinks>
    <hyperlink r:id="rId1" ref="A18"/>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47.86"/>
    <col customWidth="1" min="8" max="8" width="25.0"/>
  </cols>
  <sheetData>
    <row r="1">
      <c r="A1" s="949" t="s">
        <v>841</v>
      </c>
      <c r="B1" s="1017"/>
      <c r="C1" s="1018"/>
      <c r="D1" s="1018"/>
      <c r="E1" s="1018"/>
      <c r="F1" s="1018"/>
      <c r="G1" s="951"/>
      <c r="H1" s="951"/>
      <c r="I1" s="951"/>
      <c r="J1" s="951"/>
      <c r="K1" s="970"/>
      <c r="L1" s="970"/>
      <c r="M1" s="970"/>
      <c r="N1" s="970"/>
      <c r="O1" s="970"/>
      <c r="P1" s="970"/>
      <c r="Q1" s="970"/>
      <c r="R1" s="970"/>
      <c r="S1" s="970"/>
      <c r="T1" s="970"/>
      <c r="U1" s="970"/>
      <c r="V1" s="970"/>
      <c r="W1" s="970"/>
      <c r="X1" s="970"/>
      <c r="Y1" s="970"/>
      <c r="Z1" s="970"/>
    </row>
    <row r="2">
      <c r="A2" s="971" t="s">
        <v>808</v>
      </c>
      <c r="B2" s="954"/>
      <c r="C2" s="954"/>
      <c r="D2" s="954"/>
      <c r="E2" s="954"/>
      <c r="F2" s="954"/>
      <c r="G2" s="954"/>
      <c r="H2" s="954"/>
      <c r="I2" s="954"/>
      <c r="J2" s="954"/>
      <c r="K2" s="954"/>
      <c r="L2" s="954"/>
      <c r="M2" s="954"/>
      <c r="N2" s="954"/>
      <c r="O2" s="954"/>
      <c r="P2" s="954"/>
      <c r="Q2" s="954"/>
      <c r="R2" s="954"/>
      <c r="S2" s="954"/>
      <c r="T2" s="954"/>
      <c r="U2" s="954"/>
      <c r="V2" s="954"/>
      <c r="W2" s="954"/>
      <c r="X2" s="954"/>
      <c r="Y2" s="954"/>
      <c r="Z2" s="954"/>
    </row>
    <row r="3">
      <c r="A3" s="79"/>
      <c r="B3" s="972" t="s">
        <v>809</v>
      </c>
      <c r="F3" s="79"/>
      <c r="G3" s="79"/>
      <c r="H3" s="79"/>
      <c r="I3" s="79"/>
      <c r="J3" s="79"/>
      <c r="K3" s="79"/>
      <c r="L3" s="79"/>
      <c r="M3" s="79"/>
      <c r="N3" s="79"/>
      <c r="O3" s="79"/>
      <c r="P3" s="79"/>
      <c r="Q3" s="79"/>
      <c r="R3" s="79"/>
      <c r="S3" s="79"/>
      <c r="T3" s="79"/>
      <c r="U3" s="79"/>
      <c r="V3" s="79"/>
      <c r="W3" s="79"/>
      <c r="X3" s="79"/>
      <c r="Y3" s="79"/>
      <c r="Z3" s="79"/>
    </row>
    <row r="4">
      <c r="A4" s="79"/>
      <c r="B4" s="973" t="s">
        <v>832</v>
      </c>
      <c r="C4" s="973" t="s">
        <v>833</v>
      </c>
      <c r="D4" s="973" t="s">
        <v>834</v>
      </c>
      <c r="E4" s="973" t="s">
        <v>63</v>
      </c>
      <c r="F4" s="79"/>
      <c r="G4" s="79"/>
      <c r="H4" s="79"/>
      <c r="I4" s="79"/>
      <c r="J4" s="79"/>
      <c r="K4" s="79"/>
      <c r="L4" s="79"/>
      <c r="M4" s="79"/>
      <c r="N4" s="79"/>
      <c r="O4" s="79"/>
      <c r="P4" s="79"/>
      <c r="Q4" s="79"/>
      <c r="R4" s="79"/>
      <c r="S4" s="79"/>
      <c r="T4" s="79"/>
      <c r="U4" s="79"/>
      <c r="V4" s="79"/>
      <c r="W4" s="79"/>
      <c r="X4" s="79"/>
      <c r="Y4" s="79"/>
      <c r="Z4" s="79"/>
    </row>
    <row r="5">
      <c r="A5" s="974" t="s">
        <v>811</v>
      </c>
      <c r="B5" s="1019">
        <f t="shared" ref="B5:E5" si="1">SUM(B10:B1003)</f>
        <v>3.482155912</v>
      </c>
      <c r="C5" s="1019">
        <f t="shared" si="1"/>
        <v>1.649483007</v>
      </c>
      <c r="D5" s="1019">
        <f t="shared" si="1"/>
        <v>2.469824023</v>
      </c>
      <c r="E5" s="1019">
        <f t="shared" si="1"/>
        <v>7.601462942</v>
      </c>
      <c r="F5" s="79"/>
      <c r="G5" s="79"/>
      <c r="H5" s="79"/>
      <c r="I5" s="79"/>
      <c r="J5" s="79"/>
      <c r="K5" s="79"/>
      <c r="L5" s="79"/>
      <c r="M5" s="79"/>
      <c r="N5" s="79"/>
      <c r="O5" s="79"/>
      <c r="P5" s="79"/>
      <c r="Q5" s="79"/>
      <c r="R5" s="79"/>
      <c r="S5" s="79"/>
      <c r="T5" s="79"/>
      <c r="U5" s="79"/>
      <c r="V5" s="79"/>
      <c r="W5" s="79"/>
      <c r="X5" s="79"/>
      <c r="Y5" s="79"/>
      <c r="Z5" s="79"/>
    </row>
    <row r="6">
      <c r="A6" s="79"/>
      <c r="B6" s="973"/>
      <c r="C6" s="973"/>
      <c r="D6" s="973"/>
      <c r="E6" s="973"/>
      <c r="F6" s="79"/>
      <c r="G6" s="79"/>
      <c r="H6" s="79"/>
      <c r="I6" s="79"/>
      <c r="J6" s="79"/>
      <c r="K6" s="79"/>
      <c r="L6" s="79"/>
      <c r="M6" s="79"/>
      <c r="N6" s="79"/>
      <c r="O6" s="79"/>
      <c r="P6" s="79"/>
      <c r="Q6" s="79"/>
      <c r="R6" s="79"/>
      <c r="S6" s="79"/>
      <c r="T6" s="79"/>
      <c r="U6" s="79"/>
      <c r="V6" s="79"/>
      <c r="W6" s="79"/>
      <c r="X6" s="79"/>
      <c r="Y6" s="79"/>
      <c r="Z6" s="79"/>
    </row>
    <row r="7">
      <c r="A7" s="1010" t="s">
        <v>812</v>
      </c>
      <c r="B7" s="954"/>
      <c r="C7" s="954"/>
      <c r="D7" s="954"/>
      <c r="E7" s="954"/>
      <c r="F7" s="954"/>
      <c r="G7" s="954"/>
      <c r="H7" s="954"/>
      <c r="I7" s="954"/>
      <c r="J7" s="954"/>
      <c r="K7" s="954"/>
      <c r="L7" s="954"/>
      <c r="M7" s="954"/>
      <c r="N7" s="954"/>
      <c r="O7" s="954"/>
      <c r="P7" s="954"/>
      <c r="Q7" s="954"/>
      <c r="R7" s="954"/>
      <c r="S7" s="954"/>
      <c r="T7" s="954"/>
      <c r="U7" s="954"/>
      <c r="V7" s="954"/>
      <c r="W7" s="954"/>
      <c r="X7" s="954"/>
      <c r="Y7" s="954"/>
      <c r="Z7" s="954"/>
    </row>
    <row r="8">
      <c r="A8" s="79"/>
      <c r="B8" s="972" t="s">
        <v>809</v>
      </c>
      <c r="F8" s="79"/>
      <c r="G8" s="79"/>
      <c r="H8" s="79"/>
      <c r="I8" s="79"/>
      <c r="J8" s="79"/>
      <c r="K8" s="79"/>
      <c r="L8" s="79"/>
      <c r="M8" s="79"/>
      <c r="N8" s="79"/>
      <c r="O8" s="79"/>
      <c r="P8" s="79"/>
      <c r="Q8" s="79"/>
      <c r="R8" s="79"/>
      <c r="S8" s="79"/>
      <c r="T8" s="79"/>
      <c r="U8" s="79"/>
      <c r="V8" s="79"/>
      <c r="W8" s="79"/>
      <c r="X8" s="79"/>
      <c r="Y8" s="79"/>
      <c r="Z8" s="79"/>
    </row>
    <row r="9">
      <c r="A9" s="974" t="s">
        <v>814</v>
      </c>
      <c r="B9" s="1011">
        <v>2021.0</v>
      </c>
      <c r="C9" s="1011">
        <v>2022.0</v>
      </c>
      <c r="D9" s="1011">
        <v>2023.0</v>
      </c>
      <c r="E9" s="973" t="s">
        <v>63</v>
      </c>
      <c r="F9" s="79"/>
      <c r="G9" s="974" t="s">
        <v>815</v>
      </c>
      <c r="H9" s="972" t="s">
        <v>65</v>
      </c>
      <c r="I9" s="79"/>
      <c r="J9" s="79"/>
      <c r="K9" s="79"/>
      <c r="L9" s="79"/>
      <c r="M9" s="79"/>
      <c r="N9" s="79"/>
      <c r="O9" s="79"/>
      <c r="P9" s="79"/>
      <c r="Q9" s="79"/>
      <c r="R9" s="79"/>
      <c r="S9" s="79"/>
      <c r="T9" s="79"/>
      <c r="U9" s="79"/>
      <c r="V9" s="79"/>
      <c r="W9" s="79"/>
      <c r="X9" s="79"/>
      <c r="Y9" s="79"/>
      <c r="Z9" s="79"/>
    </row>
    <row r="10">
      <c r="A10" s="79" t="s">
        <v>77</v>
      </c>
      <c r="B10" s="1019">
        <v>0.34165829337967096</v>
      </c>
      <c r="C10" s="1019">
        <v>0.43355179629879265</v>
      </c>
      <c r="D10" s="1019">
        <v>0.52114977743121</v>
      </c>
      <c r="E10" s="1020">
        <f t="shared" ref="E10:E12" si="2">sum(B10:D10)</f>
        <v>1.296359867</v>
      </c>
      <c r="G10" s="978">
        <v>1.0</v>
      </c>
      <c r="H10" s="978" t="s">
        <v>823</v>
      </c>
    </row>
    <row r="11">
      <c r="A11" s="79" t="s">
        <v>842</v>
      </c>
      <c r="B11" s="1019">
        <v>0.5593975046717713</v>
      </c>
      <c r="C11" s="1019">
        <v>0.21595760386883942</v>
      </c>
      <c r="D11" s="1019">
        <v>0.14566878385219809</v>
      </c>
      <c r="E11" s="1020">
        <f t="shared" si="2"/>
        <v>0.9210238924</v>
      </c>
      <c r="G11" s="978">
        <v>2.0</v>
      </c>
      <c r="H11" s="978" t="s">
        <v>81</v>
      </c>
    </row>
    <row r="12">
      <c r="A12" s="79" t="s">
        <v>70</v>
      </c>
      <c r="B12" s="975">
        <v>2.5811001137396996</v>
      </c>
      <c r="C12" s="975">
        <v>0.9999736070901499</v>
      </c>
      <c r="D12" s="975">
        <v>1.8030054616189002</v>
      </c>
      <c r="E12" s="1021">
        <f t="shared" si="2"/>
        <v>5.384079182</v>
      </c>
      <c r="G12" s="978">
        <v>5.0</v>
      </c>
      <c r="H12" s="978" t="s">
        <v>823</v>
      </c>
    </row>
    <row r="16">
      <c r="A16" s="333" t="s">
        <v>818</v>
      </c>
    </row>
    <row r="17">
      <c r="A17" s="5" t="s">
        <v>843</v>
      </c>
    </row>
    <row r="19">
      <c r="F19" s="1022"/>
    </row>
    <row r="24">
      <c r="A24" s="965"/>
      <c r="B24" s="965"/>
      <c r="C24" s="965"/>
      <c r="D24" s="965"/>
      <c r="E24" s="965"/>
      <c r="F24" s="965"/>
      <c r="G24" s="965"/>
      <c r="H24" s="965"/>
      <c r="I24" s="965"/>
      <c r="J24" s="965"/>
    </row>
    <row r="25">
      <c r="A25" s="965"/>
      <c r="B25" s="965"/>
      <c r="C25" s="965"/>
      <c r="D25" s="965"/>
      <c r="E25" s="965"/>
      <c r="F25" s="965"/>
      <c r="G25" s="965"/>
      <c r="H25" s="965"/>
      <c r="I25" s="965"/>
      <c r="J25" s="965"/>
    </row>
    <row r="26">
      <c r="A26" s="965"/>
      <c r="B26" s="965"/>
      <c r="C26" s="965"/>
      <c r="D26" s="965"/>
      <c r="E26" s="965"/>
      <c r="F26" s="965"/>
      <c r="G26" s="965"/>
      <c r="H26" s="965"/>
      <c r="I26" s="965"/>
      <c r="J26" s="965"/>
    </row>
    <row r="27">
      <c r="A27" s="965"/>
      <c r="B27" s="995"/>
      <c r="C27" s="995"/>
      <c r="D27" s="995"/>
      <c r="E27" s="965"/>
      <c r="F27" s="965"/>
      <c r="G27" s="965"/>
      <c r="H27" s="965"/>
      <c r="I27" s="965"/>
      <c r="J27" s="965"/>
    </row>
    <row r="28">
      <c r="A28" s="965"/>
      <c r="B28" s="995"/>
      <c r="C28" s="995"/>
      <c r="D28" s="995"/>
      <c r="E28" s="965"/>
      <c r="F28" s="965"/>
      <c r="G28" s="965"/>
      <c r="H28" s="965"/>
      <c r="I28" s="965"/>
      <c r="J28" s="965"/>
    </row>
    <row r="29">
      <c r="A29" s="965"/>
      <c r="B29" s="965"/>
      <c r="C29" s="965"/>
      <c r="D29" s="965"/>
      <c r="E29" s="965"/>
      <c r="F29" s="965"/>
      <c r="G29" s="965"/>
      <c r="H29" s="965"/>
      <c r="I29" s="965"/>
      <c r="J29" s="965"/>
    </row>
  </sheetData>
  <mergeCells count="2">
    <mergeCell ref="B3:E3"/>
    <mergeCell ref="B8:E8"/>
  </mergeCells>
  <hyperlinks>
    <hyperlink r:id="rId2" ref="A17"/>
  </hyperlinks>
  <drawing r:id="rId3"/>
  <legacy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63.57"/>
  </cols>
  <sheetData>
    <row r="1">
      <c r="A1" s="949" t="s">
        <v>844</v>
      </c>
      <c r="B1" s="1017"/>
      <c r="C1" s="1018"/>
      <c r="D1" s="1018"/>
      <c r="E1" s="1018"/>
      <c r="F1" s="1018"/>
      <c r="G1" s="951"/>
      <c r="H1" s="951"/>
      <c r="I1" s="951"/>
      <c r="J1" s="951"/>
      <c r="K1" s="951"/>
      <c r="L1" s="951"/>
      <c r="M1" s="951"/>
      <c r="N1" s="951"/>
      <c r="O1" s="951"/>
      <c r="P1" s="951"/>
      <c r="Q1" s="951"/>
      <c r="R1" s="951"/>
      <c r="S1" s="951"/>
      <c r="T1" s="951"/>
      <c r="U1" s="951"/>
      <c r="V1" s="951"/>
      <c r="W1" s="951"/>
      <c r="X1" s="951"/>
      <c r="Y1" s="951"/>
      <c r="Z1" s="951"/>
    </row>
    <row r="2">
      <c r="A2" s="952"/>
      <c r="B2" s="1023"/>
      <c r="C2" s="1023"/>
      <c r="D2" s="1023"/>
      <c r="E2" s="1023"/>
      <c r="F2" s="1023"/>
      <c r="G2" s="1023"/>
      <c r="H2" s="1023"/>
      <c r="I2" s="1023"/>
      <c r="J2" s="1023"/>
      <c r="K2" s="1023"/>
      <c r="L2" s="1023"/>
      <c r="M2" s="1023"/>
      <c r="N2" s="1023"/>
      <c r="O2" s="1023"/>
      <c r="P2" s="1023"/>
      <c r="Q2" s="1023"/>
      <c r="R2" s="1023"/>
      <c r="S2" s="1023"/>
      <c r="T2" s="1023"/>
      <c r="U2" s="1023"/>
      <c r="V2" s="1023"/>
      <c r="W2" s="1023"/>
      <c r="X2" s="1023"/>
      <c r="Y2" s="1023"/>
      <c r="Z2" s="1023"/>
    </row>
    <row r="3">
      <c r="A3" s="1024" t="s">
        <v>845</v>
      </c>
      <c r="B3" s="954"/>
      <c r="C3" s="954"/>
      <c r="D3" s="954"/>
      <c r="E3" s="954"/>
      <c r="F3" s="954"/>
      <c r="G3" s="954"/>
      <c r="H3" s="954"/>
      <c r="I3" s="954"/>
      <c r="J3" s="954"/>
      <c r="K3" s="954"/>
      <c r="L3" s="954"/>
      <c r="M3" s="954"/>
      <c r="N3" s="954"/>
      <c r="O3" s="954"/>
      <c r="P3" s="954"/>
      <c r="Q3" s="954"/>
      <c r="R3" s="954"/>
      <c r="S3" s="954"/>
      <c r="T3" s="954"/>
      <c r="U3" s="954"/>
      <c r="V3" s="954"/>
      <c r="W3" s="954"/>
      <c r="X3" s="954"/>
      <c r="Y3" s="954"/>
      <c r="Z3" s="954"/>
    </row>
    <row r="4">
      <c r="A4" s="79"/>
      <c r="B4" s="965"/>
      <c r="F4" s="79"/>
      <c r="G4" s="79"/>
      <c r="H4" s="79"/>
      <c r="I4" s="79"/>
      <c r="J4" s="79"/>
      <c r="K4" s="79"/>
      <c r="L4" s="79"/>
      <c r="M4" s="79"/>
      <c r="N4" s="79"/>
      <c r="O4" s="79"/>
      <c r="P4" s="79"/>
      <c r="Q4" s="79"/>
      <c r="R4" s="79"/>
      <c r="S4" s="79"/>
      <c r="T4" s="79"/>
      <c r="U4" s="79"/>
      <c r="V4" s="79"/>
      <c r="W4" s="79"/>
      <c r="X4" s="79"/>
      <c r="Y4" s="79"/>
      <c r="Z4" s="79"/>
    </row>
    <row r="5">
      <c r="A5" s="79"/>
      <c r="B5" s="973">
        <v>2021.0</v>
      </c>
      <c r="C5" s="973">
        <v>2022.0</v>
      </c>
      <c r="D5" s="973">
        <v>2023.0</v>
      </c>
      <c r="E5" s="973" t="s">
        <v>63</v>
      </c>
      <c r="F5" s="79"/>
      <c r="G5" s="79"/>
      <c r="H5" s="79"/>
      <c r="I5" s="79"/>
      <c r="J5" s="79"/>
      <c r="K5" s="79"/>
      <c r="L5" s="79"/>
      <c r="M5" s="79"/>
      <c r="N5" s="79"/>
      <c r="O5" s="79"/>
      <c r="P5" s="79"/>
      <c r="Q5" s="79"/>
      <c r="R5" s="79"/>
      <c r="S5" s="79"/>
      <c r="T5" s="79"/>
      <c r="U5" s="79"/>
      <c r="V5" s="79"/>
      <c r="W5" s="79"/>
      <c r="X5" s="79"/>
      <c r="Y5" s="79"/>
      <c r="Z5" s="79"/>
    </row>
    <row r="6">
      <c r="A6" s="229" t="s">
        <v>811</v>
      </c>
      <c r="B6" s="975">
        <f t="shared" ref="B6:E6" si="1">sum(B10:B18)</f>
        <v>0</v>
      </c>
      <c r="C6" s="975">
        <f t="shared" si="1"/>
        <v>0.6494476932</v>
      </c>
      <c r="D6" s="975">
        <f t="shared" si="1"/>
        <v>44.08010084</v>
      </c>
      <c r="E6" s="975">
        <f t="shared" si="1"/>
        <v>44.72954853</v>
      </c>
      <c r="F6" s="79"/>
      <c r="G6" s="79"/>
      <c r="H6" s="79"/>
      <c r="I6" s="79"/>
      <c r="J6" s="79"/>
      <c r="K6" s="79"/>
      <c r="L6" s="79"/>
      <c r="M6" s="79"/>
      <c r="N6" s="79"/>
      <c r="O6" s="79"/>
      <c r="P6" s="79"/>
      <c r="Q6" s="79"/>
      <c r="R6" s="79"/>
      <c r="S6" s="79"/>
      <c r="T6" s="79"/>
      <c r="U6" s="79"/>
      <c r="V6" s="79"/>
      <c r="W6" s="79"/>
      <c r="X6" s="79"/>
      <c r="Y6" s="79"/>
      <c r="Z6" s="79"/>
    </row>
    <row r="7">
      <c r="A7" s="79"/>
      <c r="B7" s="1025"/>
      <c r="C7" s="1025"/>
      <c r="D7" s="1025"/>
      <c r="E7" s="1025"/>
      <c r="F7" s="79"/>
      <c r="G7" s="79"/>
      <c r="H7" s="79"/>
      <c r="I7" s="79"/>
      <c r="J7" s="79"/>
      <c r="K7" s="79"/>
      <c r="L7" s="79"/>
      <c r="M7" s="79"/>
      <c r="N7" s="79"/>
      <c r="O7" s="79"/>
      <c r="P7" s="79"/>
      <c r="Q7" s="79"/>
      <c r="R7" s="79"/>
      <c r="S7" s="79"/>
      <c r="T7" s="79"/>
      <c r="U7" s="79"/>
      <c r="V7" s="79"/>
      <c r="W7" s="79"/>
      <c r="X7" s="79"/>
      <c r="Y7" s="79"/>
      <c r="Z7" s="79"/>
    </row>
    <row r="8">
      <c r="A8" s="1024" t="s">
        <v>846</v>
      </c>
      <c r="B8" s="954"/>
      <c r="C8" s="954"/>
      <c r="D8" s="954"/>
      <c r="E8" s="954"/>
      <c r="F8" s="954"/>
      <c r="G8" s="954"/>
      <c r="H8" s="954"/>
      <c r="I8" s="954"/>
      <c r="J8" s="954"/>
      <c r="K8" s="954"/>
      <c r="L8" s="954"/>
      <c r="M8" s="954"/>
      <c r="N8" s="954"/>
      <c r="O8" s="954"/>
      <c r="P8" s="954"/>
      <c r="Q8" s="954"/>
      <c r="R8" s="954"/>
      <c r="S8" s="954"/>
      <c r="T8" s="954"/>
      <c r="U8" s="954"/>
      <c r="V8" s="954"/>
      <c r="W8" s="954"/>
      <c r="X8" s="954"/>
      <c r="Y8" s="954"/>
      <c r="Z8" s="954"/>
    </row>
    <row r="9">
      <c r="A9" s="974" t="s">
        <v>814</v>
      </c>
      <c r="B9" s="973">
        <v>2021.0</v>
      </c>
      <c r="C9" s="973">
        <v>2022.0</v>
      </c>
      <c r="D9" s="973">
        <v>2023.0</v>
      </c>
      <c r="E9" s="973" t="s">
        <v>63</v>
      </c>
      <c r="F9" s="79"/>
      <c r="G9" s="976" t="s">
        <v>835</v>
      </c>
      <c r="H9" s="79" t="s">
        <v>65</v>
      </c>
      <c r="I9" s="79"/>
      <c r="J9" s="79"/>
      <c r="K9" s="79"/>
      <c r="L9" s="79"/>
      <c r="M9" s="79"/>
      <c r="N9" s="79"/>
      <c r="O9" s="79"/>
      <c r="P9" s="79"/>
      <c r="Q9" s="79"/>
      <c r="R9" s="79"/>
      <c r="S9" s="79"/>
      <c r="T9" s="79"/>
      <c r="U9" s="79"/>
      <c r="V9" s="79"/>
      <c r="W9" s="79"/>
      <c r="X9" s="79"/>
      <c r="Y9" s="79"/>
      <c r="Z9" s="79"/>
    </row>
    <row r="10">
      <c r="A10" s="79" t="s">
        <v>847</v>
      </c>
      <c r="B10" s="975" t="s">
        <v>698</v>
      </c>
      <c r="C10" s="975">
        <v>0.6494476932235095</v>
      </c>
      <c r="D10" s="975" t="s">
        <v>698</v>
      </c>
      <c r="E10" s="975">
        <f t="shared" ref="E10:E18" si="2">sum(B10:D10)</f>
        <v>0.6494476932</v>
      </c>
      <c r="F10" s="79"/>
      <c r="G10" s="978">
        <v>2.0</v>
      </c>
      <c r="H10" s="978" t="s">
        <v>823</v>
      </c>
      <c r="I10" s="79"/>
      <c r="J10" s="79"/>
      <c r="K10" s="79"/>
      <c r="L10" s="79"/>
      <c r="M10" s="79"/>
      <c r="N10" s="79"/>
      <c r="O10" s="79"/>
      <c r="P10" s="79"/>
      <c r="Q10" s="79"/>
      <c r="R10" s="79"/>
      <c r="S10" s="79"/>
      <c r="T10" s="79"/>
      <c r="U10" s="79"/>
      <c r="V10" s="79"/>
      <c r="W10" s="79"/>
      <c r="X10" s="79"/>
      <c r="Y10" s="79"/>
      <c r="Z10" s="79"/>
    </row>
    <row r="11">
      <c r="A11" s="79" t="s">
        <v>848</v>
      </c>
      <c r="B11" s="975" t="s">
        <v>698</v>
      </c>
      <c r="C11" s="975" t="s">
        <v>698</v>
      </c>
      <c r="D11" s="975">
        <v>8.02446644884603</v>
      </c>
      <c r="E11" s="975">
        <f t="shared" si="2"/>
        <v>8.024466449</v>
      </c>
      <c r="F11" s="79"/>
      <c r="G11" s="978">
        <v>3.0</v>
      </c>
      <c r="H11" s="978" t="s">
        <v>817</v>
      </c>
      <c r="I11" s="79"/>
      <c r="J11" s="79"/>
      <c r="K11" s="79"/>
      <c r="L11" s="79"/>
      <c r="M11" s="79"/>
      <c r="N11" s="79"/>
      <c r="O11" s="79"/>
      <c r="P11" s="79"/>
      <c r="Q11" s="79"/>
      <c r="R11" s="79"/>
      <c r="S11" s="79"/>
      <c r="T11" s="79"/>
      <c r="U11" s="79"/>
      <c r="V11" s="79"/>
      <c r="W11" s="79"/>
      <c r="X11" s="79"/>
      <c r="Y11" s="79"/>
      <c r="Z11" s="79"/>
    </row>
    <row r="12">
      <c r="A12" s="79" t="s">
        <v>849</v>
      </c>
      <c r="B12" s="975" t="s">
        <v>698</v>
      </c>
      <c r="C12" s="975" t="s">
        <v>698</v>
      </c>
      <c r="D12" s="975">
        <v>6.662133692938557</v>
      </c>
      <c r="E12" s="975">
        <f t="shared" si="2"/>
        <v>6.662133693</v>
      </c>
      <c r="F12" s="79"/>
      <c r="G12" s="978">
        <v>3.0</v>
      </c>
      <c r="H12" s="978" t="s">
        <v>817</v>
      </c>
      <c r="I12" s="79"/>
      <c r="J12" s="79"/>
      <c r="K12" s="79"/>
      <c r="L12" s="79"/>
      <c r="M12" s="79"/>
      <c r="N12" s="79"/>
      <c r="O12" s="79"/>
      <c r="P12" s="79"/>
      <c r="Q12" s="79"/>
      <c r="R12" s="79"/>
      <c r="S12" s="79"/>
      <c r="T12" s="79"/>
      <c r="U12" s="79"/>
      <c r="V12" s="79"/>
      <c r="W12" s="79"/>
      <c r="X12" s="79"/>
      <c r="Y12" s="79"/>
      <c r="Z12" s="79"/>
    </row>
    <row r="13">
      <c r="A13" s="79" t="s">
        <v>850</v>
      </c>
      <c r="B13" s="975" t="s">
        <v>698</v>
      </c>
      <c r="C13" s="975" t="s">
        <v>698</v>
      </c>
      <c r="D13" s="975">
        <v>19.759932076906647</v>
      </c>
      <c r="E13" s="975">
        <f t="shared" si="2"/>
        <v>19.75993208</v>
      </c>
      <c r="F13" s="79"/>
      <c r="G13" s="978">
        <v>3.0</v>
      </c>
      <c r="H13" s="978" t="s">
        <v>817</v>
      </c>
      <c r="I13" s="79"/>
      <c r="J13" s="79"/>
      <c r="K13" s="79"/>
      <c r="L13" s="79"/>
      <c r="M13" s="79"/>
      <c r="N13" s="79"/>
      <c r="O13" s="79"/>
      <c r="P13" s="79"/>
      <c r="Q13" s="79"/>
      <c r="R13" s="79"/>
      <c r="S13" s="79"/>
      <c r="T13" s="79"/>
      <c r="U13" s="79"/>
      <c r="V13" s="79"/>
      <c r="W13" s="79"/>
      <c r="X13" s="79"/>
      <c r="Y13" s="79"/>
      <c r="Z13" s="79"/>
    </row>
    <row r="14">
      <c r="A14" s="79" t="s">
        <v>851</v>
      </c>
      <c r="B14" s="975" t="s">
        <v>698</v>
      </c>
      <c r="C14" s="975" t="s">
        <v>698</v>
      </c>
      <c r="D14" s="975">
        <v>2.0838881218484993</v>
      </c>
      <c r="E14" s="975">
        <f t="shared" si="2"/>
        <v>2.083888122</v>
      </c>
      <c r="F14" s="79"/>
      <c r="G14" s="978">
        <v>3.0</v>
      </c>
      <c r="H14" s="978" t="s">
        <v>817</v>
      </c>
      <c r="I14" s="79"/>
      <c r="J14" s="79"/>
      <c r="K14" s="79"/>
      <c r="L14" s="79"/>
      <c r="M14" s="79"/>
      <c r="N14" s="79"/>
      <c r="O14" s="79"/>
      <c r="P14" s="79"/>
      <c r="Q14" s="79"/>
      <c r="R14" s="79"/>
      <c r="S14" s="79"/>
      <c r="T14" s="79"/>
      <c r="U14" s="79"/>
      <c r="V14" s="79"/>
      <c r="W14" s="79"/>
      <c r="X14" s="79"/>
      <c r="Y14" s="79"/>
      <c r="Z14" s="79"/>
    </row>
    <row r="15">
      <c r="A15" s="79" t="s">
        <v>852</v>
      </c>
      <c r="B15" s="975" t="s">
        <v>698</v>
      </c>
      <c r="C15" s="975" t="s">
        <v>698</v>
      </c>
      <c r="D15" s="975">
        <v>0.7914645731508191</v>
      </c>
      <c r="E15" s="975">
        <f t="shared" si="2"/>
        <v>0.7914645732</v>
      </c>
      <c r="F15" s="79"/>
      <c r="G15" s="978">
        <v>3.0</v>
      </c>
      <c r="H15" s="978" t="s">
        <v>853</v>
      </c>
      <c r="I15" s="79"/>
      <c r="J15" s="79"/>
      <c r="K15" s="79"/>
      <c r="L15" s="79"/>
      <c r="M15" s="79"/>
      <c r="N15" s="79"/>
      <c r="O15" s="79"/>
      <c r="P15" s="79"/>
      <c r="Q15" s="79"/>
      <c r="R15" s="79"/>
      <c r="S15" s="79"/>
      <c r="T15" s="79"/>
      <c r="U15" s="79"/>
      <c r="V15" s="79"/>
      <c r="W15" s="79"/>
      <c r="X15" s="79"/>
      <c r="Y15" s="79"/>
      <c r="Z15" s="79"/>
    </row>
    <row r="16">
      <c r="A16" s="79" t="s">
        <v>854</v>
      </c>
      <c r="B16" s="975" t="s">
        <v>698</v>
      </c>
      <c r="C16" s="975" t="s">
        <v>698</v>
      </c>
      <c r="D16" s="975">
        <v>0.4402435891121922</v>
      </c>
      <c r="E16" s="975">
        <f t="shared" si="2"/>
        <v>0.4402435891</v>
      </c>
      <c r="F16" s="79"/>
      <c r="G16" s="978">
        <v>3.0</v>
      </c>
      <c r="H16" s="978" t="s">
        <v>853</v>
      </c>
      <c r="I16" s="79"/>
      <c r="J16" s="79"/>
      <c r="K16" s="79"/>
      <c r="L16" s="79"/>
      <c r="M16" s="79"/>
      <c r="N16" s="79"/>
      <c r="O16" s="79"/>
      <c r="P16" s="79"/>
      <c r="Q16" s="79"/>
      <c r="R16" s="79"/>
      <c r="S16" s="79"/>
      <c r="T16" s="79"/>
      <c r="U16" s="79"/>
      <c r="V16" s="79"/>
      <c r="W16" s="79"/>
      <c r="X16" s="79"/>
      <c r="Y16" s="79"/>
      <c r="Z16" s="79"/>
    </row>
    <row r="17">
      <c r="A17" s="79" t="s">
        <v>855</v>
      </c>
      <c r="B17" s="975" t="s">
        <v>698</v>
      </c>
      <c r="C17" s="975" t="s">
        <v>698</v>
      </c>
      <c r="D17" s="975">
        <v>5.655587184895483</v>
      </c>
      <c r="E17" s="975">
        <f t="shared" si="2"/>
        <v>5.655587185</v>
      </c>
      <c r="F17" s="79"/>
      <c r="G17" s="978">
        <v>3.0</v>
      </c>
      <c r="H17" s="978" t="s">
        <v>853</v>
      </c>
      <c r="I17" s="79"/>
      <c r="J17" s="79"/>
      <c r="K17" s="79"/>
      <c r="L17" s="79"/>
      <c r="M17" s="79"/>
      <c r="N17" s="79"/>
      <c r="O17" s="79"/>
      <c r="P17" s="79"/>
      <c r="Q17" s="79"/>
      <c r="R17" s="79"/>
      <c r="S17" s="79"/>
      <c r="T17" s="79"/>
      <c r="U17" s="79"/>
      <c r="V17" s="79"/>
      <c r="W17" s="79"/>
      <c r="X17" s="79"/>
      <c r="Y17" s="79"/>
      <c r="Z17" s="79"/>
    </row>
    <row r="18">
      <c r="A18" s="79" t="s">
        <v>856</v>
      </c>
      <c r="B18" s="975" t="s">
        <v>698</v>
      </c>
      <c r="C18" s="975" t="s">
        <v>698</v>
      </c>
      <c r="D18" s="975">
        <v>0.6623851492005663</v>
      </c>
      <c r="E18" s="975">
        <f t="shared" si="2"/>
        <v>0.6623851492</v>
      </c>
      <c r="F18" s="79"/>
      <c r="G18" s="978">
        <v>3.0</v>
      </c>
      <c r="H18" s="978" t="s">
        <v>853</v>
      </c>
      <c r="I18" s="79"/>
      <c r="J18" s="79"/>
      <c r="K18" s="79"/>
      <c r="L18" s="79"/>
      <c r="M18" s="79"/>
      <c r="N18" s="79"/>
      <c r="O18" s="79"/>
      <c r="P18" s="79"/>
      <c r="Q18" s="79"/>
      <c r="R18" s="79"/>
      <c r="S18" s="79"/>
      <c r="T18" s="79"/>
      <c r="U18" s="79"/>
      <c r="V18" s="79"/>
      <c r="W18" s="79"/>
      <c r="X18" s="79"/>
      <c r="Y18" s="79"/>
      <c r="Z18" s="79"/>
    </row>
    <row r="19">
      <c r="A19" s="333"/>
    </row>
    <row r="20">
      <c r="A20" s="333" t="s">
        <v>818</v>
      </c>
    </row>
    <row r="21">
      <c r="A21" s="5" t="s">
        <v>857</v>
      </c>
    </row>
    <row r="25">
      <c r="A25" s="965"/>
      <c r="B25" s="965"/>
      <c r="C25" s="965"/>
      <c r="D25" s="965"/>
      <c r="E25" s="965"/>
      <c r="F25" s="965"/>
      <c r="G25" s="965"/>
      <c r="H25" s="965"/>
      <c r="I25" s="965"/>
      <c r="J25" s="965"/>
      <c r="K25" s="965"/>
      <c r="L25" s="965"/>
      <c r="M25" s="965"/>
      <c r="N25" s="965"/>
      <c r="O25" s="965"/>
      <c r="P25" s="965"/>
      <c r="Q25" s="965"/>
      <c r="R25" s="965"/>
      <c r="S25" s="965"/>
      <c r="T25" s="965"/>
      <c r="U25" s="965"/>
      <c r="V25" s="965"/>
      <c r="W25" s="965"/>
      <c r="X25" s="965"/>
      <c r="Y25" s="965"/>
      <c r="Z25" s="965"/>
    </row>
    <row r="26">
      <c r="A26" s="965"/>
      <c r="B26" s="965"/>
      <c r="C26" s="965"/>
      <c r="D26" s="965"/>
      <c r="E26" s="965"/>
      <c r="F26" s="965"/>
      <c r="G26" s="965"/>
      <c r="H26" s="965"/>
      <c r="I26" s="965"/>
      <c r="J26" s="965"/>
      <c r="K26" s="965"/>
      <c r="L26" s="965"/>
      <c r="M26" s="965"/>
      <c r="N26" s="965"/>
      <c r="O26" s="965"/>
      <c r="P26" s="965"/>
      <c r="Q26" s="965"/>
      <c r="R26" s="965"/>
      <c r="S26" s="965"/>
      <c r="T26" s="965"/>
      <c r="U26" s="965"/>
      <c r="V26" s="965"/>
      <c r="W26" s="965"/>
      <c r="X26" s="965"/>
      <c r="Y26" s="965"/>
      <c r="Z26" s="965"/>
    </row>
    <row r="27">
      <c r="A27" s="965"/>
      <c r="B27" s="965"/>
      <c r="C27" s="965"/>
      <c r="D27" s="965"/>
      <c r="E27" s="965"/>
      <c r="F27" s="965"/>
      <c r="G27" s="965"/>
      <c r="H27" s="965"/>
      <c r="I27" s="965"/>
      <c r="J27" s="965"/>
      <c r="K27" s="965"/>
      <c r="L27" s="965"/>
      <c r="M27" s="965"/>
      <c r="N27" s="965"/>
      <c r="O27" s="965"/>
      <c r="P27" s="965"/>
      <c r="Q27" s="965"/>
      <c r="R27" s="965"/>
      <c r="S27" s="965"/>
      <c r="T27" s="965"/>
      <c r="U27" s="965"/>
      <c r="V27" s="965"/>
      <c r="W27" s="965"/>
      <c r="X27" s="965"/>
      <c r="Y27" s="965"/>
      <c r="Z27" s="965"/>
    </row>
    <row r="28">
      <c r="A28" s="965"/>
      <c r="B28" s="965"/>
      <c r="C28" s="965"/>
      <c r="D28" s="965"/>
      <c r="E28" s="965"/>
      <c r="F28" s="965"/>
      <c r="G28" s="965"/>
      <c r="H28" s="965"/>
      <c r="I28" s="965"/>
      <c r="J28" s="965"/>
      <c r="K28" s="965"/>
      <c r="L28" s="965"/>
      <c r="M28" s="965"/>
      <c r="N28" s="965"/>
      <c r="O28" s="965"/>
      <c r="P28" s="965"/>
      <c r="Q28" s="965"/>
      <c r="R28" s="965"/>
      <c r="S28" s="965"/>
      <c r="T28" s="965"/>
      <c r="U28" s="965"/>
      <c r="V28" s="965"/>
      <c r="W28" s="965"/>
      <c r="X28" s="965"/>
      <c r="Y28" s="965"/>
      <c r="Z28" s="965"/>
    </row>
    <row r="29">
      <c r="A29" s="965"/>
      <c r="B29" s="965"/>
      <c r="C29" s="965"/>
      <c r="D29" s="965"/>
      <c r="E29" s="965"/>
      <c r="F29" s="965"/>
      <c r="G29" s="965"/>
      <c r="H29" s="965"/>
      <c r="I29" s="965"/>
      <c r="J29" s="965"/>
      <c r="K29" s="965"/>
      <c r="L29" s="965"/>
      <c r="M29" s="965"/>
      <c r="N29" s="965"/>
      <c r="O29" s="965"/>
      <c r="P29" s="965"/>
      <c r="Q29" s="965"/>
      <c r="R29" s="965"/>
      <c r="S29" s="965"/>
      <c r="T29" s="965"/>
      <c r="U29" s="965"/>
      <c r="V29" s="965"/>
      <c r="W29" s="965"/>
      <c r="X29" s="965"/>
      <c r="Y29" s="965"/>
      <c r="Z29" s="965"/>
    </row>
    <row r="30">
      <c r="A30" s="965"/>
      <c r="B30" s="965"/>
      <c r="C30" s="965"/>
      <c r="D30" s="965"/>
      <c r="E30" s="965"/>
      <c r="F30" s="965"/>
      <c r="G30" s="965"/>
      <c r="H30" s="965"/>
      <c r="I30" s="965"/>
      <c r="J30" s="965"/>
      <c r="K30" s="965"/>
      <c r="L30" s="965"/>
      <c r="M30" s="965"/>
      <c r="N30" s="965"/>
      <c r="O30" s="965"/>
      <c r="P30" s="965"/>
      <c r="Q30" s="965"/>
      <c r="R30" s="965"/>
      <c r="S30" s="965"/>
      <c r="T30" s="965"/>
      <c r="U30" s="965"/>
      <c r="V30" s="965"/>
      <c r="W30" s="965"/>
      <c r="X30" s="965"/>
      <c r="Y30" s="965"/>
      <c r="Z30" s="965"/>
    </row>
    <row r="31">
      <c r="A31" s="965"/>
      <c r="B31" s="965"/>
      <c r="C31" s="965"/>
      <c r="D31" s="965"/>
      <c r="E31" s="965"/>
      <c r="F31" s="965"/>
      <c r="G31" s="965"/>
      <c r="H31" s="965"/>
      <c r="I31" s="965"/>
      <c r="J31" s="965"/>
      <c r="K31" s="965"/>
      <c r="L31" s="965"/>
      <c r="M31" s="965"/>
      <c r="N31" s="965"/>
      <c r="O31" s="965"/>
      <c r="P31" s="965"/>
      <c r="Q31" s="965"/>
      <c r="R31" s="965"/>
      <c r="S31" s="965"/>
      <c r="T31" s="965"/>
      <c r="U31" s="965"/>
      <c r="V31" s="965"/>
      <c r="W31" s="965"/>
      <c r="X31" s="965"/>
      <c r="Y31" s="965"/>
      <c r="Z31" s="965"/>
    </row>
    <row r="32">
      <c r="A32" s="965"/>
      <c r="B32" s="965"/>
      <c r="C32" s="965"/>
      <c r="D32" s="965"/>
      <c r="E32" s="965"/>
      <c r="F32" s="965"/>
      <c r="G32" s="965"/>
      <c r="H32" s="965"/>
      <c r="I32" s="965"/>
      <c r="J32" s="965"/>
      <c r="K32" s="965"/>
      <c r="L32" s="965"/>
      <c r="M32" s="965"/>
      <c r="N32" s="965"/>
      <c r="O32" s="965"/>
      <c r="P32" s="965"/>
      <c r="Q32" s="965"/>
      <c r="R32" s="965"/>
      <c r="S32" s="965"/>
      <c r="T32" s="965"/>
      <c r="U32" s="965"/>
      <c r="V32" s="965"/>
      <c r="W32" s="965"/>
      <c r="X32" s="965"/>
      <c r="Y32" s="965"/>
      <c r="Z32" s="965"/>
    </row>
    <row r="33">
      <c r="A33" s="965"/>
      <c r="B33" s="965"/>
      <c r="C33" s="965"/>
      <c r="D33" s="965"/>
      <c r="E33" s="965"/>
      <c r="F33" s="965"/>
      <c r="G33" s="965"/>
      <c r="H33" s="965"/>
      <c r="I33" s="965"/>
      <c r="J33" s="965"/>
      <c r="K33" s="965"/>
      <c r="L33" s="965"/>
      <c r="M33" s="965"/>
      <c r="N33" s="965"/>
      <c r="O33" s="965"/>
      <c r="P33" s="965"/>
      <c r="Q33" s="965"/>
      <c r="R33" s="965"/>
      <c r="S33" s="965"/>
      <c r="T33" s="965"/>
      <c r="U33" s="965"/>
      <c r="V33" s="965"/>
      <c r="W33" s="965"/>
      <c r="X33" s="965"/>
      <c r="Y33" s="965"/>
      <c r="Z33" s="965"/>
    </row>
    <row r="34">
      <c r="A34" s="965"/>
      <c r="B34" s="965"/>
      <c r="C34" s="965"/>
      <c r="D34" s="965"/>
      <c r="E34" s="965"/>
      <c r="F34" s="965"/>
      <c r="G34" s="965"/>
      <c r="H34" s="965"/>
      <c r="I34" s="965"/>
      <c r="J34" s="965"/>
      <c r="K34" s="965"/>
      <c r="L34" s="965"/>
      <c r="M34" s="965"/>
      <c r="N34" s="965"/>
      <c r="O34" s="965"/>
      <c r="P34" s="965"/>
      <c r="Q34" s="965"/>
      <c r="R34" s="965"/>
      <c r="S34" s="965"/>
      <c r="T34" s="965"/>
      <c r="U34" s="965"/>
      <c r="V34" s="965"/>
      <c r="W34" s="965"/>
      <c r="X34" s="965"/>
      <c r="Y34" s="965"/>
      <c r="Z34" s="965"/>
    </row>
    <row r="35">
      <c r="A35" s="965"/>
      <c r="B35" s="965"/>
      <c r="C35" s="965"/>
      <c r="D35" s="965"/>
      <c r="E35" s="965"/>
      <c r="F35" s="965"/>
      <c r="G35" s="965"/>
      <c r="H35" s="965"/>
      <c r="I35" s="965"/>
      <c r="J35" s="965"/>
      <c r="K35" s="965"/>
      <c r="L35" s="965"/>
      <c r="M35" s="965"/>
      <c r="N35" s="965"/>
      <c r="O35" s="965"/>
      <c r="P35" s="965"/>
      <c r="Q35" s="965"/>
      <c r="R35" s="965"/>
      <c r="S35" s="965"/>
      <c r="T35" s="965"/>
      <c r="U35" s="965"/>
      <c r="V35" s="965"/>
      <c r="W35" s="965"/>
      <c r="X35" s="965"/>
      <c r="Y35" s="965"/>
      <c r="Z35" s="965"/>
    </row>
    <row r="36">
      <c r="A36" s="965"/>
      <c r="B36" s="965"/>
      <c r="C36" s="965"/>
      <c r="D36" s="965"/>
      <c r="E36" s="965"/>
      <c r="F36" s="965"/>
      <c r="G36" s="965"/>
      <c r="H36" s="965"/>
      <c r="I36" s="965"/>
      <c r="J36" s="965"/>
      <c r="K36" s="965"/>
      <c r="L36" s="965"/>
      <c r="M36" s="965"/>
      <c r="N36" s="965"/>
      <c r="O36" s="965"/>
      <c r="P36" s="965"/>
      <c r="Q36" s="965"/>
      <c r="R36" s="965"/>
      <c r="S36" s="965"/>
      <c r="T36" s="965"/>
      <c r="U36" s="965"/>
      <c r="V36" s="965"/>
      <c r="W36" s="965"/>
      <c r="X36" s="965"/>
      <c r="Y36" s="965"/>
      <c r="Z36" s="965"/>
    </row>
    <row r="37">
      <c r="A37" s="965"/>
      <c r="B37" s="965"/>
      <c r="C37" s="965"/>
      <c r="D37" s="965"/>
      <c r="E37" s="965"/>
      <c r="F37" s="965"/>
      <c r="G37" s="965"/>
      <c r="H37" s="965"/>
      <c r="I37" s="965"/>
      <c r="J37" s="965"/>
      <c r="K37" s="965"/>
      <c r="L37" s="965"/>
      <c r="M37" s="965"/>
      <c r="N37" s="965"/>
      <c r="O37" s="965"/>
      <c r="P37" s="965"/>
      <c r="Q37" s="965"/>
      <c r="R37" s="965"/>
      <c r="S37" s="965"/>
      <c r="T37" s="965"/>
      <c r="U37" s="965"/>
      <c r="V37" s="965"/>
      <c r="W37" s="965"/>
      <c r="X37" s="965"/>
      <c r="Y37" s="965"/>
      <c r="Z37" s="965"/>
    </row>
    <row r="38">
      <c r="A38" s="965"/>
      <c r="B38" s="965"/>
      <c r="C38" s="965"/>
      <c r="D38" s="965"/>
      <c r="E38" s="965"/>
      <c r="F38" s="965"/>
      <c r="G38" s="965"/>
      <c r="H38" s="965"/>
      <c r="I38" s="965"/>
      <c r="J38" s="965"/>
      <c r="K38" s="965"/>
      <c r="L38" s="965"/>
      <c r="M38" s="965"/>
      <c r="N38" s="965"/>
      <c r="O38" s="965"/>
      <c r="P38" s="965"/>
      <c r="Q38" s="965"/>
      <c r="R38" s="965"/>
      <c r="S38" s="965"/>
      <c r="T38" s="965"/>
      <c r="U38" s="965"/>
      <c r="V38" s="965"/>
      <c r="W38" s="965"/>
      <c r="X38" s="965"/>
      <c r="Y38" s="965"/>
      <c r="Z38" s="965"/>
    </row>
    <row r="39">
      <c r="A39" s="965"/>
      <c r="B39" s="965"/>
      <c r="C39" s="965"/>
      <c r="D39" s="965"/>
      <c r="E39" s="965"/>
      <c r="F39" s="965"/>
      <c r="G39" s="965"/>
      <c r="H39" s="965"/>
      <c r="I39" s="965"/>
      <c r="J39" s="965"/>
      <c r="K39" s="965"/>
      <c r="L39" s="965"/>
      <c r="M39" s="965"/>
      <c r="N39" s="965"/>
      <c r="O39" s="965"/>
      <c r="P39" s="965"/>
      <c r="Q39" s="965"/>
      <c r="R39" s="965"/>
      <c r="S39" s="965"/>
      <c r="T39" s="965"/>
      <c r="U39" s="965"/>
      <c r="V39" s="965"/>
      <c r="W39" s="965"/>
      <c r="X39" s="965"/>
      <c r="Y39" s="965"/>
      <c r="Z39" s="965"/>
    </row>
    <row r="40">
      <c r="A40" s="965"/>
      <c r="B40" s="965"/>
      <c r="C40" s="965"/>
      <c r="D40" s="965"/>
      <c r="E40" s="965"/>
      <c r="F40" s="965"/>
      <c r="G40" s="965"/>
      <c r="H40" s="965"/>
      <c r="I40" s="965"/>
      <c r="J40" s="965"/>
      <c r="K40" s="965"/>
      <c r="L40" s="965"/>
      <c r="M40" s="965"/>
      <c r="N40" s="965"/>
      <c r="O40" s="965"/>
      <c r="P40" s="965"/>
      <c r="Q40" s="965"/>
      <c r="R40" s="965"/>
      <c r="S40" s="965"/>
      <c r="T40" s="965"/>
      <c r="U40" s="965"/>
      <c r="V40" s="965"/>
      <c r="W40" s="965"/>
      <c r="X40" s="965"/>
      <c r="Y40" s="965"/>
      <c r="Z40" s="965"/>
    </row>
    <row r="41">
      <c r="A41" s="965"/>
      <c r="B41" s="965"/>
      <c r="C41" s="965"/>
      <c r="D41" s="965"/>
      <c r="E41" s="965"/>
      <c r="F41" s="965"/>
      <c r="G41" s="965"/>
      <c r="H41" s="965"/>
      <c r="I41" s="965"/>
      <c r="J41" s="965"/>
      <c r="K41" s="965"/>
      <c r="L41" s="965"/>
      <c r="M41" s="965"/>
      <c r="N41" s="965"/>
      <c r="O41" s="965"/>
      <c r="P41" s="965"/>
      <c r="Q41" s="965"/>
      <c r="R41" s="965"/>
      <c r="S41" s="965"/>
      <c r="T41" s="965"/>
      <c r="U41" s="965"/>
      <c r="V41" s="965"/>
      <c r="W41" s="965"/>
      <c r="X41" s="965"/>
      <c r="Y41" s="965"/>
      <c r="Z41" s="965"/>
    </row>
    <row r="42">
      <c r="A42" s="965"/>
      <c r="B42" s="965"/>
      <c r="C42" s="965"/>
      <c r="D42" s="965"/>
      <c r="E42" s="965"/>
      <c r="F42" s="965"/>
      <c r="G42" s="965"/>
      <c r="H42" s="965"/>
      <c r="I42" s="965"/>
      <c r="J42" s="965"/>
      <c r="K42" s="965"/>
      <c r="L42" s="965"/>
      <c r="M42" s="965"/>
      <c r="N42" s="965"/>
      <c r="O42" s="965"/>
      <c r="P42" s="965"/>
      <c r="Q42" s="965"/>
      <c r="R42" s="965"/>
      <c r="S42" s="965"/>
      <c r="T42" s="965"/>
      <c r="U42" s="965"/>
      <c r="V42" s="965"/>
      <c r="W42" s="965"/>
      <c r="X42" s="965"/>
      <c r="Y42" s="965"/>
      <c r="Z42" s="965"/>
    </row>
    <row r="43">
      <c r="A43" s="965"/>
      <c r="B43" s="965"/>
      <c r="C43" s="965"/>
      <c r="D43" s="965"/>
      <c r="E43" s="965"/>
      <c r="F43" s="965"/>
      <c r="G43" s="965"/>
      <c r="H43" s="965"/>
      <c r="I43" s="965"/>
      <c r="J43" s="965"/>
      <c r="K43" s="965"/>
      <c r="L43" s="965"/>
      <c r="M43" s="965"/>
      <c r="N43" s="965"/>
      <c r="O43" s="965"/>
      <c r="P43" s="965"/>
      <c r="Q43" s="965"/>
      <c r="R43" s="965"/>
      <c r="S43" s="965"/>
      <c r="T43" s="965"/>
      <c r="U43" s="965"/>
      <c r="V43" s="965"/>
      <c r="W43" s="965"/>
      <c r="X43" s="965"/>
      <c r="Y43" s="965"/>
      <c r="Z43" s="965"/>
    </row>
    <row r="44">
      <c r="A44" s="965"/>
      <c r="B44" s="965"/>
      <c r="C44" s="965"/>
      <c r="D44" s="965"/>
      <c r="E44" s="965"/>
      <c r="F44" s="965"/>
      <c r="G44" s="965"/>
      <c r="H44" s="965"/>
      <c r="I44" s="965"/>
      <c r="J44" s="965"/>
      <c r="K44" s="965"/>
      <c r="L44" s="965"/>
      <c r="M44" s="965"/>
      <c r="N44" s="965"/>
      <c r="O44" s="965"/>
      <c r="P44" s="965"/>
      <c r="Q44" s="965"/>
      <c r="R44" s="965"/>
      <c r="S44" s="965"/>
      <c r="T44" s="965"/>
      <c r="U44" s="965"/>
      <c r="V44" s="965"/>
      <c r="W44" s="965"/>
      <c r="X44" s="965"/>
      <c r="Y44" s="965"/>
      <c r="Z44" s="965"/>
    </row>
    <row r="45">
      <c r="A45" s="965"/>
      <c r="B45" s="965"/>
      <c r="C45" s="965"/>
      <c r="D45" s="965"/>
      <c r="E45" s="965"/>
      <c r="F45" s="965"/>
      <c r="G45" s="965"/>
      <c r="H45" s="965"/>
      <c r="I45" s="965"/>
      <c r="J45" s="965"/>
      <c r="K45" s="965"/>
      <c r="L45" s="965"/>
      <c r="M45" s="965"/>
      <c r="N45" s="965"/>
      <c r="O45" s="965"/>
      <c r="P45" s="965"/>
      <c r="Q45" s="965"/>
      <c r="R45" s="965"/>
      <c r="S45" s="965"/>
      <c r="T45" s="965"/>
      <c r="U45" s="965"/>
      <c r="V45" s="965"/>
      <c r="W45" s="965"/>
      <c r="X45" s="965"/>
      <c r="Y45" s="965"/>
      <c r="Z45" s="965"/>
    </row>
    <row r="46">
      <c r="A46" s="965"/>
      <c r="B46" s="965"/>
      <c r="C46" s="965"/>
      <c r="D46" s="965"/>
      <c r="E46" s="965"/>
      <c r="F46" s="965"/>
      <c r="G46" s="965"/>
      <c r="H46" s="965"/>
      <c r="I46" s="965"/>
      <c r="J46" s="965"/>
      <c r="K46" s="965"/>
      <c r="L46" s="965"/>
      <c r="M46" s="965"/>
      <c r="N46" s="965"/>
      <c r="O46" s="965"/>
      <c r="P46" s="965"/>
      <c r="Q46" s="965"/>
      <c r="R46" s="965"/>
      <c r="S46" s="965"/>
      <c r="T46" s="965"/>
      <c r="U46" s="965"/>
      <c r="V46" s="965"/>
      <c r="W46" s="965"/>
      <c r="X46" s="965"/>
      <c r="Y46" s="965"/>
      <c r="Z46" s="965"/>
    </row>
    <row r="47">
      <c r="A47" s="965"/>
      <c r="B47" s="965"/>
      <c r="C47" s="965"/>
      <c r="D47" s="965"/>
      <c r="E47" s="965"/>
      <c r="F47" s="965"/>
      <c r="G47" s="965"/>
      <c r="H47" s="965"/>
      <c r="I47" s="965"/>
      <c r="J47" s="965"/>
      <c r="K47" s="965"/>
      <c r="L47" s="965"/>
      <c r="M47" s="965"/>
      <c r="N47" s="965"/>
      <c r="O47" s="965"/>
      <c r="P47" s="965"/>
      <c r="Q47" s="965"/>
      <c r="R47" s="965"/>
      <c r="S47" s="965"/>
      <c r="T47" s="965"/>
      <c r="U47" s="965"/>
      <c r="V47" s="965"/>
      <c r="W47" s="965"/>
      <c r="X47" s="965"/>
      <c r="Y47" s="965"/>
      <c r="Z47" s="965"/>
    </row>
    <row r="48">
      <c r="A48" s="965"/>
      <c r="B48" s="965"/>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row>
    <row r="49">
      <c r="A49" s="965"/>
      <c r="B49" s="965"/>
      <c r="C49" s="965"/>
      <c r="D49" s="965"/>
      <c r="E49" s="965"/>
      <c r="F49" s="965"/>
      <c r="G49" s="965"/>
      <c r="H49" s="965"/>
      <c r="I49" s="965"/>
      <c r="J49" s="965"/>
      <c r="K49" s="965"/>
      <c r="L49" s="965"/>
      <c r="M49" s="965"/>
      <c r="N49" s="965"/>
      <c r="O49" s="965"/>
      <c r="P49" s="965"/>
      <c r="Q49" s="965"/>
      <c r="R49" s="965"/>
      <c r="S49" s="965"/>
      <c r="T49" s="965"/>
      <c r="U49" s="965"/>
      <c r="V49" s="965"/>
      <c r="W49" s="965"/>
      <c r="X49" s="965"/>
      <c r="Y49" s="965"/>
      <c r="Z49" s="965"/>
    </row>
    <row r="50">
      <c r="A50" s="965"/>
      <c r="B50" s="965"/>
      <c r="C50" s="965"/>
      <c r="D50" s="965"/>
      <c r="E50" s="965"/>
      <c r="F50" s="965"/>
      <c r="G50" s="965"/>
      <c r="H50" s="965"/>
      <c r="I50" s="965"/>
      <c r="J50" s="965"/>
      <c r="K50" s="965"/>
      <c r="L50" s="965"/>
      <c r="M50" s="965"/>
      <c r="N50" s="965"/>
      <c r="O50" s="965"/>
      <c r="P50" s="965"/>
      <c r="Q50" s="965"/>
      <c r="R50" s="965"/>
      <c r="S50" s="965"/>
      <c r="T50" s="965"/>
      <c r="U50" s="965"/>
      <c r="V50" s="965"/>
      <c r="W50" s="965"/>
      <c r="X50" s="965"/>
      <c r="Y50" s="965"/>
      <c r="Z50" s="965"/>
    </row>
    <row r="51">
      <c r="A51" s="965"/>
      <c r="B51" s="965"/>
      <c r="C51" s="965"/>
      <c r="D51" s="965"/>
      <c r="E51" s="965"/>
      <c r="F51" s="965"/>
      <c r="G51" s="965"/>
      <c r="H51" s="965"/>
      <c r="I51" s="965"/>
      <c r="J51" s="965"/>
      <c r="K51" s="965"/>
      <c r="L51" s="965"/>
      <c r="M51" s="965"/>
      <c r="N51" s="965"/>
      <c r="O51" s="965"/>
      <c r="P51" s="965"/>
      <c r="Q51" s="965"/>
      <c r="R51" s="965"/>
      <c r="S51" s="965"/>
      <c r="T51" s="965"/>
      <c r="U51" s="965"/>
      <c r="V51" s="965"/>
      <c r="W51" s="965"/>
      <c r="X51" s="965"/>
      <c r="Y51" s="965"/>
      <c r="Z51" s="965"/>
    </row>
    <row r="52">
      <c r="A52" s="965"/>
      <c r="B52" s="965"/>
      <c r="C52" s="965"/>
      <c r="D52" s="965"/>
      <c r="E52" s="965"/>
      <c r="F52" s="965"/>
      <c r="G52" s="965"/>
      <c r="H52" s="965"/>
      <c r="I52" s="965"/>
      <c r="J52" s="965"/>
      <c r="K52" s="965"/>
      <c r="L52" s="965"/>
      <c r="M52" s="965"/>
      <c r="N52" s="965"/>
      <c r="O52" s="965"/>
      <c r="P52" s="965"/>
      <c r="Q52" s="965"/>
      <c r="R52" s="965"/>
      <c r="S52" s="965"/>
      <c r="T52" s="965"/>
      <c r="U52" s="965"/>
      <c r="V52" s="965"/>
      <c r="W52" s="965"/>
      <c r="X52" s="965"/>
      <c r="Y52" s="965"/>
      <c r="Z52" s="965"/>
    </row>
    <row r="53">
      <c r="A53" s="965"/>
      <c r="B53" s="965"/>
      <c r="C53" s="965"/>
      <c r="D53" s="965"/>
      <c r="E53" s="965"/>
      <c r="F53" s="965"/>
      <c r="G53" s="965"/>
      <c r="H53" s="965"/>
      <c r="I53" s="965"/>
      <c r="J53" s="965"/>
      <c r="K53" s="965"/>
      <c r="L53" s="965"/>
      <c r="M53" s="965"/>
      <c r="N53" s="965"/>
      <c r="O53" s="965"/>
      <c r="P53" s="965"/>
      <c r="Q53" s="965"/>
      <c r="R53" s="965"/>
      <c r="S53" s="965"/>
      <c r="T53" s="965"/>
      <c r="U53" s="965"/>
      <c r="V53" s="965"/>
      <c r="W53" s="965"/>
      <c r="X53" s="965"/>
      <c r="Y53" s="965"/>
      <c r="Z53" s="965"/>
    </row>
    <row r="54">
      <c r="A54" s="965"/>
      <c r="B54" s="965"/>
      <c r="C54" s="965"/>
      <c r="D54" s="965"/>
      <c r="E54" s="965"/>
      <c r="F54" s="965"/>
      <c r="G54" s="965"/>
      <c r="H54" s="965"/>
      <c r="I54" s="965"/>
      <c r="J54" s="965"/>
      <c r="K54" s="965"/>
      <c r="L54" s="965"/>
      <c r="M54" s="965"/>
      <c r="N54" s="965"/>
      <c r="O54" s="965"/>
      <c r="P54" s="965"/>
      <c r="Q54" s="965"/>
      <c r="R54" s="965"/>
      <c r="S54" s="965"/>
      <c r="T54" s="965"/>
      <c r="U54" s="965"/>
      <c r="V54" s="965"/>
      <c r="W54" s="965"/>
      <c r="X54" s="965"/>
      <c r="Y54" s="965"/>
      <c r="Z54" s="965"/>
    </row>
    <row r="55">
      <c r="A55" s="965"/>
      <c r="B55" s="965"/>
      <c r="C55" s="965"/>
      <c r="D55" s="965"/>
      <c r="E55" s="965"/>
      <c r="F55" s="965"/>
      <c r="G55" s="965"/>
      <c r="H55" s="965"/>
      <c r="I55" s="965"/>
      <c r="J55" s="965"/>
      <c r="K55" s="965"/>
      <c r="L55" s="965"/>
      <c r="M55" s="965"/>
      <c r="N55" s="965"/>
      <c r="O55" s="965"/>
      <c r="P55" s="965"/>
      <c r="Q55" s="965"/>
      <c r="R55" s="965"/>
      <c r="S55" s="965"/>
      <c r="T55" s="965"/>
      <c r="U55" s="965"/>
      <c r="V55" s="965"/>
      <c r="W55" s="965"/>
      <c r="X55" s="965"/>
      <c r="Y55" s="965"/>
      <c r="Z55" s="965"/>
    </row>
    <row r="56">
      <c r="A56" s="965"/>
      <c r="B56" s="965"/>
      <c r="C56" s="965"/>
      <c r="D56" s="965"/>
      <c r="E56" s="965"/>
      <c r="F56" s="965"/>
      <c r="G56" s="965"/>
      <c r="H56" s="965"/>
      <c r="I56" s="965"/>
      <c r="J56" s="965"/>
      <c r="K56" s="965"/>
      <c r="L56" s="965"/>
      <c r="M56" s="965"/>
      <c r="N56" s="965"/>
      <c r="O56" s="965"/>
      <c r="P56" s="965"/>
      <c r="Q56" s="965"/>
      <c r="R56" s="965"/>
      <c r="S56" s="965"/>
      <c r="T56" s="965"/>
      <c r="U56" s="965"/>
      <c r="V56" s="965"/>
      <c r="W56" s="965"/>
      <c r="X56" s="965"/>
      <c r="Y56" s="965"/>
      <c r="Z56" s="965"/>
    </row>
    <row r="57">
      <c r="A57" s="965"/>
      <c r="B57" s="965"/>
      <c r="C57" s="965"/>
      <c r="D57" s="965"/>
      <c r="E57" s="965"/>
      <c r="F57" s="965"/>
      <c r="G57" s="965"/>
      <c r="H57" s="965"/>
      <c r="I57" s="965"/>
      <c r="J57" s="965"/>
      <c r="K57" s="965"/>
      <c r="L57" s="965"/>
      <c r="M57" s="965"/>
      <c r="N57" s="965"/>
      <c r="O57" s="965"/>
      <c r="P57" s="965"/>
      <c r="Q57" s="965"/>
      <c r="R57" s="965"/>
      <c r="S57" s="965"/>
      <c r="T57" s="965"/>
      <c r="U57" s="965"/>
      <c r="V57" s="965"/>
      <c r="W57" s="965"/>
      <c r="X57" s="965"/>
      <c r="Y57" s="965"/>
      <c r="Z57" s="965"/>
    </row>
    <row r="58">
      <c r="A58" s="965"/>
      <c r="B58" s="965"/>
      <c r="C58" s="965"/>
      <c r="D58" s="965"/>
      <c r="E58" s="965"/>
      <c r="F58" s="965"/>
      <c r="G58" s="965"/>
      <c r="H58" s="965"/>
      <c r="I58" s="965"/>
      <c r="J58" s="965"/>
      <c r="K58" s="965"/>
      <c r="L58" s="965"/>
      <c r="M58" s="965"/>
      <c r="N58" s="965"/>
      <c r="O58" s="965"/>
      <c r="P58" s="965"/>
      <c r="Q58" s="965"/>
      <c r="R58" s="965"/>
      <c r="S58" s="965"/>
      <c r="T58" s="965"/>
      <c r="U58" s="965"/>
      <c r="V58" s="965"/>
      <c r="W58" s="965"/>
      <c r="X58" s="965"/>
      <c r="Y58" s="965"/>
      <c r="Z58" s="965"/>
    </row>
    <row r="59">
      <c r="A59" s="965"/>
      <c r="B59" s="965"/>
      <c r="C59" s="965"/>
      <c r="D59" s="965"/>
      <c r="E59" s="965"/>
      <c r="F59" s="965"/>
      <c r="G59" s="965"/>
      <c r="H59" s="965"/>
      <c r="I59" s="965"/>
      <c r="J59" s="965"/>
      <c r="K59" s="965"/>
      <c r="L59" s="965"/>
      <c r="M59" s="965"/>
      <c r="N59" s="965"/>
      <c r="O59" s="965"/>
      <c r="P59" s="965"/>
      <c r="Q59" s="965"/>
      <c r="R59" s="965"/>
      <c r="S59" s="965"/>
      <c r="T59" s="965"/>
      <c r="U59" s="965"/>
      <c r="V59" s="965"/>
      <c r="W59" s="965"/>
      <c r="X59" s="965"/>
      <c r="Y59" s="965"/>
      <c r="Z59" s="965"/>
    </row>
    <row r="60">
      <c r="A60" s="965"/>
      <c r="B60" s="965"/>
      <c r="C60" s="965"/>
      <c r="D60" s="965"/>
      <c r="E60" s="965"/>
      <c r="F60" s="965"/>
      <c r="G60" s="965"/>
      <c r="H60" s="965"/>
      <c r="I60" s="965"/>
      <c r="J60" s="965"/>
      <c r="K60" s="965"/>
      <c r="L60" s="965"/>
      <c r="M60" s="965"/>
      <c r="N60" s="965"/>
      <c r="O60" s="965"/>
      <c r="P60" s="965"/>
      <c r="Q60" s="965"/>
      <c r="R60" s="965"/>
      <c r="S60" s="965"/>
      <c r="T60" s="965"/>
      <c r="U60" s="965"/>
      <c r="V60" s="965"/>
      <c r="W60" s="965"/>
      <c r="X60" s="965"/>
      <c r="Y60" s="965"/>
      <c r="Z60" s="965"/>
    </row>
    <row r="61">
      <c r="A61" s="965"/>
      <c r="B61" s="965"/>
      <c r="C61" s="965"/>
      <c r="D61" s="965"/>
      <c r="E61" s="965"/>
      <c r="F61" s="965"/>
      <c r="G61" s="965"/>
      <c r="H61" s="965"/>
      <c r="I61" s="965"/>
      <c r="J61" s="965"/>
      <c r="K61" s="965"/>
      <c r="L61" s="965"/>
      <c r="M61" s="965"/>
      <c r="N61" s="965"/>
      <c r="O61" s="965"/>
      <c r="P61" s="965"/>
      <c r="Q61" s="965"/>
      <c r="R61" s="965"/>
      <c r="S61" s="965"/>
      <c r="T61" s="965"/>
      <c r="U61" s="965"/>
      <c r="V61" s="965"/>
      <c r="W61" s="965"/>
      <c r="X61" s="965"/>
      <c r="Y61" s="965"/>
      <c r="Z61" s="965"/>
    </row>
    <row r="62">
      <c r="A62" s="965"/>
      <c r="B62" s="965"/>
      <c r="C62" s="965"/>
      <c r="D62" s="965"/>
      <c r="E62" s="965"/>
      <c r="F62" s="965"/>
      <c r="G62" s="965"/>
      <c r="H62" s="965"/>
      <c r="I62" s="965"/>
      <c r="J62" s="965"/>
      <c r="K62" s="965"/>
      <c r="L62" s="965"/>
      <c r="M62" s="965"/>
      <c r="N62" s="965"/>
      <c r="O62" s="965"/>
      <c r="P62" s="965"/>
      <c r="Q62" s="965"/>
      <c r="R62" s="965"/>
      <c r="S62" s="965"/>
      <c r="T62" s="965"/>
      <c r="U62" s="965"/>
      <c r="V62" s="965"/>
      <c r="W62" s="965"/>
      <c r="X62" s="965"/>
      <c r="Y62" s="965"/>
      <c r="Z62" s="965"/>
    </row>
    <row r="63">
      <c r="A63" s="965"/>
      <c r="B63" s="965"/>
      <c r="C63" s="965"/>
      <c r="D63" s="965"/>
      <c r="E63" s="965"/>
      <c r="F63" s="965"/>
      <c r="G63" s="965"/>
      <c r="H63" s="965"/>
      <c r="I63" s="965"/>
      <c r="J63" s="965"/>
      <c r="K63" s="965"/>
      <c r="L63" s="965"/>
      <c r="M63" s="965"/>
      <c r="N63" s="965"/>
      <c r="O63" s="965"/>
      <c r="P63" s="965"/>
      <c r="Q63" s="965"/>
      <c r="R63" s="965"/>
      <c r="S63" s="965"/>
      <c r="T63" s="965"/>
      <c r="U63" s="965"/>
      <c r="V63" s="965"/>
      <c r="W63" s="965"/>
      <c r="X63" s="965"/>
      <c r="Y63" s="965"/>
      <c r="Z63" s="965"/>
    </row>
    <row r="64">
      <c r="A64" s="965"/>
      <c r="B64" s="965"/>
      <c r="C64" s="965"/>
      <c r="D64" s="965"/>
      <c r="E64" s="965"/>
      <c r="F64" s="965"/>
      <c r="G64" s="965"/>
      <c r="H64" s="965"/>
      <c r="I64" s="965"/>
      <c r="J64" s="965"/>
      <c r="K64" s="965"/>
      <c r="L64" s="965"/>
      <c r="M64" s="965"/>
      <c r="N64" s="965"/>
      <c r="O64" s="965"/>
      <c r="P64" s="965"/>
      <c r="Q64" s="965"/>
      <c r="R64" s="965"/>
      <c r="S64" s="965"/>
      <c r="T64" s="965"/>
      <c r="U64" s="965"/>
      <c r="V64" s="965"/>
      <c r="W64" s="965"/>
      <c r="X64" s="965"/>
      <c r="Y64" s="965"/>
      <c r="Z64" s="965"/>
    </row>
    <row r="65">
      <c r="A65" s="965"/>
      <c r="B65" s="965"/>
      <c r="C65" s="965"/>
      <c r="D65" s="965"/>
      <c r="E65" s="965"/>
      <c r="F65" s="965"/>
      <c r="G65" s="965"/>
      <c r="H65" s="965"/>
      <c r="I65" s="965"/>
      <c r="J65" s="965"/>
      <c r="K65" s="965"/>
      <c r="L65" s="965"/>
      <c r="M65" s="965"/>
      <c r="N65" s="965"/>
      <c r="O65" s="965"/>
      <c r="P65" s="965"/>
      <c r="Q65" s="965"/>
      <c r="R65" s="965"/>
      <c r="S65" s="965"/>
      <c r="T65" s="965"/>
      <c r="U65" s="965"/>
      <c r="V65" s="965"/>
      <c r="W65" s="965"/>
      <c r="X65" s="965"/>
      <c r="Y65" s="965"/>
      <c r="Z65" s="965"/>
    </row>
    <row r="66">
      <c r="A66" s="965"/>
      <c r="B66" s="965"/>
      <c r="C66" s="965"/>
      <c r="D66" s="965"/>
      <c r="E66" s="965"/>
      <c r="F66" s="965"/>
      <c r="G66" s="965"/>
      <c r="H66" s="965"/>
      <c r="I66" s="965"/>
      <c r="J66" s="965"/>
      <c r="K66" s="965"/>
      <c r="L66" s="965"/>
      <c r="M66" s="965"/>
      <c r="N66" s="965"/>
      <c r="O66" s="965"/>
      <c r="P66" s="965"/>
      <c r="Q66" s="965"/>
      <c r="R66" s="965"/>
      <c r="S66" s="965"/>
      <c r="T66" s="965"/>
      <c r="U66" s="965"/>
      <c r="V66" s="965"/>
      <c r="W66" s="965"/>
      <c r="X66" s="965"/>
      <c r="Y66" s="965"/>
      <c r="Z66" s="965"/>
    </row>
    <row r="67">
      <c r="A67" s="965"/>
      <c r="B67" s="965"/>
      <c r="C67" s="965"/>
      <c r="D67" s="965"/>
      <c r="E67" s="965"/>
      <c r="F67" s="965"/>
      <c r="G67" s="965"/>
      <c r="H67" s="965"/>
      <c r="I67" s="965"/>
      <c r="J67" s="965"/>
      <c r="K67" s="965"/>
      <c r="L67" s="965"/>
      <c r="M67" s="965"/>
      <c r="N67" s="965"/>
      <c r="O67" s="965"/>
      <c r="P67" s="965"/>
      <c r="Q67" s="965"/>
      <c r="R67" s="965"/>
      <c r="S67" s="965"/>
      <c r="T67" s="965"/>
      <c r="U67" s="965"/>
      <c r="V67" s="965"/>
      <c r="W67" s="965"/>
      <c r="X67" s="965"/>
      <c r="Y67" s="965"/>
      <c r="Z67" s="965"/>
    </row>
    <row r="68">
      <c r="A68" s="965"/>
      <c r="B68" s="965"/>
      <c r="C68" s="965"/>
      <c r="D68" s="965"/>
      <c r="E68" s="965"/>
      <c r="F68" s="965"/>
      <c r="G68" s="965"/>
      <c r="H68" s="965"/>
      <c r="I68" s="965"/>
      <c r="J68" s="965"/>
      <c r="K68" s="965"/>
      <c r="L68" s="965"/>
      <c r="M68" s="965"/>
      <c r="N68" s="965"/>
      <c r="O68" s="965"/>
      <c r="P68" s="965"/>
      <c r="Q68" s="965"/>
      <c r="R68" s="965"/>
      <c r="S68" s="965"/>
      <c r="T68" s="965"/>
      <c r="U68" s="965"/>
      <c r="V68" s="965"/>
      <c r="W68" s="965"/>
      <c r="X68" s="965"/>
      <c r="Y68" s="965"/>
      <c r="Z68" s="965"/>
    </row>
    <row r="69">
      <c r="A69" s="965"/>
      <c r="B69" s="965"/>
      <c r="C69" s="965"/>
      <c r="D69" s="965"/>
      <c r="E69" s="965"/>
      <c r="F69" s="965"/>
      <c r="G69" s="965"/>
      <c r="H69" s="965"/>
      <c r="I69" s="965"/>
      <c r="J69" s="965"/>
      <c r="K69" s="965"/>
      <c r="L69" s="965"/>
      <c r="M69" s="965"/>
      <c r="N69" s="965"/>
      <c r="O69" s="965"/>
      <c r="P69" s="965"/>
      <c r="Q69" s="965"/>
      <c r="R69" s="965"/>
      <c r="S69" s="965"/>
      <c r="T69" s="965"/>
      <c r="U69" s="965"/>
      <c r="V69" s="965"/>
      <c r="W69" s="965"/>
      <c r="X69" s="965"/>
      <c r="Y69" s="965"/>
      <c r="Z69" s="965"/>
    </row>
    <row r="70">
      <c r="A70" s="965"/>
      <c r="B70" s="965"/>
      <c r="C70" s="965"/>
      <c r="D70" s="965"/>
      <c r="E70" s="965"/>
      <c r="F70" s="965"/>
      <c r="G70" s="965"/>
      <c r="H70" s="965"/>
      <c r="I70" s="965"/>
      <c r="J70" s="965"/>
      <c r="K70" s="965"/>
      <c r="L70" s="965"/>
      <c r="M70" s="965"/>
      <c r="N70" s="965"/>
      <c r="O70" s="965"/>
      <c r="P70" s="965"/>
      <c r="Q70" s="965"/>
      <c r="R70" s="965"/>
      <c r="S70" s="965"/>
      <c r="T70" s="965"/>
      <c r="U70" s="965"/>
      <c r="V70" s="965"/>
      <c r="W70" s="965"/>
      <c r="X70" s="965"/>
      <c r="Y70" s="965"/>
      <c r="Z70" s="965"/>
    </row>
    <row r="71">
      <c r="A71" s="965"/>
      <c r="B71" s="965"/>
      <c r="C71" s="965"/>
      <c r="D71" s="965"/>
      <c r="E71" s="965"/>
      <c r="F71" s="965"/>
      <c r="G71" s="965"/>
      <c r="H71" s="965"/>
      <c r="I71" s="965"/>
      <c r="J71" s="965"/>
      <c r="K71" s="965"/>
      <c r="L71" s="965"/>
      <c r="M71" s="965"/>
      <c r="N71" s="965"/>
      <c r="O71" s="965"/>
      <c r="P71" s="965"/>
      <c r="Q71" s="965"/>
      <c r="R71" s="965"/>
      <c r="S71" s="965"/>
      <c r="T71" s="965"/>
      <c r="U71" s="965"/>
      <c r="V71" s="965"/>
      <c r="W71" s="965"/>
      <c r="X71" s="965"/>
      <c r="Y71" s="965"/>
      <c r="Z71" s="965"/>
    </row>
    <row r="72">
      <c r="A72" s="965"/>
      <c r="B72" s="965"/>
      <c r="C72" s="965"/>
      <c r="D72" s="965"/>
      <c r="E72" s="965"/>
      <c r="F72" s="965"/>
      <c r="G72" s="965"/>
      <c r="H72" s="965"/>
      <c r="I72" s="965"/>
      <c r="J72" s="965"/>
      <c r="K72" s="965"/>
      <c r="L72" s="965"/>
      <c r="M72" s="965"/>
      <c r="N72" s="965"/>
      <c r="O72" s="965"/>
      <c r="P72" s="965"/>
      <c r="Q72" s="965"/>
      <c r="R72" s="965"/>
      <c r="S72" s="965"/>
      <c r="T72" s="965"/>
      <c r="U72" s="965"/>
      <c r="V72" s="965"/>
      <c r="W72" s="965"/>
      <c r="X72" s="965"/>
      <c r="Y72" s="965"/>
      <c r="Z72" s="965"/>
    </row>
    <row r="73">
      <c r="A73" s="965"/>
      <c r="B73" s="965"/>
      <c r="C73" s="965"/>
      <c r="D73" s="965"/>
      <c r="E73" s="965"/>
      <c r="F73" s="965"/>
      <c r="G73" s="965"/>
      <c r="H73" s="965"/>
      <c r="I73" s="965"/>
      <c r="J73" s="965"/>
      <c r="K73" s="965"/>
      <c r="L73" s="965"/>
      <c r="M73" s="965"/>
      <c r="N73" s="965"/>
      <c r="O73" s="965"/>
      <c r="P73" s="965"/>
      <c r="Q73" s="965"/>
      <c r="R73" s="965"/>
      <c r="S73" s="965"/>
      <c r="T73" s="965"/>
      <c r="U73" s="965"/>
      <c r="V73" s="965"/>
      <c r="W73" s="965"/>
      <c r="X73" s="965"/>
      <c r="Y73" s="965"/>
      <c r="Z73" s="965"/>
    </row>
    <row r="74">
      <c r="A74" s="965"/>
      <c r="B74" s="965"/>
      <c r="C74" s="965"/>
      <c r="D74" s="965"/>
      <c r="E74" s="965"/>
      <c r="F74" s="965"/>
      <c r="G74" s="965"/>
      <c r="H74" s="965"/>
      <c r="I74" s="965"/>
      <c r="J74" s="965"/>
      <c r="K74" s="965"/>
      <c r="L74" s="965"/>
      <c r="M74" s="965"/>
      <c r="N74" s="965"/>
      <c r="O74" s="965"/>
      <c r="P74" s="965"/>
      <c r="Q74" s="965"/>
      <c r="R74" s="965"/>
      <c r="S74" s="965"/>
      <c r="T74" s="965"/>
      <c r="U74" s="965"/>
      <c r="V74" s="965"/>
      <c r="W74" s="965"/>
      <c r="X74" s="965"/>
      <c r="Y74" s="965"/>
      <c r="Z74" s="965"/>
    </row>
    <row r="75">
      <c r="A75" s="965"/>
      <c r="B75" s="965"/>
      <c r="C75" s="965"/>
      <c r="D75" s="965"/>
      <c r="E75" s="965"/>
      <c r="F75" s="965"/>
      <c r="G75" s="965"/>
      <c r="H75" s="965"/>
      <c r="I75" s="965"/>
      <c r="J75" s="965"/>
      <c r="K75" s="965"/>
      <c r="L75" s="965"/>
      <c r="M75" s="965"/>
      <c r="N75" s="965"/>
      <c r="O75" s="965"/>
      <c r="P75" s="965"/>
      <c r="Q75" s="965"/>
      <c r="R75" s="965"/>
      <c r="S75" s="965"/>
      <c r="T75" s="965"/>
      <c r="U75" s="965"/>
      <c r="V75" s="965"/>
      <c r="W75" s="965"/>
      <c r="X75" s="965"/>
      <c r="Y75" s="965"/>
      <c r="Z75" s="965"/>
    </row>
    <row r="76">
      <c r="A76" s="965"/>
      <c r="B76" s="965"/>
      <c r="C76" s="965"/>
      <c r="D76" s="965"/>
      <c r="E76" s="965"/>
      <c r="F76" s="965"/>
      <c r="G76" s="965"/>
      <c r="H76" s="965"/>
      <c r="I76" s="965"/>
      <c r="J76" s="965"/>
      <c r="K76" s="965"/>
      <c r="L76" s="965"/>
      <c r="M76" s="965"/>
      <c r="N76" s="965"/>
      <c r="O76" s="965"/>
      <c r="P76" s="965"/>
      <c r="Q76" s="965"/>
      <c r="R76" s="965"/>
      <c r="S76" s="965"/>
      <c r="T76" s="965"/>
      <c r="U76" s="965"/>
      <c r="V76" s="965"/>
      <c r="W76" s="965"/>
      <c r="X76" s="965"/>
      <c r="Y76" s="965"/>
      <c r="Z76" s="965"/>
    </row>
    <row r="77">
      <c r="A77" s="965"/>
      <c r="B77" s="965"/>
      <c r="C77" s="965"/>
      <c r="D77" s="965"/>
      <c r="E77" s="965"/>
      <c r="F77" s="965"/>
      <c r="G77" s="965"/>
      <c r="H77" s="965"/>
      <c r="I77" s="965"/>
      <c r="J77" s="965"/>
      <c r="K77" s="965"/>
      <c r="L77" s="965"/>
      <c r="M77" s="965"/>
      <c r="N77" s="965"/>
      <c r="O77" s="965"/>
      <c r="P77" s="965"/>
      <c r="Q77" s="965"/>
      <c r="R77" s="965"/>
      <c r="S77" s="965"/>
      <c r="T77" s="965"/>
      <c r="U77" s="965"/>
      <c r="V77" s="965"/>
      <c r="W77" s="965"/>
      <c r="X77" s="965"/>
      <c r="Y77" s="965"/>
      <c r="Z77" s="965"/>
    </row>
    <row r="78">
      <c r="A78" s="965"/>
      <c r="B78" s="965"/>
      <c r="C78" s="965"/>
      <c r="D78" s="965"/>
      <c r="E78" s="965"/>
      <c r="F78" s="965"/>
      <c r="G78" s="965"/>
      <c r="H78" s="965"/>
      <c r="I78" s="965"/>
      <c r="J78" s="965"/>
      <c r="K78" s="965"/>
      <c r="L78" s="965"/>
      <c r="M78" s="965"/>
      <c r="N78" s="965"/>
      <c r="O78" s="965"/>
      <c r="P78" s="965"/>
      <c r="Q78" s="965"/>
      <c r="R78" s="965"/>
      <c r="S78" s="965"/>
      <c r="T78" s="965"/>
      <c r="U78" s="965"/>
      <c r="V78" s="965"/>
      <c r="W78" s="965"/>
      <c r="X78" s="965"/>
      <c r="Y78" s="965"/>
      <c r="Z78" s="965"/>
    </row>
    <row r="79">
      <c r="A79" s="965"/>
      <c r="B79" s="965"/>
      <c r="C79" s="965"/>
      <c r="D79" s="965"/>
      <c r="E79" s="965"/>
      <c r="F79" s="965"/>
      <c r="G79" s="965"/>
      <c r="H79" s="965"/>
      <c r="I79" s="965"/>
      <c r="J79" s="965"/>
      <c r="K79" s="965"/>
      <c r="L79" s="965"/>
      <c r="M79" s="965"/>
      <c r="N79" s="965"/>
      <c r="O79" s="965"/>
      <c r="P79" s="965"/>
      <c r="Q79" s="965"/>
      <c r="R79" s="965"/>
      <c r="S79" s="965"/>
      <c r="T79" s="965"/>
      <c r="U79" s="965"/>
      <c r="V79" s="965"/>
      <c r="W79" s="965"/>
      <c r="X79" s="965"/>
      <c r="Y79" s="965"/>
      <c r="Z79" s="965"/>
    </row>
    <row r="80">
      <c r="A80" s="965"/>
      <c r="B80" s="965"/>
      <c r="C80" s="965"/>
      <c r="D80" s="965"/>
      <c r="E80" s="965"/>
      <c r="F80" s="965"/>
      <c r="G80" s="965"/>
      <c r="H80" s="965"/>
      <c r="I80" s="965"/>
      <c r="J80" s="965"/>
      <c r="K80" s="965"/>
      <c r="L80" s="965"/>
      <c r="M80" s="965"/>
      <c r="N80" s="965"/>
      <c r="O80" s="965"/>
      <c r="P80" s="965"/>
      <c r="Q80" s="965"/>
      <c r="R80" s="965"/>
      <c r="S80" s="965"/>
      <c r="T80" s="965"/>
      <c r="U80" s="965"/>
      <c r="V80" s="965"/>
      <c r="W80" s="965"/>
      <c r="X80" s="965"/>
      <c r="Y80" s="965"/>
      <c r="Z80" s="965"/>
    </row>
    <row r="81">
      <c r="A81" s="965"/>
      <c r="B81" s="965"/>
      <c r="C81" s="965"/>
      <c r="D81" s="965"/>
      <c r="E81" s="965"/>
      <c r="F81" s="965"/>
      <c r="G81" s="965"/>
      <c r="H81" s="965"/>
      <c r="I81" s="965"/>
      <c r="J81" s="965"/>
      <c r="K81" s="965"/>
      <c r="L81" s="965"/>
      <c r="M81" s="965"/>
      <c r="N81" s="965"/>
      <c r="O81" s="965"/>
      <c r="P81" s="965"/>
      <c r="Q81" s="965"/>
      <c r="R81" s="965"/>
      <c r="S81" s="965"/>
      <c r="T81" s="965"/>
      <c r="U81" s="965"/>
      <c r="V81" s="965"/>
      <c r="W81" s="965"/>
      <c r="X81" s="965"/>
      <c r="Y81" s="965"/>
      <c r="Z81" s="965"/>
    </row>
    <row r="82">
      <c r="A82" s="965"/>
      <c r="B82" s="965"/>
      <c r="C82" s="965"/>
      <c r="D82" s="965"/>
      <c r="E82" s="965"/>
      <c r="F82" s="965"/>
      <c r="G82" s="965"/>
      <c r="H82" s="965"/>
      <c r="I82" s="965"/>
      <c r="J82" s="965"/>
      <c r="K82" s="965"/>
      <c r="L82" s="965"/>
      <c r="M82" s="965"/>
      <c r="N82" s="965"/>
      <c r="O82" s="965"/>
      <c r="P82" s="965"/>
      <c r="Q82" s="965"/>
      <c r="R82" s="965"/>
      <c r="S82" s="965"/>
      <c r="T82" s="965"/>
      <c r="U82" s="965"/>
      <c r="V82" s="965"/>
      <c r="W82" s="965"/>
      <c r="X82" s="965"/>
      <c r="Y82" s="965"/>
      <c r="Z82" s="965"/>
    </row>
    <row r="83">
      <c r="A83" s="965"/>
      <c r="B83" s="965"/>
      <c r="C83" s="965"/>
      <c r="D83" s="965"/>
      <c r="E83" s="965"/>
      <c r="F83" s="965"/>
      <c r="G83" s="965"/>
      <c r="H83" s="965"/>
      <c r="I83" s="965"/>
      <c r="J83" s="965"/>
      <c r="K83" s="965"/>
      <c r="L83" s="965"/>
      <c r="M83" s="965"/>
      <c r="N83" s="965"/>
      <c r="O83" s="965"/>
      <c r="P83" s="965"/>
      <c r="Q83" s="965"/>
      <c r="R83" s="965"/>
      <c r="S83" s="965"/>
      <c r="T83" s="965"/>
      <c r="U83" s="965"/>
      <c r="V83" s="965"/>
      <c r="W83" s="965"/>
      <c r="X83" s="965"/>
      <c r="Y83" s="965"/>
      <c r="Z83" s="965"/>
    </row>
    <row r="84">
      <c r="A84" s="965"/>
      <c r="B84" s="965"/>
      <c r="C84" s="965"/>
      <c r="D84" s="965"/>
      <c r="E84" s="965"/>
      <c r="F84" s="965"/>
      <c r="G84" s="965"/>
      <c r="H84" s="965"/>
      <c r="I84" s="965"/>
      <c r="J84" s="965"/>
      <c r="K84" s="965"/>
      <c r="L84" s="965"/>
      <c r="M84" s="965"/>
      <c r="N84" s="965"/>
      <c r="O84" s="965"/>
      <c r="P84" s="965"/>
      <c r="Q84" s="965"/>
      <c r="R84" s="965"/>
      <c r="S84" s="965"/>
      <c r="T84" s="965"/>
      <c r="U84" s="965"/>
      <c r="V84" s="965"/>
      <c r="W84" s="965"/>
      <c r="X84" s="965"/>
      <c r="Y84" s="965"/>
      <c r="Z84" s="965"/>
    </row>
    <row r="85">
      <c r="A85" s="965"/>
      <c r="B85" s="965"/>
      <c r="C85" s="965"/>
      <c r="D85" s="965"/>
      <c r="E85" s="965"/>
      <c r="F85" s="965"/>
      <c r="G85" s="965"/>
      <c r="H85" s="965"/>
      <c r="I85" s="965"/>
      <c r="J85" s="965"/>
      <c r="K85" s="965"/>
      <c r="L85" s="965"/>
      <c r="M85" s="965"/>
      <c r="N85" s="965"/>
      <c r="O85" s="965"/>
      <c r="P85" s="965"/>
      <c r="Q85" s="965"/>
      <c r="R85" s="965"/>
      <c r="S85" s="965"/>
      <c r="T85" s="965"/>
      <c r="U85" s="965"/>
      <c r="V85" s="965"/>
      <c r="W85" s="965"/>
      <c r="X85" s="965"/>
      <c r="Y85" s="965"/>
      <c r="Z85" s="965"/>
    </row>
    <row r="86">
      <c r="A86" s="965"/>
      <c r="B86" s="965"/>
      <c r="C86" s="965"/>
      <c r="D86" s="965"/>
      <c r="E86" s="965"/>
      <c r="F86" s="965"/>
      <c r="G86" s="965"/>
      <c r="H86" s="965"/>
      <c r="I86" s="965"/>
      <c r="J86" s="965"/>
      <c r="K86" s="965"/>
      <c r="L86" s="965"/>
      <c r="M86" s="965"/>
      <c r="N86" s="965"/>
      <c r="O86" s="965"/>
      <c r="P86" s="965"/>
      <c r="Q86" s="965"/>
      <c r="R86" s="965"/>
      <c r="S86" s="965"/>
      <c r="T86" s="965"/>
      <c r="U86" s="965"/>
      <c r="V86" s="965"/>
      <c r="W86" s="965"/>
      <c r="X86" s="965"/>
      <c r="Y86" s="965"/>
      <c r="Z86" s="965"/>
    </row>
    <row r="87">
      <c r="A87" s="965"/>
      <c r="B87" s="965"/>
      <c r="C87" s="965"/>
      <c r="D87" s="965"/>
      <c r="E87" s="965"/>
      <c r="F87" s="965"/>
      <c r="G87" s="965"/>
      <c r="H87" s="965"/>
      <c r="I87" s="965"/>
      <c r="J87" s="965"/>
      <c r="K87" s="965"/>
      <c r="L87" s="965"/>
      <c r="M87" s="965"/>
      <c r="N87" s="965"/>
      <c r="O87" s="965"/>
      <c r="P87" s="965"/>
      <c r="Q87" s="965"/>
      <c r="R87" s="965"/>
      <c r="S87" s="965"/>
      <c r="T87" s="965"/>
      <c r="U87" s="965"/>
      <c r="V87" s="965"/>
      <c r="W87" s="965"/>
      <c r="X87" s="965"/>
      <c r="Y87" s="965"/>
      <c r="Z87" s="965"/>
    </row>
    <row r="88">
      <c r="A88" s="965"/>
      <c r="B88" s="965"/>
      <c r="C88" s="965"/>
      <c r="D88" s="965"/>
      <c r="E88" s="965"/>
      <c r="F88" s="965"/>
      <c r="G88" s="965"/>
      <c r="H88" s="965"/>
      <c r="I88" s="965"/>
      <c r="J88" s="965"/>
      <c r="K88" s="965"/>
      <c r="L88" s="965"/>
      <c r="M88" s="965"/>
      <c r="N88" s="965"/>
      <c r="O88" s="965"/>
      <c r="P88" s="965"/>
      <c r="Q88" s="965"/>
      <c r="R88" s="965"/>
      <c r="S88" s="965"/>
      <c r="T88" s="965"/>
      <c r="U88" s="965"/>
      <c r="V88" s="965"/>
      <c r="W88" s="965"/>
      <c r="X88" s="965"/>
      <c r="Y88" s="965"/>
      <c r="Z88" s="965"/>
    </row>
    <row r="89">
      <c r="A89" s="965"/>
      <c r="B89" s="965"/>
      <c r="C89" s="965"/>
      <c r="D89" s="965"/>
      <c r="E89" s="965"/>
      <c r="F89" s="965"/>
      <c r="G89" s="965"/>
      <c r="H89" s="965"/>
      <c r="I89" s="965"/>
      <c r="J89" s="965"/>
      <c r="K89" s="965"/>
      <c r="L89" s="965"/>
      <c r="M89" s="965"/>
      <c r="N89" s="965"/>
      <c r="O89" s="965"/>
      <c r="P89" s="965"/>
      <c r="Q89" s="965"/>
      <c r="R89" s="965"/>
      <c r="S89" s="965"/>
      <c r="T89" s="965"/>
      <c r="U89" s="965"/>
      <c r="V89" s="965"/>
      <c r="W89" s="965"/>
      <c r="X89" s="965"/>
      <c r="Y89" s="965"/>
      <c r="Z89" s="965"/>
    </row>
    <row r="90">
      <c r="A90" s="965"/>
      <c r="B90" s="965"/>
      <c r="C90" s="965"/>
      <c r="D90" s="965"/>
      <c r="E90" s="965"/>
      <c r="F90" s="965"/>
      <c r="G90" s="965"/>
      <c r="H90" s="965"/>
      <c r="I90" s="965"/>
      <c r="J90" s="965"/>
      <c r="K90" s="965"/>
      <c r="L90" s="965"/>
      <c r="M90" s="965"/>
      <c r="N90" s="965"/>
      <c r="O90" s="965"/>
      <c r="P90" s="965"/>
      <c r="Q90" s="965"/>
      <c r="R90" s="965"/>
      <c r="S90" s="965"/>
      <c r="T90" s="965"/>
      <c r="U90" s="965"/>
      <c r="V90" s="965"/>
      <c r="W90" s="965"/>
      <c r="X90" s="965"/>
      <c r="Y90" s="965"/>
      <c r="Z90" s="965"/>
    </row>
    <row r="91">
      <c r="A91" s="965"/>
      <c r="B91" s="965"/>
      <c r="C91" s="965"/>
      <c r="D91" s="965"/>
      <c r="E91" s="965"/>
      <c r="F91" s="965"/>
      <c r="G91" s="965"/>
      <c r="H91" s="965"/>
      <c r="I91" s="965"/>
      <c r="J91" s="965"/>
      <c r="K91" s="965"/>
      <c r="L91" s="965"/>
      <c r="M91" s="965"/>
      <c r="N91" s="965"/>
      <c r="O91" s="965"/>
      <c r="P91" s="965"/>
      <c r="Q91" s="965"/>
      <c r="R91" s="965"/>
      <c r="S91" s="965"/>
      <c r="T91" s="965"/>
      <c r="U91" s="965"/>
      <c r="V91" s="965"/>
      <c r="W91" s="965"/>
      <c r="X91" s="965"/>
      <c r="Y91" s="965"/>
      <c r="Z91" s="965"/>
    </row>
    <row r="92">
      <c r="A92" s="965"/>
      <c r="B92" s="965"/>
      <c r="C92" s="965"/>
      <c r="D92" s="965"/>
      <c r="E92" s="965"/>
      <c r="F92" s="965"/>
      <c r="G92" s="965"/>
      <c r="H92" s="965"/>
      <c r="I92" s="965"/>
      <c r="J92" s="965"/>
      <c r="K92" s="965"/>
      <c r="L92" s="965"/>
      <c r="M92" s="965"/>
      <c r="N92" s="965"/>
      <c r="O92" s="965"/>
      <c r="P92" s="965"/>
      <c r="Q92" s="965"/>
      <c r="R92" s="965"/>
      <c r="S92" s="965"/>
      <c r="T92" s="965"/>
      <c r="U92" s="965"/>
      <c r="V92" s="965"/>
      <c r="W92" s="965"/>
      <c r="X92" s="965"/>
      <c r="Y92" s="965"/>
      <c r="Z92" s="965"/>
    </row>
    <row r="93">
      <c r="A93" s="965"/>
      <c r="B93" s="965"/>
      <c r="C93" s="965"/>
      <c r="D93" s="965"/>
      <c r="E93" s="965"/>
      <c r="F93" s="965"/>
      <c r="G93" s="965"/>
      <c r="H93" s="965"/>
      <c r="I93" s="965"/>
      <c r="J93" s="965"/>
      <c r="K93" s="965"/>
      <c r="L93" s="965"/>
      <c r="M93" s="965"/>
      <c r="N93" s="965"/>
      <c r="O93" s="965"/>
      <c r="P93" s="965"/>
      <c r="Q93" s="965"/>
      <c r="R93" s="965"/>
      <c r="S93" s="965"/>
      <c r="T93" s="965"/>
      <c r="U93" s="965"/>
      <c r="V93" s="965"/>
      <c r="W93" s="965"/>
      <c r="X93" s="965"/>
      <c r="Y93" s="965"/>
      <c r="Z93" s="965"/>
    </row>
    <row r="94">
      <c r="A94" s="965"/>
      <c r="B94" s="965"/>
      <c r="C94" s="965"/>
      <c r="D94" s="965"/>
      <c r="E94" s="965"/>
      <c r="F94" s="965"/>
      <c r="G94" s="965"/>
      <c r="H94" s="965"/>
      <c r="I94" s="965"/>
      <c r="J94" s="965"/>
      <c r="K94" s="965"/>
      <c r="L94" s="965"/>
      <c r="M94" s="965"/>
      <c r="N94" s="965"/>
      <c r="O94" s="965"/>
      <c r="P94" s="965"/>
      <c r="Q94" s="965"/>
      <c r="R94" s="965"/>
      <c r="S94" s="965"/>
      <c r="T94" s="965"/>
      <c r="U94" s="965"/>
      <c r="V94" s="965"/>
      <c r="W94" s="965"/>
      <c r="X94" s="965"/>
      <c r="Y94" s="965"/>
      <c r="Z94" s="965"/>
    </row>
    <row r="95">
      <c r="A95" s="965"/>
      <c r="B95" s="965"/>
      <c r="C95" s="965"/>
      <c r="D95" s="965"/>
      <c r="E95" s="965"/>
      <c r="F95" s="965"/>
      <c r="G95" s="965"/>
      <c r="H95" s="965"/>
      <c r="I95" s="965"/>
      <c r="J95" s="965"/>
      <c r="K95" s="965"/>
      <c r="L95" s="965"/>
      <c r="M95" s="965"/>
      <c r="N95" s="965"/>
      <c r="O95" s="965"/>
      <c r="P95" s="965"/>
      <c r="Q95" s="965"/>
      <c r="R95" s="965"/>
      <c r="S95" s="965"/>
      <c r="T95" s="965"/>
      <c r="U95" s="965"/>
      <c r="V95" s="965"/>
      <c r="W95" s="965"/>
      <c r="X95" s="965"/>
      <c r="Y95" s="965"/>
      <c r="Z95" s="965"/>
    </row>
    <row r="96">
      <c r="A96" s="965"/>
      <c r="B96" s="965"/>
      <c r="C96" s="965"/>
      <c r="D96" s="965"/>
      <c r="E96" s="965"/>
      <c r="F96" s="965"/>
      <c r="G96" s="965"/>
      <c r="H96" s="965"/>
      <c r="I96" s="965"/>
      <c r="J96" s="965"/>
      <c r="K96" s="965"/>
      <c r="L96" s="965"/>
      <c r="M96" s="965"/>
      <c r="N96" s="965"/>
      <c r="O96" s="965"/>
      <c r="P96" s="965"/>
      <c r="Q96" s="965"/>
      <c r="R96" s="965"/>
      <c r="S96" s="965"/>
      <c r="T96" s="965"/>
      <c r="U96" s="965"/>
      <c r="V96" s="965"/>
      <c r="W96" s="965"/>
      <c r="X96" s="965"/>
      <c r="Y96" s="965"/>
      <c r="Z96" s="965"/>
    </row>
    <row r="97">
      <c r="A97" s="965"/>
      <c r="B97" s="965"/>
      <c r="C97" s="965"/>
      <c r="D97" s="965"/>
      <c r="E97" s="965"/>
      <c r="F97" s="965"/>
      <c r="G97" s="965"/>
      <c r="H97" s="965"/>
      <c r="I97" s="965"/>
      <c r="J97" s="965"/>
      <c r="K97" s="965"/>
      <c r="L97" s="965"/>
      <c r="M97" s="965"/>
      <c r="N97" s="965"/>
      <c r="O97" s="965"/>
      <c r="P97" s="965"/>
      <c r="Q97" s="965"/>
      <c r="R97" s="965"/>
      <c r="S97" s="965"/>
      <c r="T97" s="965"/>
      <c r="U97" s="965"/>
      <c r="V97" s="965"/>
      <c r="W97" s="965"/>
      <c r="X97" s="965"/>
      <c r="Y97" s="965"/>
      <c r="Z97" s="965"/>
    </row>
    <row r="98">
      <c r="A98" s="965"/>
      <c r="B98" s="965"/>
      <c r="C98" s="965"/>
      <c r="D98" s="965"/>
      <c r="E98" s="965"/>
      <c r="F98" s="965"/>
      <c r="G98" s="965"/>
      <c r="H98" s="965"/>
      <c r="I98" s="965"/>
      <c r="J98" s="965"/>
      <c r="K98" s="965"/>
      <c r="L98" s="965"/>
      <c r="M98" s="965"/>
      <c r="N98" s="965"/>
      <c r="O98" s="965"/>
      <c r="P98" s="965"/>
      <c r="Q98" s="965"/>
      <c r="R98" s="965"/>
      <c r="S98" s="965"/>
      <c r="T98" s="965"/>
      <c r="U98" s="965"/>
      <c r="V98" s="965"/>
      <c r="W98" s="965"/>
      <c r="X98" s="965"/>
      <c r="Y98" s="965"/>
      <c r="Z98" s="965"/>
    </row>
    <row r="99">
      <c r="A99" s="965"/>
      <c r="B99" s="965"/>
      <c r="C99" s="965"/>
      <c r="D99" s="965"/>
      <c r="E99" s="965"/>
      <c r="F99" s="965"/>
      <c r="G99" s="965"/>
      <c r="H99" s="965"/>
      <c r="I99" s="965"/>
      <c r="J99" s="965"/>
      <c r="K99" s="965"/>
      <c r="L99" s="965"/>
      <c r="M99" s="965"/>
      <c r="N99" s="965"/>
      <c r="O99" s="965"/>
      <c r="P99" s="965"/>
      <c r="Q99" s="965"/>
      <c r="R99" s="965"/>
      <c r="S99" s="965"/>
      <c r="T99" s="965"/>
      <c r="U99" s="965"/>
      <c r="V99" s="965"/>
      <c r="W99" s="965"/>
      <c r="X99" s="965"/>
      <c r="Y99" s="965"/>
      <c r="Z99" s="965"/>
    </row>
    <row r="100">
      <c r="A100" s="965"/>
      <c r="B100" s="965"/>
      <c r="C100" s="965"/>
      <c r="D100" s="965"/>
      <c r="E100" s="965"/>
      <c r="F100" s="965"/>
      <c r="G100" s="965"/>
      <c r="H100" s="965"/>
      <c r="I100" s="965"/>
      <c r="J100" s="965"/>
      <c r="K100" s="965"/>
      <c r="L100" s="965"/>
      <c r="M100" s="965"/>
      <c r="N100" s="965"/>
      <c r="O100" s="965"/>
      <c r="P100" s="965"/>
      <c r="Q100" s="965"/>
      <c r="R100" s="965"/>
      <c r="S100" s="965"/>
      <c r="T100" s="965"/>
      <c r="U100" s="965"/>
      <c r="V100" s="965"/>
      <c r="W100" s="965"/>
      <c r="X100" s="965"/>
      <c r="Y100" s="965"/>
      <c r="Z100" s="965"/>
    </row>
    <row r="101">
      <c r="A101" s="965"/>
      <c r="B101" s="965"/>
      <c r="C101" s="965"/>
      <c r="D101" s="965"/>
      <c r="E101" s="965"/>
      <c r="F101" s="965"/>
      <c r="G101" s="965"/>
      <c r="H101" s="965"/>
      <c r="I101" s="965"/>
      <c r="J101" s="965"/>
      <c r="K101" s="965"/>
      <c r="L101" s="965"/>
      <c r="M101" s="965"/>
      <c r="N101" s="965"/>
      <c r="O101" s="965"/>
      <c r="P101" s="965"/>
      <c r="Q101" s="965"/>
      <c r="R101" s="965"/>
      <c r="S101" s="965"/>
      <c r="T101" s="965"/>
      <c r="U101" s="965"/>
      <c r="V101" s="965"/>
      <c r="W101" s="965"/>
      <c r="X101" s="965"/>
      <c r="Y101" s="965"/>
      <c r="Z101" s="965"/>
    </row>
    <row r="102">
      <c r="A102" s="965"/>
      <c r="B102" s="965"/>
      <c r="C102" s="965"/>
      <c r="D102" s="965"/>
      <c r="E102" s="965"/>
      <c r="F102" s="965"/>
      <c r="G102" s="965"/>
      <c r="H102" s="965"/>
      <c r="I102" s="965"/>
      <c r="J102" s="965"/>
      <c r="K102" s="965"/>
      <c r="L102" s="965"/>
      <c r="M102" s="965"/>
      <c r="N102" s="965"/>
      <c r="O102" s="965"/>
      <c r="P102" s="965"/>
      <c r="Q102" s="965"/>
      <c r="R102" s="965"/>
      <c r="S102" s="965"/>
      <c r="T102" s="965"/>
      <c r="U102" s="965"/>
      <c r="V102" s="965"/>
      <c r="W102" s="965"/>
      <c r="X102" s="965"/>
      <c r="Y102" s="965"/>
      <c r="Z102" s="965"/>
    </row>
    <row r="103">
      <c r="A103" s="965"/>
      <c r="B103" s="965"/>
      <c r="C103" s="965"/>
      <c r="D103" s="965"/>
      <c r="E103" s="965"/>
      <c r="F103" s="965"/>
      <c r="G103" s="965"/>
      <c r="H103" s="965"/>
      <c r="I103" s="965"/>
      <c r="J103" s="965"/>
      <c r="K103" s="965"/>
      <c r="L103" s="965"/>
      <c r="M103" s="965"/>
      <c r="N103" s="965"/>
      <c r="O103" s="965"/>
      <c r="P103" s="965"/>
      <c r="Q103" s="965"/>
      <c r="R103" s="965"/>
      <c r="S103" s="965"/>
      <c r="T103" s="965"/>
      <c r="U103" s="965"/>
      <c r="V103" s="965"/>
      <c r="W103" s="965"/>
      <c r="X103" s="965"/>
      <c r="Y103" s="965"/>
      <c r="Z103" s="965"/>
    </row>
    <row r="104">
      <c r="A104" s="965"/>
      <c r="B104" s="965"/>
      <c r="C104" s="965"/>
      <c r="D104" s="965"/>
      <c r="E104" s="965"/>
      <c r="F104" s="965"/>
      <c r="G104" s="965"/>
      <c r="H104" s="965"/>
      <c r="I104" s="965"/>
      <c r="J104" s="965"/>
      <c r="K104" s="965"/>
      <c r="L104" s="965"/>
      <c r="M104" s="965"/>
      <c r="N104" s="965"/>
      <c r="O104" s="965"/>
      <c r="P104" s="965"/>
      <c r="Q104" s="965"/>
      <c r="R104" s="965"/>
      <c r="S104" s="965"/>
      <c r="T104" s="965"/>
      <c r="U104" s="965"/>
      <c r="V104" s="965"/>
      <c r="W104" s="965"/>
      <c r="X104" s="965"/>
      <c r="Y104" s="965"/>
      <c r="Z104" s="965"/>
    </row>
    <row r="105">
      <c r="A105" s="965"/>
      <c r="B105" s="965"/>
      <c r="C105" s="965"/>
      <c r="D105" s="965"/>
      <c r="E105" s="965"/>
      <c r="F105" s="965"/>
      <c r="G105" s="965"/>
      <c r="H105" s="965"/>
      <c r="I105" s="965"/>
      <c r="J105" s="965"/>
      <c r="K105" s="965"/>
      <c r="L105" s="965"/>
      <c r="M105" s="965"/>
      <c r="N105" s="965"/>
      <c r="O105" s="965"/>
      <c r="P105" s="965"/>
      <c r="Q105" s="965"/>
      <c r="R105" s="965"/>
      <c r="S105" s="965"/>
      <c r="T105" s="965"/>
      <c r="U105" s="965"/>
      <c r="V105" s="965"/>
      <c r="W105" s="965"/>
      <c r="X105" s="965"/>
      <c r="Y105" s="965"/>
      <c r="Z105" s="965"/>
    </row>
    <row r="106">
      <c r="A106" s="965"/>
      <c r="B106" s="965"/>
      <c r="C106" s="965"/>
      <c r="D106" s="965"/>
      <c r="E106" s="965"/>
      <c r="F106" s="965"/>
      <c r="G106" s="965"/>
      <c r="H106" s="965"/>
      <c r="I106" s="965"/>
      <c r="J106" s="965"/>
      <c r="K106" s="965"/>
      <c r="L106" s="965"/>
      <c r="M106" s="965"/>
      <c r="N106" s="965"/>
      <c r="O106" s="965"/>
      <c r="P106" s="965"/>
      <c r="Q106" s="965"/>
      <c r="R106" s="965"/>
      <c r="S106" s="965"/>
      <c r="T106" s="965"/>
      <c r="U106" s="965"/>
      <c r="V106" s="965"/>
      <c r="W106" s="965"/>
      <c r="X106" s="965"/>
      <c r="Y106" s="965"/>
      <c r="Z106" s="965"/>
    </row>
    <row r="107">
      <c r="A107" s="965"/>
      <c r="B107" s="965"/>
      <c r="C107" s="965"/>
      <c r="D107" s="965"/>
      <c r="E107" s="965"/>
      <c r="F107" s="965"/>
      <c r="G107" s="965"/>
      <c r="H107" s="965"/>
      <c r="I107" s="965"/>
      <c r="J107" s="965"/>
      <c r="K107" s="965"/>
      <c r="L107" s="965"/>
      <c r="M107" s="965"/>
      <c r="N107" s="965"/>
      <c r="O107" s="965"/>
      <c r="P107" s="965"/>
      <c r="Q107" s="965"/>
      <c r="R107" s="965"/>
      <c r="S107" s="965"/>
      <c r="T107" s="965"/>
      <c r="U107" s="965"/>
      <c r="V107" s="965"/>
      <c r="W107" s="965"/>
      <c r="X107" s="965"/>
      <c r="Y107" s="965"/>
      <c r="Z107" s="965"/>
    </row>
    <row r="108">
      <c r="A108" s="965"/>
      <c r="B108" s="965"/>
      <c r="C108" s="965"/>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row>
    <row r="109">
      <c r="A109" s="965"/>
      <c r="B109" s="965"/>
      <c r="C109" s="965"/>
      <c r="D109" s="965"/>
      <c r="E109" s="965"/>
      <c r="F109" s="965"/>
      <c r="G109" s="965"/>
      <c r="H109" s="965"/>
      <c r="I109" s="965"/>
      <c r="J109" s="965"/>
      <c r="K109" s="965"/>
      <c r="L109" s="965"/>
      <c r="M109" s="965"/>
      <c r="N109" s="965"/>
      <c r="O109" s="965"/>
      <c r="P109" s="965"/>
      <c r="Q109" s="965"/>
      <c r="R109" s="965"/>
      <c r="S109" s="965"/>
      <c r="T109" s="965"/>
      <c r="U109" s="965"/>
      <c r="V109" s="965"/>
      <c r="W109" s="965"/>
      <c r="X109" s="965"/>
      <c r="Y109" s="965"/>
      <c r="Z109" s="965"/>
    </row>
    <row r="110">
      <c r="A110" s="965"/>
      <c r="B110" s="965"/>
      <c r="C110" s="965"/>
      <c r="D110" s="965"/>
      <c r="E110" s="965"/>
      <c r="F110" s="965"/>
      <c r="G110" s="965"/>
      <c r="H110" s="965"/>
      <c r="I110" s="965"/>
      <c r="J110" s="965"/>
      <c r="K110" s="965"/>
      <c r="L110" s="965"/>
      <c r="M110" s="965"/>
      <c r="N110" s="965"/>
      <c r="O110" s="965"/>
      <c r="P110" s="965"/>
      <c r="Q110" s="965"/>
      <c r="R110" s="965"/>
      <c r="S110" s="965"/>
      <c r="T110" s="965"/>
      <c r="U110" s="965"/>
      <c r="V110" s="965"/>
      <c r="W110" s="965"/>
      <c r="X110" s="965"/>
      <c r="Y110" s="965"/>
      <c r="Z110" s="965"/>
    </row>
    <row r="111">
      <c r="A111" s="965"/>
      <c r="B111" s="965"/>
      <c r="C111" s="965"/>
      <c r="D111" s="965"/>
      <c r="E111" s="965"/>
      <c r="F111" s="965"/>
      <c r="G111" s="965"/>
      <c r="H111" s="965"/>
      <c r="I111" s="965"/>
      <c r="J111" s="965"/>
      <c r="K111" s="965"/>
      <c r="L111" s="965"/>
      <c r="M111" s="965"/>
      <c r="N111" s="965"/>
      <c r="O111" s="965"/>
      <c r="P111" s="965"/>
      <c r="Q111" s="965"/>
      <c r="R111" s="965"/>
      <c r="S111" s="965"/>
      <c r="T111" s="965"/>
      <c r="U111" s="965"/>
      <c r="V111" s="965"/>
      <c r="W111" s="965"/>
      <c r="X111" s="965"/>
      <c r="Y111" s="965"/>
      <c r="Z111" s="965"/>
    </row>
    <row r="112">
      <c r="A112" s="965"/>
      <c r="B112" s="965"/>
      <c r="C112" s="965"/>
      <c r="D112" s="965"/>
      <c r="E112" s="965"/>
      <c r="F112" s="965"/>
      <c r="G112" s="965"/>
      <c r="H112" s="965"/>
      <c r="I112" s="965"/>
      <c r="J112" s="965"/>
      <c r="K112" s="965"/>
      <c r="L112" s="965"/>
      <c r="M112" s="965"/>
      <c r="N112" s="965"/>
      <c r="O112" s="965"/>
      <c r="P112" s="965"/>
      <c r="Q112" s="965"/>
      <c r="R112" s="965"/>
      <c r="S112" s="965"/>
      <c r="T112" s="965"/>
      <c r="U112" s="965"/>
      <c r="V112" s="965"/>
      <c r="W112" s="965"/>
      <c r="X112" s="965"/>
      <c r="Y112" s="965"/>
      <c r="Z112" s="965"/>
    </row>
    <row r="113">
      <c r="A113" s="965"/>
      <c r="B113" s="965"/>
      <c r="C113" s="965"/>
      <c r="D113" s="965"/>
      <c r="E113" s="965"/>
      <c r="F113" s="965"/>
      <c r="G113" s="965"/>
      <c r="H113" s="965"/>
      <c r="I113" s="965"/>
      <c r="J113" s="965"/>
      <c r="K113" s="965"/>
      <c r="L113" s="965"/>
      <c r="M113" s="965"/>
      <c r="N113" s="965"/>
      <c r="O113" s="965"/>
      <c r="P113" s="965"/>
      <c r="Q113" s="965"/>
      <c r="R113" s="965"/>
      <c r="S113" s="965"/>
      <c r="T113" s="965"/>
      <c r="U113" s="965"/>
      <c r="V113" s="965"/>
      <c r="W113" s="965"/>
      <c r="X113" s="965"/>
      <c r="Y113" s="965"/>
      <c r="Z113" s="965"/>
    </row>
    <row r="114">
      <c r="A114" s="965"/>
      <c r="B114" s="965"/>
      <c r="C114" s="965"/>
      <c r="D114" s="965"/>
      <c r="E114" s="965"/>
      <c r="F114" s="965"/>
      <c r="G114" s="965"/>
      <c r="H114" s="965"/>
      <c r="I114" s="965"/>
      <c r="J114" s="965"/>
      <c r="K114" s="965"/>
      <c r="L114" s="965"/>
      <c r="M114" s="965"/>
      <c r="N114" s="965"/>
      <c r="O114" s="965"/>
      <c r="P114" s="965"/>
      <c r="Q114" s="965"/>
      <c r="R114" s="965"/>
      <c r="S114" s="965"/>
      <c r="T114" s="965"/>
      <c r="U114" s="965"/>
      <c r="V114" s="965"/>
      <c r="W114" s="965"/>
      <c r="X114" s="965"/>
      <c r="Y114" s="965"/>
      <c r="Z114" s="965"/>
    </row>
    <row r="115">
      <c r="A115" s="965"/>
      <c r="B115" s="965"/>
      <c r="C115" s="965"/>
      <c r="D115" s="965"/>
      <c r="E115" s="965"/>
      <c r="F115" s="965"/>
      <c r="G115" s="965"/>
      <c r="H115" s="965"/>
      <c r="I115" s="965"/>
      <c r="J115" s="965"/>
      <c r="K115" s="965"/>
      <c r="L115" s="965"/>
      <c r="M115" s="965"/>
      <c r="N115" s="965"/>
      <c r="O115" s="965"/>
      <c r="P115" s="965"/>
      <c r="Q115" s="965"/>
      <c r="R115" s="965"/>
      <c r="S115" s="965"/>
      <c r="T115" s="965"/>
      <c r="U115" s="965"/>
      <c r="V115" s="965"/>
      <c r="W115" s="965"/>
      <c r="X115" s="965"/>
      <c r="Y115" s="965"/>
      <c r="Z115" s="965"/>
    </row>
    <row r="116">
      <c r="A116" s="965"/>
      <c r="B116" s="965"/>
      <c r="C116" s="965"/>
      <c r="D116" s="965"/>
      <c r="E116" s="965"/>
      <c r="F116" s="965"/>
      <c r="G116" s="965"/>
      <c r="H116" s="965"/>
      <c r="I116" s="965"/>
      <c r="J116" s="965"/>
      <c r="K116" s="965"/>
      <c r="L116" s="965"/>
      <c r="M116" s="965"/>
      <c r="N116" s="965"/>
      <c r="O116" s="965"/>
      <c r="P116" s="965"/>
      <c r="Q116" s="965"/>
      <c r="R116" s="965"/>
      <c r="S116" s="965"/>
      <c r="T116" s="965"/>
      <c r="U116" s="965"/>
      <c r="V116" s="965"/>
      <c r="W116" s="965"/>
      <c r="X116" s="965"/>
      <c r="Y116" s="965"/>
      <c r="Z116" s="965"/>
    </row>
    <row r="117">
      <c r="A117" s="965"/>
      <c r="B117" s="965"/>
      <c r="C117" s="965"/>
      <c r="D117" s="965"/>
      <c r="E117" s="965"/>
      <c r="F117" s="965"/>
      <c r="G117" s="965"/>
      <c r="H117" s="965"/>
      <c r="I117" s="965"/>
      <c r="J117" s="965"/>
      <c r="K117" s="965"/>
      <c r="L117" s="965"/>
      <c r="M117" s="965"/>
      <c r="N117" s="965"/>
      <c r="O117" s="965"/>
      <c r="P117" s="965"/>
      <c r="Q117" s="965"/>
      <c r="R117" s="965"/>
      <c r="S117" s="965"/>
      <c r="T117" s="965"/>
      <c r="U117" s="965"/>
      <c r="V117" s="965"/>
      <c r="W117" s="965"/>
      <c r="X117" s="965"/>
      <c r="Y117" s="965"/>
      <c r="Z117" s="965"/>
    </row>
    <row r="118">
      <c r="A118" s="965"/>
      <c r="B118" s="965"/>
      <c r="C118" s="965"/>
      <c r="D118" s="965"/>
      <c r="E118" s="965"/>
      <c r="F118" s="965"/>
      <c r="G118" s="965"/>
      <c r="H118" s="965"/>
      <c r="I118" s="965"/>
      <c r="J118" s="965"/>
      <c r="K118" s="965"/>
      <c r="L118" s="965"/>
      <c r="M118" s="965"/>
      <c r="N118" s="965"/>
      <c r="O118" s="965"/>
      <c r="P118" s="965"/>
      <c r="Q118" s="965"/>
      <c r="R118" s="965"/>
      <c r="S118" s="965"/>
      <c r="T118" s="965"/>
      <c r="U118" s="965"/>
      <c r="V118" s="965"/>
      <c r="W118" s="965"/>
      <c r="X118" s="965"/>
      <c r="Y118" s="965"/>
      <c r="Z118" s="965"/>
    </row>
    <row r="119">
      <c r="A119" s="965"/>
      <c r="B119" s="965"/>
      <c r="C119" s="965"/>
      <c r="D119" s="965"/>
      <c r="E119" s="965"/>
      <c r="F119" s="965"/>
      <c r="G119" s="965"/>
      <c r="H119" s="965"/>
      <c r="I119" s="965"/>
      <c r="J119" s="965"/>
      <c r="K119" s="965"/>
      <c r="L119" s="965"/>
      <c r="M119" s="965"/>
      <c r="N119" s="965"/>
      <c r="O119" s="965"/>
      <c r="P119" s="965"/>
      <c r="Q119" s="965"/>
      <c r="R119" s="965"/>
      <c r="S119" s="965"/>
      <c r="T119" s="965"/>
      <c r="U119" s="965"/>
      <c r="V119" s="965"/>
      <c r="W119" s="965"/>
      <c r="X119" s="965"/>
      <c r="Y119" s="965"/>
      <c r="Z119" s="965"/>
    </row>
    <row r="120">
      <c r="A120" s="965"/>
      <c r="B120" s="965"/>
      <c r="C120" s="965"/>
      <c r="D120" s="965"/>
      <c r="E120" s="965"/>
      <c r="F120" s="965"/>
      <c r="G120" s="965"/>
      <c r="H120" s="965"/>
      <c r="I120" s="965"/>
      <c r="J120" s="965"/>
      <c r="K120" s="965"/>
      <c r="L120" s="965"/>
      <c r="M120" s="965"/>
      <c r="N120" s="965"/>
      <c r="O120" s="965"/>
      <c r="P120" s="965"/>
      <c r="Q120" s="965"/>
      <c r="R120" s="965"/>
      <c r="S120" s="965"/>
      <c r="T120" s="965"/>
      <c r="U120" s="965"/>
      <c r="V120" s="965"/>
      <c r="W120" s="965"/>
      <c r="X120" s="965"/>
      <c r="Y120" s="965"/>
      <c r="Z120" s="965"/>
    </row>
    <row r="121">
      <c r="A121" s="965"/>
      <c r="B121" s="965"/>
      <c r="C121" s="965"/>
      <c r="D121" s="965"/>
      <c r="E121" s="965"/>
      <c r="F121" s="965"/>
      <c r="G121" s="965"/>
      <c r="H121" s="965"/>
      <c r="I121" s="965"/>
      <c r="J121" s="965"/>
      <c r="K121" s="965"/>
      <c r="L121" s="965"/>
      <c r="M121" s="965"/>
      <c r="N121" s="965"/>
      <c r="O121" s="965"/>
      <c r="P121" s="965"/>
      <c r="Q121" s="965"/>
      <c r="R121" s="965"/>
      <c r="S121" s="965"/>
      <c r="T121" s="965"/>
      <c r="U121" s="965"/>
      <c r="V121" s="965"/>
      <c r="W121" s="965"/>
      <c r="X121" s="965"/>
      <c r="Y121" s="965"/>
      <c r="Z121" s="965"/>
    </row>
    <row r="122">
      <c r="A122" s="965"/>
      <c r="B122" s="965"/>
      <c r="C122" s="965"/>
      <c r="D122" s="965"/>
      <c r="E122" s="965"/>
      <c r="F122" s="965"/>
      <c r="G122" s="965"/>
      <c r="H122" s="965"/>
      <c r="I122" s="965"/>
      <c r="J122" s="965"/>
      <c r="K122" s="965"/>
      <c r="L122" s="965"/>
      <c r="M122" s="965"/>
      <c r="N122" s="965"/>
      <c r="O122" s="965"/>
      <c r="P122" s="965"/>
      <c r="Q122" s="965"/>
      <c r="R122" s="965"/>
      <c r="S122" s="965"/>
      <c r="T122" s="965"/>
      <c r="U122" s="965"/>
      <c r="V122" s="965"/>
      <c r="W122" s="965"/>
      <c r="X122" s="965"/>
      <c r="Y122" s="965"/>
      <c r="Z122" s="965"/>
    </row>
    <row r="123">
      <c r="A123" s="965"/>
      <c r="B123" s="965"/>
      <c r="C123" s="965"/>
      <c r="D123" s="965"/>
      <c r="E123" s="965"/>
      <c r="F123" s="965"/>
      <c r="G123" s="965"/>
      <c r="H123" s="965"/>
      <c r="I123" s="965"/>
      <c r="J123" s="965"/>
      <c r="K123" s="965"/>
      <c r="L123" s="965"/>
      <c r="M123" s="965"/>
      <c r="N123" s="965"/>
      <c r="O123" s="965"/>
      <c r="P123" s="965"/>
      <c r="Q123" s="965"/>
      <c r="R123" s="965"/>
      <c r="S123" s="965"/>
      <c r="T123" s="965"/>
      <c r="U123" s="965"/>
      <c r="V123" s="965"/>
      <c r="W123" s="965"/>
      <c r="X123" s="965"/>
      <c r="Y123" s="965"/>
      <c r="Z123" s="965"/>
    </row>
    <row r="124">
      <c r="A124" s="965"/>
      <c r="B124" s="965"/>
      <c r="C124" s="965"/>
      <c r="D124" s="965"/>
      <c r="E124" s="965"/>
      <c r="F124" s="965"/>
      <c r="G124" s="965"/>
      <c r="H124" s="965"/>
      <c r="I124" s="965"/>
      <c r="J124" s="965"/>
      <c r="K124" s="965"/>
      <c r="L124" s="965"/>
      <c r="M124" s="965"/>
      <c r="N124" s="965"/>
      <c r="O124" s="965"/>
      <c r="P124" s="965"/>
      <c r="Q124" s="965"/>
      <c r="R124" s="965"/>
      <c r="S124" s="965"/>
      <c r="T124" s="965"/>
      <c r="U124" s="965"/>
      <c r="V124" s="965"/>
      <c r="W124" s="965"/>
      <c r="X124" s="965"/>
      <c r="Y124" s="965"/>
      <c r="Z124" s="965"/>
    </row>
    <row r="125">
      <c r="A125" s="965"/>
      <c r="B125" s="965"/>
      <c r="C125" s="965"/>
      <c r="D125" s="965"/>
      <c r="E125" s="965"/>
      <c r="F125" s="965"/>
      <c r="G125" s="965"/>
      <c r="H125" s="965"/>
      <c r="I125" s="965"/>
      <c r="J125" s="965"/>
      <c r="K125" s="965"/>
      <c r="L125" s="965"/>
      <c r="M125" s="965"/>
      <c r="N125" s="965"/>
      <c r="O125" s="965"/>
      <c r="P125" s="965"/>
      <c r="Q125" s="965"/>
      <c r="R125" s="965"/>
      <c r="S125" s="965"/>
      <c r="T125" s="965"/>
      <c r="U125" s="965"/>
      <c r="V125" s="965"/>
      <c r="W125" s="965"/>
      <c r="X125" s="965"/>
      <c r="Y125" s="965"/>
      <c r="Z125" s="965"/>
    </row>
    <row r="126">
      <c r="A126" s="965"/>
      <c r="B126" s="965"/>
      <c r="C126" s="965"/>
      <c r="D126" s="965"/>
      <c r="E126" s="965"/>
      <c r="F126" s="965"/>
      <c r="G126" s="965"/>
      <c r="H126" s="965"/>
      <c r="I126" s="965"/>
      <c r="J126" s="965"/>
      <c r="K126" s="965"/>
      <c r="L126" s="965"/>
      <c r="M126" s="965"/>
      <c r="N126" s="965"/>
      <c r="O126" s="965"/>
      <c r="P126" s="965"/>
      <c r="Q126" s="965"/>
      <c r="R126" s="965"/>
      <c r="S126" s="965"/>
      <c r="T126" s="965"/>
      <c r="U126" s="965"/>
      <c r="V126" s="965"/>
      <c r="W126" s="965"/>
      <c r="X126" s="965"/>
      <c r="Y126" s="965"/>
      <c r="Z126" s="965"/>
    </row>
    <row r="127">
      <c r="A127" s="965"/>
      <c r="B127" s="965"/>
      <c r="C127" s="965"/>
      <c r="D127" s="965"/>
      <c r="E127" s="965"/>
      <c r="F127" s="965"/>
      <c r="G127" s="965"/>
      <c r="H127" s="965"/>
      <c r="I127" s="965"/>
      <c r="J127" s="965"/>
      <c r="K127" s="965"/>
      <c r="L127" s="965"/>
      <c r="M127" s="965"/>
      <c r="N127" s="965"/>
      <c r="O127" s="965"/>
      <c r="P127" s="965"/>
      <c r="Q127" s="965"/>
      <c r="R127" s="965"/>
      <c r="S127" s="965"/>
      <c r="T127" s="965"/>
      <c r="U127" s="965"/>
      <c r="V127" s="965"/>
      <c r="W127" s="965"/>
      <c r="X127" s="965"/>
      <c r="Y127" s="965"/>
      <c r="Z127" s="965"/>
    </row>
    <row r="128">
      <c r="A128" s="965"/>
      <c r="B128" s="965"/>
      <c r="C128" s="965"/>
      <c r="D128" s="965"/>
      <c r="E128" s="965"/>
      <c r="F128" s="965"/>
      <c r="G128" s="965"/>
      <c r="H128" s="965"/>
      <c r="I128" s="965"/>
      <c r="J128" s="965"/>
      <c r="K128" s="965"/>
      <c r="L128" s="965"/>
      <c r="M128" s="965"/>
      <c r="N128" s="965"/>
      <c r="O128" s="965"/>
      <c r="P128" s="965"/>
      <c r="Q128" s="965"/>
      <c r="R128" s="965"/>
      <c r="S128" s="965"/>
      <c r="T128" s="965"/>
      <c r="U128" s="965"/>
      <c r="V128" s="965"/>
      <c r="W128" s="965"/>
      <c r="X128" s="965"/>
      <c r="Y128" s="965"/>
      <c r="Z128" s="965"/>
    </row>
    <row r="129">
      <c r="A129" s="965"/>
      <c r="B129" s="965"/>
      <c r="C129" s="965"/>
      <c r="D129" s="965"/>
      <c r="E129" s="965"/>
      <c r="F129" s="965"/>
      <c r="G129" s="965"/>
      <c r="H129" s="965"/>
      <c r="I129" s="965"/>
      <c r="J129" s="965"/>
      <c r="K129" s="965"/>
      <c r="L129" s="965"/>
      <c r="M129" s="965"/>
      <c r="N129" s="965"/>
      <c r="O129" s="965"/>
      <c r="P129" s="965"/>
      <c r="Q129" s="965"/>
      <c r="R129" s="965"/>
      <c r="S129" s="965"/>
      <c r="T129" s="965"/>
      <c r="U129" s="965"/>
      <c r="V129" s="965"/>
      <c r="W129" s="965"/>
      <c r="X129" s="965"/>
      <c r="Y129" s="965"/>
      <c r="Z129" s="965"/>
    </row>
    <row r="130">
      <c r="A130" s="965"/>
      <c r="B130" s="965"/>
      <c r="C130" s="965"/>
      <c r="D130" s="965"/>
      <c r="E130" s="965"/>
      <c r="F130" s="965"/>
      <c r="G130" s="965"/>
      <c r="H130" s="965"/>
      <c r="I130" s="965"/>
      <c r="J130" s="965"/>
      <c r="K130" s="965"/>
      <c r="L130" s="965"/>
      <c r="M130" s="965"/>
      <c r="N130" s="965"/>
      <c r="O130" s="965"/>
      <c r="P130" s="965"/>
      <c r="Q130" s="965"/>
      <c r="R130" s="965"/>
      <c r="S130" s="965"/>
      <c r="T130" s="965"/>
      <c r="U130" s="965"/>
      <c r="V130" s="965"/>
      <c r="W130" s="965"/>
      <c r="X130" s="965"/>
      <c r="Y130" s="965"/>
      <c r="Z130" s="965"/>
    </row>
    <row r="131">
      <c r="A131" s="965"/>
      <c r="B131" s="965"/>
      <c r="C131" s="965"/>
      <c r="D131" s="965"/>
      <c r="E131" s="965"/>
      <c r="F131" s="965"/>
      <c r="G131" s="965"/>
      <c r="H131" s="965"/>
      <c r="I131" s="965"/>
      <c r="J131" s="965"/>
      <c r="K131" s="965"/>
      <c r="L131" s="965"/>
      <c r="M131" s="965"/>
      <c r="N131" s="965"/>
      <c r="O131" s="965"/>
      <c r="P131" s="965"/>
      <c r="Q131" s="965"/>
      <c r="R131" s="965"/>
      <c r="S131" s="965"/>
      <c r="T131" s="965"/>
      <c r="U131" s="965"/>
      <c r="V131" s="965"/>
      <c r="W131" s="965"/>
      <c r="X131" s="965"/>
      <c r="Y131" s="965"/>
      <c r="Z131" s="965"/>
    </row>
    <row r="132">
      <c r="A132" s="965"/>
      <c r="B132" s="965"/>
      <c r="C132" s="965"/>
      <c r="D132" s="965"/>
      <c r="E132" s="965"/>
      <c r="F132" s="965"/>
      <c r="G132" s="965"/>
      <c r="H132" s="965"/>
      <c r="I132" s="965"/>
      <c r="J132" s="965"/>
      <c r="K132" s="965"/>
      <c r="L132" s="965"/>
      <c r="M132" s="965"/>
      <c r="N132" s="965"/>
      <c r="O132" s="965"/>
      <c r="P132" s="965"/>
      <c r="Q132" s="965"/>
      <c r="R132" s="965"/>
      <c r="S132" s="965"/>
      <c r="T132" s="965"/>
      <c r="U132" s="965"/>
      <c r="V132" s="965"/>
      <c r="W132" s="965"/>
      <c r="X132" s="965"/>
      <c r="Y132" s="965"/>
      <c r="Z132" s="965"/>
    </row>
    <row r="133">
      <c r="A133" s="965"/>
      <c r="B133" s="965"/>
      <c r="C133" s="965"/>
      <c r="D133" s="965"/>
      <c r="E133" s="965"/>
      <c r="F133" s="965"/>
      <c r="G133" s="965"/>
      <c r="H133" s="965"/>
      <c r="I133" s="965"/>
      <c r="J133" s="965"/>
      <c r="K133" s="965"/>
      <c r="L133" s="965"/>
      <c r="M133" s="965"/>
      <c r="N133" s="965"/>
      <c r="O133" s="965"/>
      <c r="P133" s="965"/>
      <c r="Q133" s="965"/>
      <c r="R133" s="965"/>
      <c r="S133" s="965"/>
      <c r="T133" s="965"/>
      <c r="U133" s="965"/>
      <c r="V133" s="965"/>
      <c r="W133" s="965"/>
      <c r="X133" s="965"/>
      <c r="Y133" s="965"/>
      <c r="Z133" s="965"/>
    </row>
    <row r="134">
      <c r="A134" s="965"/>
      <c r="B134" s="965"/>
      <c r="C134" s="965"/>
      <c r="D134" s="965"/>
      <c r="E134" s="965"/>
      <c r="F134" s="965"/>
      <c r="G134" s="965"/>
      <c r="H134" s="965"/>
      <c r="I134" s="965"/>
      <c r="J134" s="965"/>
      <c r="K134" s="965"/>
      <c r="L134" s="965"/>
      <c r="M134" s="965"/>
      <c r="N134" s="965"/>
      <c r="O134" s="965"/>
      <c r="P134" s="965"/>
      <c r="Q134" s="965"/>
      <c r="R134" s="965"/>
      <c r="S134" s="965"/>
      <c r="T134" s="965"/>
      <c r="U134" s="965"/>
      <c r="V134" s="965"/>
      <c r="W134" s="965"/>
      <c r="X134" s="965"/>
      <c r="Y134" s="965"/>
      <c r="Z134" s="965"/>
    </row>
    <row r="135">
      <c r="A135" s="965"/>
      <c r="B135" s="965"/>
      <c r="C135" s="965"/>
      <c r="D135" s="965"/>
      <c r="E135" s="965"/>
      <c r="F135" s="965"/>
      <c r="G135" s="965"/>
      <c r="H135" s="965"/>
      <c r="I135" s="965"/>
      <c r="J135" s="965"/>
      <c r="K135" s="965"/>
      <c r="L135" s="965"/>
      <c r="M135" s="965"/>
      <c r="N135" s="965"/>
      <c r="O135" s="965"/>
      <c r="P135" s="965"/>
      <c r="Q135" s="965"/>
      <c r="R135" s="965"/>
      <c r="S135" s="965"/>
      <c r="T135" s="965"/>
      <c r="U135" s="965"/>
      <c r="V135" s="965"/>
      <c r="W135" s="965"/>
      <c r="X135" s="965"/>
      <c r="Y135" s="965"/>
      <c r="Z135" s="965"/>
    </row>
    <row r="136">
      <c r="A136" s="965"/>
      <c r="B136" s="965"/>
      <c r="C136" s="965"/>
      <c r="D136" s="965"/>
      <c r="E136" s="965"/>
      <c r="F136" s="965"/>
      <c r="G136" s="965"/>
      <c r="H136" s="965"/>
      <c r="I136" s="965"/>
      <c r="J136" s="965"/>
      <c r="K136" s="965"/>
      <c r="L136" s="965"/>
      <c r="M136" s="965"/>
      <c r="N136" s="965"/>
      <c r="O136" s="965"/>
      <c r="P136" s="965"/>
      <c r="Q136" s="965"/>
      <c r="R136" s="965"/>
      <c r="S136" s="965"/>
      <c r="T136" s="965"/>
      <c r="U136" s="965"/>
      <c r="V136" s="965"/>
      <c r="W136" s="965"/>
      <c r="X136" s="965"/>
      <c r="Y136" s="965"/>
      <c r="Z136" s="965"/>
    </row>
    <row r="137">
      <c r="A137" s="965"/>
      <c r="B137" s="965"/>
      <c r="C137" s="965"/>
      <c r="D137" s="965"/>
      <c r="E137" s="965"/>
      <c r="F137" s="965"/>
      <c r="G137" s="965"/>
      <c r="H137" s="965"/>
      <c r="I137" s="965"/>
      <c r="J137" s="965"/>
      <c r="K137" s="965"/>
      <c r="L137" s="965"/>
      <c r="M137" s="965"/>
      <c r="N137" s="965"/>
      <c r="O137" s="965"/>
      <c r="P137" s="965"/>
      <c r="Q137" s="965"/>
      <c r="R137" s="965"/>
      <c r="S137" s="965"/>
      <c r="T137" s="965"/>
      <c r="U137" s="965"/>
      <c r="V137" s="965"/>
      <c r="W137" s="965"/>
      <c r="X137" s="965"/>
      <c r="Y137" s="965"/>
      <c r="Z137" s="965"/>
    </row>
    <row r="138">
      <c r="A138" s="965"/>
      <c r="B138" s="965"/>
      <c r="C138" s="965"/>
      <c r="D138" s="965"/>
      <c r="E138" s="965"/>
      <c r="F138" s="965"/>
      <c r="G138" s="965"/>
      <c r="H138" s="965"/>
      <c r="I138" s="965"/>
      <c r="J138" s="965"/>
      <c r="K138" s="965"/>
      <c r="L138" s="965"/>
      <c r="M138" s="965"/>
      <c r="N138" s="965"/>
      <c r="O138" s="965"/>
      <c r="P138" s="965"/>
      <c r="Q138" s="965"/>
      <c r="R138" s="965"/>
      <c r="S138" s="965"/>
      <c r="T138" s="965"/>
      <c r="U138" s="965"/>
      <c r="V138" s="965"/>
      <c r="W138" s="965"/>
      <c r="X138" s="965"/>
      <c r="Y138" s="965"/>
      <c r="Z138" s="965"/>
    </row>
    <row r="139">
      <c r="A139" s="965"/>
      <c r="B139" s="965"/>
      <c r="C139" s="965"/>
      <c r="D139" s="965"/>
      <c r="E139" s="965"/>
      <c r="F139" s="965"/>
      <c r="G139" s="965"/>
      <c r="H139" s="965"/>
      <c r="I139" s="965"/>
      <c r="J139" s="965"/>
      <c r="K139" s="965"/>
      <c r="L139" s="965"/>
      <c r="M139" s="965"/>
      <c r="N139" s="965"/>
      <c r="O139" s="965"/>
      <c r="P139" s="965"/>
      <c r="Q139" s="965"/>
      <c r="R139" s="965"/>
      <c r="S139" s="965"/>
      <c r="T139" s="965"/>
      <c r="U139" s="965"/>
      <c r="V139" s="965"/>
      <c r="W139" s="965"/>
      <c r="X139" s="965"/>
      <c r="Y139" s="965"/>
      <c r="Z139" s="965"/>
    </row>
    <row r="140">
      <c r="A140" s="965"/>
      <c r="B140" s="965"/>
      <c r="C140" s="965"/>
      <c r="D140" s="965"/>
      <c r="E140" s="965"/>
      <c r="F140" s="965"/>
      <c r="G140" s="965"/>
      <c r="H140" s="965"/>
      <c r="I140" s="965"/>
      <c r="J140" s="965"/>
      <c r="K140" s="965"/>
      <c r="L140" s="965"/>
      <c r="M140" s="965"/>
      <c r="N140" s="965"/>
      <c r="O140" s="965"/>
      <c r="P140" s="965"/>
      <c r="Q140" s="965"/>
      <c r="R140" s="965"/>
      <c r="S140" s="965"/>
      <c r="T140" s="965"/>
      <c r="U140" s="965"/>
      <c r="V140" s="965"/>
      <c r="W140" s="965"/>
      <c r="X140" s="965"/>
      <c r="Y140" s="965"/>
      <c r="Z140" s="965"/>
    </row>
    <row r="141">
      <c r="A141" s="965"/>
      <c r="B141" s="965"/>
      <c r="C141" s="965"/>
      <c r="D141" s="965"/>
      <c r="E141" s="965"/>
      <c r="F141" s="965"/>
      <c r="G141" s="965"/>
      <c r="H141" s="965"/>
      <c r="I141" s="965"/>
      <c r="J141" s="965"/>
      <c r="K141" s="965"/>
      <c r="L141" s="965"/>
      <c r="M141" s="965"/>
      <c r="N141" s="965"/>
      <c r="O141" s="965"/>
      <c r="P141" s="965"/>
      <c r="Q141" s="965"/>
      <c r="R141" s="965"/>
      <c r="S141" s="965"/>
      <c r="T141" s="965"/>
      <c r="U141" s="965"/>
      <c r="V141" s="965"/>
      <c r="W141" s="965"/>
      <c r="X141" s="965"/>
      <c r="Y141" s="965"/>
      <c r="Z141" s="965"/>
    </row>
    <row r="142">
      <c r="A142" s="965"/>
      <c r="B142" s="965"/>
      <c r="C142" s="965"/>
      <c r="D142" s="965"/>
      <c r="E142" s="965"/>
      <c r="F142" s="965"/>
      <c r="G142" s="965"/>
      <c r="H142" s="965"/>
      <c r="I142" s="965"/>
      <c r="J142" s="965"/>
      <c r="K142" s="965"/>
      <c r="L142" s="965"/>
      <c r="M142" s="965"/>
      <c r="N142" s="965"/>
      <c r="O142" s="965"/>
      <c r="P142" s="965"/>
      <c r="Q142" s="965"/>
      <c r="R142" s="965"/>
      <c r="S142" s="965"/>
      <c r="T142" s="965"/>
      <c r="U142" s="965"/>
      <c r="V142" s="965"/>
      <c r="W142" s="965"/>
      <c r="X142" s="965"/>
      <c r="Y142" s="965"/>
      <c r="Z142" s="965"/>
    </row>
    <row r="143">
      <c r="A143" s="965"/>
      <c r="B143" s="965"/>
      <c r="C143" s="965"/>
      <c r="D143" s="965"/>
      <c r="E143" s="965"/>
      <c r="F143" s="965"/>
      <c r="G143" s="965"/>
      <c r="H143" s="965"/>
      <c r="I143" s="965"/>
      <c r="J143" s="965"/>
      <c r="K143" s="965"/>
      <c r="L143" s="965"/>
      <c r="M143" s="965"/>
      <c r="N143" s="965"/>
      <c r="O143" s="965"/>
      <c r="P143" s="965"/>
      <c r="Q143" s="965"/>
      <c r="R143" s="965"/>
      <c r="S143" s="965"/>
      <c r="T143" s="965"/>
      <c r="U143" s="965"/>
      <c r="V143" s="965"/>
      <c r="W143" s="965"/>
      <c r="X143" s="965"/>
      <c r="Y143" s="965"/>
      <c r="Z143" s="965"/>
    </row>
    <row r="144">
      <c r="A144" s="965"/>
      <c r="B144" s="965"/>
      <c r="C144" s="965"/>
      <c r="D144" s="965"/>
      <c r="E144" s="965"/>
      <c r="F144" s="965"/>
      <c r="G144" s="965"/>
      <c r="H144" s="965"/>
      <c r="I144" s="965"/>
      <c r="J144" s="965"/>
      <c r="K144" s="965"/>
      <c r="L144" s="965"/>
      <c r="M144" s="965"/>
      <c r="N144" s="965"/>
      <c r="O144" s="965"/>
      <c r="P144" s="965"/>
      <c r="Q144" s="965"/>
      <c r="R144" s="965"/>
      <c r="S144" s="965"/>
      <c r="T144" s="965"/>
      <c r="U144" s="965"/>
      <c r="V144" s="965"/>
      <c r="W144" s="965"/>
      <c r="X144" s="965"/>
      <c r="Y144" s="965"/>
      <c r="Z144" s="965"/>
    </row>
    <row r="145">
      <c r="A145" s="965"/>
      <c r="B145" s="965"/>
      <c r="C145" s="965"/>
      <c r="D145" s="965"/>
      <c r="E145" s="965"/>
      <c r="F145" s="965"/>
      <c r="G145" s="965"/>
      <c r="H145" s="965"/>
      <c r="I145" s="965"/>
      <c r="J145" s="965"/>
      <c r="K145" s="965"/>
      <c r="L145" s="965"/>
      <c r="M145" s="965"/>
      <c r="N145" s="965"/>
      <c r="O145" s="965"/>
      <c r="P145" s="965"/>
      <c r="Q145" s="965"/>
      <c r="R145" s="965"/>
      <c r="S145" s="965"/>
      <c r="T145" s="965"/>
      <c r="U145" s="965"/>
      <c r="V145" s="965"/>
      <c r="W145" s="965"/>
      <c r="X145" s="965"/>
      <c r="Y145" s="965"/>
      <c r="Z145" s="965"/>
    </row>
    <row r="146">
      <c r="A146" s="965"/>
      <c r="B146" s="965"/>
      <c r="C146" s="965"/>
      <c r="D146" s="965"/>
      <c r="E146" s="965"/>
      <c r="F146" s="965"/>
      <c r="G146" s="965"/>
      <c r="H146" s="965"/>
      <c r="I146" s="965"/>
      <c r="J146" s="965"/>
      <c r="K146" s="965"/>
      <c r="L146" s="965"/>
      <c r="M146" s="965"/>
      <c r="N146" s="965"/>
      <c r="O146" s="965"/>
      <c r="P146" s="965"/>
      <c r="Q146" s="965"/>
      <c r="R146" s="965"/>
      <c r="S146" s="965"/>
      <c r="T146" s="965"/>
      <c r="U146" s="965"/>
      <c r="V146" s="965"/>
      <c r="W146" s="965"/>
      <c r="X146" s="965"/>
      <c r="Y146" s="965"/>
      <c r="Z146" s="965"/>
    </row>
    <row r="147">
      <c r="A147" s="965"/>
      <c r="B147" s="965"/>
      <c r="C147" s="965"/>
      <c r="D147" s="965"/>
      <c r="E147" s="965"/>
      <c r="F147" s="965"/>
      <c r="G147" s="965"/>
      <c r="H147" s="965"/>
      <c r="I147" s="965"/>
      <c r="J147" s="965"/>
      <c r="K147" s="965"/>
      <c r="L147" s="965"/>
      <c r="M147" s="965"/>
      <c r="N147" s="965"/>
      <c r="O147" s="965"/>
      <c r="P147" s="965"/>
      <c r="Q147" s="965"/>
      <c r="R147" s="965"/>
      <c r="S147" s="965"/>
      <c r="T147" s="965"/>
      <c r="U147" s="965"/>
      <c r="V147" s="965"/>
      <c r="W147" s="965"/>
      <c r="X147" s="965"/>
      <c r="Y147" s="965"/>
      <c r="Z147" s="965"/>
    </row>
    <row r="148">
      <c r="A148" s="965"/>
      <c r="B148" s="965"/>
      <c r="C148" s="965"/>
      <c r="D148" s="965"/>
      <c r="E148" s="965"/>
      <c r="F148" s="965"/>
      <c r="G148" s="965"/>
      <c r="H148" s="965"/>
      <c r="I148" s="965"/>
      <c r="J148" s="965"/>
      <c r="K148" s="965"/>
      <c r="L148" s="965"/>
      <c r="M148" s="965"/>
      <c r="N148" s="965"/>
      <c r="O148" s="965"/>
      <c r="P148" s="965"/>
      <c r="Q148" s="965"/>
      <c r="R148" s="965"/>
      <c r="S148" s="965"/>
      <c r="T148" s="965"/>
      <c r="U148" s="965"/>
      <c r="V148" s="965"/>
      <c r="W148" s="965"/>
      <c r="X148" s="965"/>
      <c r="Y148" s="965"/>
      <c r="Z148" s="965"/>
    </row>
    <row r="149">
      <c r="A149" s="965"/>
      <c r="B149" s="965"/>
      <c r="C149" s="965"/>
      <c r="D149" s="965"/>
      <c r="E149" s="965"/>
      <c r="F149" s="965"/>
      <c r="G149" s="965"/>
      <c r="H149" s="965"/>
      <c r="I149" s="965"/>
      <c r="J149" s="965"/>
      <c r="K149" s="965"/>
      <c r="L149" s="965"/>
      <c r="M149" s="965"/>
      <c r="N149" s="965"/>
      <c r="O149" s="965"/>
      <c r="P149" s="965"/>
      <c r="Q149" s="965"/>
      <c r="R149" s="965"/>
      <c r="S149" s="965"/>
      <c r="T149" s="965"/>
      <c r="U149" s="965"/>
      <c r="V149" s="965"/>
      <c r="W149" s="965"/>
      <c r="X149" s="965"/>
      <c r="Y149" s="965"/>
      <c r="Z149" s="965"/>
    </row>
    <row r="150">
      <c r="A150" s="965"/>
      <c r="B150" s="965"/>
      <c r="C150" s="965"/>
      <c r="D150" s="965"/>
      <c r="E150" s="965"/>
      <c r="F150" s="965"/>
      <c r="G150" s="965"/>
      <c r="H150" s="965"/>
      <c r="I150" s="965"/>
      <c r="J150" s="965"/>
      <c r="K150" s="965"/>
      <c r="L150" s="965"/>
      <c r="M150" s="965"/>
      <c r="N150" s="965"/>
      <c r="O150" s="965"/>
      <c r="P150" s="965"/>
      <c r="Q150" s="965"/>
      <c r="R150" s="965"/>
      <c r="S150" s="965"/>
      <c r="T150" s="965"/>
      <c r="U150" s="965"/>
      <c r="V150" s="965"/>
      <c r="W150" s="965"/>
      <c r="X150" s="965"/>
      <c r="Y150" s="965"/>
      <c r="Z150" s="965"/>
    </row>
    <row r="151">
      <c r="A151" s="965"/>
      <c r="B151" s="965"/>
      <c r="C151" s="965"/>
      <c r="D151" s="965"/>
      <c r="E151" s="965"/>
      <c r="F151" s="965"/>
      <c r="G151" s="965"/>
      <c r="H151" s="965"/>
      <c r="I151" s="965"/>
      <c r="J151" s="965"/>
      <c r="K151" s="965"/>
      <c r="L151" s="965"/>
      <c r="M151" s="965"/>
      <c r="N151" s="965"/>
      <c r="O151" s="965"/>
      <c r="P151" s="965"/>
      <c r="Q151" s="965"/>
      <c r="R151" s="965"/>
      <c r="S151" s="965"/>
      <c r="T151" s="965"/>
      <c r="U151" s="965"/>
      <c r="V151" s="965"/>
      <c r="W151" s="965"/>
      <c r="X151" s="965"/>
      <c r="Y151" s="965"/>
      <c r="Z151" s="965"/>
    </row>
    <row r="152">
      <c r="A152" s="965"/>
      <c r="B152" s="965"/>
      <c r="C152" s="965"/>
      <c r="D152" s="965"/>
      <c r="E152" s="965"/>
      <c r="F152" s="965"/>
      <c r="G152" s="965"/>
      <c r="H152" s="965"/>
      <c r="I152" s="965"/>
      <c r="J152" s="965"/>
      <c r="K152" s="965"/>
      <c r="L152" s="965"/>
      <c r="M152" s="965"/>
      <c r="N152" s="965"/>
      <c r="O152" s="965"/>
      <c r="P152" s="965"/>
      <c r="Q152" s="965"/>
      <c r="R152" s="965"/>
      <c r="S152" s="965"/>
      <c r="T152" s="965"/>
      <c r="U152" s="965"/>
      <c r="V152" s="965"/>
      <c r="W152" s="965"/>
      <c r="X152" s="965"/>
      <c r="Y152" s="965"/>
      <c r="Z152" s="965"/>
    </row>
    <row r="153">
      <c r="A153" s="965"/>
      <c r="B153" s="965"/>
      <c r="C153" s="965"/>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row>
    <row r="154">
      <c r="A154" s="965"/>
      <c r="B154" s="965"/>
      <c r="C154" s="965"/>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row>
    <row r="155">
      <c r="A155" s="965"/>
      <c r="B155" s="965"/>
      <c r="C155" s="965"/>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row>
    <row r="156">
      <c r="A156" s="965"/>
      <c r="B156" s="965"/>
      <c r="C156" s="965"/>
      <c r="D156" s="965"/>
      <c r="E156" s="965"/>
      <c r="F156" s="965"/>
      <c r="G156" s="965"/>
      <c r="H156" s="965"/>
      <c r="I156" s="965"/>
      <c r="J156" s="965"/>
      <c r="K156" s="965"/>
      <c r="L156" s="965"/>
      <c r="M156" s="965"/>
      <c r="N156" s="965"/>
      <c r="O156" s="965"/>
      <c r="P156" s="965"/>
      <c r="Q156" s="965"/>
      <c r="R156" s="965"/>
      <c r="S156" s="965"/>
      <c r="T156" s="965"/>
      <c r="U156" s="965"/>
      <c r="V156" s="965"/>
      <c r="W156" s="965"/>
      <c r="X156" s="965"/>
      <c r="Y156" s="965"/>
      <c r="Z156" s="965"/>
    </row>
    <row r="157">
      <c r="A157" s="965"/>
      <c r="B157" s="965"/>
      <c r="C157" s="965"/>
      <c r="D157" s="965"/>
      <c r="E157" s="965"/>
      <c r="F157" s="965"/>
      <c r="G157" s="965"/>
      <c r="H157" s="965"/>
      <c r="I157" s="965"/>
      <c r="J157" s="965"/>
      <c r="K157" s="965"/>
      <c r="L157" s="965"/>
      <c r="M157" s="965"/>
      <c r="N157" s="965"/>
      <c r="O157" s="965"/>
      <c r="P157" s="965"/>
      <c r="Q157" s="965"/>
      <c r="R157" s="965"/>
      <c r="S157" s="965"/>
      <c r="T157" s="965"/>
      <c r="U157" s="965"/>
      <c r="V157" s="965"/>
      <c r="W157" s="965"/>
      <c r="X157" s="965"/>
      <c r="Y157" s="965"/>
      <c r="Z157" s="965"/>
    </row>
    <row r="158">
      <c r="A158" s="965"/>
      <c r="B158" s="965"/>
      <c r="C158" s="965"/>
      <c r="D158" s="965"/>
      <c r="E158" s="965"/>
      <c r="F158" s="965"/>
      <c r="G158" s="965"/>
      <c r="H158" s="965"/>
      <c r="I158" s="965"/>
      <c r="J158" s="965"/>
      <c r="K158" s="965"/>
      <c r="L158" s="965"/>
      <c r="M158" s="965"/>
      <c r="N158" s="965"/>
      <c r="O158" s="965"/>
      <c r="P158" s="965"/>
      <c r="Q158" s="965"/>
      <c r="R158" s="965"/>
      <c r="S158" s="965"/>
      <c r="T158" s="965"/>
      <c r="U158" s="965"/>
      <c r="V158" s="965"/>
      <c r="W158" s="965"/>
      <c r="X158" s="965"/>
      <c r="Y158" s="965"/>
      <c r="Z158" s="965"/>
    </row>
    <row r="159">
      <c r="A159" s="965"/>
      <c r="B159" s="965"/>
      <c r="C159" s="965"/>
      <c r="D159" s="965"/>
      <c r="E159" s="965"/>
      <c r="F159" s="965"/>
      <c r="G159" s="965"/>
      <c r="H159" s="965"/>
      <c r="I159" s="965"/>
      <c r="J159" s="965"/>
      <c r="K159" s="965"/>
      <c r="L159" s="965"/>
      <c r="M159" s="965"/>
      <c r="N159" s="965"/>
      <c r="O159" s="965"/>
      <c r="P159" s="965"/>
      <c r="Q159" s="965"/>
      <c r="R159" s="965"/>
      <c r="S159" s="965"/>
      <c r="T159" s="965"/>
      <c r="U159" s="965"/>
      <c r="V159" s="965"/>
      <c r="W159" s="965"/>
      <c r="X159" s="965"/>
      <c r="Y159" s="965"/>
      <c r="Z159" s="965"/>
    </row>
    <row r="160">
      <c r="A160" s="965"/>
      <c r="B160" s="965"/>
      <c r="C160" s="965"/>
      <c r="D160" s="965"/>
      <c r="E160" s="965"/>
      <c r="F160" s="965"/>
      <c r="G160" s="965"/>
      <c r="H160" s="965"/>
      <c r="I160" s="965"/>
      <c r="J160" s="965"/>
      <c r="K160" s="965"/>
      <c r="L160" s="965"/>
      <c r="M160" s="965"/>
      <c r="N160" s="965"/>
      <c r="O160" s="965"/>
      <c r="P160" s="965"/>
      <c r="Q160" s="965"/>
      <c r="R160" s="965"/>
      <c r="S160" s="965"/>
      <c r="T160" s="965"/>
      <c r="U160" s="965"/>
      <c r="V160" s="965"/>
      <c r="W160" s="965"/>
      <c r="X160" s="965"/>
      <c r="Y160" s="965"/>
      <c r="Z160" s="965"/>
    </row>
    <row r="161">
      <c r="A161" s="965"/>
      <c r="B161" s="965"/>
      <c r="C161" s="965"/>
      <c r="D161" s="965"/>
      <c r="E161" s="965"/>
      <c r="F161" s="965"/>
      <c r="G161" s="965"/>
      <c r="H161" s="965"/>
      <c r="I161" s="965"/>
      <c r="J161" s="965"/>
      <c r="K161" s="965"/>
      <c r="L161" s="965"/>
      <c r="M161" s="965"/>
      <c r="N161" s="965"/>
      <c r="O161" s="965"/>
      <c r="P161" s="965"/>
      <c r="Q161" s="965"/>
      <c r="R161" s="965"/>
      <c r="S161" s="965"/>
      <c r="T161" s="965"/>
      <c r="U161" s="965"/>
      <c r="V161" s="965"/>
      <c r="W161" s="965"/>
      <c r="X161" s="965"/>
      <c r="Y161" s="965"/>
      <c r="Z161" s="965"/>
    </row>
    <row r="162">
      <c r="A162" s="965"/>
      <c r="B162" s="965"/>
      <c r="C162" s="965"/>
      <c r="D162" s="965"/>
      <c r="E162" s="965"/>
      <c r="F162" s="965"/>
      <c r="G162" s="965"/>
      <c r="H162" s="965"/>
      <c r="I162" s="965"/>
      <c r="J162" s="965"/>
      <c r="K162" s="965"/>
      <c r="L162" s="965"/>
      <c r="M162" s="965"/>
      <c r="N162" s="965"/>
      <c r="O162" s="965"/>
      <c r="P162" s="965"/>
      <c r="Q162" s="965"/>
      <c r="R162" s="965"/>
      <c r="S162" s="965"/>
      <c r="T162" s="965"/>
      <c r="U162" s="965"/>
      <c r="V162" s="965"/>
      <c r="W162" s="965"/>
      <c r="X162" s="965"/>
      <c r="Y162" s="965"/>
      <c r="Z162" s="965"/>
    </row>
    <row r="163">
      <c r="A163" s="965"/>
      <c r="B163" s="965"/>
      <c r="C163" s="965"/>
      <c r="D163" s="965"/>
      <c r="E163" s="965"/>
      <c r="F163" s="965"/>
      <c r="G163" s="965"/>
      <c r="H163" s="965"/>
      <c r="I163" s="965"/>
      <c r="J163" s="965"/>
      <c r="K163" s="965"/>
      <c r="L163" s="965"/>
      <c r="M163" s="965"/>
      <c r="N163" s="965"/>
      <c r="O163" s="965"/>
      <c r="P163" s="965"/>
      <c r="Q163" s="965"/>
      <c r="R163" s="965"/>
      <c r="S163" s="965"/>
      <c r="T163" s="965"/>
      <c r="U163" s="965"/>
      <c r="V163" s="965"/>
      <c r="W163" s="965"/>
      <c r="X163" s="965"/>
      <c r="Y163" s="965"/>
      <c r="Z163" s="965"/>
    </row>
    <row r="164">
      <c r="A164" s="965"/>
      <c r="B164" s="965"/>
      <c r="C164" s="965"/>
      <c r="D164" s="965"/>
      <c r="E164" s="965"/>
      <c r="F164" s="965"/>
      <c r="G164" s="965"/>
      <c r="H164" s="965"/>
      <c r="I164" s="965"/>
      <c r="J164" s="965"/>
      <c r="K164" s="965"/>
      <c r="L164" s="965"/>
      <c r="M164" s="965"/>
      <c r="N164" s="965"/>
      <c r="O164" s="965"/>
      <c r="P164" s="965"/>
      <c r="Q164" s="965"/>
      <c r="R164" s="965"/>
      <c r="S164" s="965"/>
      <c r="T164" s="965"/>
      <c r="U164" s="965"/>
      <c r="V164" s="965"/>
      <c r="W164" s="965"/>
      <c r="X164" s="965"/>
      <c r="Y164" s="965"/>
      <c r="Z164" s="965"/>
    </row>
    <row r="165">
      <c r="A165" s="965"/>
      <c r="B165" s="965"/>
      <c r="C165" s="965"/>
      <c r="D165" s="965"/>
      <c r="E165" s="965"/>
      <c r="F165" s="965"/>
      <c r="G165" s="965"/>
      <c r="H165" s="965"/>
      <c r="I165" s="965"/>
      <c r="J165" s="965"/>
      <c r="K165" s="965"/>
      <c r="L165" s="965"/>
      <c r="M165" s="965"/>
      <c r="N165" s="965"/>
      <c r="O165" s="965"/>
      <c r="P165" s="965"/>
      <c r="Q165" s="965"/>
      <c r="R165" s="965"/>
      <c r="S165" s="965"/>
      <c r="T165" s="965"/>
      <c r="U165" s="965"/>
      <c r="V165" s="965"/>
      <c r="W165" s="965"/>
      <c r="X165" s="965"/>
      <c r="Y165" s="965"/>
      <c r="Z165" s="965"/>
    </row>
    <row r="166">
      <c r="A166" s="965"/>
      <c r="B166" s="965"/>
      <c r="C166" s="965"/>
      <c r="D166" s="965"/>
      <c r="E166" s="965"/>
      <c r="F166" s="965"/>
      <c r="G166" s="965"/>
      <c r="H166" s="965"/>
      <c r="I166" s="965"/>
      <c r="J166" s="965"/>
      <c r="K166" s="965"/>
      <c r="L166" s="965"/>
      <c r="M166" s="965"/>
      <c r="N166" s="965"/>
      <c r="O166" s="965"/>
      <c r="P166" s="965"/>
      <c r="Q166" s="965"/>
      <c r="R166" s="965"/>
      <c r="S166" s="965"/>
      <c r="T166" s="965"/>
      <c r="U166" s="965"/>
      <c r="V166" s="965"/>
      <c r="W166" s="965"/>
      <c r="X166" s="965"/>
      <c r="Y166" s="965"/>
      <c r="Z166" s="965"/>
    </row>
    <row r="167">
      <c r="A167" s="965"/>
      <c r="B167" s="965"/>
      <c r="C167" s="965"/>
      <c r="D167" s="965"/>
      <c r="E167" s="965"/>
      <c r="F167" s="965"/>
      <c r="G167" s="965"/>
      <c r="H167" s="965"/>
      <c r="I167" s="965"/>
      <c r="J167" s="965"/>
      <c r="K167" s="965"/>
      <c r="L167" s="965"/>
      <c r="M167" s="965"/>
      <c r="N167" s="965"/>
      <c r="O167" s="965"/>
      <c r="P167" s="965"/>
      <c r="Q167" s="965"/>
      <c r="R167" s="965"/>
      <c r="S167" s="965"/>
      <c r="T167" s="965"/>
      <c r="U167" s="965"/>
      <c r="V167" s="965"/>
      <c r="W167" s="965"/>
      <c r="X167" s="965"/>
      <c r="Y167" s="965"/>
      <c r="Z167" s="965"/>
    </row>
    <row r="168">
      <c r="A168" s="965"/>
      <c r="B168" s="965"/>
      <c r="C168" s="965"/>
      <c r="D168" s="965"/>
      <c r="E168" s="965"/>
      <c r="F168" s="965"/>
      <c r="G168" s="965"/>
      <c r="H168" s="965"/>
      <c r="I168" s="965"/>
      <c r="J168" s="965"/>
      <c r="K168" s="965"/>
      <c r="L168" s="965"/>
      <c r="M168" s="965"/>
      <c r="N168" s="965"/>
      <c r="O168" s="965"/>
      <c r="P168" s="965"/>
      <c r="Q168" s="965"/>
      <c r="R168" s="965"/>
      <c r="S168" s="965"/>
      <c r="T168" s="965"/>
      <c r="U168" s="965"/>
      <c r="V168" s="965"/>
      <c r="W168" s="965"/>
      <c r="X168" s="965"/>
      <c r="Y168" s="965"/>
      <c r="Z168" s="965"/>
    </row>
    <row r="169">
      <c r="A169" s="965"/>
      <c r="B169" s="965"/>
      <c r="C169" s="965"/>
      <c r="D169" s="965"/>
      <c r="E169" s="965"/>
      <c r="F169" s="965"/>
      <c r="G169" s="965"/>
      <c r="H169" s="965"/>
      <c r="I169" s="965"/>
      <c r="J169" s="965"/>
      <c r="K169" s="965"/>
      <c r="L169" s="965"/>
      <c r="M169" s="965"/>
      <c r="N169" s="965"/>
      <c r="O169" s="965"/>
      <c r="P169" s="965"/>
      <c r="Q169" s="965"/>
      <c r="R169" s="965"/>
      <c r="S169" s="965"/>
      <c r="T169" s="965"/>
      <c r="U169" s="965"/>
      <c r="V169" s="965"/>
      <c r="W169" s="965"/>
      <c r="X169" s="965"/>
      <c r="Y169" s="965"/>
      <c r="Z169" s="965"/>
    </row>
    <row r="170">
      <c r="A170" s="965"/>
      <c r="B170" s="965"/>
      <c r="C170" s="965"/>
      <c r="D170" s="965"/>
      <c r="E170" s="965"/>
      <c r="F170" s="965"/>
      <c r="G170" s="965"/>
      <c r="H170" s="965"/>
      <c r="I170" s="965"/>
      <c r="J170" s="965"/>
      <c r="K170" s="965"/>
      <c r="L170" s="965"/>
      <c r="M170" s="965"/>
      <c r="N170" s="965"/>
      <c r="O170" s="965"/>
      <c r="P170" s="965"/>
      <c r="Q170" s="965"/>
      <c r="R170" s="965"/>
      <c r="S170" s="965"/>
      <c r="T170" s="965"/>
      <c r="U170" s="965"/>
      <c r="V170" s="965"/>
      <c r="W170" s="965"/>
      <c r="X170" s="965"/>
      <c r="Y170" s="965"/>
      <c r="Z170" s="965"/>
    </row>
    <row r="171">
      <c r="A171" s="965"/>
      <c r="B171" s="965"/>
      <c r="C171" s="965"/>
      <c r="D171" s="965"/>
      <c r="E171" s="965"/>
      <c r="F171" s="965"/>
      <c r="G171" s="965"/>
      <c r="H171" s="965"/>
      <c r="I171" s="965"/>
      <c r="J171" s="965"/>
      <c r="K171" s="965"/>
      <c r="L171" s="965"/>
      <c r="M171" s="965"/>
      <c r="N171" s="965"/>
      <c r="O171" s="965"/>
      <c r="P171" s="965"/>
      <c r="Q171" s="965"/>
      <c r="R171" s="965"/>
      <c r="S171" s="965"/>
      <c r="T171" s="965"/>
      <c r="U171" s="965"/>
      <c r="V171" s="965"/>
      <c r="W171" s="965"/>
      <c r="X171" s="965"/>
      <c r="Y171" s="965"/>
      <c r="Z171" s="965"/>
    </row>
    <row r="172">
      <c r="A172" s="965"/>
      <c r="B172" s="965"/>
      <c r="C172" s="965"/>
      <c r="D172" s="965"/>
      <c r="E172" s="965"/>
      <c r="F172" s="965"/>
      <c r="G172" s="965"/>
      <c r="H172" s="965"/>
      <c r="I172" s="965"/>
      <c r="J172" s="965"/>
      <c r="K172" s="965"/>
      <c r="L172" s="965"/>
      <c r="M172" s="965"/>
      <c r="N172" s="965"/>
      <c r="O172" s="965"/>
      <c r="P172" s="965"/>
      <c r="Q172" s="965"/>
      <c r="R172" s="965"/>
      <c r="S172" s="965"/>
      <c r="T172" s="965"/>
      <c r="U172" s="965"/>
      <c r="V172" s="965"/>
      <c r="W172" s="965"/>
      <c r="X172" s="965"/>
      <c r="Y172" s="965"/>
      <c r="Z172" s="965"/>
    </row>
    <row r="173">
      <c r="A173" s="965"/>
      <c r="B173" s="965"/>
      <c r="C173" s="965"/>
      <c r="D173" s="965"/>
      <c r="E173" s="965"/>
      <c r="F173" s="965"/>
      <c r="G173" s="965"/>
      <c r="H173" s="965"/>
      <c r="I173" s="965"/>
      <c r="J173" s="965"/>
      <c r="K173" s="965"/>
      <c r="L173" s="965"/>
      <c r="M173" s="965"/>
      <c r="N173" s="965"/>
      <c r="O173" s="965"/>
      <c r="P173" s="965"/>
      <c r="Q173" s="965"/>
      <c r="R173" s="965"/>
      <c r="S173" s="965"/>
      <c r="T173" s="965"/>
      <c r="U173" s="965"/>
      <c r="V173" s="965"/>
      <c r="W173" s="965"/>
      <c r="X173" s="965"/>
      <c r="Y173" s="965"/>
      <c r="Z173" s="965"/>
    </row>
    <row r="174">
      <c r="A174" s="965"/>
      <c r="B174" s="965"/>
      <c r="C174" s="965"/>
      <c r="D174" s="965"/>
      <c r="E174" s="965"/>
      <c r="F174" s="965"/>
      <c r="G174" s="965"/>
      <c r="H174" s="965"/>
      <c r="I174" s="965"/>
      <c r="J174" s="965"/>
      <c r="K174" s="965"/>
      <c r="L174" s="965"/>
      <c r="M174" s="965"/>
      <c r="N174" s="965"/>
      <c r="O174" s="965"/>
      <c r="P174" s="965"/>
      <c r="Q174" s="965"/>
      <c r="R174" s="965"/>
      <c r="S174" s="965"/>
      <c r="T174" s="965"/>
      <c r="U174" s="965"/>
      <c r="V174" s="965"/>
      <c r="W174" s="965"/>
      <c r="X174" s="965"/>
      <c r="Y174" s="965"/>
      <c r="Z174" s="965"/>
    </row>
    <row r="175">
      <c r="A175" s="965"/>
      <c r="B175" s="965"/>
      <c r="C175" s="965"/>
      <c r="D175" s="965"/>
      <c r="E175" s="965"/>
      <c r="F175" s="965"/>
      <c r="G175" s="965"/>
      <c r="H175" s="965"/>
      <c r="I175" s="965"/>
      <c r="J175" s="965"/>
      <c r="K175" s="965"/>
      <c r="L175" s="965"/>
      <c r="M175" s="965"/>
      <c r="N175" s="965"/>
      <c r="O175" s="965"/>
      <c r="P175" s="965"/>
      <c r="Q175" s="965"/>
      <c r="R175" s="965"/>
      <c r="S175" s="965"/>
      <c r="T175" s="965"/>
      <c r="U175" s="965"/>
      <c r="V175" s="965"/>
      <c r="W175" s="965"/>
      <c r="X175" s="965"/>
      <c r="Y175" s="965"/>
      <c r="Z175" s="965"/>
    </row>
    <row r="176">
      <c r="A176" s="965"/>
      <c r="B176" s="965"/>
      <c r="C176" s="965"/>
      <c r="D176" s="965"/>
      <c r="E176" s="965"/>
      <c r="F176" s="965"/>
      <c r="G176" s="965"/>
      <c r="H176" s="965"/>
      <c r="I176" s="965"/>
      <c r="J176" s="965"/>
      <c r="K176" s="965"/>
      <c r="L176" s="965"/>
      <c r="M176" s="965"/>
      <c r="N176" s="965"/>
      <c r="O176" s="965"/>
      <c r="P176" s="965"/>
      <c r="Q176" s="965"/>
      <c r="R176" s="965"/>
      <c r="S176" s="965"/>
      <c r="T176" s="965"/>
      <c r="U176" s="965"/>
      <c r="V176" s="965"/>
      <c r="W176" s="965"/>
      <c r="X176" s="965"/>
      <c r="Y176" s="965"/>
      <c r="Z176" s="965"/>
    </row>
    <row r="177">
      <c r="A177" s="965"/>
      <c r="B177" s="965"/>
      <c r="C177" s="965"/>
      <c r="D177" s="965"/>
      <c r="E177" s="965"/>
      <c r="F177" s="965"/>
      <c r="G177" s="965"/>
      <c r="H177" s="965"/>
      <c r="I177" s="965"/>
      <c r="J177" s="965"/>
      <c r="K177" s="965"/>
      <c r="L177" s="965"/>
      <c r="M177" s="965"/>
      <c r="N177" s="965"/>
      <c r="O177" s="965"/>
      <c r="P177" s="965"/>
      <c r="Q177" s="965"/>
      <c r="R177" s="965"/>
      <c r="S177" s="965"/>
      <c r="T177" s="965"/>
      <c r="U177" s="965"/>
      <c r="V177" s="965"/>
      <c r="W177" s="965"/>
      <c r="X177" s="965"/>
      <c r="Y177" s="965"/>
      <c r="Z177" s="965"/>
    </row>
    <row r="178">
      <c r="A178" s="965"/>
      <c r="B178" s="965"/>
      <c r="C178" s="965"/>
      <c r="D178" s="965"/>
      <c r="E178" s="965"/>
      <c r="F178" s="965"/>
      <c r="G178" s="965"/>
      <c r="H178" s="965"/>
      <c r="I178" s="965"/>
      <c r="J178" s="965"/>
      <c r="K178" s="965"/>
      <c r="L178" s="965"/>
      <c r="M178" s="965"/>
      <c r="N178" s="965"/>
      <c r="O178" s="965"/>
      <c r="P178" s="965"/>
      <c r="Q178" s="965"/>
      <c r="R178" s="965"/>
      <c r="S178" s="965"/>
      <c r="T178" s="965"/>
      <c r="U178" s="965"/>
      <c r="V178" s="965"/>
      <c r="W178" s="965"/>
      <c r="X178" s="965"/>
      <c r="Y178" s="965"/>
      <c r="Z178" s="965"/>
    </row>
    <row r="179">
      <c r="A179" s="965"/>
      <c r="B179" s="965"/>
      <c r="C179" s="965"/>
      <c r="D179" s="965"/>
      <c r="E179" s="965"/>
      <c r="F179" s="965"/>
      <c r="G179" s="965"/>
      <c r="H179" s="965"/>
      <c r="I179" s="965"/>
      <c r="J179" s="965"/>
      <c r="K179" s="965"/>
      <c r="L179" s="965"/>
      <c r="M179" s="965"/>
      <c r="N179" s="965"/>
      <c r="O179" s="965"/>
      <c r="P179" s="965"/>
      <c r="Q179" s="965"/>
      <c r="R179" s="965"/>
      <c r="S179" s="965"/>
      <c r="T179" s="965"/>
      <c r="U179" s="965"/>
      <c r="V179" s="965"/>
      <c r="W179" s="965"/>
      <c r="X179" s="965"/>
      <c r="Y179" s="965"/>
      <c r="Z179" s="965"/>
    </row>
    <row r="180">
      <c r="A180" s="965"/>
      <c r="B180" s="965"/>
      <c r="C180" s="965"/>
      <c r="D180" s="965"/>
      <c r="E180" s="965"/>
      <c r="F180" s="965"/>
      <c r="G180" s="965"/>
      <c r="H180" s="965"/>
      <c r="I180" s="965"/>
      <c r="J180" s="965"/>
      <c r="K180" s="965"/>
      <c r="L180" s="965"/>
      <c r="M180" s="965"/>
      <c r="N180" s="965"/>
      <c r="O180" s="965"/>
      <c r="P180" s="965"/>
      <c r="Q180" s="965"/>
      <c r="R180" s="965"/>
      <c r="S180" s="965"/>
      <c r="T180" s="965"/>
      <c r="U180" s="965"/>
      <c r="V180" s="965"/>
      <c r="W180" s="965"/>
      <c r="X180" s="965"/>
      <c r="Y180" s="965"/>
      <c r="Z180" s="965"/>
    </row>
    <row r="181">
      <c r="A181" s="965"/>
      <c r="B181" s="965"/>
      <c r="C181" s="965"/>
      <c r="D181" s="965"/>
      <c r="E181" s="965"/>
      <c r="F181" s="965"/>
      <c r="G181" s="965"/>
      <c r="H181" s="965"/>
      <c r="I181" s="965"/>
      <c r="J181" s="965"/>
      <c r="K181" s="965"/>
      <c r="L181" s="965"/>
      <c r="M181" s="965"/>
      <c r="N181" s="965"/>
      <c r="O181" s="965"/>
      <c r="P181" s="965"/>
      <c r="Q181" s="965"/>
      <c r="R181" s="965"/>
      <c r="S181" s="965"/>
      <c r="T181" s="965"/>
      <c r="U181" s="965"/>
      <c r="V181" s="965"/>
      <c r="W181" s="965"/>
      <c r="X181" s="965"/>
      <c r="Y181" s="965"/>
      <c r="Z181" s="965"/>
    </row>
    <row r="182">
      <c r="A182" s="965"/>
      <c r="B182" s="965"/>
      <c r="C182" s="965"/>
      <c r="D182" s="965"/>
      <c r="E182" s="965"/>
      <c r="F182" s="965"/>
      <c r="G182" s="965"/>
      <c r="H182" s="965"/>
      <c r="I182" s="965"/>
      <c r="J182" s="965"/>
      <c r="K182" s="965"/>
      <c r="L182" s="965"/>
      <c r="M182" s="965"/>
      <c r="N182" s="965"/>
      <c r="O182" s="965"/>
      <c r="P182" s="965"/>
      <c r="Q182" s="965"/>
      <c r="R182" s="965"/>
      <c r="S182" s="965"/>
      <c r="T182" s="965"/>
      <c r="U182" s="965"/>
      <c r="V182" s="965"/>
      <c r="W182" s="965"/>
      <c r="X182" s="965"/>
      <c r="Y182" s="965"/>
      <c r="Z182" s="965"/>
    </row>
    <row r="183">
      <c r="A183" s="965"/>
      <c r="B183" s="965"/>
      <c r="C183" s="965"/>
      <c r="D183" s="965"/>
      <c r="E183" s="965"/>
      <c r="F183" s="965"/>
      <c r="G183" s="965"/>
      <c r="H183" s="965"/>
      <c r="I183" s="965"/>
      <c r="J183" s="965"/>
      <c r="K183" s="965"/>
      <c r="L183" s="965"/>
      <c r="M183" s="965"/>
      <c r="N183" s="965"/>
      <c r="O183" s="965"/>
      <c r="P183" s="965"/>
      <c r="Q183" s="965"/>
      <c r="R183" s="965"/>
      <c r="S183" s="965"/>
      <c r="T183" s="965"/>
      <c r="U183" s="965"/>
      <c r="V183" s="965"/>
      <c r="W183" s="965"/>
      <c r="X183" s="965"/>
      <c r="Y183" s="965"/>
      <c r="Z183" s="965"/>
    </row>
    <row r="184">
      <c r="A184" s="965"/>
      <c r="B184" s="965"/>
      <c r="C184" s="965"/>
      <c r="D184" s="965"/>
      <c r="E184" s="965"/>
      <c r="F184" s="965"/>
      <c r="G184" s="965"/>
      <c r="H184" s="965"/>
      <c r="I184" s="965"/>
      <c r="J184" s="965"/>
      <c r="K184" s="965"/>
      <c r="L184" s="965"/>
      <c r="M184" s="965"/>
      <c r="N184" s="965"/>
      <c r="O184" s="965"/>
      <c r="P184" s="965"/>
      <c r="Q184" s="965"/>
      <c r="R184" s="965"/>
      <c r="S184" s="965"/>
      <c r="T184" s="965"/>
      <c r="U184" s="965"/>
      <c r="V184" s="965"/>
      <c r="W184" s="965"/>
      <c r="X184" s="965"/>
      <c r="Y184" s="965"/>
      <c r="Z184" s="965"/>
    </row>
    <row r="185">
      <c r="A185" s="965"/>
      <c r="B185" s="965"/>
      <c r="C185" s="965"/>
      <c r="D185" s="965"/>
      <c r="E185" s="965"/>
      <c r="F185" s="965"/>
      <c r="G185" s="965"/>
      <c r="H185" s="965"/>
      <c r="I185" s="965"/>
      <c r="J185" s="965"/>
      <c r="K185" s="965"/>
      <c r="L185" s="965"/>
      <c r="M185" s="965"/>
      <c r="N185" s="965"/>
      <c r="O185" s="965"/>
      <c r="P185" s="965"/>
      <c r="Q185" s="965"/>
      <c r="R185" s="965"/>
      <c r="S185" s="965"/>
      <c r="T185" s="965"/>
      <c r="U185" s="965"/>
      <c r="V185" s="965"/>
      <c r="W185" s="965"/>
      <c r="X185" s="965"/>
      <c r="Y185" s="965"/>
      <c r="Z185" s="965"/>
    </row>
    <row r="186">
      <c r="A186" s="965"/>
      <c r="B186" s="965"/>
      <c r="C186" s="965"/>
      <c r="D186" s="965"/>
      <c r="E186" s="965"/>
      <c r="F186" s="965"/>
      <c r="G186" s="965"/>
      <c r="H186" s="965"/>
      <c r="I186" s="965"/>
      <c r="J186" s="965"/>
      <c r="K186" s="965"/>
      <c r="L186" s="965"/>
      <c r="M186" s="965"/>
      <c r="N186" s="965"/>
      <c r="O186" s="965"/>
      <c r="P186" s="965"/>
      <c r="Q186" s="965"/>
      <c r="R186" s="965"/>
      <c r="S186" s="965"/>
      <c r="T186" s="965"/>
      <c r="U186" s="965"/>
      <c r="V186" s="965"/>
      <c r="W186" s="965"/>
      <c r="X186" s="965"/>
      <c r="Y186" s="965"/>
      <c r="Z186" s="965"/>
    </row>
    <row r="187">
      <c r="A187" s="965"/>
      <c r="B187" s="965"/>
      <c r="C187" s="965"/>
      <c r="D187" s="965"/>
      <c r="E187" s="965"/>
      <c r="F187" s="965"/>
      <c r="G187" s="965"/>
      <c r="H187" s="965"/>
      <c r="I187" s="965"/>
      <c r="J187" s="965"/>
      <c r="K187" s="965"/>
      <c r="L187" s="965"/>
      <c r="M187" s="965"/>
      <c r="N187" s="965"/>
      <c r="O187" s="965"/>
      <c r="P187" s="965"/>
      <c r="Q187" s="965"/>
      <c r="R187" s="965"/>
      <c r="S187" s="965"/>
      <c r="T187" s="965"/>
      <c r="U187" s="965"/>
      <c r="V187" s="965"/>
      <c r="W187" s="965"/>
      <c r="X187" s="965"/>
      <c r="Y187" s="965"/>
      <c r="Z187" s="965"/>
    </row>
    <row r="188">
      <c r="A188" s="965"/>
      <c r="B188" s="965"/>
      <c r="C188" s="965"/>
      <c r="D188" s="965"/>
      <c r="E188" s="965"/>
      <c r="F188" s="965"/>
      <c r="G188" s="965"/>
      <c r="H188" s="965"/>
      <c r="I188" s="965"/>
      <c r="J188" s="965"/>
      <c r="K188" s="965"/>
      <c r="L188" s="965"/>
      <c r="M188" s="965"/>
      <c r="N188" s="965"/>
      <c r="O188" s="965"/>
      <c r="P188" s="965"/>
      <c r="Q188" s="965"/>
      <c r="R188" s="965"/>
      <c r="S188" s="965"/>
      <c r="T188" s="965"/>
      <c r="U188" s="965"/>
      <c r="V188" s="965"/>
      <c r="W188" s="965"/>
      <c r="X188" s="965"/>
      <c r="Y188" s="965"/>
      <c r="Z188" s="965"/>
    </row>
    <row r="189">
      <c r="A189" s="965"/>
      <c r="B189" s="965"/>
      <c r="C189" s="965"/>
      <c r="D189" s="965"/>
      <c r="E189" s="965"/>
      <c r="F189" s="965"/>
      <c r="G189" s="965"/>
      <c r="H189" s="965"/>
      <c r="I189" s="965"/>
      <c r="J189" s="965"/>
      <c r="K189" s="965"/>
      <c r="L189" s="965"/>
      <c r="M189" s="965"/>
      <c r="N189" s="965"/>
      <c r="O189" s="965"/>
      <c r="P189" s="965"/>
      <c r="Q189" s="965"/>
      <c r="R189" s="965"/>
      <c r="S189" s="965"/>
      <c r="T189" s="965"/>
      <c r="U189" s="965"/>
      <c r="V189" s="965"/>
      <c r="W189" s="965"/>
      <c r="X189" s="965"/>
      <c r="Y189" s="965"/>
      <c r="Z189" s="965"/>
    </row>
    <row r="190">
      <c r="A190" s="965"/>
      <c r="B190" s="965"/>
      <c r="C190" s="965"/>
      <c r="D190" s="965"/>
      <c r="E190" s="965"/>
      <c r="F190" s="965"/>
      <c r="G190" s="965"/>
      <c r="H190" s="965"/>
      <c r="I190" s="965"/>
      <c r="J190" s="965"/>
      <c r="K190" s="965"/>
      <c r="L190" s="965"/>
      <c r="M190" s="965"/>
      <c r="N190" s="965"/>
      <c r="O190" s="965"/>
      <c r="P190" s="965"/>
      <c r="Q190" s="965"/>
      <c r="R190" s="965"/>
      <c r="S190" s="965"/>
      <c r="T190" s="965"/>
      <c r="U190" s="965"/>
      <c r="V190" s="965"/>
      <c r="W190" s="965"/>
      <c r="X190" s="965"/>
      <c r="Y190" s="965"/>
      <c r="Z190" s="965"/>
    </row>
    <row r="191">
      <c r="A191" s="965"/>
      <c r="B191" s="965"/>
      <c r="C191" s="965"/>
      <c r="D191" s="965"/>
      <c r="E191" s="965"/>
      <c r="F191" s="965"/>
      <c r="G191" s="965"/>
      <c r="H191" s="965"/>
      <c r="I191" s="965"/>
      <c r="J191" s="965"/>
      <c r="K191" s="965"/>
      <c r="L191" s="965"/>
      <c r="M191" s="965"/>
      <c r="N191" s="965"/>
      <c r="O191" s="965"/>
      <c r="P191" s="965"/>
      <c r="Q191" s="965"/>
      <c r="R191" s="965"/>
      <c r="S191" s="965"/>
      <c r="T191" s="965"/>
      <c r="U191" s="965"/>
      <c r="V191" s="965"/>
      <c r="W191" s="965"/>
      <c r="X191" s="965"/>
      <c r="Y191" s="965"/>
      <c r="Z191" s="965"/>
    </row>
    <row r="192">
      <c r="A192" s="965"/>
      <c r="B192" s="965"/>
      <c r="C192" s="965"/>
      <c r="D192" s="965"/>
      <c r="E192" s="965"/>
      <c r="F192" s="965"/>
      <c r="G192" s="965"/>
      <c r="H192" s="965"/>
      <c r="I192" s="965"/>
      <c r="J192" s="965"/>
      <c r="K192" s="965"/>
      <c r="L192" s="965"/>
      <c r="M192" s="965"/>
      <c r="N192" s="965"/>
      <c r="O192" s="965"/>
      <c r="P192" s="965"/>
      <c r="Q192" s="965"/>
      <c r="R192" s="965"/>
      <c r="S192" s="965"/>
      <c r="T192" s="965"/>
      <c r="U192" s="965"/>
      <c r="V192" s="965"/>
      <c r="W192" s="965"/>
      <c r="X192" s="965"/>
      <c r="Y192" s="965"/>
      <c r="Z192" s="965"/>
    </row>
    <row r="193">
      <c r="A193" s="965"/>
      <c r="B193" s="965"/>
      <c r="C193" s="965"/>
      <c r="D193" s="965"/>
      <c r="E193" s="965"/>
      <c r="F193" s="965"/>
      <c r="G193" s="965"/>
      <c r="H193" s="965"/>
      <c r="I193" s="965"/>
      <c r="J193" s="965"/>
      <c r="K193" s="965"/>
      <c r="L193" s="965"/>
      <c r="M193" s="965"/>
      <c r="N193" s="965"/>
      <c r="O193" s="965"/>
      <c r="P193" s="965"/>
      <c r="Q193" s="965"/>
      <c r="R193" s="965"/>
      <c r="S193" s="965"/>
      <c r="T193" s="965"/>
      <c r="U193" s="965"/>
      <c r="V193" s="965"/>
      <c r="W193" s="965"/>
      <c r="X193" s="965"/>
      <c r="Y193" s="965"/>
      <c r="Z193" s="965"/>
    </row>
    <row r="194">
      <c r="A194" s="965"/>
      <c r="B194" s="965"/>
      <c r="C194" s="965"/>
      <c r="D194" s="965"/>
      <c r="E194" s="965"/>
      <c r="F194" s="965"/>
      <c r="G194" s="965"/>
      <c r="H194" s="965"/>
      <c r="I194" s="965"/>
      <c r="J194" s="965"/>
      <c r="K194" s="965"/>
      <c r="L194" s="965"/>
      <c r="M194" s="965"/>
      <c r="N194" s="965"/>
      <c r="O194" s="965"/>
      <c r="P194" s="965"/>
      <c r="Q194" s="965"/>
      <c r="R194" s="965"/>
      <c r="S194" s="965"/>
      <c r="T194" s="965"/>
      <c r="U194" s="965"/>
      <c r="V194" s="965"/>
      <c r="W194" s="965"/>
      <c r="X194" s="965"/>
      <c r="Y194" s="965"/>
      <c r="Z194" s="965"/>
    </row>
    <row r="195">
      <c r="A195" s="965"/>
      <c r="B195" s="965"/>
      <c r="C195" s="965"/>
      <c r="D195" s="965"/>
      <c r="E195" s="965"/>
      <c r="F195" s="965"/>
      <c r="G195" s="965"/>
      <c r="H195" s="965"/>
      <c r="I195" s="965"/>
      <c r="J195" s="965"/>
      <c r="K195" s="965"/>
      <c r="L195" s="965"/>
      <c r="M195" s="965"/>
      <c r="N195" s="965"/>
      <c r="O195" s="965"/>
      <c r="P195" s="965"/>
      <c r="Q195" s="965"/>
      <c r="R195" s="965"/>
      <c r="S195" s="965"/>
      <c r="T195" s="965"/>
      <c r="U195" s="965"/>
      <c r="V195" s="965"/>
      <c r="W195" s="965"/>
      <c r="X195" s="965"/>
      <c r="Y195" s="965"/>
      <c r="Z195" s="965"/>
    </row>
    <row r="196">
      <c r="A196" s="965"/>
      <c r="B196" s="965"/>
      <c r="C196" s="965"/>
      <c r="D196" s="965"/>
      <c r="E196" s="965"/>
      <c r="F196" s="965"/>
      <c r="G196" s="965"/>
      <c r="H196" s="965"/>
      <c r="I196" s="965"/>
      <c r="J196" s="965"/>
      <c r="K196" s="965"/>
      <c r="L196" s="965"/>
      <c r="M196" s="965"/>
      <c r="N196" s="965"/>
      <c r="O196" s="965"/>
      <c r="P196" s="965"/>
      <c r="Q196" s="965"/>
      <c r="R196" s="965"/>
      <c r="S196" s="965"/>
      <c r="T196" s="965"/>
      <c r="U196" s="965"/>
      <c r="V196" s="965"/>
      <c r="W196" s="965"/>
      <c r="X196" s="965"/>
      <c r="Y196" s="965"/>
      <c r="Z196" s="965"/>
    </row>
    <row r="197">
      <c r="A197" s="965"/>
      <c r="B197" s="965"/>
      <c r="C197" s="965"/>
      <c r="D197" s="965"/>
      <c r="E197" s="965"/>
      <c r="F197" s="965"/>
      <c r="G197" s="965"/>
      <c r="H197" s="965"/>
      <c r="I197" s="965"/>
      <c r="J197" s="965"/>
      <c r="K197" s="965"/>
      <c r="L197" s="965"/>
      <c r="M197" s="965"/>
      <c r="N197" s="965"/>
      <c r="O197" s="965"/>
      <c r="P197" s="965"/>
      <c r="Q197" s="965"/>
      <c r="R197" s="965"/>
      <c r="S197" s="965"/>
      <c r="T197" s="965"/>
      <c r="U197" s="965"/>
      <c r="V197" s="965"/>
      <c r="W197" s="965"/>
      <c r="X197" s="965"/>
      <c r="Y197" s="965"/>
      <c r="Z197" s="965"/>
    </row>
    <row r="198">
      <c r="A198" s="965"/>
      <c r="B198" s="965"/>
      <c r="C198" s="965"/>
      <c r="D198" s="965"/>
      <c r="E198" s="965"/>
      <c r="F198" s="965"/>
      <c r="G198" s="965"/>
      <c r="H198" s="965"/>
      <c r="I198" s="965"/>
      <c r="J198" s="965"/>
      <c r="K198" s="965"/>
      <c r="L198" s="965"/>
      <c r="M198" s="965"/>
      <c r="N198" s="965"/>
      <c r="O198" s="965"/>
      <c r="P198" s="965"/>
      <c r="Q198" s="965"/>
      <c r="R198" s="965"/>
      <c r="S198" s="965"/>
      <c r="T198" s="965"/>
      <c r="U198" s="965"/>
      <c r="V198" s="965"/>
      <c r="W198" s="965"/>
      <c r="X198" s="965"/>
      <c r="Y198" s="965"/>
      <c r="Z198" s="965"/>
    </row>
    <row r="199">
      <c r="A199" s="965"/>
      <c r="B199" s="965"/>
      <c r="C199" s="965"/>
      <c r="D199" s="965"/>
      <c r="E199" s="965"/>
      <c r="F199" s="965"/>
      <c r="G199" s="965"/>
      <c r="H199" s="965"/>
      <c r="I199" s="965"/>
      <c r="J199" s="965"/>
      <c r="K199" s="965"/>
      <c r="L199" s="965"/>
      <c r="M199" s="965"/>
      <c r="N199" s="965"/>
      <c r="O199" s="965"/>
      <c r="P199" s="965"/>
      <c r="Q199" s="965"/>
      <c r="R199" s="965"/>
      <c r="S199" s="965"/>
      <c r="T199" s="965"/>
      <c r="U199" s="965"/>
      <c r="V199" s="965"/>
      <c r="W199" s="965"/>
      <c r="X199" s="965"/>
      <c r="Y199" s="965"/>
      <c r="Z199" s="965"/>
    </row>
    <row r="200">
      <c r="A200" s="965"/>
      <c r="B200" s="965"/>
      <c r="C200" s="965"/>
      <c r="D200" s="965"/>
      <c r="E200" s="965"/>
      <c r="F200" s="965"/>
      <c r="G200" s="965"/>
      <c r="H200" s="965"/>
      <c r="I200" s="965"/>
      <c r="J200" s="965"/>
      <c r="K200" s="965"/>
      <c r="L200" s="965"/>
      <c r="M200" s="965"/>
      <c r="N200" s="965"/>
      <c r="O200" s="965"/>
      <c r="P200" s="965"/>
      <c r="Q200" s="965"/>
      <c r="R200" s="965"/>
      <c r="S200" s="965"/>
      <c r="T200" s="965"/>
      <c r="U200" s="965"/>
      <c r="V200" s="965"/>
      <c r="W200" s="965"/>
      <c r="X200" s="965"/>
      <c r="Y200" s="965"/>
      <c r="Z200" s="965"/>
    </row>
    <row r="201">
      <c r="A201" s="965"/>
      <c r="B201" s="965"/>
      <c r="C201" s="965"/>
      <c r="D201" s="965"/>
      <c r="E201" s="965"/>
      <c r="F201" s="965"/>
      <c r="G201" s="965"/>
      <c r="H201" s="965"/>
      <c r="I201" s="965"/>
      <c r="J201" s="965"/>
      <c r="K201" s="965"/>
      <c r="L201" s="965"/>
      <c r="M201" s="965"/>
      <c r="N201" s="965"/>
      <c r="O201" s="965"/>
      <c r="P201" s="965"/>
      <c r="Q201" s="965"/>
      <c r="R201" s="965"/>
      <c r="S201" s="965"/>
      <c r="T201" s="965"/>
      <c r="U201" s="965"/>
      <c r="V201" s="965"/>
      <c r="W201" s="965"/>
      <c r="X201" s="965"/>
      <c r="Y201" s="965"/>
      <c r="Z201" s="965"/>
    </row>
    <row r="202">
      <c r="A202" s="965"/>
      <c r="B202" s="965"/>
      <c r="C202" s="965"/>
      <c r="D202" s="965"/>
      <c r="E202" s="965"/>
      <c r="F202" s="965"/>
      <c r="G202" s="965"/>
      <c r="H202" s="965"/>
      <c r="I202" s="965"/>
      <c r="J202" s="965"/>
      <c r="K202" s="965"/>
      <c r="L202" s="965"/>
      <c r="M202" s="965"/>
      <c r="N202" s="965"/>
      <c r="O202" s="965"/>
      <c r="P202" s="965"/>
      <c r="Q202" s="965"/>
      <c r="R202" s="965"/>
      <c r="S202" s="965"/>
      <c r="T202" s="965"/>
      <c r="U202" s="965"/>
      <c r="V202" s="965"/>
      <c r="W202" s="965"/>
      <c r="X202" s="965"/>
      <c r="Y202" s="965"/>
      <c r="Z202" s="965"/>
    </row>
    <row r="203">
      <c r="A203" s="965"/>
      <c r="B203" s="965"/>
      <c r="C203" s="965"/>
      <c r="D203" s="965"/>
      <c r="E203" s="965"/>
      <c r="F203" s="965"/>
      <c r="G203" s="965"/>
      <c r="H203" s="965"/>
      <c r="I203" s="965"/>
      <c r="J203" s="965"/>
      <c r="K203" s="965"/>
      <c r="L203" s="965"/>
      <c r="M203" s="965"/>
      <c r="N203" s="965"/>
      <c r="O203" s="965"/>
      <c r="P203" s="965"/>
      <c r="Q203" s="965"/>
      <c r="R203" s="965"/>
      <c r="S203" s="965"/>
      <c r="T203" s="965"/>
      <c r="U203" s="965"/>
      <c r="V203" s="965"/>
      <c r="W203" s="965"/>
      <c r="X203" s="965"/>
      <c r="Y203" s="965"/>
      <c r="Z203" s="965"/>
    </row>
    <row r="204">
      <c r="A204" s="965"/>
      <c r="B204" s="965"/>
      <c r="C204" s="965"/>
      <c r="D204" s="965"/>
      <c r="E204" s="965"/>
      <c r="F204" s="965"/>
      <c r="G204" s="965"/>
      <c r="H204" s="965"/>
      <c r="I204" s="965"/>
      <c r="J204" s="965"/>
      <c r="K204" s="965"/>
      <c r="L204" s="965"/>
      <c r="M204" s="965"/>
      <c r="N204" s="965"/>
      <c r="O204" s="965"/>
      <c r="P204" s="965"/>
      <c r="Q204" s="965"/>
      <c r="R204" s="965"/>
      <c r="S204" s="965"/>
      <c r="T204" s="965"/>
      <c r="U204" s="965"/>
      <c r="V204" s="965"/>
      <c r="W204" s="965"/>
      <c r="X204" s="965"/>
      <c r="Y204" s="965"/>
      <c r="Z204" s="965"/>
    </row>
    <row r="205">
      <c r="A205" s="965"/>
      <c r="B205" s="965"/>
      <c r="C205" s="965"/>
      <c r="D205" s="965"/>
      <c r="E205" s="965"/>
      <c r="F205" s="965"/>
      <c r="G205" s="965"/>
      <c r="H205" s="965"/>
      <c r="I205" s="965"/>
      <c r="J205" s="965"/>
      <c r="K205" s="965"/>
      <c r="L205" s="965"/>
      <c r="M205" s="965"/>
      <c r="N205" s="965"/>
      <c r="O205" s="965"/>
      <c r="P205" s="965"/>
      <c r="Q205" s="965"/>
      <c r="R205" s="965"/>
      <c r="S205" s="965"/>
      <c r="T205" s="965"/>
      <c r="U205" s="965"/>
      <c r="V205" s="965"/>
      <c r="W205" s="965"/>
      <c r="X205" s="965"/>
      <c r="Y205" s="965"/>
      <c r="Z205" s="965"/>
    </row>
    <row r="206">
      <c r="A206" s="965"/>
      <c r="B206" s="965"/>
      <c r="C206" s="965"/>
      <c r="D206" s="965"/>
      <c r="E206" s="965"/>
      <c r="F206" s="965"/>
      <c r="G206" s="965"/>
      <c r="H206" s="965"/>
      <c r="I206" s="965"/>
      <c r="J206" s="965"/>
      <c r="K206" s="965"/>
      <c r="L206" s="965"/>
      <c r="M206" s="965"/>
      <c r="N206" s="965"/>
      <c r="O206" s="965"/>
      <c r="P206" s="965"/>
      <c r="Q206" s="965"/>
      <c r="R206" s="965"/>
      <c r="S206" s="965"/>
      <c r="T206" s="965"/>
      <c r="U206" s="965"/>
      <c r="V206" s="965"/>
      <c r="W206" s="965"/>
      <c r="X206" s="965"/>
      <c r="Y206" s="965"/>
      <c r="Z206" s="965"/>
    </row>
    <row r="207">
      <c r="A207" s="965"/>
      <c r="B207" s="965"/>
      <c r="C207" s="965"/>
      <c r="D207" s="965"/>
      <c r="E207" s="965"/>
      <c r="F207" s="965"/>
      <c r="G207" s="965"/>
      <c r="H207" s="965"/>
      <c r="I207" s="965"/>
      <c r="J207" s="965"/>
      <c r="K207" s="965"/>
      <c r="L207" s="965"/>
      <c r="M207" s="965"/>
      <c r="N207" s="965"/>
      <c r="O207" s="965"/>
      <c r="P207" s="965"/>
      <c r="Q207" s="965"/>
      <c r="R207" s="965"/>
      <c r="S207" s="965"/>
      <c r="T207" s="965"/>
      <c r="U207" s="965"/>
      <c r="V207" s="965"/>
      <c r="W207" s="965"/>
      <c r="X207" s="965"/>
      <c r="Y207" s="965"/>
      <c r="Z207" s="965"/>
    </row>
    <row r="208">
      <c r="A208" s="965"/>
      <c r="B208" s="965"/>
      <c r="C208" s="965"/>
      <c r="D208" s="965"/>
      <c r="E208" s="965"/>
      <c r="F208" s="965"/>
      <c r="G208" s="965"/>
      <c r="H208" s="965"/>
      <c r="I208" s="965"/>
      <c r="J208" s="965"/>
      <c r="K208" s="965"/>
      <c r="L208" s="965"/>
      <c r="M208" s="965"/>
      <c r="N208" s="965"/>
      <c r="O208" s="965"/>
      <c r="P208" s="965"/>
      <c r="Q208" s="965"/>
      <c r="R208" s="965"/>
      <c r="S208" s="965"/>
      <c r="T208" s="965"/>
      <c r="U208" s="965"/>
      <c r="V208" s="965"/>
      <c r="W208" s="965"/>
      <c r="X208" s="965"/>
      <c r="Y208" s="965"/>
      <c r="Z208" s="965"/>
    </row>
    <row r="209">
      <c r="A209" s="965"/>
      <c r="B209" s="965"/>
      <c r="C209" s="965"/>
      <c r="D209" s="965"/>
      <c r="E209" s="965"/>
      <c r="F209" s="965"/>
      <c r="G209" s="965"/>
      <c r="H209" s="965"/>
      <c r="I209" s="965"/>
      <c r="J209" s="965"/>
      <c r="K209" s="965"/>
      <c r="L209" s="965"/>
      <c r="M209" s="965"/>
      <c r="N209" s="965"/>
      <c r="O209" s="965"/>
      <c r="P209" s="965"/>
      <c r="Q209" s="965"/>
      <c r="R209" s="965"/>
      <c r="S209" s="965"/>
      <c r="T209" s="965"/>
      <c r="U209" s="965"/>
      <c r="V209" s="965"/>
      <c r="W209" s="965"/>
      <c r="X209" s="965"/>
      <c r="Y209" s="965"/>
      <c r="Z209" s="965"/>
    </row>
    <row r="210">
      <c r="A210" s="965"/>
      <c r="B210" s="965"/>
      <c r="C210" s="965"/>
      <c r="D210" s="965"/>
      <c r="E210" s="965"/>
      <c r="F210" s="965"/>
      <c r="G210" s="965"/>
      <c r="H210" s="965"/>
      <c r="I210" s="965"/>
      <c r="J210" s="965"/>
      <c r="K210" s="965"/>
      <c r="L210" s="965"/>
      <c r="M210" s="965"/>
      <c r="N210" s="965"/>
      <c r="O210" s="965"/>
      <c r="P210" s="965"/>
      <c r="Q210" s="965"/>
      <c r="R210" s="965"/>
      <c r="S210" s="965"/>
      <c r="T210" s="965"/>
      <c r="U210" s="965"/>
      <c r="V210" s="965"/>
      <c r="W210" s="965"/>
      <c r="X210" s="965"/>
      <c r="Y210" s="965"/>
      <c r="Z210" s="965"/>
    </row>
    <row r="211">
      <c r="A211" s="965"/>
      <c r="B211" s="965"/>
      <c r="C211" s="965"/>
      <c r="D211" s="965"/>
      <c r="E211" s="965"/>
      <c r="F211" s="965"/>
      <c r="G211" s="965"/>
      <c r="H211" s="965"/>
      <c r="I211" s="965"/>
      <c r="J211" s="965"/>
      <c r="K211" s="965"/>
      <c r="L211" s="965"/>
      <c r="M211" s="965"/>
      <c r="N211" s="965"/>
      <c r="O211" s="965"/>
      <c r="P211" s="965"/>
      <c r="Q211" s="965"/>
      <c r="R211" s="965"/>
      <c r="S211" s="965"/>
      <c r="T211" s="965"/>
      <c r="U211" s="965"/>
      <c r="V211" s="965"/>
      <c r="W211" s="965"/>
      <c r="X211" s="965"/>
      <c r="Y211" s="965"/>
      <c r="Z211" s="965"/>
    </row>
    <row r="212">
      <c r="A212" s="965"/>
      <c r="B212" s="965"/>
      <c r="C212" s="965"/>
      <c r="D212" s="965"/>
      <c r="E212" s="965"/>
      <c r="F212" s="965"/>
      <c r="G212" s="965"/>
      <c r="H212" s="965"/>
      <c r="I212" s="965"/>
      <c r="J212" s="965"/>
      <c r="K212" s="965"/>
      <c r="L212" s="965"/>
      <c r="M212" s="965"/>
      <c r="N212" s="965"/>
      <c r="O212" s="965"/>
      <c r="P212" s="965"/>
      <c r="Q212" s="965"/>
      <c r="R212" s="965"/>
      <c r="S212" s="965"/>
      <c r="T212" s="965"/>
      <c r="U212" s="965"/>
      <c r="V212" s="965"/>
      <c r="W212" s="965"/>
      <c r="X212" s="965"/>
      <c r="Y212" s="965"/>
      <c r="Z212" s="965"/>
    </row>
    <row r="213">
      <c r="A213" s="965"/>
      <c r="B213" s="965"/>
      <c r="C213" s="965"/>
      <c r="D213" s="965"/>
      <c r="E213" s="965"/>
      <c r="F213" s="965"/>
      <c r="G213" s="965"/>
      <c r="H213" s="965"/>
      <c r="I213" s="965"/>
      <c r="J213" s="965"/>
      <c r="K213" s="965"/>
      <c r="L213" s="965"/>
      <c r="M213" s="965"/>
      <c r="N213" s="965"/>
      <c r="O213" s="965"/>
      <c r="P213" s="965"/>
      <c r="Q213" s="965"/>
      <c r="R213" s="965"/>
      <c r="S213" s="965"/>
      <c r="T213" s="965"/>
      <c r="U213" s="965"/>
      <c r="V213" s="965"/>
      <c r="W213" s="965"/>
      <c r="X213" s="965"/>
      <c r="Y213" s="965"/>
      <c r="Z213" s="965"/>
    </row>
    <row r="214">
      <c r="A214" s="965"/>
      <c r="B214" s="965"/>
      <c r="C214" s="965"/>
      <c r="D214" s="965"/>
      <c r="E214" s="965"/>
      <c r="F214" s="965"/>
      <c r="G214" s="965"/>
      <c r="H214" s="965"/>
      <c r="I214" s="965"/>
      <c r="J214" s="965"/>
      <c r="K214" s="965"/>
      <c r="L214" s="965"/>
      <c r="M214" s="965"/>
      <c r="N214" s="965"/>
      <c r="O214" s="965"/>
      <c r="P214" s="965"/>
      <c r="Q214" s="965"/>
      <c r="R214" s="965"/>
      <c r="S214" s="965"/>
      <c r="T214" s="965"/>
      <c r="U214" s="965"/>
      <c r="V214" s="965"/>
      <c r="W214" s="965"/>
      <c r="X214" s="965"/>
      <c r="Y214" s="965"/>
      <c r="Z214" s="965"/>
    </row>
    <row r="215">
      <c r="A215" s="965"/>
      <c r="B215" s="965"/>
      <c r="C215" s="965"/>
      <c r="D215" s="965"/>
      <c r="E215" s="965"/>
      <c r="F215" s="965"/>
      <c r="G215" s="965"/>
      <c r="H215" s="965"/>
      <c r="I215" s="965"/>
      <c r="J215" s="965"/>
      <c r="K215" s="965"/>
      <c r="L215" s="965"/>
      <c r="M215" s="965"/>
      <c r="N215" s="965"/>
      <c r="O215" s="965"/>
      <c r="P215" s="965"/>
      <c r="Q215" s="965"/>
      <c r="R215" s="965"/>
      <c r="S215" s="965"/>
      <c r="T215" s="965"/>
      <c r="U215" s="965"/>
      <c r="V215" s="965"/>
      <c r="W215" s="965"/>
      <c r="X215" s="965"/>
      <c r="Y215" s="965"/>
      <c r="Z215" s="965"/>
    </row>
    <row r="216">
      <c r="A216" s="965"/>
      <c r="B216" s="965"/>
      <c r="C216" s="965"/>
      <c r="D216" s="965"/>
      <c r="E216" s="965"/>
      <c r="F216" s="965"/>
      <c r="G216" s="965"/>
      <c r="H216" s="965"/>
      <c r="I216" s="965"/>
      <c r="J216" s="965"/>
      <c r="K216" s="965"/>
      <c r="L216" s="965"/>
      <c r="M216" s="965"/>
      <c r="N216" s="965"/>
      <c r="O216" s="965"/>
      <c r="P216" s="965"/>
      <c r="Q216" s="965"/>
      <c r="R216" s="965"/>
      <c r="S216" s="965"/>
      <c r="T216" s="965"/>
      <c r="U216" s="965"/>
      <c r="V216" s="965"/>
      <c r="W216" s="965"/>
      <c r="X216" s="965"/>
      <c r="Y216" s="965"/>
      <c r="Z216" s="965"/>
    </row>
    <row r="217">
      <c r="A217" s="965"/>
      <c r="B217" s="965"/>
      <c r="C217" s="965"/>
      <c r="D217" s="965"/>
      <c r="E217" s="965"/>
      <c r="F217" s="965"/>
      <c r="G217" s="965"/>
      <c r="H217" s="965"/>
      <c r="I217" s="965"/>
      <c r="J217" s="965"/>
      <c r="K217" s="965"/>
      <c r="L217" s="965"/>
      <c r="M217" s="965"/>
      <c r="N217" s="965"/>
      <c r="O217" s="965"/>
      <c r="P217" s="965"/>
      <c r="Q217" s="965"/>
      <c r="R217" s="965"/>
      <c r="S217" s="965"/>
      <c r="T217" s="965"/>
      <c r="U217" s="965"/>
      <c r="V217" s="965"/>
      <c r="W217" s="965"/>
      <c r="X217" s="965"/>
      <c r="Y217" s="965"/>
      <c r="Z217" s="965"/>
    </row>
    <row r="218">
      <c r="A218" s="965"/>
      <c r="B218" s="965"/>
      <c r="C218" s="965"/>
      <c r="D218" s="965"/>
      <c r="E218" s="965"/>
      <c r="F218" s="965"/>
      <c r="G218" s="965"/>
      <c r="H218" s="965"/>
      <c r="I218" s="965"/>
      <c r="J218" s="965"/>
      <c r="K218" s="965"/>
      <c r="L218" s="965"/>
      <c r="M218" s="965"/>
      <c r="N218" s="965"/>
      <c r="O218" s="965"/>
      <c r="P218" s="965"/>
      <c r="Q218" s="965"/>
      <c r="R218" s="965"/>
      <c r="S218" s="965"/>
      <c r="T218" s="965"/>
      <c r="U218" s="965"/>
      <c r="V218" s="965"/>
      <c r="W218" s="965"/>
      <c r="X218" s="965"/>
      <c r="Y218" s="965"/>
      <c r="Z218" s="965"/>
    </row>
    <row r="219">
      <c r="A219" s="965"/>
      <c r="B219" s="965"/>
      <c r="C219" s="965"/>
      <c r="D219" s="965"/>
      <c r="E219" s="965"/>
      <c r="F219" s="965"/>
      <c r="G219" s="965"/>
      <c r="H219" s="965"/>
      <c r="I219" s="965"/>
      <c r="J219" s="965"/>
      <c r="K219" s="965"/>
      <c r="L219" s="965"/>
      <c r="M219" s="965"/>
      <c r="N219" s="965"/>
      <c r="O219" s="965"/>
      <c r="P219" s="965"/>
      <c r="Q219" s="965"/>
      <c r="R219" s="965"/>
      <c r="S219" s="965"/>
      <c r="T219" s="965"/>
      <c r="U219" s="965"/>
      <c r="V219" s="965"/>
      <c r="W219" s="965"/>
      <c r="X219" s="965"/>
      <c r="Y219" s="965"/>
      <c r="Z219" s="965"/>
    </row>
    <row r="220">
      <c r="A220" s="965"/>
      <c r="B220" s="965"/>
      <c r="C220" s="965"/>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row>
    <row r="221">
      <c r="A221" s="965"/>
      <c r="B221" s="965"/>
      <c r="C221" s="965"/>
      <c r="D221" s="965"/>
      <c r="E221" s="965"/>
      <c r="F221" s="965"/>
      <c r="G221" s="965"/>
      <c r="H221" s="965"/>
      <c r="I221" s="965"/>
      <c r="J221" s="965"/>
      <c r="K221" s="965"/>
      <c r="L221" s="965"/>
      <c r="M221" s="965"/>
      <c r="N221" s="965"/>
      <c r="O221" s="965"/>
      <c r="P221" s="965"/>
      <c r="Q221" s="965"/>
      <c r="R221" s="965"/>
      <c r="S221" s="965"/>
      <c r="T221" s="965"/>
      <c r="U221" s="965"/>
      <c r="V221" s="965"/>
      <c r="W221" s="965"/>
      <c r="X221" s="965"/>
      <c r="Y221" s="965"/>
      <c r="Z221" s="965"/>
    </row>
    <row r="222">
      <c r="A222" s="965"/>
      <c r="B222" s="965"/>
      <c r="C222" s="965"/>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row>
    <row r="223">
      <c r="A223" s="965"/>
      <c r="B223" s="965"/>
      <c r="C223" s="965"/>
      <c r="D223" s="965"/>
      <c r="E223" s="965"/>
      <c r="F223" s="965"/>
      <c r="G223" s="965"/>
      <c r="H223" s="965"/>
      <c r="I223" s="965"/>
      <c r="J223" s="965"/>
      <c r="K223" s="965"/>
      <c r="L223" s="965"/>
      <c r="M223" s="965"/>
      <c r="N223" s="965"/>
      <c r="O223" s="965"/>
      <c r="P223" s="965"/>
      <c r="Q223" s="965"/>
      <c r="R223" s="965"/>
      <c r="S223" s="965"/>
      <c r="T223" s="965"/>
      <c r="U223" s="965"/>
      <c r="V223" s="965"/>
      <c r="W223" s="965"/>
      <c r="X223" s="965"/>
      <c r="Y223" s="965"/>
      <c r="Z223" s="965"/>
    </row>
    <row r="224">
      <c r="A224" s="965"/>
      <c r="B224" s="965"/>
      <c r="C224" s="965"/>
      <c r="D224" s="965"/>
      <c r="E224" s="965"/>
      <c r="F224" s="965"/>
      <c r="G224" s="965"/>
      <c r="H224" s="965"/>
      <c r="I224" s="965"/>
      <c r="J224" s="965"/>
      <c r="K224" s="965"/>
      <c r="L224" s="965"/>
      <c r="M224" s="965"/>
      <c r="N224" s="965"/>
      <c r="O224" s="965"/>
      <c r="P224" s="965"/>
      <c r="Q224" s="965"/>
      <c r="R224" s="965"/>
      <c r="S224" s="965"/>
      <c r="T224" s="965"/>
      <c r="U224" s="965"/>
      <c r="V224" s="965"/>
      <c r="W224" s="965"/>
      <c r="X224" s="965"/>
      <c r="Y224" s="965"/>
      <c r="Z224" s="965"/>
    </row>
    <row r="225">
      <c r="A225" s="965"/>
      <c r="B225" s="965"/>
      <c r="C225" s="965"/>
      <c r="D225" s="965"/>
      <c r="E225" s="965"/>
      <c r="F225" s="965"/>
      <c r="G225" s="965"/>
      <c r="H225" s="965"/>
      <c r="I225" s="965"/>
      <c r="J225" s="965"/>
      <c r="K225" s="965"/>
      <c r="L225" s="965"/>
      <c r="M225" s="965"/>
      <c r="N225" s="965"/>
      <c r="O225" s="965"/>
      <c r="P225" s="965"/>
      <c r="Q225" s="965"/>
      <c r="R225" s="965"/>
      <c r="S225" s="965"/>
      <c r="T225" s="965"/>
      <c r="U225" s="965"/>
      <c r="V225" s="965"/>
      <c r="W225" s="965"/>
      <c r="X225" s="965"/>
      <c r="Y225" s="965"/>
      <c r="Z225" s="965"/>
    </row>
    <row r="226">
      <c r="A226" s="965"/>
      <c r="B226" s="965"/>
      <c r="C226" s="965"/>
      <c r="D226" s="965"/>
      <c r="E226" s="965"/>
      <c r="F226" s="965"/>
      <c r="G226" s="965"/>
      <c r="H226" s="965"/>
      <c r="I226" s="965"/>
      <c r="J226" s="965"/>
      <c r="K226" s="965"/>
      <c r="L226" s="965"/>
      <c r="M226" s="965"/>
      <c r="N226" s="965"/>
      <c r="O226" s="965"/>
      <c r="P226" s="965"/>
      <c r="Q226" s="965"/>
      <c r="R226" s="965"/>
      <c r="S226" s="965"/>
      <c r="T226" s="965"/>
      <c r="U226" s="965"/>
      <c r="V226" s="965"/>
      <c r="W226" s="965"/>
      <c r="X226" s="965"/>
      <c r="Y226" s="965"/>
      <c r="Z226" s="965"/>
    </row>
    <row r="227">
      <c r="A227" s="965"/>
      <c r="B227" s="965"/>
      <c r="C227" s="965"/>
      <c r="D227" s="965"/>
      <c r="E227" s="965"/>
      <c r="F227" s="965"/>
      <c r="G227" s="965"/>
      <c r="H227" s="965"/>
      <c r="I227" s="965"/>
      <c r="J227" s="965"/>
      <c r="K227" s="965"/>
      <c r="L227" s="965"/>
      <c r="M227" s="965"/>
      <c r="N227" s="965"/>
      <c r="O227" s="965"/>
      <c r="P227" s="965"/>
      <c r="Q227" s="965"/>
      <c r="R227" s="965"/>
      <c r="S227" s="965"/>
      <c r="T227" s="965"/>
      <c r="U227" s="965"/>
      <c r="V227" s="965"/>
      <c r="W227" s="965"/>
      <c r="X227" s="965"/>
      <c r="Y227" s="965"/>
      <c r="Z227" s="965"/>
    </row>
    <row r="228">
      <c r="A228" s="965"/>
      <c r="B228" s="965"/>
      <c r="C228" s="965"/>
      <c r="D228" s="965"/>
      <c r="E228" s="965"/>
      <c r="F228" s="965"/>
      <c r="G228" s="965"/>
      <c r="H228" s="965"/>
      <c r="I228" s="965"/>
      <c r="J228" s="965"/>
      <c r="K228" s="965"/>
      <c r="L228" s="965"/>
      <c r="M228" s="965"/>
      <c r="N228" s="965"/>
      <c r="O228" s="965"/>
      <c r="P228" s="965"/>
      <c r="Q228" s="965"/>
      <c r="R228" s="965"/>
      <c r="S228" s="965"/>
      <c r="T228" s="965"/>
      <c r="U228" s="965"/>
      <c r="V228" s="965"/>
      <c r="W228" s="965"/>
      <c r="X228" s="965"/>
      <c r="Y228" s="965"/>
      <c r="Z228" s="965"/>
    </row>
    <row r="229">
      <c r="A229" s="965"/>
      <c r="B229" s="965"/>
      <c r="C229" s="965"/>
      <c r="D229" s="965"/>
      <c r="E229" s="965"/>
      <c r="F229" s="965"/>
      <c r="G229" s="965"/>
      <c r="H229" s="965"/>
      <c r="I229" s="965"/>
      <c r="J229" s="965"/>
      <c r="K229" s="965"/>
      <c r="L229" s="965"/>
      <c r="M229" s="965"/>
      <c r="N229" s="965"/>
      <c r="O229" s="965"/>
      <c r="P229" s="965"/>
      <c r="Q229" s="965"/>
      <c r="R229" s="965"/>
      <c r="S229" s="965"/>
      <c r="T229" s="965"/>
      <c r="U229" s="965"/>
      <c r="V229" s="965"/>
      <c r="W229" s="965"/>
      <c r="X229" s="965"/>
      <c r="Y229" s="965"/>
      <c r="Z229" s="965"/>
    </row>
    <row r="230">
      <c r="A230" s="965"/>
      <c r="B230" s="965"/>
      <c r="C230" s="965"/>
      <c r="D230" s="965"/>
      <c r="E230" s="965"/>
      <c r="F230" s="965"/>
      <c r="G230" s="965"/>
      <c r="H230" s="965"/>
      <c r="I230" s="965"/>
      <c r="J230" s="965"/>
      <c r="K230" s="965"/>
      <c r="L230" s="965"/>
      <c r="M230" s="965"/>
      <c r="N230" s="965"/>
      <c r="O230" s="965"/>
      <c r="P230" s="965"/>
      <c r="Q230" s="965"/>
      <c r="R230" s="965"/>
      <c r="S230" s="965"/>
      <c r="T230" s="965"/>
      <c r="U230" s="965"/>
      <c r="V230" s="965"/>
      <c r="W230" s="965"/>
      <c r="X230" s="965"/>
      <c r="Y230" s="965"/>
      <c r="Z230" s="965"/>
    </row>
    <row r="231">
      <c r="A231" s="965"/>
      <c r="B231" s="965"/>
      <c r="C231" s="965"/>
      <c r="D231" s="965"/>
      <c r="E231" s="965"/>
      <c r="F231" s="965"/>
      <c r="G231" s="965"/>
      <c r="H231" s="965"/>
      <c r="I231" s="965"/>
      <c r="J231" s="965"/>
      <c r="K231" s="965"/>
      <c r="L231" s="965"/>
      <c r="M231" s="965"/>
      <c r="N231" s="965"/>
      <c r="O231" s="965"/>
      <c r="P231" s="965"/>
      <c r="Q231" s="965"/>
      <c r="R231" s="965"/>
      <c r="S231" s="965"/>
      <c r="T231" s="965"/>
      <c r="U231" s="965"/>
      <c r="V231" s="965"/>
      <c r="W231" s="965"/>
      <c r="X231" s="965"/>
      <c r="Y231" s="965"/>
      <c r="Z231" s="965"/>
    </row>
    <row r="232">
      <c r="A232" s="965"/>
      <c r="B232" s="965"/>
      <c r="C232" s="965"/>
      <c r="D232" s="965"/>
      <c r="E232" s="965"/>
      <c r="F232" s="965"/>
      <c r="G232" s="965"/>
      <c r="H232" s="965"/>
      <c r="I232" s="965"/>
      <c r="J232" s="965"/>
      <c r="K232" s="965"/>
      <c r="L232" s="965"/>
      <c r="M232" s="965"/>
      <c r="N232" s="965"/>
      <c r="O232" s="965"/>
      <c r="P232" s="965"/>
      <c r="Q232" s="965"/>
      <c r="R232" s="965"/>
      <c r="S232" s="965"/>
      <c r="T232" s="965"/>
      <c r="U232" s="965"/>
      <c r="V232" s="965"/>
      <c r="W232" s="965"/>
      <c r="X232" s="965"/>
      <c r="Y232" s="965"/>
      <c r="Z232" s="965"/>
    </row>
    <row r="233">
      <c r="A233" s="965"/>
      <c r="B233" s="965"/>
      <c r="C233" s="965"/>
      <c r="D233" s="965"/>
      <c r="E233" s="965"/>
      <c r="F233" s="965"/>
      <c r="G233" s="965"/>
      <c r="H233" s="965"/>
      <c r="I233" s="965"/>
      <c r="J233" s="965"/>
      <c r="K233" s="965"/>
      <c r="L233" s="965"/>
      <c r="M233" s="965"/>
      <c r="N233" s="965"/>
      <c r="O233" s="965"/>
      <c r="P233" s="965"/>
      <c r="Q233" s="965"/>
      <c r="R233" s="965"/>
      <c r="S233" s="965"/>
      <c r="T233" s="965"/>
      <c r="U233" s="965"/>
      <c r="V233" s="965"/>
      <c r="W233" s="965"/>
      <c r="X233" s="965"/>
      <c r="Y233" s="965"/>
      <c r="Z233" s="965"/>
    </row>
    <row r="234">
      <c r="A234" s="965"/>
      <c r="B234" s="965"/>
      <c r="C234" s="965"/>
      <c r="D234" s="965"/>
      <c r="E234" s="965"/>
      <c r="F234" s="965"/>
      <c r="G234" s="965"/>
      <c r="H234" s="965"/>
      <c r="I234" s="965"/>
      <c r="J234" s="965"/>
      <c r="K234" s="965"/>
      <c r="L234" s="965"/>
      <c r="M234" s="965"/>
      <c r="N234" s="965"/>
      <c r="O234" s="965"/>
      <c r="P234" s="965"/>
      <c r="Q234" s="965"/>
      <c r="R234" s="965"/>
      <c r="S234" s="965"/>
      <c r="T234" s="965"/>
      <c r="U234" s="965"/>
      <c r="V234" s="965"/>
      <c r="W234" s="965"/>
      <c r="X234" s="965"/>
      <c r="Y234" s="965"/>
      <c r="Z234" s="965"/>
    </row>
    <row r="235">
      <c r="A235" s="965"/>
      <c r="B235" s="965"/>
      <c r="C235" s="965"/>
      <c r="D235" s="965"/>
      <c r="E235" s="965"/>
      <c r="F235" s="965"/>
      <c r="G235" s="965"/>
      <c r="H235" s="965"/>
      <c r="I235" s="965"/>
      <c r="J235" s="965"/>
      <c r="K235" s="965"/>
      <c r="L235" s="965"/>
      <c r="M235" s="965"/>
      <c r="N235" s="965"/>
      <c r="O235" s="965"/>
      <c r="P235" s="965"/>
      <c r="Q235" s="965"/>
      <c r="R235" s="965"/>
      <c r="S235" s="965"/>
      <c r="T235" s="965"/>
      <c r="U235" s="965"/>
      <c r="V235" s="965"/>
      <c r="W235" s="965"/>
      <c r="X235" s="965"/>
      <c r="Y235" s="965"/>
      <c r="Z235" s="965"/>
    </row>
    <row r="236">
      <c r="A236" s="965"/>
      <c r="B236" s="965"/>
      <c r="C236" s="965"/>
      <c r="D236" s="965"/>
      <c r="E236" s="965"/>
      <c r="F236" s="965"/>
      <c r="G236" s="965"/>
      <c r="H236" s="965"/>
      <c r="I236" s="965"/>
      <c r="J236" s="965"/>
      <c r="K236" s="965"/>
      <c r="L236" s="965"/>
      <c r="M236" s="965"/>
      <c r="N236" s="965"/>
      <c r="O236" s="965"/>
      <c r="P236" s="965"/>
      <c r="Q236" s="965"/>
      <c r="R236" s="965"/>
      <c r="S236" s="965"/>
      <c r="T236" s="965"/>
      <c r="U236" s="965"/>
      <c r="V236" s="965"/>
      <c r="W236" s="965"/>
      <c r="X236" s="965"/>
      <c r="Y236" s="965"/>
      <c r="Z236" s="965"/>
    </row>
    <row r="237">
      <c r="A237" s="965"/>
      <c r="B237" s="965"/>
      <c r="C237" s="965"/>
      <c r="D237" s="965"/>
      <c r="E237" s="965"/>
      <c r="F237" s="965"/>
      <c r="G237" s="965"/>
      <c r="H237" s="965"/>
      <c r="I237" s="965"/>
      <c r="J237" s="965"/>
      <c r="K237" s="965"/>
      <c r="L237" s="965"/>
      <c r="M237" s="965"/>
      <c r="N237" s="965"/>
      <c r="O237" s="965"/>
      <c r="P237" s="965"/>
      <c r="Q237" s="965"/>
      <c r="R237" s="965"/>
      <c r="S237" s="965"/>
      <c r="T237" s="965"/>
      <c r="U237" s="965"/>
      <c r="V237" s="965"/>
      <c r="W237" s="965"/>
      <c r="X237" s="965"/>
      <c r="Y237" s="965"/>
      <c r="Z237" s="965"/>
    </row>
    <row r="238">
      <c r="A238" s="965"/>
      <c r="B238" s="965"/>
      <c r="C238" s="965"/>
      <c r="D238" s="965"/>
      <c r="E238" s="965"/>
      <c r="F238" s="965"/>
      <c r="G238" s="965"/>
      <c r="H238" s="965"/>
      <c r="I238" s="965"/>
      <c r="J238" s="965"/>
      <c r="K238" s="965"/>
      <c r="L238" s="965"/>
      <c r="M238" s="965"/>
      <c r="N238" s="965"/>
      <c r="O238" s="965"/>
      <c r="P238" s="965"/>
      <c r="Q238" s="965"/>
      <c r="R238" s="965"/>
      <c r="S238" s="965"/>
      <c r="T238" s="965"/>
      <c r="U238" s="965"/>
      <c r="V238" s="965"/>
      <c r="W238" s="965"/>
      <c r="X238" s="965"/>
      <c r="Y238" s="965"/>
      <c r="Z238" s="965"/>
    </row>
    <row r="239">
      <c r="A239" s="965"/>
      <c r="B239" s="965"/>
      <c r="C239" s="965"/>
      <c r="D239" s="965"/>
      <c r="E239" s="965"/>
      <c r="F239" s="965"/>
      <c r="G239" s="965"/>
      <c r="H239" s="965"/>
      <c r="I239" s="965"/>
      <c r="J239" s="965"/>
      <c r="K239" s="965"/>
      <c r="L239" s="965"/>
      <c r="M239" s="965"/>
      <c r="N239" s="965"/>
      <c r="O239" s="965"/>
      <c r="P239" s="965"/>
      <c r="Q239" s="965"/>
      <c r="R239" s="965"/>
      <c r="S239" s="965"/>
      <c r="T239" s="965"/>
      <c r="U239" s="965"/>
      <c r="V239" s="965"/>
      <c r="W239" s="965"/>
      <c r="X239" s="965"/>
      <c r="Y239" s="965"/>
      <c r="Z239" s="965"/>
    </row>
    <row r="240">
      <c r="A240" s="965"/>
      <c r="B240" s="965"/>
      <c r="C240" s="965"/>
      <c r="D240" s="965"/>
      <c r="E240" s="965"/>
      <c r="F240" s="965"/>
      <c r="G240" s="965"/>
      <c r="H240" s="965"/>
      <c r="I240" s="965"/>
      <c r="J240" s="965"/>
      <c r="K240" s="965"/>
      <c r="L240" s="965"/>
      <c r="M240" s="965"/>
      <c r="N240" s="965"/>
      <c r="O240" s="965"/>
      <c r="P240" s="965"/>
      <c r="Q240" s="965"/>
      <c r="R240" s="965"/>
      <c r="S240" s="965"/>
      <c r="T240" s="965"/>
      <c r="U240" s="965"/>
      <c r="V240" s="965"/>
      <c r="W240" s="965"/>
      <c r="X240" s="965"/>
      <c r="Y240" s="965"/>
      <c r="Z240" s="965"/>
    </row>
    <row r="241">
      <c r="A241" s="965"/>
      <c r="B241" s="965"/>
      <c r="C241" s="965"/>
      <c r="D241" s="965"/>
      <c r="E241" s="965"/>
      <c r="F241" s="965"/>
      <c r="G241" s="965"/>
      <c r="H241" s="965"/>
      <c r="I241" s="965"/>
      <c r="J241" s="965"/>
      <c r="K241" s="965"/>
      <c r="L241" s="965"/>
      <c r="M241" s="965"/>
      <c r="N241" s="965"/>
      <c r="O241" s="965"/>
      <c r="P241" s="965"/>
      <c r="Q241" s="965"/>
      <c r="R241" s="965"/>
      <c r="S241" s="965"/>
      <c r="T241" s="965"/>
      <c r="U241" s="965"/>
      <c r="V241" s="965"/>
      <c r="W241" s="965"/>
      <c r="X241" s="965"/>
      <c r="Y241" s="965"/>
      <c r="Z241" s="965"/>
    </row>
    <row r="242">
      <c r="A242" s="965"/>
      <c r="B242" s="965"/>
      <c r="C242" s="965"/>
      <c r="D242" s="965"/>
      <c r="E242" s="965"/>
      <c r="F242" s="965"/>
      <c r="G242" s="965"/>
      <c r="H242" s="965"/>
      <c r="I242" s="965"/>
      <c r="J242" s="965"/>
      <c r="K242" s="965"/>
      <c r="L242" s="965"/>
      <c r="M242" s="965"/>
      <c r="N242" s="965"/>
      <c r="O242" s="965"/>
      <c r="P242" s="965"/>
      <c r="Q242" s="965"/>
      <c r="R242" s="965"/>
      <c r="S242" s="965"/>
      <c r="T242" s="965"/>
      <c r="U242" s="965"/>
      <c r="V242" s="965"/>
      <c r="W242" s="965"/>
      <c r="X242" s="965"/>
      <c r="Y242" s="965"/>
      <c r="Z242" s="965"/>
    </row>
    <row r="243">
      <c r="A243" s="965"/>
      <c r="B243" s="965"/>
      <c r="C243" s="965"/>
      <c r="D243" s="965"/>
      <c r="E243" s="965"/>
      <c r="F243" s="965"/>
      <c r="G243" s="965"/>
      <c r="H243" s="965"/>
      <c r="I243" s="965"/>
      <c r="J243" s="965"/>
      <c r="K243" s="965"/>
      <c r="L243" s="965"/>
      <c r="M243" s="965"/>
      <c r="N243" s="965"/>
      <c r="O243" s="965"/>
      <c r="P243" s="965"/>
      <c r="Q243" s="965"/>
      <c r="R243" s="965"/>
      <c r="S243" s="965"/>
      <c r="T243" s="965"/>
      <c r="U243" s="965"/>
      <c r="V243" s="965"/>
      <c r="W243" s="965"/>
      <c r="X243" s="965"/>
      <c r="Y243" s="965"/>
      <c r="Z243" s="965"/>
    </row>
    <row r="244">
      <c r="A244" s="965"/>
      <c r="B244" s="965"/>
      <c r="C244" s="965"/>
      <c r="D244" s="965"/>
      <c r="E244" s="965"/>
      <c r="F244" s="965"/>
      <c r="G244" s="965"/>
      <c r="H244" s="965"/>
      <c r="I244" s="965"/>
      <c r="J244" s="965"/>
      <c r="K244" s="965"/>
      <c r="L244" s="965"/>
      <c r="M244" s="965"/>
      <c r="N244" s="965"/>
      <c r="O244" s="965"/>
      <c r="P244" s="965"/>
      <c r="Q244" s="965"/>
      <c r="R244" s="965"/>
      <c r="S244" s="965"/>
      <c r="T244" s="965"/>
      <c r="U244" s="965"/>
      <c r="V244" s="965"/>
      <c r="W244" s="965"/>
      <c r="X244" s="965"/>
      <c r="Y244" s="965"/>
      <c r="Z244" s="965"/>
    </row>
    <row r="245">
      <c r="A245" s="965"/>
      <c r="B245" s="965"/>
      <c r="C245" s="965"/>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row>
    <row r="246">
      <c r="A246" s="965"/>
      <c r="B246" s="965"/>
      <c r="C246" s="965"/>
      <c r="D246" s="965"/>
      <c r="E246" s="965"/>
      <c r="F246" s="965"/>
      <c r="G246" s="965"/>
      <c r="H246" s="965"/>
      <c r="I246" s="965"/>
      <c r="J246" s="965"/>
      <c r="K246" s="965"/>
      <c r="L246" s="965"/>
      <c r="M246" s="965"/>
      <c r="N246" s="965"/>
      <c r="O246" s="965"/>
      <c r="P246" s="965"/>
      <c r="Q246" s="965"/>
      <c r="R246" s="965"/>
      <c r="S246" s="965"/>
      <c r="T246" s="965"/>
      <c r="U246" s="965"/>
      <c r="V246" s="965"/>
      <c r="W246" s="965"/>
      <c r="X246" s="965"/>
      <c r="Y246" s="965"/>
      <c r="Z246" s="965"/>
    </row>
    <row r="247">
      <c r="A247" s="965"/>
      <c r="B247" s="965"/>
      <c r="C247" s="965"/>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row>
    <row r="248">
      <c r="A248" s="965"/>
      <c r="B248" s="965"/>
      <c r="C248" s="965"/>
      <c r="D248" s="965"/>
      <c r="E248" s="965"/>
      <c r="F248" s="965"/>
      <c r="G248" s="965"/>
      <c r="H248" s="965"/>
      <c r="I248" s="965"/>
      <c r="J248" s="965"/>
      <c r="K248" s="965"/>
      <c r="L248" s="965"/>
      <c r="M248" s="965"/>
      <c r="N248" s="965"/>
      <c r="O248" s="965"/>
      <c r="P248" s="965"/>
      <c r="Q248" s="965"/>
      <c r="R248" s="965"/>
      <c r="S248" s="965"/>
      <c r="T248" s="965"/>
      <c r="U248" s="965"/>
      <c r="V248" s="965"/>
      <c r="W248" s="965"/>
      <c r="X248" s="965"/>
      <c r="Y248" s="965"/>
      <c r="Z248" s="965"/>
    </row>
    <row r="249">
      <c r="A249" s="965"/>
      <c r="B249" s="965"/>
      <c r="C249" s="965"/>
      <c r="D249" s="965"/>
      <c r="E249" s="965"/>
      <c r="F249" s="965"/>
      <c r="G249" s="965"/>
      <c r="H249" s="965"/>
      <c r="I249" s="965"/>
      <c r="J249" s="965"/>
      <c r="K249" s="965"/>
      <c r="L249" s="965"/>
      <c r="M249" s="965"/>
      <c r="N249" s="965"/>
      <c r="O249" s="965"/>
      <c r="P249" s="965"/>
      <c r="Q249" s="965"/>
      <c r="R249" s="965"/>
      <c r="S249" s="965"/>
      <c r="T249" s="965"/>
      <c r="U249" s="965"/>
      <c r="V249" s="965"/>
      <c r="W249" s="965"/>
      <c r="X249" s="965"/>
      <c r="Y249" s="965"/>
      <c r="Z249" s="965"/>
    </row>
    <row r="250">
      <c r="A250" s="965"/>
      <c r="B250" s="965"/>
      <c r="C250" s="965"/>
      <c r="D250" s="965"/>
      <c r="E250" s="965"/>
      <c r="F250" s="965"/>
      <c r="G250" s="965"/>
      <c r="H250" s="965"/>
      <c r="I250" s="965"/>
      <c r="J250" s="965"/>
      <c r="K250" s="965"/>
      <c r="L250" s="965"/>
      <c r="M250" s="965"/>
      <c r="N250" s="965"/>
      <c r="O250" s="965"/>
      <c r="P250" s="965"/>
      <c r="Q250" s="965"/>
      <c r="R250" s="965"/>
      <c r="S250" s="965"/>
      <c r="T250" s="965"/>
      <c r="U250" s="965"/>
      <c r="V250" s="965"/>
      <c r="W250" s="965"/>
      <c r="X250" s="965"/>
      <c r="Y250" s="965"/>
      <c r="Z250" s="965"/>
    </row>
    <row r="251">
      <c r="A251" s="965"/>
      <c r="B251" s="965"/>
      <c r="C251" s="965"/>
      <c r="D251" s="965"/>
      <c r="E251" s="965"/>
      <c r="F251" s="965"/>
      <c r="G251" s="965"/>
      <c r="H251" s="965"/>
      <c r="I251" s="965"/>
      <c r="J251" s="965"/>
      <c r="K251" s="965"/>
      <c r="L251" s="965"/>
      <c r="M251" s="965"/>
      <c r="N251" s="965"/>
      <c r="O251" s="965"/>
      <c r="P251" s="965"/>
      <c r="Q251" s="965"/>
      <c r="R251" s="965"/>
      <c r="S251" s="965"/>
      <c r="T251" s="965"/>
      <c r="U251" s="965"/>
      <c r="V251" s="965"/>
      <c r="W251" s="965"/>
      <c r="X251" s="965"/>
      <c r="Y251" s="965"/>
      <c r="Z251" s="965"/>
    </row>
    <row r="252">
      <c r="A252" s="965"/>
      <c r="B252" s="965"/>
      <c r="C252" s="965"/>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row>
    <row r="253">
      <c r="A253" s="965"/>
      <c r="B253" s="965"/>
      <c r="C253" s="965"/>
      <c r="D253" s="965"/>
      <c r="E253" s="965"/>
      <c r="F253" s="965"/>
      <c r="G253" s="965"/>
      <c r="H253" s="965"/>
      <c r="I253" s="965"/>
      <c r="J253" s="965"/>
      <c r="K253" s="965"/>
      <c r="L253" s="965"/>
      <c r="M253" s="965"/>
      <c r="N253" s="965"/>
      <c r="O253" s="965"/>
      <c r="P253" s="965"/>
      <c r="Q253" s="965"/>
      <c r="R253" s="965"/>
      <c r="S253" s="965"/>
      <c r="T253" s="965"/>
      <c r="U253" s="965"/>
      <c r="V253" s="965"/>
      <c r="W253" s="965"/>
      <c r="X253" s="965"/>
      <c r="Y253" s="965"/>
      <c r="Z253" s="965"/>
    </row>
    <row r="254">
      <c r="A254" s="965"/>
      <c r="B254" s="965"/>
      <c r="C254" s="965"/>
      <c r="D254" s="965"/>
      <c r="E254" s="965"/>
      <c r="F254" s="965"/>
      <c r="G254" s="965"/>
      <c r="H254" s="965"/>
      <c r="I254" s="965"/>
      <c r="J254" s="965"/>
      <c r="K254" s="965"/>
      <c r="L254" s="965"/>
      <c r="M254" s="965"/>
      <c r="N254" s="965"/>
      <c r="O254" s="965"/>
      <c r="P254" s="965"/>
      <c r="Q254" s="965"/>
      <c r="R254" s="965"/>
      <c r="S254" s="965"/>
      <c r="T254" s="965"/>
      <c r="U254" s="965"/>
      <c r="V254" s="965"/>
      <c r="W254" s="965"/>
      <c r="X254" s="965"/>
      <c r="Y254" s="965"/>
      <c r="Z254" s="965"/>
    </row>
    <row r="255">
      <c r="A255" s="965"/>
      <c r="B255" s="965"/>
      <c r="C255" s="965"/>
      <c r="D255" s="965"/>
      <c r="E255" s="965"/>
      <c r="F255" s="965"/>
      <c r="G255" s="965"/>
      <c r="H255" s="965"/>
      <c r="I255" s="965"/>
      <c r="J255" s="965"/>
      <c r="K255" s="965"/>
      <c r="L255" s="965"/>
      <c r="M255" s="965"/>
      <c r="N255" s="965"/>
      <c r="O255" s="965"/>
      <c r="P255" s="965"/>
      <c r="Q255" s="965"/>
      <c r="R255" s="965"/>
      <c r="S255" s="965"/>
      <c r="T255" s="965"/>
      <c r="U255" s="965"/>
      <c r="V255" s="965"/>
      <c r="W255" s="965"/>
      <c r="X255" s="965"/>
      <c r="Y255" s="965"/>
      <c r="Z255" s="965"/>
    </row>
    <row r="256">
      <c r="A256" s="965"/>
      <c r="B256" s="965"/>
      <c r="C256" s="965"/>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row>
    <row r="257">
      <c r="A257" s="965"/>
      <c r="B257" s="965"/>
      <c r="C257" s="965"/>
      <c r="D257" s="965"/>
      <c r="E257" s="965"/>
      <c r="F257" s="965"/>
      <c r="G257" s="965"/>
      <c r="H257" s="965"/>
      <c r="I257" s="965"/>
      <c r="J257" s="965"/>
      <c r="K257" s="965"/>
      <c r="L257" s="965"/>
      <c r="M257" s="965"/>
      <c r="N257" s="965"/>
      <c r="O257" s="965"/>
      <c r="P257" s="965"/>
      <c r="Q257" s="965"/>
      <c r="R257" s="965"/>
      <c r="S257" s="965"/>
      <c r="T257" s="965"/>
      <c r="U257" s="965"/>
      <c r="V257" s="965"/>
      <c r="W257" s="965"/>
      <c r="X257" s="965"/>
      <c r="Y257" s="965"/>
      <c r="Z257" s="965"/>
    </row>
    <row r="258">
      <c r="A258" s="965"/>
      <c r="B258" s="965"/>
      <c r="C258" s="965"/>
      <c r="D258" s="965"/>
      <c r="E258" s="965"/>
      <c r="F258" s="965"/>
      <c r="G258" s="965"/>
      <c r="H258" s="965"/>
      <c r="I258" s="965"/>
      <c r="J258" s="965"/>
      <c r="K258" s="965"/>
      <c r="L258" s="965"/>
      <c r="M258" s="965"/>
      <c r="N258" s="965"/>
      <c r="O258" s="965"/>
      <c r="P258" s="965"/>
      <c r="Q258" s="965"/>
      <c r="R258" s="965"/>
      <c r="S258" s="965"/>
      <c r="T258" s="965"/>
      <c r="U258" s="965"/>
      <c r="V258" s="965"/>
      <c r="W258" s="965"/>
      <c r="X258" s="965"/>
      <c r="Y258" s="965"/>
      <c r="Z258" s="965"/>
    </row>
    <row r="259">
      <c r="A259" s="965"/>
      <c r="B259" s="965"/>
      <c r="C259" s="965"/>
      <c r="D259" s="965"/>
      <c r="E259" s="965"/>
      <c r="F259" s="965"/>
      <c r="G259" s="965"/>
      <c r="H259" s="965"/>
      <c r="I259" s="965"/>
      <c r="J259" s="965"/>
      <c r="K259" s="965"/>
      <c r="L259" s="965"/>
      <c r="M259" s="965"/>
      <c r="N259" s="965"/>
      <c r="O259" s="965"/>
      <c r="P259" s="965"/>
      <c r="Q259" s="965"/>
      <c r="R259" s="965"/>
      <c r="S259" s="965"/>
      <c r="T259" s="965"/>
      <c r="U259" s="965"/>
      <c r="V259" s="965"/>
      <c r="W259" s="965"/>
      <c r="X259" s="965"/>
      <c r="Y259" s="965"/>
      <c r="Z259" s="965"/>
    </row>
    <row r="260">
      <c r="A260" s="965"/>
      <c r="B260" s="965"/>
      <c r="C260" s="965"/>
      <c r="D260" s="965"/>
      <c r="E260" s="965"/>
      <c r="F260" s="965"/>
      <c r="G260" s="965"/>
      <c r="H260" s="965"/>
      <c r="I260" s="965"/>
      <c r="J260" s="965"/>
      <c r="K260" s="965"/>
      <c r="L260" s="965"/>
      <c r="M260" s="965"/>
      <c r="N260" s="965"/>
      <c r="O260" s="965"/>
      <c r="P260" s="965"/>
      <c r="Q260" s="965"/>
      <c r="R260" s="965"/>
      <c r="S260" s="965"/>
      <c r="T260" s="965"/>
      <c r="U260" s="965"/>
      <c r="V260" s="965"/>
      <c r="W260" s="965"/>
      <c r="X260" s="965"/>
      <c r="Y260" s="965"/>
      <c r="Z260" s="965"/>
    </row>
    <row r="261">
      <c r="A261" s="965"/>
      <c r="B261" s="965"/>
      <c r="C261" s="965"/>
      <c r="D261" s="965"/>
      <c r="E261" s="965"/>
      <c r="F261" s="965"/>
      <c r="G261" s="965"/>
      <c r="H261" s="965"/>
      <c r="I261" s="965"/>
      <c r="J261" s="965"/>
      <c r="K261" s="965"/>
      <c r="L261" s="965"/>
      <c r="M261" s="965"/>
      <c r="N261" s="965"/>
      <c r="O261" s="965"/>
      <c r="P261" s="965"/>
      <c r="Q261" s="965"/>
      <c r="R261" s="965"/>
      <c r="S261" s="965"/>
      <c r="T261" s="965"/>
      <c r="U261" s="965"/>
      <c r="V261" s="965"/>
      <c r="W261" s="965"/>
      <c r="X261" s="965"/>
      <c r="Y261" s="965"/>
      <c r="Z261" s="965"/>
    </row>
    <row r="262">
      <c r="A262" s="965"/>
      <c r="B262" s="965"/>
      <c r="C262" s="965"/>
      <c r="D262" s="965"/>
      <c r="E262" s="965"/>
      <c r="F262" s="965"/>
      <c r="G262" s="965"/>
      <c r="H262" s="965"/>
      <c r="I262" s="965"/>
      <c r="J262" s="965"/>
      <c r="K262" s="965"/>
      <c r="L262" s="965"/>
      <c r="M262" s="965"/>
      <c r="N262" s="965"/>
      <c r="O262" s="965"/>
      <c r="P262" s="965"/>
      <c r="Q262" s="965"/>
      <c r="R262" s="965"/>
      <c r="S262" s="965"/>
      <c r="T262" s="965"/>
      <c r="U262" s="965"/>
      <c r="V262" s="965"/>
      <c r="W262" s="965"/>
      <c r="X262" s="965"/>
      <c r="Y262" s="965"/>
      <c r="Z262" s="965"/>
    </row>
    <row r="263">
      <c r="A263" s="965"/>
      <c r="B263" s="965"/>
      <c r="C263" s="965"/>
      <c r="D263" s="965"/>
      <c r="E263" s="965"/>
      <c r="F263" s="965"/>
      <c r="G263" s="965"/>
      <c r="H263" s="965"/>
      <c r="I263" s="965"/>
      <c r="J263" s="965"/>
      <c r="K263" s="965"/>
      <c r="L263" s="965"/>
      <c r="M263" s="965"/>
      <c r="N263" s="965"/>
      <c r="O263" s="965"/>
      <c r="P263" s="965"/>
      <c r="Q263" s="965"/>
      <c r="R263" s="965"/>
      <c r="S263" s="965"/>
      <c r="T263" s="965"/>
      <c r="U263" s="965"/>
      <c r="V263" s="965"/>
      <c r="W263" s="965"/>
      <c r="X263" s="965"/>
      <c r="Y263" s="965"/>
      <c r="Z263" s="965"/>
    </row>
    <row r="264">
      <c r="A264" s="965"/>
      <c r="B264" s="965"/>
      <c r="C264" s="965"/>
      <c r="D264" s="965"/>
      <c r="E264" s="965"/>
      <c r="F264" s="965"/>
      <c r="G264" s="965"/>
      <c r="H264" s="965"/>
      <c r="I264" s="965"/>
      <c r="J264" s="965"/>
      <c r="K264" s="965"/>
      <c r="L264" s="965"/>
      <c r="M264" s="965"/>
      <c r="N264" s="965"/>
      <c r="O264" s="965"/>
      <c r="P264" s="965"/>
      <c r="Q264" s="965"/>
      <c r="R264" s="965"/>
      <c r="S264" s="965"/>
      <c r="T264" s="965"/>
      <c r="U264" s="965"/>
      <c r="V264" s="965"/>
      <c r="W264" s="965"/>
      <c r="X264" s="965"/>
      <c r="Y264" s="965"/>
      <c r="Z264" s="965"/>
    </row>
    <row r="265">
      <c r="A265" s="965"/>
      <c r="B265" s="965"/>
      <c r="C265" s="965"/>
      <c r="D265" s="965"/>
      <c r="E265" s="965"/>
      <c r="F265" s="965"/>
      <c r="G265" s="965"/>
      <c r="H265" s="965"/>
      <c r="I265" s="965"/>
      <c r="J265" s="965"/>
      <c r="K265" s="965"/>
      <c r="L265" s="965"/>
      <c r="M265" s="965"/>
      <c r="N265" s="965"/>
      <c r="O265" s="965"/>
      <c r="P265" s="965"/>
      <c r="Q265" s="965"/>
      <c r="R265" s="965"/>
      <c r="S265" s="965"/>
      <c r="T265" s="965"/>
      <c r="U265" s="965"/>
      <c r="V265" s="965"/>
      <c r="W265" s="965"/>
      <c r="X265" s="965"/>
      <c r="Y265" s="965"/>
      <c r="Z265" s="965"/>
    </row>
    <row r="266">
      <c r="A266" s="965"/>
      <c r="B266" s="965"/>
      <c r="C266" s="965"/>
      <c r="D266" s="965"/>
      <c r="E266" s="965"/>
      <c r="F266" s="965"/>
      <c r="G266" s="965"/>
      <c r="H266" s="965"/>
      <c r="I266" s="965"/>
      <c r="J266" s="965"/>
      <c r="K266" s="965"/>
      <c r="L266" s="965"/>
      <c r="M266" s="965"/>
      <c r="N266" s="965"/>
      <c r="O266" s="965"/>
      <c r="P266" s="965"/>
      <c r="Q266" s="965"/>
      <c r="R266" s="965"/>
      <c r="S266" s="965"/>
      <c r="T266" s="965"/>
      <c r="U266" s="965"/>
      <c r="V266" s="965"/>
      <c r="W266" s="965"/>
      <c r="X266" s="965"/>
      <c r="Y266" s="965"/>
      <c r="Z266" s="965"/>
    </row>
    <row r="267">
      <c r="A267" s="965"/>
      <c r="B267" s="965"/>
      <c r="C267" s="965"/>
      <c r="D267" s="965"/>
      <c r="E267" s="965"/>
      <c r="F267" s="965"/>
      <c r="G267" s="965"/>
      <c r="H267" s="965"/>
      <c r="I267" s="965"/>
      <c r="J267" s="965"/>
      <c r="K267" s="965"/>
      <c r="L267" s="965"/>
      <c r="M267" s="965"/>
      <c r="N267" s="965"/>
      <c r="O267" s="965"/>
      <c r="P267" s="965"/>
      <c r="Q267" s="965"/>
      <c r="R267" s="965"/>
      <c r="S267" s="965"/>
      <c r="T267" s="965"/>
      <c r="U267" s="965"/>
      <c r="V267" s="965"/>
      <c r="W267" s="965"/>
      <c r="X267" s="965"/>
      <c r="Y267" s="965"/>
      <c r="Z267" s="965"/>
    </row>
    <row r="268">
      <c r="A268" s="965"/>
      <c r="B268" s="965"/>
      <c r="C268" s="965"/>
      <c r="D268" s="965"/>
      <c r="E268" s="965"/>
      <c r="F268" s="965"/>
      <c r="G268" s="965"/>
      <c r="H268" s="965"/>
      <c r="I268" s="965"/>
      <c r="J268" s="965"/>
      <c r="K268" s="965"/>
      <c r="L268" s="965"/>
      <c r="M268" s="965"/>
      <c r="N268" s="965"/>
      <c r="O268" s="965"/>
      <c r="P268" s="965"/>
      <c r="Q268" s="965"/>
      <c r="R268" s="965"/>
      <c r="S268" s="965"/>
      <c r="T268" s="965"/>
      <c r="U268" s="965"/>
      <c r="V268" s="965"/>
      <c r="W268" s="965"/>
      <c r="X268" s="965"/>
      <c r="Y268" s="965"/>
      <c r="Z268" s="965"/>
    </row>
    <row r="269">
      <c r="A269" s="965"/>
      <c r="B269" s="965"/>
      <c r="C269" s="965"/>
      <c r="D269" s="965"/>
      <c r="E269" s="965"/>
      <c r="F269" s="965"/>
      <c r="G269" s="965"/>
      <c r="H269" s="965"/>
      <c r="I269" s="965"/>
      <c r="J269" s="965"/>
      <c r="K269" s="965"/>
      <c r="L269" s="965"/>
      <c r="M269" s="965"/>
      <c r="N269" s="965"/>
      <c r="O269" s="965"/>
      <c r="P269" s="965"/>
      <c r="Q269" s="965"/>
      <c r="R269" s="965"/>
      <c r="S269" s="965"/>
      <c r="T269" s="965"/>
      <c r="U269" s="965"/>
      <c r="V269" s="965"/>
      <c r="W269" s="965"/>
      <c r="X269" s="965"/>
      <c r="Y269" s="965"/>
      <c r="Z269" s="965"/>
    </row>
    <row r="270">
      <c r="A270" s="965"/>
      <c r="B270" s="965"/>
      <c r="C270" s="965"/>
      <c r="D270" s="965"/>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row>
    <row r="271">
      <c r="A271" s="965"/>
      <c r="B271" s="965"/>
      <c r="C271" s="965"/>
      <c r="D271" s="965"/>
      <c r="E271" s="965"/>
      <c r="F271" s="965"/>
      <c r="G271" s="965"/>
      <c r="H271" s="965"/>
      <c r="I271" s="965"/>
      <c r="J271" s="965"/>
      <c r="K271" s="965"/>
      <c r="L271" s="965"/>
      <c r="M271" s="965"/>
      <c r="N271" s="965"/>
      <c r="O271" s="965"/>
      <c r="P271" s="965"/>
      <c r="Q271" s="965"/>
      <c r="R271" s="965"/>
      <c r="S271" s="965"/>
      <c r="T271" s="965"/>
      <c r="U271" s="965"/>
      <c r="V271" s="965"/>
      <c r="W271" s="965"/>
      <c r="X271" s="965"/>
      <c r="Y271" s="965"/>
      <c r="Z271" s="965"/>
    </row>
    <row r="272">
      <c r="A272" s="965"/>
      <c r="B272" s="965"/>
      <c r="C272" s="965"/>
      <c r="D272" s="965"/>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row>
    <row r="273">
      <c r="A273" s="965"/>
      <c r="B273" s="965"/>
      <c r="C273" s="965"/>
      <c r="D273" s="965"/>
      <c r="E273" s="965"/>
      <c r="F273" s="965"/>
      <c r="G273" s="965"/>
      <c r="H273" s="965"/>
      <c r="I273" s="965"/>
      <c r="J273" s="965"/>
      <c r="K273" s="965"/>
      <c r="L273" s="965"/>
      <c r="M273" s="965"/>
      <c r="N273" s="965"/>
      <c r="O273" s="965"/>
      <c r="P273" s="965"/>
      <c r="Q273" s="965"/>
      <c r="R273" s="965"/>
      <c r="S273" s="965"/>
      <c r="T273" s="965"/>
      <c r="U273" s="965"/>
      <c r="V273" s="965"/>
      <c r="W273" s="965"/>
      <c r="X273" s="965"/>
      <c r="Y273" s="965"/>
      <c r="Z273" s="965"/>
    </row>
    <row r="274">
      <c r="A274" s="965"/>
      <c r="B274" s="965"/>
      <c r="C274" s="965"/>
      <c r="D274" s="965"/>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row>
    <row r="275">
      <c r="A275" s="965"/>
      <c r="B275" s="965"/>
      <c r="C275" s="965"/>
      <c r="D275" s="965"/>
      <c r="E275" s="965"/>
      <c r="F275" s="965"/>
      <c r="G275" s="965"/>
      <c r="H275" s="965"/>
      <c r="I275" s="965"/>
      <c r="J275" s="965"/>
      <c r="K275" s="965"/>
      <c r="L275" s="965"/>
      <c r="M275" s="965"/>
      <c r="N275" s="965"/>
      <c r="O275" s="965"/>
      <c r="P275" s="965"/>
      <c r="Q275" s="965"/>
      <c r="R275" s="965"/>
      <c r="S275" s="965"/>
      <c r="T275" s="965"/>
      <c r="U275" s="965"/>
      <c r="V275" s="965"/>
      <c r="W275" s="965"/>
      <c r="X275" s="965"/>
      <c r="Y275" s="965"/>
      <c r="Z275" s="965"/>
    </row>
    <row r="276">
      <c r="A276" s="965"/>
      <c r="B276" s="965"/>
      <c r="C276" s="965"/>
      <c r="D276" s="965"/>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row>
    <row r="277">
      <c r="A277" s="965"/>
      <c r="B277" s="965"/>
      <c r="C277" s="965"/>
      <c r="D277" s="965"/>
      <c r="E277" s="965"/>
      <c r="F277" s="965"/>
      <c r="G277" s="965"/>
      <c r="H277" s="965"/>
      <c r="I277" s="965"/>
      <c r="J277" s="965"/>
      <c r="K277" s="965"/>
      <c r="L277" s="965"/>
      <c r="M277" s="965"/>
      <c r="N277" s="965"/>
      <c r="O277" s="965"/>
      <c r="P277" s="965"/>
      <c r="Q277" s="965"/>
      <c r="R277" s="965"/>
      <c r="S277" s="965"/>
      <c r="T277" s="965"/>
      <c r="U277" s="965"/>
      <c r="V277" s="965"/>
      <c r="W277" s="965"/>
      <c r="X277" s="965"/>
      <c r="Y277" s="965"/>
      <c r="Z277" s="965"/>
    </row>
    <row r="278">
      <c r="A278" s="965"/>
      <c r="B278" s="965"/>
      <c r="C278" s="965"/>
      <c r="D278" s="965"/>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row>
    <row r="279">
      <c r="A279" s="965"/>
      <c r="B279" s="965"/>
      <c r="C279" s="965"/>
      <c r="D279" s="965"/>
      <c r="E279" s="965"/>
      <c r="F279" s="965"/>
      <c r="G279" s="965"/>
      <c r="H279" s="965"/>
      <c r="I279" s="965"/>
      <c r="J279" s="965"/>
      <c r="K279" s="965"/>
      <c r="L279" s="965"/>
      <c r="M279" s="965"/>
      <c r="N279" s="965"/>
      <c r="O279" s="965"/>
      <c r="P279" s="965"/>
      <c r="Q279" s="965"/>
      <c r="R279" s="965"/>
      <c r="S279" s="965"/>
      <c r="T279" s="965"/>
      <c r="U279" s="965"/>
      <c r="V279" s="965"/>
      <c r="W279" s="965"/>
      <c r="X279" s="965"/>
      <c r="Y279" s="965"/>
      <c r="Z279" s="965"/>
    </row>
    <row r="280">
      <c r="A280" s="965"/>
      <c r="B280" s="965"/>
      <c r="C280" s="965"/>
      <c r="D280" s="965"/>
      <c r="E280" s="965"/>
      <c r="F280" s="965"/>
      <c r="G280" s="965"/>
      <c r="H280" s="965"/>
      <c r="I280" s="965"/>
      <c r="J280" s="965"/>
      <c r="K280" s="965"/>
      <c r="L280" s="965"/>
      <c r="M280" s="965"/>
      <c r="N280" s="965"/>
      <c r="O280" s="965"/>
      <c r="P280" s="965"/>
      <c r="Q280" s="965"/>
      <c r="R280" s="965"/>
      <c r="S280" s="965"/>
      <c r="T280" s="965"/>
      <c r="U280" s="965"/>
      <c r="V280" s="965"/>
      <c r="W280" s="965"/>
      <c r="X280" s="965"/>
      <c r="Y280" s="965"/>
      <c r="Z280" s="965"/>
    </row>
    <row r="281">
      <c r="A281" s="965"/>
      <c r="B281" s="965"/>
      <c r="C281" s="965"/>
      <c r="D281" s="965"/>
      <c r="E281" s="965"/>
      <c r="F281" s="965"/>
      <c r="G281" s="965"/>
      <c r="H281" s="965"/>
      <c r="I281" s="965"/>
      <c r="J281" s="965"/>
      <c r="K281" s="965"/>
      <c r="L281" s="965"/>
      <c r="M281" s="965"/>
      <c r="N281" s="965"/>
      <c r="O281" s="965"/>
      <c r="P281" s="965"/>
      <c r="Q281" s="965"/>
      <c r="R281" s="965"/>
      <c r="S281" s="965"/>
      <c r="T281" s="965"/>
      <c r="U281" s="965"/>
      <c r="V281" s="965"/>
      <c r="W281" s="965"/>
      <c r="X281" s="965"/>
      <c r="Y281" s="965"/>
      <c r="Z281" s="965"/>
    </row>
    <row r="282">
      <c r="A282" s="965"/>
      <c r="B282" s="965"/>
      <c r="C282" s="965"/>
      <c r="D282" s="965"/>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row>
    <row r="283">
      <c r="A283" s="965"/>
      <c r="B283" s="965"/>
      <c r="C283" s="965"/>
      <c r="D283" s="965"/>
      <c r="E283" s="965"/>
      <c r="F283" s="965"/>
      <c r="G283" s="965"/>
      <c r="H283" s="965"/>
      <c r="I283" s="965"/>
      <c r="J283" s="965"/>
      <c r="K283" s="965"/>
      <c r="L283" s="965"/>
      <c r="M283" s="965"/>
      <c r="N283" s="965"/>
      <c r="O283" s="965"/>
      <c r="P283" s="965"/>
      <c r="Q283" s="965"/>
      <c r="R283" s="965"/>
      <c r="S283" s="965"/>
      <c r="T283" s="965"/>
      <c r="U283" s="965"/>
      <c r="V283" s="965"/>
      <c r="W283" s="965"/>
      <c r="X283" s="965"/>
      <c r="Y283" s="965"/>
      <c r="Z283" s="965"/>
    </row>
    <row r="284">
      <c r="A284" s="965"/>
      <c r="B284" s="965"/>
      <c r="C284" s="965"/>
      <c r="D284" s="965"/>
      <c r="E284" s="965"/>
      <c r="F284" s="965"/>
      <c r="G284" s="965"/>
      <c r="H284" s="965"/>
      <c r="I284" s="965"/>
      <c r="J284" s="965"/>
      <c r="K284" s="965"/>
      <c r="L284" s="965"/>
      <c r="M284" s="965"/>
      <c r="N284" s="965"/>
      <c r="O284" s="965"/>
      <c r="P284" s="965"/>
      <c r="Q284" s="965"/>
      <c r="R284" s="965"/>
      <c r="S284" s="965"/>
      <c r="T284" s="965"/>
      <c r="U284" s="965"/>
      <c r="V284" s="965"/>
      <c r="W284" s="965"/>
      <c r="X284" s="965"/>
      <c r="Y284" s="965"/>
      <c r="Z284" s="965"/>
    </row>
    <row r="285">
      <c r="A285" s="965"/>
      <c r="B285" s="965"/>
      <c r="C285" s="965"/>
      <c r="D285" s="965"/>
      <c r="E285" s="965"/>
      <c r="F285" s="965"/>
      <c r="G285" s="965"/>
      <c r="H285" s="965"/>
      <c r="I285" s="965"/>
      <c r="J285" s="965"/>
      <c r="K285" s="965"/>
      <c r="L285" s="965"/>
      <c r="M285" s="965"/>
      <c r="N285" s="965"/>
      <c r="O285" s="965"/>
      <c r="P285" s="965"/>
      <c r="Q285" s="965"/>
      <c r="R285" s="965"/>
      <c r="S285" s="965"/>
      <c r="T285" s="965"/>
      <c r="U285" s="965"/>
      <c r="V285" s="965"/>
      <c r="W285" s="965"/>
      <c r="X285" s="965"/>
      <c r="Y285" s="965"/>
      <c r="Z285" s="965"/>
    </row>
    <row r="286">
      <c r="A286" s="965"/>
      <c r="B286" s="965"/>
      <c r="C286" s="965"/>
      <c r="D286" s="965"/>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row>
    <row r="287">
      <c r="A287" s="965"/>
      <c r="B287" s="965"/>
      <c r="C287" s="965"/>
      <c r="D287" s="965"/>
      <c r="E287" s="965"/>
      <c r="F287" s="965"/>
      <c r="G287" s="965"/>
      <c r="H287" s="965"/>
      <c r="I287" s="965"/>
      <c r="J287" s="965"/>
      <c r="K287" s="965"/>
      <c r="L287" s="965"/>
      <c r="M287" s="965"/>
      <c r="N287" s="965"/>
      <c r="O287" s="965"/>
      <c r="P287" s="965"/>
      <c r="Q287" s="965"/>
      <c r="R287" s="965"/>
      <c r="S287" s="965"/>
      <c r="T287" s="965"/>
      <c r="U287" s="965"/>
      <c r="V287" s="965"/>
      <c r="W287" s="965"/>
      <c r="X287" s="965"/>
      <c r="Y287" s="965"/>
      <c r="Z287" s="965"/>
    </row>
    <row r="288">
      <c r="A288" s="965"/>
      <c r="B288" s="965"/>
      <c r="C288" s="965"/>
      <c r="D288" s="965"/>
      <c r="E288" s="965"/>
      <c r="F288" s="965"/>
      <c r="G288" s="965"/>
      <c r="H288" s="965"/>
      <c r="I288" s="965"/>
      <c r="J288" s="965"/>
      <c r="K288" s="965"/>
      <c r="L288" s="965"/>
      <c r="M288" s="965"/>
      <c r="N288" s="965"/>
      <c r="O288" s="965"/>
      <c r="P288" s="965"/>
      <c r="Q288" s="965"/>
      <c r="R288" s="965"/>
      <c r="S288" s="965"/>
      <c r="T288" s="965"/>
      <c r="U288" s="965"/>
      <c r="V288" s="965"/>
      <c r="W288" s="965"/>
      <c r="X288" s="965"/>
      <c r="Y288" s="965"/>
      <c r="Z288" s="965"/>
    </row>
    <row r="289">
      <c r="A289" s="965"/>
      <c r="B289" s="965"/>
      <c r="C289" s="965"/>
      <c r="D289" s="965"/>
      <c r="E289" s="965"/>
      <c r="F289" s="965"/>
      <c r="G289" s="965"/>
      <c r="H289" s="965"/>
      <c r="I289" s="965"/>
      <c r="J289" s="965"/>
      <c r="K289" s="965"/>
      <c r="L289" s="965"/>
      <c r="M289" s="965"/>
      <c r="N289" s="965"/>
      <c r="O289" s="965"/>
      <c r="P289" s="965"/>
      <c r="Q289" s="965"/>
      <c r="R289" s="965"/>
      <c r="S289" s="965"/>
      <c r="T289" s="965"/>
      <c r="U289" s="965"/>
      <c r="V289" s="965"/>
      <c r="W289" s="965"/>
      <c r="X289" s="965"/>
      <c r="Y289" s="965"/>
      <c r="Z289" s="965"/>
    </row>
    <row r="290">
      <c r="A290" s="965"/>
      <c r="B290" s="965"/>
      <c r="C290" s="965"/>
      <c r="D290" s="965"/>
      <c r="E290" s="965"/>
      <c r="F290" s="965"/>
      <c r="G290" s="965"/>
      <c r="H290" s="965"/>
      <c r="I290" s="965"/>
      <c r="J290" s="965"/>
      <c r="K290" s="965"/>
      <c r="L290" s="965"/>
      <c r="M290" s="965"/>
      <c r="N290" s="965"/>
      <c r="O290" s="965"/>
      <c r="P290" s="965"/>
      <c r="Q290" s="965"/>
      <c r="R290" s="965"/>
      <c r="S290" s="965"/>
      <c r="T290" s="965"/>
      <c r="U290" s="965"/>
      <c r="V290" s="965"/>
      <c r="W290" s="965"/>
      <c r="X290" s="965"/>
      <c r="Y290" s="965"/>
      <c r="Z290" s="965"/>
    </row>
    <row r="291">
      <c r="A291" s="965"/>
      <c r="B291" s="965"/>
      <c r="C291" s="965"/>
      <c r="D291" s="965"/>
      <c r="E291" s="965"/>
      <c r="F291" s="965"/>
      <c r="G291" s="965"/>
      <c r="H291" s="965"/>
      <c r="I291" s="965"/>
      <c r="J291" s="965"/>
      <c r="K291" s="965"/>
      <c r="L291" s="965"/>
      <c r="M291" s="965"/>
      <c r="N291" s="965"/>
      <c r="O291" s="965"/>
      <c r="P291" s="965"/>
      <c r="Q291" s="965"/>
      <c r="R291" s="965"/>
      <c r="S291" s="965"/>
      <c r="T291" s="965"/>
      <c r="U291" s="965"/>
      <c r="V291" s="965"/>
      <c r="W291" s="965"/>
      <c r="X291" s="965"/>
      <c r="Y291" s="965"/>
      <c r="Z291" s="965"/>
    </row>
    <row r="292">
      <c r="A292" s="965"/>
      <c r="B292" s="965"/>
      <c r="C292" s="965"/>
      <c r="D292" s="965"/>
      <c r="E292" s="965"/>
      <c r="F292" s="965"/>
      <c r="G292" s="965"/>
      <c r="H292" s="965"/>
      <c r="I292" s="965"/>
      <c r="J292" s="965"/>
      <c r="K292" s="965"/>
      <c r="L292" s="965"/>
      <c r="M292" s="965"/>
      <c r="N292" s="965"/>
      <c r="O292" s="965"/>
      <c r="P292" s="965"/>
      <c r="Q292" s="965"/>
      <c r="R292" s="965"/>
      <c r="S292" s="965"/>
      <c r="T292" s="965"/>
      <c r="U292" s="965"/>
      <c r="V292" s="965"/>
      <c r="W292" s="965"/>
      <c r="X292" s="965"/>
      <c r="Y292" s="965"/>
      <c r="Z292" s="965"/>
    </row>
    <row r="293">
      <c r="A293" s="965"/>
      <c r="B293" s="965"/>
      <c r="C293" s="965"/>
      <c r="D293" s="965"/>
      <c r="E293" s="965"/>
      <c r="F293" s="965"/>
      <c r="G293" s="965"/>
      <c r="H293" s="965"/>
      <c r="I293" s="965"/>
      <c r="J293" s="965"/>
      <c r="K293" s="965"/>
      <c r="L293" s="965"/>
      <c r="M293" s="965"/>
      <c r="N293" s="965"/>
      <c r="O293" s="965"/>
      <c r="P293" s="965"/>
      <c r="Q293" s="965"/>
      <c r="R293" s="965"/>
      <c r="S293" s="965"/>
      <c r="T293" s="965"/>
      <c r="U293" s="965"/>
      <c r="V293" s="965"/>
      <c r="W293" s="965"/>
      <c r="X293" s="965"/>
      <c r="Y293" s="965"/>
      <c r="Z293" s="965"/>
    </row>
    <row r="294">
      <c r="A294" s="965"/>
      <c r="B294" s="965"/>
      <c r="C294" s="965"/>
      <c r="D294" s="965"/>
      <c r="E294" s="965"/>
      <c r="F294" s="965"/>
      <c r="G294" s="965"/>
      <c r="H294" s="965"/>
      <c r="I294" s="965"/>
      <c r="J294" s="965"/>
      <c r="K294" s="965"/>
      <c r="L294" s="965"/>
      <c r="M294" s="965"/>
      <c r="N294" s="965"/>
      <c r="O294" s="965"/>
      <c r="P294" s="965"/>
      <c r="Q294" s="965"/>
      <c r="R294" s="965"/>
      <c r="S294" s="965"/>
      <c r="T294" s="965"/>
      <c r="U294" s="965"/>
      <c r="V294" s="965"/>
      <c r="W294" s="965"/>
      <c r="X294" s="965"/>
      <c r="Y294" s="965"/>
      <c r="Z294" s="965"/>
    </row>
    <row r="295">
      <c r="A295" s="965"/>
      <c r="B295" s="965"/>
      <c r="C295" s="965"/>
      <c r="D295" s="965"/>
      <c r="E295" s="965"/>
      <c r="F295" s="965"/>
      <c r="G295" s="965"/>
      <c r="H295" s="965"/>
      <c r="I295" s="965"/>
      <c r="J295" s="965"/>
      <c r="K295" s="965"/>
      <c r="L295" s="965"/>
      <c r="M295" s="965"/>
      <c r="N295" s="965"/>
      <c r="O295" s="965"/>
      <c r="P295" s="965"/>
      <c r="Q295" s="965"/>
      <c r="R295" s="965"/>
      <c r="S295" s="965"/>
      <c r="T295" s="965"/>
      <c r="U295" s="965"/>
      <c r="V295" s="965"/>
      <c r="W295" s="965"/>
      <c r="X295" s="965"/>
      <c r="Y295" s="965"/>
      <c r="Z295" s="965"/>
    </row>
    <row r="296">
      <c r="A296" s="965"/>
      <c r="B296" s="965"/>
      <c r="C296" s="965"/>
      <c r="D296" s="965"/>
      <c r="E296" s="965"/>
      <c r="F296" s="965"/>
      <c r="G296" s="965"/>
      <c r="H296" s="965"/>
      <c r="I296" s="965"/>
      <c r="J296" s="965"/>
      <c r="K296" s="965"/>
      <c r="L296" s="965"/>
      <c r="M296" s="965"/>
      <c r="N296" s="965"/>
      <c r="O296" s="965"/>
      <c r="P296" s="965"/>
      <c r="Q296" s="965"/>
      <c r="R296" s="965"/>
      <c r="S296" s="965"/>
      <c r="T296" s="965"/>
      <c r="U296" s="965"/>
      <c r="V296" s="965"/>
      <c r="W296" s="965"/>
      <c r="X296" s="965"/>
      <c r="Y296" s="965"/>
      <c r="Z296" s="965"/>
    </row>
    <row r="297">
      <c r="A297" s="965"/>
      <c r="B297" s="965"/>
      <c r="C297" s="965"/>
      <c r="D297" s="965"/>
      <c r="E297" s="965"/>
      <c r="F297" s="965"/>
      <c r="G297" s="965"/>
      <c r="H297" s="965"/>
      <c r="I297" s="965"/>
      <c r="J297" s="965"/>
      <c r="K297" s="965"/>
      <c r="L297" s="965"/>
      <c r="M297" s="965"/>
      <c r="N297" s="965"/>
      <c r="O297" s="965"/>
      <c r="P297" s="965"/>
      <c r="Q297" s="965"/>
      <c r="R297" s="965"/>
      <c r="S297" s="965"/>
      <c r="T297" s="965"/>
      <c r="U297" s="965"/>
      <c r="V297" s="965"/>
      <c r="W297" s="965"/>
      <c r="X297" s="965"/>
      <c r="Y297" s="965"/>
      <c r="Z297" s="965"/>
    </row>
    <row r="298">
      <c r="A298" s="965"/>
      <c r="B298" s="965"/>
      <c r="C298" s="965"/>
      <c r="D298" s="965"/>
      <c r="E298" s="965"/>
      <c r="F298" s="965"/>
      <c r="G298" s="965"/>
      <c r="H298" s="965"/>
      <c r="I298" s="965"/>
      <c r="J298" s="965"/>
      <c r="K298" s="965"/>
      <c r="L298" s="965"/>
      <c r="M298" s="965"/>
      <c r="N298" s="965"/>
      <c r="O298" s="965"/>
      <c r="P298" s="965"/>
      <c r="Q298" s="965"/>
      <c r="R298" s="965"/>
      <c r="S298" s="965"/>
      <c r="T298" s="965"/>
      <c r="U298" s="965"/>
      <c r="V298" s="965"/>
      <c r="W298" s="965"/>
      <c r="X298" s="965"/>
      <c r="Y298" s="965"/>
      <c r="Z298" s="965"/>
    </row>
    <row r="299">
      <c r="A299" s="965"/>
      <c r="B299" s="965"/>
      <c r="C299" s="965"/>
      <c r="D299" s="965"/>
      <c r="E299" s="965"/>
      <c r="F299" s="965"/>
      <c r="G299" s="965"/>
      <c r="H299" s="965"/>
      <c r="I299" s="965"/>
      <c r="J299" s="965"/>
      <c r="K299" s="965"/>
      <c r="L299" s="965"/>
      <c r="M299" s="965"/>
      <c r="N299" s="965"/>
      <c r="O299" s="965"/>
      <c r="P299" s="965"/>
      <c r="Q299" s="965"/>
      <c r="R299" s="965"/>
      <c r="S299" s="965"/>
      <c r="T299" s="965"/>
      <c r="U299" s="965"/>
      <c r="V299" s="965"/>
      <c r="W299" s="965"/>
      <c r="X299" s="965"/>
      <c r="Y299" s="965"/>
      <c r="Z299" s="965"/>
    </row>
    <row r="300">
      <c r="A300" s="965"/>
      <c r="B300" s="965"/>
      <c r="C300" s="965"/>
      <c r="D300" s="965"/>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row>
    <row r="301">
      <c r="A301" s="965"/>
      <c r="B301" s="965"/>
      <c r="C301" s="965"/>
      <c r="D301" s="965"/>
      <c r="E301" s="965"/>
      <c r="F301" s="965"/>
      <c r="G301" s="965"/>
      <c r="H301" s="965"/>
      <c r="I301" s="965"/>
      <c r="J301" s="965"/>
      <c r="K301" s="965"/>
      <c r="L301" s="965"/>
      <c r="M301" s="965"/>
      <c r="N301" s="965"/>
      <c r="O301" s="965"/>
      <c r="P301" s="965"/>
      <c r="Q301" s="965"/>
      <c r="R301" s="965"/>
      <c r="S301" s="965"/>
      <c r="T301" s="965"/>
      <c r="U301" s="965"/>
      <c r="V301" s="965"/>
      <c r="W301" s="965"/>
      <c r="X301" s="965"/>
      <c r="Y301" s="965"/>
      <c r="Z301" s="965"/>
    </row>
    <row r="302">
      <c r="A302" s="965"/>
      <c r="B302" s="965"/>
      <c r="C302" s="965"/>
      <c r="D302" s="965"/>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row>
    <row r="303">
      <c r="A303" s="965"/>
      <c r="B303" s="965"/>
      <c r="C303" s="965"/>
      <c r="D303" s="965"/>
      <c r="E303" s="965"/>
      <c r="F303" s="965"/>
      <c r="G303" s="965"/>
      <c r="H303" s="965"/>
      <c r="I303" s="965"/>
      <c r="J303" s="965"/>
      <c r="K303" s="965"/>
      <c r="L303" s="965"/>
      <c r="M303" s="965"/>
      <c r="N303" s="965"/>
      <c r="O303" s="965"/>
      <c r="P303" s="965"/>
      <c r="Q303" s="965"/>
      <c r="R303" s="965"/>
      <c r="S303" s="965"/>
      <c r="T303" s="965"/>
      <c r="U303" s="965"/>
      <c r="V303" s="965"/>
      <c r="W303" s="965"/>
      <c r="X303" s="965"/>
      <c r="Y303" s="965"/>
      <c r="Z303" s="965"/>
    </row>
    <row r="304">
      <c r="A304" s="965"/>
      <c r="B304" s="965"/>
      <c r="C304" s="965"/>
      <c r="D304" s="965"/>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row>
    <row r="305">
      <c r="A305" s="965"/>
      <c r="B305" s="965"/>
      <c r="C305" s="965"/>
      <c r="D305" s="965"/>
      <c r="E305" s="965"/>
      <c r="F305" s="965"/>
      <c r="G305" s="965"/>
      <c r="H305" s="965"/>
      <c r="I305" s="965"/>
      <c r="J305" s="965"/>
      <c r="K305" s="965"/>
      <c r="L305" s="965"/>
      <c r="M305" s="965"/>
      <c r="N305" s="965"/>
      <c r="O305" s="965"/>
      <c r="P305" s="965"/>
      <c r="Q305" s="965"/>
      <c r="R305" s="965"/>
      <c r="S305" s="965"/>
      <c r="T305" s="965"/>
      <c r="U305" s="965"/>
      <c r="V305" s="965"/>
      <c r="W305" s="965"/>
      <c r="X305" s="965"/>
      <c r="Y305" s="965"/>
      <c r="Z305" s="965"/>
    </row>
    <row r="306">
      <c r="A306" s="965"/>
      <c r="B306" s="965"/>
      <c r="C306" s="965"/>
      <c r="D306" s="965"/>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row>
    <row r="307">
      <c r="A307" s="965"/>
      <c r="B307" s="965"/>
      <c r="C307" s="965"/>
      <c r="D307" s="965"/>
      <c r="E307" s="965"/>
      <c r="F307" s="965"/>
      <c r="G307" s="965"/>
      <c r="H307" s="965"/>
      <c r="I307" s="965"/>
      <c r="J307" s="965"/>
      <c r="K307" s="965"/>
      <c r="L307" s="965"/>
      <c r="M307" s="965"/>
      <c r="N307" s="965"/>
      <c r="O307" s="965"/>
      <c r="P307" s="965"/>
      <c r="Q307" s="965"/>
      <c r="R307" s="965"/>
      <c r="S307" s="965"/>
      <c r="T307" s="965"/>
      <c r="U307" s="965"/>
      <c r="V307" s="965"/>
      <c r="W307" s="965"/>
      <c r="X307" s="965"/>
      <c r="Y307" s="965"/>
      <c r="Z307" s="965"/>
    </row>
    <row r="308">
      <c r="A308" s="965"/>
      <c r="B308" s="965"/>
      <c r="C308" s="965"/>
      <c r="D308" s="965"/>
      <c r="E308" s="965"/>
      <c r="F308" s="965"/>
      <c r="G308" s="965"/>
      <c r="H308" s="965"/>
      <c r="I308" s="965"/>
      <c r="J308" s="965"/>
      <c r="K308" s="965"/>
      <c r="L308" s="965"/>
      <c r="M308" s="965"/>
      <c r="N308" s="965"/>
      <c r="O308" s="965"/>
      <c r="P308" s="965"/>
      <c r="Q308" s="965"/>
      <c r="R308" s="965"/>
      <c r="S308" s="965"/>
      <c r="T308" s="965"/>
      <c r="U308" s="965"/>
      <c r="V308" s="965"/>
      <c r="W308" s="965"/>
      <c r="X308" s="965"/>
      <c r="Y308" s="965"/>
      <c r="Z308" s="965"/>
    </row>
    <row r="309">
      <c r="A309" s="965"/>
      <c r="B309" s="965"/>
      <c r="C309" s="965"/>
      <c r="D309" s="965"/>
      <c r="E309" s="965"/>
      <c r="F309" s="965"/>
      <c r="G309" s="965"/>
      <c r="H309" s="965"/>
      <c r="I309" s="965"/>
      <c r="J309" s="965"/>
      <c r="K309" s="965"/>
      <c r="L309" s="965"/>
      <c r="M309" s="965"/>
      <c r="N309" s="965"/>
      <c r="O309" s="965"/>
      <c r="P309" s="965"/>
      <c r="Q309" s="965"/>
      <c r="R309" s="965"/>
      <c r="S309" s="965"/>
      <c r="T309" s="965"/>
      <c r="U309" s="965"/>
      <c r="V309" s="965"/>
      <c r="W309" s="965"/>
      <c r="X309" s="965"/>
      <c r="Y309" s="965"/>
      <c r="Z309" s="965"/>
    </row>
    <row r="310">
      <c r="A310" s="965"/>
      <c r="B310" s="965"/>
      <c r="C310" s="965"/>
      <c r="D310" s="965"/>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row>
    <row r="311">
      <c r="A311" s="965"/>
      <c r="B311" s="965"/>
      <c r="C311" s="965"/>
      <c r="D311" s="965"/>
      <c r="E311" s="965"/>
      <c r="F311" s="965"/>
      <c r="G311" s="965"/>
      <c r="H311" s="965"/>
      <c r="I311" s="965"/>
      <c r="J311" s="965"/>
      <c r="K311" s="965"/>
      <c r="L311" s="965"/>
      <c r="M311" s="965"/>
      <c r="N311" s="965"/>
      <c r="O311" s="965"/>
      <c r="P311" s="965"/>
      <c r="Q311" s="965"/>
      <c r="R311" s="965"/>
      <c r="S311" s="965"/>
      <c r="T311" s="965"/>
      <c r="U311" s="965"/>
      <c r="V311" s="965"/>
      <c r="W311" s="965"/>
      <c r="X311" s="965"/>
      <c r="Y311" s="965"/>
      <c r="Z311" s="965"/>
    </row>
    <row r="312">
      <c r="A312" s="965"/>
      <c r="B312" s="965"/>
      <c r="C312" s="965"/>
      <c r="D312" s="965"/>
      <c r="E312" s="965"/>
      <c r="F312" s="965"/>
      <c r="G312" s="965"/>
      <c r="H312" s="965"/>
      <c r="I312" s="965"/>
      <c r="J312" s="965"/>
      <c r="K312" s="965"/>
      <c r="L312" s="965"/>
      <c r="M312" s="965"/>
      <c r="N312" s="965"/>
      <c r="O312" s="965"/>
      <c r="P312" s="965"/>
      <c r="Q312" s="965"/>
      <c r="R312" s="965"/>
      <c r="S312" s="965"/>
      <c r="T312" s="965"/>
      <c r="U312" s="965"/>
      <c r="V312" s="965"/>
      <c r="W312" s="965"/>
      <c r="X312" s="965"/>
      <c r="Y312" s="965"/>
      <c r="Z312" s="965"/>
    </row>
    <row r="313">
      <c r="A313" s="965"/>
      <c r="B313" s="965"/>
      <c r="C313" s="965"/>
      <c r="D313" s="965"/>
      <c r="E313" s="965"/>
      <c r="F313" s="965"/>
      <c r="G313" s="965"/>
      <c r="H313" s="965"/>
      <c r="I313" s="965"/>
      <c r="J313" s="965"/>
      <c r="K313" s="965"/>
      <c r="L313" s="965"/>
      <c r="M313" s="965"/>
      <c r="N313" s="965"/>
      <c r="O313" s="965"/>
      <c r="P313" s="965"/>
      <c r="Q313" s="965"/>
      <c r="R313" s="965"/>
      <c r="S313" s="965"/>
      <c r="T313" s="965"/>
      <c r="U313" s="965"/>
      <c r="V313" s="965"/>
      <c r="W313" s="965"/>
      <c r="X313" s="965"/>
      <c r="Y313" s="965"/>
      <c r="Z313" s="965"/>
    </row>
    <row r="314">
      <c r="A314" s="965"/>
      <c r="B314" s="965"/>
      <c r="C314" s="965"/>
      <c r="D314" s="965"/>
      <c r="E314" s="965"/>
      <c r="F314" s="965"/>
      <c r="G314" s="965"/>
      <c r="H314" s="965"/>
      <c r="I314" s="965"/>
      <c r="J314" s="965"/>
      <c r="K314" s="965"/>
      <c r="L314" s="965"/>
      <c r="M314" s="965"/>
      <c r="N314" s="965"/>
      <c r="O314" s="965"/>
      <c r="P314" s="965"/>
      <c r="Q314" s="965"/>
      <c r="R314" s="965"/>
      <c r="S314" s="965"/>
      <c r="T314" s="965"/>
      <c r="U314" s="965"/>
      <c r="V314" s="965"/>
      <c r="W314" s="965"/>
      <c r="X314" s="965"/>
      <c r="Y314" s="965"/>
      <c r="Z314" s="965"/>
    </row>
    <row r="315">
      <c r="A315" s="965"/>
      <c r="B315" s="965"/>
      <c r="C315" s="965"/>
      <c r="D315" s="965"/>
      <c r="E315" s="965"/>
      <c r="F315" s="965"/>
      <c r="G315" s="965"/>
      <c r="H315" s="965"/>
      <c r="I315" s="965"/>
      <c r="J315" s="965"/>
      <c r="K315" s="965"/>
      <c r="L315" s="965"/>
      <c r="M315" s="965"/>
      <c r="N315" s="965"/>
      <c r="O315" s="965"/>
      <c r="P315" s="965"/>
      <c r="Q315" s="965"/>
      <c r="R315" s="965"/>
      <c r="S315" s="965"/>
      <c r="T315" s="965"/>
      <c r="U315" s="965"/>
      <c r="V315" s="965"/>
      <c r="W315" s="965"/>
      <c r="X315" s="965"/>
      <c r="Y315" s="965"/>
      <c r="Z315" s="965"/>
    </row>
    <row r="316">
      <c r="A316" s="965"/>
      <c r="B316" s="965"/>
      <c r="C316" s="965"/>
      <c r="D316" s="965"/>
      <c r="E316" s="965"/>
      <c r="F316" s="965"/>
      <c r="G316" s="965"/>
      <c r="H316" s="965"/>
      <c r="I316" s="965"/>
      <c r="J316" s="965"/>
      <c r="K316" s="965"/>
      <c r="L316" s="965"/>
      <c r="M316" s="965"/>
      <c r="N316" s="965"/>
      <c r="O316" s="965"/>
      <c r="P316" s="965"/>
      <c r="Q316" s="965"/>
      <c r="R316" s="965"/>
      <c r="S316" s="965"/>
      <c r="T316" s="965"/>
      <c r="U316" s="965"/>
      <c r="V316" s="965"/>
      <c r="W316" s="965"/>
      <c r="X316" s="965"/>
      <c r="Y316" s="965"/>
      <c r="Z316" s="965"/>
    </row>
    <row r="317">
      <c r="A317" s="965"/>
      <c r="B317" s="965"/>
      <c r="C317" s="965"/>
      <c r="D317" s="965"/>
      <c r="E317" s="965"/>
      <c r="F317" s="965"/>
      <c r="G317" s="965"/>
      <c r="H317" s="965"/>
      <c r="I317" s="965"/>
      <c r="J317" s="965"/>
      <c r="K317" s="965"/>
      <c r="L317" s="965"/>
      <c r="M317" s="965"/>
      <c r="N317" s="965"/>
      <c r="O317" s="965"/>
      <c r="P317" s="965"/>
      <c r="Q317" s="965"/>
      <c r="R317" s="965"/>
      <c r="S317" s="965"/>
      <c r="T317" s="965"/>
      <c r="U317" s="965"/>
      <c r="V317" s="965"/>
      <c r="W317" s="965"/>
      <c r="X317" s="965"/>
      <c r="Y317" s="965"/>
      <c r="Z317" s="965"/>
    </row>
    <row r="318">
      <c r="A318" s="965"/>
      <c r="B318" s="965"/>
      <c r="C318" s="965"/>
      <c r="D318" s="965"/>
      <c r="E318" s="965"/>
      <c r="F318" s="965"/>
      <c r="G318" s="965"/>
      <c r="H318" s="965"/>
      <c r="I318" s="965"/>
      <c r="J318" s="965"/>
      <c r="K318" s="965"/>
      <c r="L318" s="965"/>
      <c r="M318" s="965"/>
      <c r="N318" s="965"/>
      <c r="O318" s="965"/>
      <c r="P318" s="965"/>
      <c r="Q318" s="965"/>
      <c r="R318" s="965"/>
      <c r="S318" s="965"/>
      <c r="T318" s="965"/>
      <c r="U318" s="965"/>
      <c r="V318" s="965"/>
      <c r="W318" s="965"/>
      <c r="X318" s="965"/>
      <c r="Y318" s="965"/>
      <c r="Z318" s="965"/>
    </row>
    <row r="319">
      <c r="A319" s="965"/>
      <c r="B319" s="965"/>
      <c r="C319" s="965"/>
      <c r="D319" s="965"/>
      <c r="E319" s="965"/>
      <c r="F319" s="965"/>
      <c r="G319" s="965"/>
      <c r="H319" s="965"/>
      <c r="I319" s="965"/>
      <c r="J319" s="965"/>
      <c r="K319" s="965"/>
      <c r="L319" s="965"/>
      <c r="M319" s="965"/>
      <c r="N319" s="965"/>
      <c r="O319" s="965"/>
      <c r="P319" s="965"/>
      <c r="Q319" s="965"/>
      <c r="R319" s="965"/>
      <c r="S319" s="965"/>
      <c r="T319" s="965"/>
      <c r="U319" s="965"/>
      <c r="V319" s="965"/>
      <c r="W319" s="965"/>
      <c r="X319" s="965"/>
      <c r="Y319" s="965"/>
      <c r="Z319" s="965"/>
    </row>
    <row r="320">
      <c r="A320" s="965"/>
      <c r="B320" s="965"/>
      <c r="C320" s="965"/>
      <c r="D320" s="965"/>
      <c r="E320" s="965"/>
      <c r="F320" s="965"/>
      <c r="G320" s="965"/>
      <c r="H320" s="965"/>
      <c r="I320" s="965"/>
      <c r="J320" s="965"/>
      <c r="K320" s="965"/>
      <c r="L320" s="965"/>
      <c r="M320" s="965"/>
      <c r="N320" s="965"/>
      <c r="O320" s="965"/>
      <c r="P320" s="965"/>
      <c r="Q320" s="965"/>
      <c r="R320" s="965"/>
      <c r="S320" s="965"/>
      <c r="T320" s="965"/>
      <c r="U320" s="965"/>
      <c r="V320" s="965"/>
      <c r="W320" s="965"/>
      <c r="X320" s="965"/>
      <c r="Y320" s="965"/>
      <c r="Z320" s="965"/>
    </row>
    <row r="321">
      <c r="A321" s="965"/>
      <c r="B321" s="965"/>
      <c r="C321" s="965"/>
      <c r="D321" s="965"/>
      <c r="E321" s="965"/>
      <c r="F321" s="965"/>
      <c r="G321" s="965"/>
      <c r="H321" s="965"/>
      <c r="I321" s="965"/>
      <c r="J321" s="965"/>
      <c r="K321" s="965"/>
      <c r="L321" s="965"/>
      <c r="M321" s="965"/>
      <c r="N321" s="965"/>
      <c r="O321" s="965"/>
      <c r="P321" s="965"/>
      <c r="Q321" s="965"/>
      <c r="R321" s="965"/>
      <c r="S321" s="965"/>
      <c r="T321" s="965"/>
      <c r="U321" s="965"/>
      <c r="V321" s="965"/>
      <c r="W321" s="965"/>
      <c r="X321" s="965"/>
      <c r="Y321" s="965"/>
      <c r="Z321" s="965"/>
    </row>
    <row r="322">
      <c r="A322" s="965"/>
      <c r="B322" s="965"/>
      <c r="C322" s="965"/>
      <c r="D322" s="965"/>
      <c r="E322" s="965"/>
      <c r="F322" s="965"/>
      <c r="G322" s="965"/>
      <c r="H322" s="965"/>
      <c r="I322" s="965"/>
      <c r="J322" s="965"/>
      <c r="K322" s="965"/>
      <c r="L322" s="965"/>
      <c r="M322" s="965"/>
      <c r="N322" s="965"/>
      <c r="O322" s="965"/>
      <c r="P322" s="965"/>
      <c r="Q322" s="965"/>
      <c r="R322" s="965"/>
      <c r="S322" s="965"/>
      <c r="T322" s="965"/>
      <c r="U322" s="965"/>
      <c r="V322" s="965"/>
      <c r="W322" s="965"/>
      <c r="X322" s="965"/>
      <c r="Y322" s="965"/>
      <c r="Z322" s="965"/>
    </row>
    <row r="323">
      <c r="A323" s="965"/>
      <c r="B323" s="965"/>
      <c r="C323" s="965"/>
      <c r="D323" s="965"/>
      <c r="E323" s="965"/>
      <c r="F323" s="965"/>
      <c r="G323" s="965"/>
      <c r="H323" s="965"/>
      <c r="I323" s="965"/>
      <c r="J323" s="965"/>
      <c r="K323" s="965"/>
      <c r="L323" s="965"/>
      <c r="M323" s="965"/>
      <c r="N323" s="965"/>
      <c r="O323" s="965"/>
      <c r="P323" s="965"/>
      <c r="Q323" s="965"/>
      <c r="R323" s="965"/>
      <c r="S323" s="965"/>
      <c r="T323" s="965"/>
      <c r="U323" s="965"/>
      <c r="V323" s="965"/>
      <c r="W323" s="965"/>
      <c r="X323" s="965"/>
      <c r="Y323" s="965"/>
      <c r="Z323" s="965"/>
    </row>
    <row r="324">
      <c r="A324" s="965"/>
      <c r="B324" s="965"/>
      <c r="C324" s="965"/>
      <c r="D324" s="965"/>
      <c r="E324" s="965"/>
      <c r="F324" s="965"/>
      <c r="G324" s="965"/>
      <c r="H324" s="965"/>
      <c r="I324" s="965"/>
      <c r="J324" s="965"/>
      <c r="K324" s="965"/>
      <c r="L324" s="965"/>
      <c r="M324" s="965"/>
      <c r="N324" s="965"/>
      <c r="O324" s="965"/>
      <c r="P324" s="965"/>
      <c r="Q324" s="965"/>
      <c r="R324" s="965"/>
      <c r="S324" s="965"/>
      <c r="T324" s="965"/>
      <c r="U324" s="965"/>
      <c r="V324" s="965"/>
      <c r="W324" s="965"/>
      <c r="X324" s="965"/>
      <c r="Y324" s="965"/>
      <c r="Z324" s="965"/>
    </row>
    <row r="325">
      <c r="A325" s="965"/>
      <c r="B325" s="965"/>
      <c r="C325" s="965"/>
      <c r="D325" s="965"/>
      <c r="E325" s="965"/>
      <c r="F325" s="965"/>
      <c r="G325" s="965"/>
      <c r="H325" s="965"/>
      <c r="I325" s="965"/>
      <c r="J325" s="965"/>
      <c r="K325" s="965"/>
      <c r="L325" s="965"/>
      <c r="M325" s="965"/>
      <c r="N325" s="965"/>
      <c r="O325" s="965"/>
      <c r="P325" s="965"/>
      <c r="Q325" s="965"/>
      <c r="R325" s="965"/>
      <c r="S325" s="965"/>
      <c r="T325" s="965"/>
      <c r="U325" s="965"/>
      <c r="V325" s="965"/>
      <c r="W325" s="965"/>
      <c r="X325" s="965"/>
      <c r="Y325" s="965"/>
      <c r="Z325" s="965"/>
    </row>
    <row r="326">
      <c r="A326" s="965"/>
      <c r="B326" s="965"/>
      <c r="C326" s="965"/>
      <c r="D326" s="965"/>
      <c r="E326" s="965"/>
      <c r="F326" s="965"/>
      <c r="G326" s="965"/>
      <c r="H326" s="965"/>
      <c r="I326" s="965"/>
      <c r="J326" s="965"/>
      <c r="K326" s="965"/>
      <c r="L326" s="965"/>
      <c r="M326" s="965"/>
      <c r="N326" s="965"/>
      <c r="O326" s="965"/>
      <c r="P326" s="965"/>
      <c r="Q326" s="965"/>
      <c r="R326" s="965"/>
      <c r="S326" s="965"/>
      <c r="T326" s="965"/>
      <c r="U326" s="965"/>
      <c r="V326" s="965"/>
      <c r="W326" s="965"/>
      <c r="X326" s="965"/>
      <c r="Y326" s="965"/>
      <c r="Z326" s="965"/>
    </row>
    <row r="327">
      <c r="A327" s="965"/>
      <c r="B327" s="965"/>
      <c r="C327" s="965"/>
      <c r="D327" s="965"/>
      <c r="E327" s="965"/>
      <c r="F327" s="965"/>
      <c r="G327" s="965"/>
      <c r="H327" s="965"/>
      <c r="I327" s="965"/>
      <c r="J327" s="965"/>
      <c r="K327" s="965"/>
      <c r="L327" s="965"/>
      <c r="M327" s="965"/>
      <c r="N327" s="965"/>
      <c r="O327" s="965"/>
      <c r="P327" s="965"/>
      <c r="Q327" s="965"/>
      <c r="R327" s="965"/>
      <c r="S327" s="965"/>
      <c r="T327" s="965"/>
      <c r="U327" s="965"/>
      <c r="V327" s="965"/>
      <c r="W327" s="965"/>
      <c r="X327" s="965"/>
      <c r="Y327" s="965"/>
      <c r="Z327" s="965"/>
    </row>
    <row r="328">
      <c r="A328" s="965"/>
      <c r="B328" s="965"/>
      <c r="C328" s="965"/>
      <c r="D328" s="965"/>
      <c r="E328" s="965"/>
      <c r="F328" s="965"/>
      <c r="G328" s="965"/>
      <c r="H328" s="965"/>
      <c r="I328" s="965"/>
      <c r="J328" s="965"/>
      <c r="K328" s="965"/>
      <c r="L328" s="965"/>
      <c r="M328" s="965"/>
      <c r="N328" s="965"/>
      <c r="O328" s="965"/>
      <c r="P328" s="965"/>
      <c r="Q328" s="965"/>
      <c r="R328" s="965"/>
      <c r="S328" s="965"/>
      <c r="T328" s="965"/>
      <c r="U328" s="965"/>
      <c r="V328" s="965"/>
      <c r="W328" s="965"/>
      <c r="X328" s="965"/>
      <c r="Y328" s="965"/>
      <c r="Z328" s="965"/>
    </row>
    <row r="329">
      <c r="A329" s="965"/>
      <c r="B329" s="965"/>
      <c r="C329" s="965"/>
      <c r="D329" s="965"/>
      <c r="E329" s="965"/>
      <c r="F329" s="965"/>
      <c r="G329" s="965"/>
      <c r="H329" s="965"/>
      <c r="I329" s="965"/>
      <c r="J329" s="965"/>
      <c r="K329" s="965"/>
      <c r="L329" s="965"/>
      <c r="M329" s="965"/>
      <c r="N329" s="965"/>
      <c r="O329" s="965"/>
      <c r="P329" s="965"/>
      <c r="Q329" s="965"/>
      <c r="R329" s="965"/>
      <c r="S329" s="965"/>
      <c r="T329" s="965"/>
      <c r="U329" s="965"/>
      <c r="V329" s="965"/>
      <c r="W329" s="965"/>
      <c r="X329" s="965"/>
      <c r="Y329" s="965"/>
      <c r="Z329" s="965"/>
    </row>
    <row r="330">
      <c r="A330" s="965"/>
      <c r="B330" s="965"/>
      <c r="C330" s="965"/>
      <c r="D330" s="965"/>
      <c r="E330" s="965"/>
      <c r="F330" s="965"/>
      <c r="G330" s="965"/>
      <c r="H330" s="965"/>
      <c r="I330" s="965"/>
      <c r="J330" s="965"/>
      <c r="K330" s="965"/>
      <c r="L330" s="965"/>
      <c r="M330" s="965"/>
      <c r="N330" s="965"/>
      <c r="O330" s="965"/>
      <c r="P330" s="965"/>
      <c r="Q330" s="965"/>
      <c r="R330" s="965"/>
      <c r="S330" s="965"/>
      <c r="T330" s="965"/>
      <c r="U330" s="965"/>
      <c r="V330" s="965"/>
      <c r="W330" s="965"/>
      <c r="X330" s="965"/>
      <c r="Y330" s="965"/>
      <c r="Z330" s="965"/>
    </row>
    <row r="331">
      <c r="A331" s="965"/>
      <c r="B331" s="965"/>
      <c r="C331" s="965"/>
      <c r="D331" s="965"/>
      <c r="E331" s="965"/>
      <c r="F331" s="965"/>
      <c r="G331" s="965"/>
      <c r="H331" s="965"/>
      <c r="I331" s="965"/>
      <c r="J331" s="965"/>
      <c r="K331" s="965"/>
      <c r="L331" s="965"/>
      <c r="M331" s="965"/>
      <c r="N331" s="965"/>
      <c r="O331" s="965"/>
      <c r="P331" s="965"/>
      <c r="Q331" s="965"/>
      <c r="R331" s="965"/>
      <c r="S331" s="965"/>
      <c r="T331" s="965"/>
      <c r="U331" s="965"/>
      <c r="V331" s="965"/>
      <c r="W331" s="965"/>
      <c r="X331" s="965"/>
      <c r="Y331" s="965"/>
      <c r="Z331" s="965"/>
    </row>
    <row r="332">
      <c r="A332" s="965"/>
      <c r="B332" s="965"/>
      <c r="C332" s="965"/>
      <c r="D332" s="965"/>
      <c r="E332" s="965"/>
      <c r="F332" s="965"/>
      <c r="G332" s="965"/>
      <c r="H332" s="965"/>
      <c r="I332" s="965"/>
      <c r="J332" s="965"/>
      <c r="K332" s="965"/>
      <c r="L332" s="965"/>
      <c r="M332" s="965"/>
      <c r="N332" s="965"/>
      <c r="O332" s="965"/>
      <c r="P332" s="965"/>
      <c r="Q332" s="965"/>
      <c r="R332" s="965"/>
      <c r="S332" s="965"/>
      <c r="T332" s="965"/>
      <c r="U332" s="965"/>
      <c r="V332" s="965"/>
      <c r="W332" s="965"/>
      <c r="X332" s="965"/>
      <c r="Y332" s="965"/>
      <c r="Z332" s="965"/>
    </row>
    <row r="333">
      <c r="A333" s="965"/>
      <c r="B333" s="965"/>
      <c r="C333" s="965"/>
      <c r="D333" s="965"/>
      <c r="E333" s="965"/>
      <c r="F333" s="965"/>
      <c r="G333" s="965"/>
      <c r="H333" s="965"/>
      <c r="I333" s="965"/>
      <c r="J333" s="965"/>
      <c r="K333" s="965"/>
      <c r="L333" s="965"/>
      <c r="M333" s="965"/>
      <c r="N333" s="965"/>
      <c r="O333" s="965"/>
      <c r="P333" s="965"/>
      <c r="Q333" s="965"/>
      <c r="R333" s="965"/>
      <c r="S333" s="965"/>
      <c r="T333" s="965"/>
      <c r="U333" s="965"/>
      <c r="V333" s="965"/>
      <c r="W333" s="965"/>
      <c r="X333" s="965"/>
      <c r="Y333" s="965"/>
      <c r="Z333" s="965"/>
    </row>
    <row r="334">
      <c r="A334" s="965"/>
      <c r="B334" s="965"/>
      <c r="C334" s="965"/>
      <c r="D334" s="965"/>
      <c r="E334" s="965"/>
      <c r="F334" s="965"/>
      <c r="G334" s="965"/>
      <c r="H334" s="965"/>
      <c r="I334" s="965"/>
      <c r="J334" s="965"/>
      <c r="K334" s="965"/>
      <c r="L334" s="965"/>
      <c r="M334" s="965"/>
      <c r="N334" s="965"/>
      <c r="O334" s="965"/>
      <c r="P334" s="965"/>
      <c r="Q334" s="965"/>
      <c r="R334" s="965"/>
      <c r="S334" s="965"/>
      <c r="T334" s="965"/>
      <c r="U334" s="965"/>
      <c r="V334" s="965"/>
      <c r="W334" s="965"/>
      <c r="X334" s="965"/>
      <c r="Y334" s="965"/>
      <c r="Z334" s="965"/>
    </row>
    <row r="335">
      <c r="A335" s="965"/>
      <c r="B335" s="965"/>
      <c r="C335" s="965"/>
      <c r="D335" s="965"/>
      <c r="E335" s="965"/>
      <c r="F335" s="965"/>
      <c r="G335" s="965"/>
      <c r="H335" s="965"/>
      <c r="I335" s="965"/>
      <c r="J335" s="965"/>
      <c r="K335" s="965"/>
      <c r="L335" s="965"/>
      <c r="M335" s="965"/>
      <c r="N335" s="965"/>
      <c r="O335" s="965"/>
      <c r="P335" s="965"/>
      <c r="Q335" s="965"/>
      <c r="R335" s="965"/>
      <c r="S335" s="965"/>
      <c r="T335" s="965"/>
      <c r="U335" s="965"/>
      <c r="V335" s="965"/>
      <c r="W335" s="965"/>
      <c r="X335" s="965"/>
      <c r="Y335" s="965"/>
      <c r="Z335" s="965"/>
    </row>
    <row r="336">
      <c r="A336" s="965"/>
      <c r="B336" s="965"/>
      <c r="C336" s="965"/>
      <c r="D336" s="965"/>
      <c r="E336" s="965"/>
      <c r="F336" s="965"/>
      <c r="G336" s="965"/>
      <c r="H336" s="965"/>
      <c r="I336" s="965"/>
      <c r="J336" s="965"/>
      <c r="K336" s="965"/>
      <c r="L336" s="965"/>
      <c r="M336" s="965"/>
      <c r="N336" s="965"/>
      <c r="O336" s="965"/>
      <c r="P336" s="965"/>
      <c r="Q336" s="965"/>
      <c r="R336" s="965"/>
      <c r="S336" s="965"/>
      <c r="T336" s="965"/>
      <c r="U336" s="965"/>
      <c r="V336" s="965"/>
      <c r="W336" s="965"/>
      <c r="X336" s="965"/>
      <c r="Y336" s="965"/>
      <c r="Z336" s="965"/>
    </row>
    <row r="337">
      <c r="A337" s="965"/>
      <c r="B337" s="965"/>
      <c r="C337" s="965"/>
      <c r="D337" s="965"/>
      <c r="E337" s="965"/>
      <c r="F337" s="965"/>
      <c r="G337" s="965"/>
      <c r="H337" s="965"/>
      <c r="I337" s="965"/>
      <c r="J337" s="965"/>
      <c r="K337" s="965"/>
      <c r="L337" s="965"/>
      <c r="M337" s="965"/>
      <c r="N337" s="965"/>
      <c r="O337" s="965"/>
      <c r="P337" s="965"/>
      <c r="Q337" s="965"/>
      <c r="R337" s="965"/>
      <c r="S337" s="965"/>
      <c r="T337" s="965"/>
      <c r="U337" s="965"/>
      <c r="V337" s="965"/>
      <c r="W337" s="965"/>
      <c r="X337" s="965"/>
      <c r="Y337" s="965"/>
      <c r="Z337" s="965"/>
    </row>
    <row r="338">
      <c r="A338" s="965"/>
      <c r="B338" s="965"/>
      <c r="C338" s="965"/>
      <c r="D338" s="965"/>
      <c r="E338" s="965"/>
      <c r="F338" s="965"/>
      <c r="G338" s="965"/>
      <c r="H338" s="965"/>
      <c r="I338" s="965"/>
      <c r="J338" s="965"/>
      <c r="K338" s="965"/>
      <c r="L338" s="965"/>
      <c r="M338" s="965"/>
      <c r="N338" s="965"/>
      <c r="O338" s="965"/>
      <c r="P338" s="965"/>
      <c r="Q338" s="965"/>
      <c r="R338" s="965"/>
      <c r="S338" s="965"/>
      <c r="T338" s="965"/>
      <c r="U338" s="965"/>
      <c r="V338" s="965"/>
      <c r="W338" s="965"/>
      <c r="X338" s="965"/>
      <c r="Y338" s="965"/>
      <c r="Z338" s="965"/>
    </row>
    <row r="339">
      <c r="A339" s="965"/>
      <c r="B339" s="965"/>
      <c r="C339" s="965"/>
      <c r="D339" s="965"/>
      <c r="E339" s="965"/>
      <c r="F339" s="965"/>
      <c r="G339" s="965"/>
      <c r="H339" s="965"/>
      <c r="I339" s="965"/>
      <c r="J339" s="965"/>
      <c r="K339" s="965"/>
      <c r="L339" s="965"/>
      <c r="M339" s="965"/>
      <c r="N339" s="965"/>
      <c r="O339" s="965"/>
      <c r="P339" s="965"/>
      <c r="Q339" s="965"/>
      <c r="R339" s="965"/>
      <c r="S339" s="965"/>
      <c r="T339" s="965"/>
      <c r="U339" s="965"/>
      <c r="V339" s="965"/>
      <c r="W339" s="965"/>
      <c r="X339" s="965"/>
      <c r="Y339" s="965"/>
      <c r="Z339" s="965"/>
    </row>
    <row r="340">
      <c r="A340" s="965"/>
      <c r="B340" s="965"/>
      <c r="C340" s="965"/>
      <c r="D340" s="965"/>
      <c r="E340" s="965"/>
      <c r="F340" s="965"/>
      <c r="G340" s="965"/>
      <c r="H340" s="965"/>
      <c r="I340" s="965"/>
      <c r="J340" s="965"/>
      <c r="K340" s="965"/>
      <c r="L340" s="965"/>
      <c r="M340" s="965"/>
      <c r="N340" s="965"/>
      <c r="O340" s="965"/>
      <c r="P340" s="965"/>
      <c r="Q340" s="965"/>
      <c r="R340" s="965"/>
      <c r="S340" s="965"/>
      <c r="T340" s="965"/>
      <c r="U340" s="965"/>
      <c r="V340" s="965"/>
      <c r="W340" s="965"/>
      <c r="X340" s="965"/>
      <c r="Y340" s="965"/>
      <c r="Z340" s="965"/>
    </row>
    <row r="341">
      <c r="A341" s="965"/>
      <c r="B341" s="965"/>
      <c r="C341" s="965"/>
      <c r="D341" s="965"/>
      <c r="E341" s="965"/>
      <c r="F341" s="965"/>
      <c r="G341" s="965"/>
      <c r="H341" s="965"/>
      <c r="I341" s="965"/>
      <c r="J341" s="965"/>
      <c r="K341" s="965"/>
      <c r="L341" s="965"/>
      <c r="M341" s="965"/>
      <c r="N341" s="965"/>
      <c r="O341" s="965"/>
      <c r="P341" s="965"/>
      <c r="Q341" s="965"/>
      <c r="R341" s="965"/>
      <c r="S341" s="965"/>
      <c r="T341" s="965"/>
      <c r="U341" s="965"/>
      <c r="V341" s="965"/>
      <c r="W341" s="965"/>
      <c r="X341" s="965"/>
      <c r="Y341" s="965"/>
      <c r="Z341" s="965"/>
    </row>
    <row r="342">
      <c r="A342" s="965"/>
      <c r="B342" s="965"/>
      <c r="C342" s="965"/>
      <c r="D342" s="965"/>
      <c r="E342" s="965"/>
      <c r="F342" s="965"/>
      <c r="G342" s="965"/>
      <c r="H342" s="965"/>
      <c r="I342" s="965"/>
      <c r="J342" s="965"/>
      <c r="K342" s="965"/>
      <c r="L342" s="965"/>
      <c r="M342" s="965"/>
      <c r="N342" s="965"/>
      <c r="O342" s="965"/>
      <c r="P342" s="965"/>
      <c r="Q342" s="965"/>
      <c r="R342" s="965"/>
      <c r="S342" s="965"/>
      <c r="T342" s="965"/>
      <c r="U342" s="965"/>
      <c r="V342" s="965"/>
      <c r="W342" s="965"/>
      <c r="X342" s="965"/>
      <c r="Y342" s="965"/>
      <c r="Z342" s="965"/>
    </row>
    <row r="343">
      <c r="A343" s="965"/>
      <c r="B343" s="965"/>
      <c r="C343" s="965"/>
      <c r="D343" s="965"/>
      <c r="E343" s="965"/>
      <c r="F343" s="965"/>
      <c r="G343" s="965"/>
      <c r="H343" s="965"/>
      <c r="I343" s="965"/>
      <c r="J343" s="965"/>
      <c r="K343" s="965"/>
      <c r="L343" s="965"/>
      <c r="M343" s="965"/>
      <c r="N343" s="965"/>
      <c r="O343" s="965"/>
      <c r="P343" s="965"/>
      <c r="Q343" s="965"/>
      <c r="R343" s="965"/>
      <c r="S343" s="965"/>
      <c r="T343" s="965"/>
      <c r="U343" s="965"/>
      <c r="V343" s="965"/>
      <c r="W343" s="965"/>
      <c r="X343" s="965"/>
      <c r="Y343" s="965"/>
      <c r="Z343" s="965"/>
    </row>
    <row r="344">
      <c r="A344" s="965"/>
      <c r="B344" s="965"/>
      <c r="C344" s="965"/>
      <c r="D344" s="965"/>
      <c r="E344" s="965"/>
      <c r="F344" s="965"/>
      <c r="G344" s="965"/>
      <c r="H344" s="965"/>
      <c r="I344" s="965"/>
      <c r="J344" s="965"/>
      <c r="K344" s="965"/>
      <c r="L344" s="965"/>
      <c r="M344" s="965"/>
      <c r="N344" s="965"/>
      <c r="O344" s="965"/>
      <c r="P344" s="965"/>
      <c r="Q344" s="965"/>
      <c r="R344" s="965"/>
      <c r="S344" s="965"/>
      <c r="T344" s="965"/>
      <c r="U344" s="965"/>
      <c r="V344" s="965"/>
      <c r="W344" s="965"/>
      <c r="X344" s="965"/>
      <c r="Y344" s="965"/>
      <c r="Z344" s="965"/>
    </row>
    <row r="345">
      <c r="A345" s="965"/>
      <c r="B345" s="965"/>
      <c r="C345" s="965"/>
      <c r="D345" s="965"/>
      <c r="E345" s="965"/>
      <c r="F345" s="965"/>
      <c r="G345" s="965"/>
      <c r="H345" s="965"/>
      <c r="I345" s="965"/>
      <c r="J345" s="965"/>
      <c r="K345" s="965"/>
      <c r="L345" s="965"/>
      <c r="M345" s="965"/>
      <c r="N345" s="965"/>
      <c r="O345" s="965"/>
      <c r="P345" s="965"/>
      <c r="Q345" s="965"/>
      <c r="R345" s="965"/>
      <c r="S345" s="965"/>
      <c r="T345" s="965"/>
      <c r="U345" s="965"/>
      <c r="V345" s="965"/>
      <c r="W345" s="965"/>
      <c r="X345" s="965"/>
      <c r="Y345" s="965"/>
      <c r="Z345" s="965"/>
    </row>
    <row r="346">
      <c r="A346" s="965"/>
      <c r="B346" s="965"/>
      <c r="C346" s="965"/>
      <c r="D346" s="965"/>
      <c r="E346" s="965"/>
      <c r="F346" s="965"/>
      <c r="G346" s="965"/>
      <c r="H346" s="965"/>
      <c r="I346" s="965"/>
      <c r="J346" s="965"/>
      <c r="K346" s="965"/>
      <c r="L346" s="965"/>
      <c r="M346" s="965"/>
      <c r="N346" s="965"/>
      <c r="O346" s="965"/>
      <c r="P346" s="965"/>
      <c r="Q346" s="965"/>
      <c r="R346" s="965"/>
      <c r="S346" s="965"/>
      <c r="T346" s="965"/>
      <c r="U346" s="965"/>
      <c r="V346" s="965"/>
      <c r="W346" s="965"/>
      <c r="X346" s="965"/>
      <c r="Y346" s="965"/>
      <c r="Z346" s="965"/>
    </row>
    <row r="347">
      <c r="A347" s="965"/>
      <c r="B347" s="965"/>
      <c r="C347" s="965"/>
      <c r="D347" s="965"/>
      <c r="E347" s="965"/>
      <c r="F347" s="965"/>
      <c r="G347" s="965"/>
      <c r="H347" s="965"/>
      <c r="I347" s="965"/>
      <c r="J347" s="965"/>
      <c r="K347" s="965"/>
      <c r="L347" s="965"/>
      <c r="M347" s="965"/>
      <c r="N347" s="965"/>
      <c r="O347" s="965"/>
      <c r="P347" s="965"/>
      <c r="Q347" s="965"/>
      <c r="R347" s="965"/>
      <c r="S347" s="965"/>
      <c r="T347" s="965"/>
      <c r="U347" s="965"/>
      <c r="V347" s="965"/>
      <c r="W347" s="965"/>
      <c r="X347" s="965"/>
      <c r="Y347" s="965"/>
      <c r="Z347" s="965"/>
    </row>
    <row r="348">
      <c r="A348" s="965"/>
      <c r="B348" s="965"/>
      <c r="C348" s="965"/>
      <c r="D348" s="965"/>
      <c r="E348" s="965"/>
      <c r="F348" s="965"/>
      <c r="G348" s="965"/>
      <c r="H348" s="965"/>
      <c r="I348" s="965"/>
      <c r="J348" s="965"/>
      <c r="K348" s="965"/>
      <c r="L348" s="965"/>
      <c r="M348" s="965"/>
      <c r="N348" s="965"/>
      <c r="O348" s="965"/>
      <c r="P348" s="965"/>
      <c r="Q348" s="965"/>
      <c r="R348" s="965"/>
      <c r="S348" s="965"/>
      <c r="T348" s="965"/>
      <c r="U348" s="965"/>
      <c r="V348" s="965"/>
      <c r="W348" s="965"/>
      <c r="X348" s="965"/>
      <c r="Y348" s="965"/>
      <c r="Z348" s="965"/>
    </row>
    <row r="349">
      <c r="A349" s="965"/>
      <c r="B349" s="965"/>
      <c r="C349" s="965"/>
      <c r="D349" s="965"/>
      <c r="E349" s="965"/>
      <c r="F349" s="965"/>
      <c r="G349" s="965"/>
      <c r="H349" s="965"/>
      <c r="I349" s="965"/>
      <c r="J349" s="965"/>
      <c r="K349" s="965"/>
      <c r="L349" s="965"/>
      <c r="M349" s="965"/>
      <c r="N349" s="965"/>
      <c r="O349" s="965"/>
      <c r="P349" s="965"/>
      <c r="Q349" s="965"/>
      <c r="R349" s="965"/>
      <c r="S349" s="965"/>
      <c r="T349" s="965"/>
      <c r="U349" s="965"/>
      <c r="V349" s="965"/>
      <c r="W349" s="965"/>
      <c r="X349" s="965"/>
      <c r="Y349" s="965"/>
      <c r="Z349" s="965"/>
    </row>
    <row r="350">
      <c r="A350" s="965"/>
      <c r="B350" s="965"/>
      <c r="C350" s="965"/>
      <c r="D350" s="965"/>
      <c r="E350" s="965"/>
      <c r="F350" s="965"/>
      <c r="G350" s="965"/>
      <c r="H350" s="965"/>
      <c r="I350" s="965"/>
      <c r="J350" s="965"/>
      <c r="K350" s="965"/>
      <c r="L350" s="965"/>
      <c r="M350" s="965"/>
      <c r="N350" s="965"/>
      <c r="O350" s="965"/>
      <c r="P350" s="965"/>
      <c r="Q350" s="965"/>
      <c r="R350" s="965"/>
      <c r="S350" s="965"/>
      <c r="T350" s="965"/>
      <c r="U350" s="965"/>
      <c r="V350" s="965"/>
      <c r="W350" s="965"/>
      <c r="X350" s="965"/>
      <c r="Y350" s="965"/>
      <c r="Z350" s="965"/>
    </row>
    <row r="351">
      <c r="A351" s="965"/>
      <c r="B351" s="965"/>
      <c r="C351" s="965"/>
      <c r="D351" s="965"/>
      <c r="E351" s="965"/>
      <c r="F351" s="965"/>
      <c r="G351" s="965"/>
      <c r="H351" s="965"/>
      <c r="I351" s="965"/>
      <c r="J351" s="965"/>
      <c r="K351" s="965"/>
      <c r="L351" s="965"/>
      <c r="M351" s="965"/>
      <c r="N351" s="965"/>
      <c r="O351" s="965"/>
      <c r="P351" s="965"/>
      <c r="Q351" s="965"/>
      <c r="R351" s="965"/>
      <c r="S351" s="965"/>
      <c r="T351" s="965"/>
      <c r="U351" s="965"/>
      <c r="V351" s="965"/>
      <c r="W351" s="965"/>
      <c r="X351" s="965"/>
      <c r="Y351" s="965"/>
      <c r="Z351" s="965"/>
    </row>
    <row r="352">
      <c r="A352" s="965"/>
      <c r="B352" s="965"/>
      <c r="C352" s="965"/>
      <c r="D352" s="965"/>
      <c r="E352" s="965"/>
      <c r="F352" s="965"/>
      <c r="G352" s="965"/>
      <c r="H352" s="965"/>
      <c r="I352" s="965"/>
      <c r="J352" s="965"/>
      <c r="K352" s="965"/>
      <c r="L352" s="965"/>
      <c r="M352" s="965"/>
      <c r="N352" s="965"/>
      <c r="O352" s="965"/>
      <c r="P352" s="965"/>
      <c r="Q352" s="965"/>
      <c r="R352" s="965"/>
      <c r="S352" s="965"/>
      <c r="T352" s="965"/>
      <c r="U352" s="965"/>
      <c r="V352" s="965"/>
      <c r="W352" s="965"/>
      <c r="X352" s="965"/>
      <c r="Y352" s="965"/>
      <c r="Z352" s="965"/>
    </row>
    <row r="353">
      <c r="A353" s="965"/>
      <c r="B353" s="965"/>
      <c r="C353" s="965"/>
      <c r="D353" s="965"/>
      <c r="E353" s="965"/>
      <c r="F353" s="965"/>
      <c r="G353" s="965"/>
      <c r="H353" s="965"/>
      <c r="I353" s="965"/>
      <c r="J353" s="965"/>
      <c r="K353" s="965"/>
      <c r="L353" s="965"/>
      <c r="M353" s="965"/>
      <c r="N353" s="965"/>
      <c r="O353" s="965"/>
      <c r="P353" s="965"/>
      <c r="Q353" s="965"/>
      <c r="R353" s="965"/>
      <c r="S353" s="965"/>
      <c r="T353" s="965"/>
      <c r="U353" s="965"/>
      <c r="V353" s="965"/>
      <c r="W353" s="965"/>
      <c r="X353" s="965"/>
      <c r="Y353" s="965"/>
      <c r="Z353" s="965"/>
    </row>
    <row r="354">
      <c r="A354" s="965"/>
      <c r="B354" s="965"/>
      <c r="C354" s="965"/>
      <c r="D354" s="965"/>
      <c r="E354" s="965"/>
      <c r="F354" s="965"/>
      <c r="G354" s="965"/>
      <c r="H354" s="965"/>
      <c r="I354" s="965"/>
      <c r="J354" s="965"/>
      <c r="K354" s="965"/>
      <c r="L354" s="965"/>
      <c r="M354" s="965"/>
      <c r="N354" s="965"/>
      <c r="O354" s="965"/>
      <c r="P354" s="965"/>
      <c r="Q354" s="965"/>
      <c r="R354" s="965"/>
      <c r="S354" s="965"/>
      <c r="T354" s="965"/>
      <c r="U354" s="965"/>
      <c r="V354" s="965"/>
      <c r="W354" s="965"/>
      <c r="X354" s="965"/>
      <c r="Y354" s="965"/>
      <c r="Z354" s="965"/>
    </row>
    <row r="355">
      <c r="A355" s="965"/>
      <c r="B355" s="965"/>
      <c r="C355" s="965"/>
      <c r="D355" s="965"/>
      <c r="E355" s="965"/>
      <c r="F355" s="965"/>
      <c r="G355" s="965"/>
      <c r="H355" s="965"/>
      <c r="I355" s="965"/>
      <c r="J355" s="965"/>
      <c r="K355" s="965"/>
      <c r="L355" s="965"/>
      <c r="M355" s="965"/>
      <c r="N355" s="965"/>
      <c r="O355" s="965"/>
      <c r="P355" s="965"/>
      <c r="Q355" s="965"/>
      <c r="R355" s="965"/>
      <c r="S355" s="965"/>
      <c r="T355" s="965"/>
      <c r="U355" s="965"/>
      <c r="V355" s="965"/>
      <c r="W355" s="965"/>
      <c r="X355" s="965"/>
      <c r="Y355" s="965"/>
      <c r="Z355" s="965"/>
    </row>
    <row r="356">
      <c r="A356" s="965"/>
      <c r="B356" s="965"/>
      <c r="C356" s="965"/>
      <c r="D356" s="965"/>
      <c r="E356" s="965"/>
      <c r="F356" s="965"/>
      <c r="G356" s="965"/>
      <c r="H356" s="965"/>
      <c r="I356" s="965"/>
      <c r="J356" s="965"/>
      <c r="K356" s="965"/>
      <c r="L356" s="965"/>
      <c r="M356" s="965"/>
      <c r="N356" s="965"/>
      <c r="O356" s="965"/>
      <c r="P356" s="965"/>
      <c r="Q356" s="965"/>
      <c r="R356" s="965"/>
      <c r="S356" s="965"/>
      <c r="T356" s="965"/>
      <c r="U356" s="965"/>
      <c r="V356" s="965"/>
      <c r="W356" s="965"/>
      <c r="X356" s="965"/>
      <c r="Y356" s="965"/>
      <c r="Z356" s="965"/>
    </row>
    <row r="357">
      <c r="A357" s="965"/>
      <c r="B357" s="965"/>
      <c r="C357" s="965"/>
      <c r="D357" s="965"/>
      <c r="E357" s="965"/>
      <c r="F357" s="965"/>
      <c r="G357" s="965"/>
      <c r="H357" s="965"/>
      <c r="I357" s="965"/>
      <c r="J357" s="965"/>
      <c r="K357" s="965"/>
      <c r="L357" s="965"/>
      <c r="M357" s="965"/>
      <c r="N357" s="965"/>
      <c r="O357" s="965"/>
      <c r="P357" s="965"/>
      <c r="Q357" s="965"/>
      <c r="R357" s="965"/>
      <c r="S357" s="965"/>
      <c r="T357" s="965"/>
      <c r="U357" s="965"/>
      <c r="V357" s="965"/>
      <c r="W357" s="965"/>
      <c r="X357" s="965"/>
      <c r="Y357" s="965"/>
      <c r="Z357" s="965"/>
    </row>
    <row r="358">
      <c r="A358" s="965"/>
      <c r="B358" s="965"/>
      <c r="C358" s="965"/>
      <c r="D358" s="965"/>
      <c r="E358" s="965"/>
      <c r="F358" s="965"/>
      <c r="G358" s="965"/>
      <c r="H358" s="965"/>
      <c r="I358" s="965"/>
      <c r="J358" s="965"/>
      <c r="K358" s="965"/>
      <c r="L358" s="965"/>
      <c r="M358" s="965"/>
      <c r="N358" s="965"/>
      <c r="O358" s="965"/>
      <c r="P358" s="965"/>
      <c r="Q358" s="965"/>
      <c r="R358" s="965"/>
      <c r="S358" s="965"/>
      <c r="T358" s="965"/>
      <c r="U358" s="965"/>
      <c r="V358" s="965"/>
      <c r="W358" s="965"/>
      <c r="X358" s="965"/>
      <c r="Y358" s="965"/>
      <c r="Z358" s="965"/>
    </row>
    <row r="359">
      <c r="A359" s="965"/>
      <c r="B359" s="965"/>
      <c r="C359" s="965"/>
      <c r="D359" s="965"/>
      <c r="E359" s="965"/>
      <c r="F359" s="965"/>
      <c r="G359" s="965"/>
      <c r="H359" s="965"/>
      <c r="I359" s="965"/>
      <c r="J359" s="965"/>
      <c r="K359" s="965"/>
      <c r="L359" s="965"/>
      <c r="M359" s="965"/>
      <c r="N359" s="965"/>
      <c r="O359" s="965"/>
      <c r="P359" s="965"/>
      <c r="Q359" s="965"/>
      <c r="R359" s="965"/>
      <c r="S359" s="965"/>
      <c r="T359" s="965"/>
      <c r="U359" s="965"/>
      <c r="V359" s="965"/>
      <c r="W359" s="965"/>
      <c r="X359" s="965"/>
      <c r="Y359" s="965"/>
      <c r="Z359" s="965"/>
    </row>
    <row r="360">
      <c r="A360" s="965"/>
      <c r="B360" s="965"/>
      <c r="C360" s="965"/>
      <c r="D360" s="965"/>
      <c r="E360" s="965"/>
      <c r="F360" s="965"/>
      <c r="G360" s="965"/>
      <c r="H360" s="965"/>
      <c r="I360" s="965"/>
      <c r="J360" s="965"/>
      <c r="K360" s="965"/>
      <c r="L360" s="965"/>
      <c r="M360" s="965"/>
      <c r="N360" s="965"/>
      <c r="O360" s="965"/>
      <c r="P360" s="965"/>
      <c r="Q360" s="965"/>
      <c r="R360" s="965"/>
      <c r="S360" s="965"/>
      <c r="T360" s="965"/>
      <c r="U360" s="965"/>
      <c r="V360" s="965"/>
      <c r="W360" s="965"/>
      <c r="X360" s="965"/>
      <c r="Y360" s="965"/>
      <c r="Z360" s="965"/>
    </row>
    <row r="361">
      <c r="A361" s="965"/>
      <c r="B361" s="965"/>
      <c r="C361" s="965"/>
      <c r="D361" s="965"/>
      <c r="E361" s="965"/>
      <c r="F361" s="965"/>
      <c r="G361" s="965"/>
      <c r="H361" s="965"/>
      <c r="I361" s="965"/>
      <c r="J361" s="965"/>
      <c r="K361" s="965"/>
      <c r="L361" s="965"/>
      <c r="M361" s="965"/>
      <c r="N361" s="965"/>
      <c r="O361" s="965"/>
      <c r="P361" s="965"/>
      <c r="Q361" s="965"/>
      <c r="R361" s="965"/>
      <c r="S361" s="965"/>
      <c r="T361" s="965"/>
      <c r="U361" s="965"/>
      <c r="V361" s="965"/>
      <c r="W361" s="965"/>
      <c r="X361" s="965"/>
      <c r="Y361" s="965"/>
      <c r="Z361" s="965"/>
    </row>
    <row r="362">
      <c r="A362" s="965"/>
      <c r="B362" s="965"/>
      <c r="C362" s="965"/>
      <c r="D362" s="965"/>
      <c r="E362" s="965"/>
      <c r="F362" s="965"/>
      <c r="G362" s="965"/>
      <c r="H362" s="965"/>
      <c r="I362" s="965"/>
      <c r="J362" s="965"/>
      <c r="K362" s="965"/>
      <c r="L362" s="965"/>
      <c r="M362" s="965"/>
      <c r="N362" s="965"/>
      <c r="O362" s="965"/>
      <c r="P362" s="965"/>
      <c r="Q362" s="965"/>
      <c r="R362" s="965"/>
      <c r="S362" s="965"/>
      <c r="T362" s="965"/>
      <c r="U362" s="965"/>
      <c r="V362" s="965"/>
      <c r="W362" s="965"/>
      <c r="X362" s="965"/>
      <c r="Y362" s="965"/>
      <c r="Z362" s="965"/>
    </row>
    <row r="363">
      <c r="A363" s="965"/>
      <c r="B363" s="965"/>
      <c r="C363" s="965"/>
      <c r="D363" s="965"/>
      <c r="E363" s="965"/>
      <c r="F363" s="965"/>
      <c r="G363" s="965"/>
      <c r="H363" s="965"/>
      <c r="I363" s="965"/>
      <c r="J363" s="965"/>
      <c r="K363" s="965"/>
      <c r="L363" s="965"/>
      <c r="M363" s="965"/>
      <c r="N363" s="965"/>
      <c r="O363" s="965"/>
      <c r="P363" s="965"/>
      <c r="Q363" s="965"/>
      <c r="R363" s="965"/>
      <c r="S363" s="965"/>
      <c r="T363" s="965"/>
      <c r="U363" s="965"/>
      <c r="V363" s="965"/>
      <c r="W363" s="965"/>
      <c r="X363" s="965"/>
      <c r="Y363" s="965"/>
      <c r="Z363" s="965"/>
    </row>
    <row r="364">
      <c r="A364" s="965"/>
      <c r="B364" s="965"/>
      <c r="C364" s="965"/>
      <c r="D364" s="965"/>
      <c r="E364" s="965"/>
      <c r="F364" s="965"/>
      <c r="G364" s="965"/>
      <c r="H364" s="965"/>
      <c r="I364" s="965"/>
      <c r="J364" s="965"/>
      <c r="K364" s="965"/>
      <c r="L364" s="965"/>
      <c r="M364" s="965"/>
      <c r="N364" s="965"/>
      <c r="O364" s="965"/>
      <c r="P364" s="965"/>
      <c r="Q364" s="965"/>
      <c r="R364" s="965"/>
      <c r="S364" s="965"/>
      <c r="T364" s="965"/>
      <c r="U364" s="965"/>
      <c r="V364" s="965"/>
      <c r="W364" s="965"/>
      <c r="X364" s="965"/>
      <c r="Y364" s="965"/>
      <c r="Z364" s="965"/>
    </row>
    <row r="365">
      <c r="A365" s="965"/>
      <c r="B365" s="965"/>
      <c r="C365" s="965"/>
      <c r="D365" s="965"/>
      <c r="E365" s="965"/>
      <c r="F365" s="965"/>
      <c r="G365" s="965"/>
      <c r="H365" s="965"/>
      <c r="I365" s="965"/>
      <c r="J365" s="965"/>
      <c r="K365" s="965"/>
      <c r="L365" s="965"/>
      <c r="M365" s="965"/>
      <c r="N365" s="965"/>
      <c r="O365" s="965"/>
      <c r="P365" s="965"/>
      <c r="Q365" s="965"/>
      <c r="R365" s="965"/>
      <c r="S365" s="965"/>
      <c r="T365" s="965"/>
      <c r="U365" s="965"/>
      <c r="V365" s="965"/>
      <c r="W365" s="965"/>
      <c r="X365" s="965"/>
      <c r="Y365" s="965"/>
      <c r="Z365" s="965"/>
    </row>
    <row r="366">
      <c r="A366" s="965"/>
      <c r="B366" s="965"/>
      <c r="C366" s="965"/>
      <c r="D366" s="965"/>
      <c r="E366" s="965"/>
      <c r="F366" s="965"/>
      <c r="G366" s="965"/>
      <c r="H366" s="965"/>
      <c r="I366" s="965"/>
      <c r="J366" s="965"/>
      <c r="K366" s="965"/>
      <c r="L366" s="965"/>
      <c r="M366" s="965"/>
      <c r="N366" s="965"/>
      <c r="O366" s="965"/>
      <c r="P366" s="965"/>
      <c r="Q366" s="965"/>
      <c r="R366" s="965"/>
      <c r="S366" s="965"/>
      <c r="T366" s="965"/>
      <c r="U366" s="965"/>
      <c r="V366" s="965"/>
      <c r="W366" s="965"/>
      <c r="X366" s="965"/>
      <c r="Y366" s="965"/>
      <c r="Z366" s="965"/>
    </row>
    <row r="367">
      <c r="A367" s="965"/>
      <c r="B367" s="965"/>
      <c r="C367" s="965"/>
      <c r="D367" s="965"/>
      <c r="E367" s="965"/>
      <c r="F367" s="965"/>
      <c r="G367" s="965"/>
      <c r="H367" s="965"/>
      <c r="I367" s="965"/>
      <c r="J367" s="965"/>
      <c r="K367" s="965"/>
      <c r="L367" s="965"/>
      <c r="M367" s="965"/>
      <c r="N367" s="965"/>
      <c r="O367" s="965"/>
      <c r="P367" s="965"/>
      <c r="Q367" s="965"/>
      <c r="R367" s="965"/>
      <c r="S367" s="965"/>
      <c r="T367" s="965"/>
      <c r="U367" s="965"/>
      <c r="V367" s="965"/>
      <c r="W367" s="965"/>
      <c r="X367" s="965"/>
      <c r="Y367" s="965"/>
      <c r="Z367" s="965"/>
    </row>
    <row r="368">
      <c r="A368" s="965"/>
      <c r="B368" s="965"/>
      <c r="C368" s="965"/>
      <c r="D368" s="965"/>
      <c r="E368" s="965"/>
      <c r="F368" s="965"/>
      <c r="G368" s="965"/>
      <c r="H368" s="965"/>
      <c r="I368" s="965"/>
      <c r="J368" s="965"/>
      <c r="K368" s="965"/>
      <c r="L368" s="965"/>
      <c r="M368" s="965"/>
      <c r="N368" s="965"/>
      <c r="O368" s="965"/>
      <c r="P368" s="965"/>
      <c r="Q368" s="965"/>
      <c r="R368" s="965"/>
      <c r="S368" s="965"/>
      <c r="T368" s="965"/>
      <c r="U368" s="965"/>
      <c r="V368" s="965"/>
      <c r="W368" s="965"/>
      <c r="X368" s="965"/>
      <c r="Y368" s="965"/>
      <c r="Z368" s="965"/>
    </row>
    <row r="369">
      <c r="A369" s="965"/>
      <c r="B369" s="965"/>
      <c r="C369" s="965"/>
      <c r="D369" s="965"/>
      <c r="E369" s="965"/>
      <c r="F369" s="965"/>
      <c r="G369" s="965"/>
      <c r="H369" s="965"/>
      <c r="I369" s="965"/>
      <c r="J369" s="965"/>
      <c r="K369" s="965"/>
      <c r="L369" s="965"/>
      <c r="M369" s="965"/>
      <c r="N369" s="965"/>
      <c r="O369" s="965"/>
      <c r="P369" s="965"/>
      <c r="Q369" s="965"/>
      <c r="R369" s="965"/>
      <c r="S369" s="965"/>
      <c r="T369" s="965"/>
      <c r="U369" s="965"/>
      <c r="V369" s="965"/>
      <c r="W369" s="965"/>
      <c r="X369" s="965"/>
      <c r="Y369" s="965"/>
      <c r="Z369" s="965"/>
    </row>
    <row r="370">
      <c r="A370" s="965"/>
      <c r="B370" s="965"/>
      <c r="C370" s="965"/>
      <c r="D370" s="965"/>
      <c r="E370" s="965"/>
      <c r="F370" s="965"/>
      <c r="G370" s="965"/>
      <c r="H370" s="965"/>
      <c r="I370" s="965"/>
      <c r="J370" s="965"/>
      <c r="K370" s="965"/>
      <c r="L370" s="965"/>
      <c r="M370" s="965"/>
      <c r="N370" s="965"/>
      <c r="O370" s="965"/>
      <c r="P370" s="965"/>
      <c r="Q370" s="965"/>
      <c r="R370" s="965"/>
      <c r="S370" s="965"/>
      <c r="T370" s="965"/>
      <c r="U370" s="965"/>
      <c r="V370" s="965"/>
      <c r="W370" s="965"/>
      <c r="X370" s="965"/>
      <c r="Y370" s="965"/>
      <c r="Z370" s="965"/>
    </row>
    <row r="371">
      <c r="A371" s="965"/>
      <c r="B371" s="965"/>
      <c r="C371" s="965"/>
      <c r="D371" s="965"/>
      <c r="E371" s="965"/>
      <c r="F371" s="965"/>
      <c r="G371" s="965"/>
      <c r="H371" s="965"/>
      <c r="I371" s="965"/>
      <c r="J371" s="965"/>
      <c r="K371" s="965"/>
      <c r="L371" s="965"/>
      <c r="M371" s="965"/>
      <c r="N371" s="965"/>
      <c r="O371" s="965"/>
      <c r="P371" s="965"/>
      <c r="Q371" s="965"/>
      <c r="R371" s="965"/>
      <c r="S371" s="965"/>
      <c r="T371" s="965"/>
      <c r="U371" s="965"/>
      <c r="V371" s="965"/>
      <c r="W371" s="965"/>
      <c r="X371" s="965"/>
      <c r="Y371" s="965"/>
      <c r="Z371" s="965"/>
    </row>
    <row r="372">
      <c r="A372" s="965"/>
      <c r="B372" s="965"/>
      <c r="C372" s="965"/>
      <c r="D372" s="965"/>
      <c r="E372" s="965"/>
      <c r="F372" s="965"/>
      <c r="G372" s="965"/>
      <c r="H372" s="965"/>
      <c r="I372" s="965"/>
      <c r="J372" s="965"/>
      <c r="K372" s="965"/>
      <c r="L372" s="965"/>
      <c r="M372" s="965"/>
      <c r="N372" s="965"/>
      <c r="O372" s="965"/>
      <c r="P372" s="965"/>
      <c r="Q372" s="965"/>
      <c r="R372" s="965"/>
      <c r="S372" s="965"/>
      <c r="T372" s="965"/>
      <c r="U372" s="965"/>
      <c r="V372" s="965"/>
      <c r="W372" s="965"/>
      <c r="X372" s="965"/>
      <c r="Y372" s="965"/>
      <c r="Z372" s="965"/>
    </row>
    <row r="373">
      <c r="A373" s="965"/>
      <c r="B373" s="965"/>
      <c r="C373" s="965"/>
      <c r="D373" s="965"/>
      <c r="E373" s="965"/>
      <c r="F373" s="965"/>
      <c r="G373" s="965"/>
      <c r="H373" s="965"/>
      <c r="I373" s="965"/>
      <c r="J373" s="965"/>
      <c r="K373" s="965"/>
      <c r="L373" s="965"/>
      <c r="M373" s="965"/>
      <c r="N373" s="965"/>
      <c r="O373" s="965"/>
      <c r="P373" s="965"/>
      <c r="Q373" s="965"/>
      <c r="R373" s="965"/>
      <c r="S373" s="965"/>
      <c r="T373" s="965"/>
      <c r="U373" s="965"/>
      <c r="V373" s="965"/>
      <c r="W373" s="965"/>
      <c r="X373" s="965"/>
      <c r="Y373" s="965"/>
      <c r="Z373" s="965"/>
    </row>
    <row r="374">
      <c r="A374" s="965"/>
      <c r="B374" s="965"/>
      <c r="C374" s="965"/>
      <c r="D374" s="965"/>
      <c r="E374" s="965"/>
      <c r="F374" s="965"/>
      <c r="G374" s="965"/>
      <c r="H374" s="965"/>
      <c r="I374" s="965"/>
      <c r="J374" s="965"/>
      <c r="K374" s="965"/>
      <c r="L374" s="965"/>
      <c r="M374" s="965"/>
      <c r="N374" s="965"/>
      <c r="O374" s="965"/>
      <c r="P374" s="965"/>
      <c r="Q374" s="965"/>
      <c r="R374" s="965"/>
      <c r="S374" s="965"/>
      <c r="T374" s="965"/>
      <c r="U374" s="965"/>
      <c r="V374" s="965"/>
      <c r="W374" s="965"/>
      <c r="X374" s="965"/>
      <c r="Y374" s="965"/>
      <c r="Z374" s="965"/>
    </row>
    <row r="375">
      <c r="A375" s="965"/>
      <c r="B375" s="965"/>
      <c r="C375" s="965"/>
      <c r="D375" s="965"/>
      <c r="E375" s="965"/>
      <c r="F375" s="965"/>
      <c r="G375" s="965"/>
      <c r="H375" s="965"/>
      <c r="I375" s="965"/>
      <c r="J375" s="965"/>
      <c r="K375" s="965"/>
      <c r="L375" s="965"/>
      <c r="M375" s="965"/>
      <c r="N375" s="965"/>
      <c r="O375" s="965"/>
      <c r="P375" s="965"/>
      <c r="Q375" s="965"/>
      <c r="R375" s="965"/>
      <c r="S375" s="965"/>
      <c r="T375" s="965"/>
      <c r="U375" s="965"/>
      <c r="V375" s="965"/>
      <c r="W375" s="965"/>
      <c r="X375" s="965"/>
      <c r="Y375" s="965"/>
      <c r="Z375" s="965"/>
    </row>
    <row r="376">
      <c r="A376" s="965"/>
      <c r="B376" s="965"/>
      <c r="C376" s="965"/>
      <c r="D376" s="965"/>
      <c r="E376" s="965"/>
      <c r="F376" s="965"/>
      <c r="G376" s="965"/>
      <c r="H376" s="965"/>
      <c r="I376" s="965"/>
      <c r="J376" s="965"/>
      <c r="K376" s="965"/>
      <c r="L376" s="965"/>
      <c r="M376" s="965"/>
      <c r="N376" s="965"/>
      <c r="O376" s="965"/>
      <c r="P376" s="965"/>
      <c r="Q376" s="965"/>
      <c r="R376" s="965"/>
      <c r="S376" s="965"/>
      <c r="T376" s="965"/>
      <c r="U376" s="965"/>
      <c r="V376" s="965"/>
      <c r="W376" s="965"/>
      <c r="X376" s="965"/>
      <c r="Y376" s="965"/>
      <c r="Z376" s="965"/>
    </row>
    <row r="377">
      <c r="A377" s="965"/>
      <c r="B377" s="965"/>
      <c r="C377" s="965"/>
      <c r="D377" s="965"/>
      <c r="E377" s="965"/>
      <c r="F377" s="965"/>
      <c r="G377" s="965"/>
      <c r="H377" s="965"/>
      <c r="I377" s="965"/>
      <c r="J377" s="965"/>
      <c r="K377" s="965"/>
      <c r="L377" s="965"/>
      <c r="M377" s="965"/>
      <c r="N377" s="965"/>
      <c r="O377" s="965"/>
      <c r="P377" s="965"/>
      <c r="Q377" s="965"/>
      <c r="R377" s="965"/>
      <c r="S377" s="965"/>
      <c r="T377" s="965"/>
      <c r="U377" s="965"/>
      <c r="V377" s="965"/>
      <c r="W377" s="965"/>
      <c r="X377" s="965"/>
      <c r="Y377" s="965"/>
      <c r="Z377" s="965"/>
    </row>
    <row r="378">
      <c r="A378" s="965"/>
      <c r="B378" s="965"/>
      <c r="C378" s="965"/>
      <c r="D378" s="965"/>
      <c r="E378" s="965"/>
      <c r="F378" s="965"/>
      <c r="G378" s="965"/>
      <c r="H378" s="965"/>
      <c r="I378" s="965"/>
      <c r="J378" s="965"/>
      <c r="K378" s="965"/>
      <c r="L378" s="965"/>
      <c r="M378" s="965"/>
      <c r="N378" s="965"/>
      <c r="O378" s="965"/>
      <c r="P378" s="965"/>
      <c r="Q378" s="965"/>
      <c r="R378" s="965"/>
      <c r="S378" s="965"/>
      <c r="T378" s="965"/>
      <c r="U378" s="965"/>
      <c r="V378" s="965"/>
      <c r="W378" s="965"/>
      <c r="X378" s="965"/>
      <c r="Y378" s="965"/>
      <c r="Z378" s="965"/>
    </row>
    <row r="379">
      <c r="A379" s="965"/>
      <c r="B379" s="965"/>
      <c r="C379" s="965"/>
      <c r="D379" s="965"/>
      <c r="E379" s="965"/>
      <c r="F379" s="965"/>
      <c r="G379" s="965"/>
      <c r="H379" s="965"/>
      <c r="I379" s="965"/>
      <c r="J379" s="965"/>
      <c r="K379" s="965"/>
      <c r="L379" s="965"/>
      <c r="M379" s="965"/>
      <c r="N379" s="965"/>
      <c r="O379" s="965"/>
      <c r="P379" s="965"/>
      <c r="Q379" s="965"/>
      <c r="R379" s="965"/>
      <c r="S379" s="965"/>
      <c r="T379" s="965"/>
      <c r="U379" s="965"/>
      <c r="V379" s="965"/>
      <c r="W379" s="965"/>
      <c r="X379" s="965"/>
      <c r="Y379" s="965"/>
      <c r="Z379" s="965"/>
    </row>
    <row r="380">
      <c r="A380" s="965"/>
      <c r="B380" s="965"/>
      <c r="C380" s="965"/>
      <c r="D380" s="965"/>
      <c r="E380" s="965"/>
      <c r="F380" s="965"/>
      <c r="G380" s="965"/>
      <c r="H380" s="965"/>
      <c r="I380" s="965"/>
      <c r="J380" s="965"/>
      <c r="K380" s="965"/>
      <c r="L380" s="965"/>
      <c r="M380" s="965"/>
      <c r="N380" s="965"/>
      <c r="O380" s="965"/>
      <c r="P380" s="965"/>
      <c r="Q380" s="965"/>
      <c r="R380" s="965"/>
      <c r="S380" s="965"/>
      <c r="T380" s="965"/>
      <c r="U380" s="965"/>
      <c r="V380" s="965"/>
      <c r="W380" s="965"/>
      <c r="X380" s="965"/>
      <c r="Y380" s="965"/>
      <c r="Z380" s="965"/>
    </row>
    <row r="381">
      <c r="A381" s="965"/>
      <c r="B381" s="965"/>
      <c r="C381" s="965"/>
      <c r="D381" s="965"/>
      <c r="E381" s="965"/>
      <c r="F381" s="965"/>
      <c r="G381" s="965"/>
      <c r="H381" s="965"/>
      <c r="I381" s="965"/>
      <c r="J381" s="965"/>
      <c r="K381" s="965"/>
      <c r="L381" s="965"/>
      <c r="M381" s="965"/>
      <c r="N381" s="965"/>
      <c r="O381" s="965"/>
      <c r="P381" s="965"/>
      <c r="Q381" s="965"/>
      <c r="R381" s="965"/>
      <c r="S381" s="965"/>
      <c r="T381" s="965"/>
      <c r="U381" s="965"/>
      <c r="V381" s="965"/>
      <c r="W381" s="965"/>
      <c r="X381" s="965"/>
      <c r="Y381" s="965"/>
      <c r="Z381" s="965"/>
    </row>
    <row r="382">
      <c r="A382" s="965"/>
      <c r="B382" s="965"/>
      <c r="C382" s="965"/>
      <c r="D382" s="965"/>
      <c r="E382" s="965"/>
      <c r="F382" s="965"/>
      <c r="G382" s="965"/>
      <c r="H382" s="965"/>
      <c r="I382" s="965"/>
      <c r="J382" s="965"/>
      <c r="K382" s="965"/>
      <c r="L382" s="965"/>
      <c r="M382" s="965"/>
      <c r="N382" s="965"/>
      <c r="O382" s="965"/>
      <c r="P382" s="965"/>
      <c r="Q382" s="965"/>
      <c r="R382" s="965"/>
      <c r="S382" s="965"/>
      <c r="T382" s="965"/>
      <c r="U382" s="965"/>
      <c r="V382" s="965"/>
      <c r="W382" s="965"/>
      <c r="X382" s="965"/>
      <c r="Y382" s="965"/>
      <c r="Z382" s="965"/>
    </row>
    <row r="383">
      <c r="A383" s="965"/>
      <c r="B383" s="965"/>
      <c r="C383" s="965"/>
      <c r="D383" s="965"/>
      <c r="E383" s="965"/>
      <c r="F383" s="965"/>
      <c r="G383" s="965"/>
      <c r="H383" s="965"/>
      <c r="I383" s="965"/>
      <c r="J383" s="965"/>
      <c r="K383" s="965"/>
      <c r="L383" s="965"/>
      <c r="M383" s="965"/>
      <c r="N383" s="965"/>
      <c r="O383" s="965"/>
      <c r="P383" s="965"/>
      <c r="Q383" s="965"/>
      <c r="R383" s="965"/>
      <c r="S383" s="965"/>
      <c r="T383" s="965"/>
      <c r="U383" s="965"/>
      <c r="V383" s="965"/>
      <c r="W383" s="965"/>
      <c r="X383" s="965"/>
      <c r="Y383" s="965"/>
      <c r="Z383" s="965"/>
    </row>
    <row r="384">
      <c r="A384" s="965"/>
      <c r="B384" s="965"/>
      <c r="C384" s="965"/>
      <c r="D384" s="965"/>
      <c r="E384" s="965"/>
      <c r="F384" s="965"/>
      <c r="G384" s="965"/>
      <c r="H384" s="965"/>
      <c r="I384" s="965"/>
      <c r="J384" s="965"/>
      <c r="K384" s="965"/>
      <c r="L384" s="965"/>
      <c r="M384" s="965"/>
      <c r="N384" s="965"/>
      <c r="O384" s="965"/>
      <c r="P384" s="965"/>
      <c r="Q384" s="965"/>
      <c r="R384" s="965"/>
      <c r="S384" s="965"/>
      <c r="T384" s="965"/>
      <c r="U384" s="965"/>
      <c r="V384" s="965"/>
      <c r="W384" s="965"/>
      <c r="X384" s="965"/>
      <c r="Y384" s="965"/>
      <c r="Z384" s="965"/>
    </row>
    <row r="385">
      <c r="A385" s="965"/>
      <c r="B385" s="965"/>
      <c r="C385" s="965"/>
      <c r="D385" s="965"/>
      <c r="E385" s="965"/>
      <c r="F385" s="965"/>
      <c r="G385" s="965"/>
      <c r="H385" s="965"/>
      <c r="I385" s="965"/>
      <c r="J385" s="965"/>
      <c r="K385" s="965"/>
      <c r="L385" s="965"/>
      <c r="M385" s="965"/>
      <c r="N385" s="965"/>
      <c r="O385" s="965"/>
      <c r="P385" s="965"/>
      <c r="Q385" s="965"/>
      <c r="R385" s="965"/>
      <c r="S385" s="965"/>
      <c r="T385" s="965"/>
      <c r="U385" s="965"/>
      <c r="V385" s="965"/>
      <c r="W385" s="965"/>
      <c r="X385" s="965"/>
      <c r="Y385" s="965"/>
      <c r="Z385" s="965"/>
    </row>
    <row r="386">
      <c r="A386" s="965"/>
      <c r="B386" s="965"/>
      <c r="C386" s="965"/>
      <c r="D386" s="965"/>
      <c r="E386" s="965"/>
      <c r="F386" s="965"/>
      <c r="G386" s="965"/>
      <c r="H386" s="965"/>
      <c r="I386" s="965"/>
      <c r="J386" s="965"/>
      <c r="K386" s="965"/>
      <c r="L386" s="965"/>
      <c r="M386" s="965"/>
      <c r="N386" s="965"/>
      <c r="O386" s="965"/>
      <c r="P386" s="965"/>
      <c r="Q386" s="965"/>
      <c r="R386" s="965"/>
      <c r="S386" s="965"/>
      <c r="T386" s="965"/>
      <c r="U386" s="965"/>
      <c r="V386" s="965"/>
      <c r="W386" s="965"/>
      <c r="X386" s="965"/>
      <c r="Y386" s="965"/>
      <c r="Z386" s="965"/>
    </row>
    <row r="387">
      <c r="A387" s="965"/>
      <c r="B387" s="965"/>
      <c r="C387" s="965"/>
      <c r="D387" s="965"/>
      <c r="E387" s="965"/>
      <c r="F387" s="965"/>
      <c r="G387" s="965"/>
      <c r="H387" s="965"/>
      <c r="I387" s="965"/>
      <c r="J387" s="965"/>
      <c r="K387" s="965"/>
      <c r="L387" s="965"/>
      <c r="M387" s="965"/>
      <c r="N387" s="965"/>
      <c r="O387" s="965"/>
      <c r="P387" s="965"/>
      <c r="Q387" s="965"/>
      <c r="R387" s="965"/>
      <c r="S387" s="965"/>
      <c r="T387" s="965"/>
      <c r="U387" s="965"/>
      <c r="V387" s="965"/>
      <c r="W387" s="965"/>
      <c r="X387" s="965"/>
      <c r="Y387" s="965"/>
      <c r="Z387" s="965"/>
    </row>
    <row r="388">
      <c r="A388" s="965"/>
      <c r="B388" s="965"/>
      <c r="C388" s="965"/>
      <c r="D388" s="965"/>
      <c r="E388" s="965"/>
      <c r="F388" s="965"/>
      <c r="G388" s="965"/>
      <c r="H388" s="965"/>
      <c r="I388" s="965"/>
      <c r="J388" s="965"/>
      <c r="K388" s="965"/>
      <c r="L388" s="965"/>
      <c r="M388" s="965"/>
      <c r="N388" s="965"/>
      <c r="O388" s="965"/>
      <c r="P388" s="965"/>
      <c r="Q388" s="965"/>
      <c r="R388" s="965"/>
      <c r="S388" s="965"/>
      <c r="T388" s="965"/>
      <c r="U388" s="965"/>
      <c r="V388" s="965"/>
      <c r="W388" s="965"/>
      <c r="X388" s="965"/>
      <c r="Y388" s="965"/>
      <c r="Z388" s="965"/>
    </row>
    <row r="389">
      <c r="A389" s="965"/>
      <c r="B389" s="965"/>
      <c r="C389" s="965"/>
      <c r="D389" s="965"/>
      <c r="E389" s="965"/>
      <c r="F389" s="965"/>
      <c r="G389" s="965"/>
      <c r="H389" s="965"/>
      <c r="I389" s="965"/>
      <c r="J389" s="965"/>
      <c r="K389" s="965"/>
      <c r="L389" s="965"/>
      <c r="M389" s="965"/>
      <c r="N389" s="965"/>
      <c r="O389" s="965"/>
      <c r="P389" s="965"/>
      <c r="Q389" s="965"/>
      <c r="R389" s="965"/>
      <c r="S389" s="965"/>
      <c r="T389" s="965"/>
      <c r="U389" s="965"/>
      <c r="V389" s="965"/>
      <c r="W389" s="965"/>
      <c r="X389" s="965"/>
      <c r="Y389" s="965"/>
      <c r="Z389" s="965"/>
    </row>
    <row r="390">
      <c r="A390" s="965"/>
      <c r="B390" s="965"/>
      <c r="C390" s="965"/>
      <c r="D390" s="965"/>
      <c r="E390" s="965"/>
      <c r="F390" s="965"/>
      <c r="G390" s="965"/>
      <c r="H390" s="965"/>
      <c r="I390" s="965"/>
      <c r="J390" s="965"/>
      <c r="K390" s="965"/>
      <c r="L390" s="965"/>
      <c r="M390" s="965"/>
      <c r="N390" s="965"/>
      <c r="O390" s="965"/>
      <c r="P390" s="965"/>
      <c r="Q390" s="965"/>
      <c r="R390" s="965"/>
      <c r="S390" s="965"/>
      <c r="T390" s="965"/>
      <c r="U390" s="965"/>
      <c r="V390" s="965"/>
      <c r="W390" s="965"/>
      <c r="X390" s="965"/>
      <c r="Y390" s="965"/>
      <c r="Z390" s="965"/>
    </row>
    <row r="391">
      <c r="A391" s="965"/>
      <c r="B391" s="965"/>
      <c r="C391" s="965"/>
      <c r="D391" s="965"/>
      <c r="E391" s="965"/>
      <c r="F391" s="965"/>
      <c r="G391" s="965"/>
      <c r="H391" s="965"/>
      <c r="I391" s="965"/>
      <c r="J391" s="965"/>
      <c r="K391" s="965"/>
      <c r="L391" s="965"/>
      <c r="M391" s="965"/>
      <c r="N391" s="965"/>
      <c r="O391" s="965"/>
      <c r="P391" s="965"/>
      <c r="Q391" s="965"/>
      <c r="R391" s="965"/>
      <c r="S391" s="965"/>
      <c r="T391" s="965"/>
      <c r="U391" s="965"/>
      <c r="V391" s="965"/>
      <c r="W391" s="965"/>
      <c r="X391" s="965"/>
      <c r="Y391" s="965"/>
      <c r="Z391" s="965"/>
    </row>
    <row r="392">
      <c r="A392" s="965"/>
      <c r="B392" s="965"/>
      <c r="C392" s="965"/>
      <c r="D392" s="965"/>
      <c r="E392" s="965"/>
      <c r="F392" s="965"/>
      <c r="G392" s="965"/>
      <c r="H392" s="965"/>
      <c r="I392" s="965"/>
      <c r="J392" s="965"/>
      <c r="K392" s="965"/>
      <c r="L392" s="965"/>
      <c r="M392" s="965"/>
      <c r="N392" s="965"/>
      <c r="O392" s="965"/>
      <c r="P392" s="965"/>
      <c r="Q392" s="965"/>
      <c r="R392" s="965"/>
      <c r="S392" s="965"/>
      <c r="T392" s="965"/>
      <c r="U392" s="965"/>
      <c r="V392" s="965"/>
      <c r="W392" s="965"/>
      <c r="X392" s="965"/>
      <c r="Y392" s="965"/>
      <c r="Z392" s="965"/>
    </row>
    <row r="393">
      <c r="A393" s="965"/>
      <c r="B393" s="965"/>
      <c r="C393" s="965"/>
      <c r="D393" s="965"/>
      <c r="E393" s="965"/>
      <c r="F393" s="965"/>
      <c r="G393" s="965"/>
      <c r="H393" s="965"/>
      <c r="I393" s="965"/>
      <c r="J393" s="965"/>
      <c r="K393" s="965"/>
      <c r="L393" s="965"/>
      <c r="M393" s="965"/>
      <c r="N393" s="965"/>
      <c r="O393" s="965"/>
      <c r="P393" s="965"/>
      <c r="Q393" s="965"/>
      <c r="R393" s="965"/>
      <c r="S393" s="965"/>
      <c r="T393" s="965"/>
      <c r="U393" s="965"/>
      <c r="V393" s="965"/>
      <c r="W393" s="965"/>
      <c r="X393" s="965"/>
      <c r="Y393" s="965"/>
      <c r="Z393" s="965"/>
    </row>
    <row r="394">
      <c r="A394" s="965"/>
      <c r="B394" s="965"/>
      <c r="C394" s="965"/>
      <c r="D394" s="965"/>
      <c r="E394" s="965"/>
      <c r="F394" s="965"/>
      <c r="G394" s="965"/>
      <c r="H394" s="965"/>
      <c r="I394" s="965"/>
      <c r="J394" s="965"/>
      <c r="K394" s="965"/>
      <c r="L394" s="965"/>
      <c r="M394" s="965"/>
      <c r="N394" s="965"/>
      <c r="O394" s="965"/>
      <c r="P394" s="965"/>
      <c r="Q394" s="965"/>
      <c r="R394" s="965"/>
      <c r="S394" s="965"/>
      <c r="T394" s="965"/>
      <c r="U394" s="965"/>
      <c r="V394" s="965"/>
      <c r="W394" s="965"/>
      <c r="X394" s="965"/>
      <c r="Y394" s="965"/>
      <c r="Z394" s="965"/>
    </row>
    <row r="395">
      <c r="A395" s="965"/>
      <c r="B395" s="965"/>
      <c r="C395" s="965"/>
      <c r="D395" s="965"/>
      <c r="E395" s="965"/>
      <c r="F395" s="965"/>
      <c r="G395" s="965"/>
      <c r="H395" s="965"/>
      <c r="I395" s="965"/>
      <c r="J395" s="965"/>
      <c r="K395" s="965"/>
      <c r="L395" s="965"/>
      <c r="M395" s="965"/>
      <c r="N395" s="965"/>
      <c r="O395" s="965"/>
      <c r="P395" s="965"/>
      <c r="Q395" s="965"/>
      <c r="R395" s="965"/>
      <c r="S395" s="965"/>
      <c r="T395" s="965"/>
      <c r="U395" s="965"/>
      <c r="V395" s="965"/>
      <c r="W395" s="965"/>
      <c r="X395" s="965"/>
      <c r="Y395" s="965"/>
      <c r="Z395" s="965"/>
    </row>
    <row r="396">
      <c r="A396" s="965"/>
      <c r="B396" s="965"/>
      <c r="C396" s="965"/>
      <c r="D396" s="965"/>
      <c r="E396" s="965"/>
      <c r="F396" s="965"/>
      <c r="G396" s="965"/>
      <c r="H396" s="965"/>
      <c r="I396" s="965"/>
      <c r="J396" s="965"/>
      <c r="K396" s="965"/>
      <c r="L396" s="965"/>
      <c r="M396" s="965"/>
      <c r="N396" s="965"/>
      <c r="O396" s="965"/>
      <c r="P396" s="965"/>
      <c r="Q396" s="965"/>
      <c r="R396" s="965"/>
      <c r="S396" s="965"/>
      <c r="T396" s="965"/>
      <c r="U396" s="965"/>
      <c r="V396" s="965"/>
      <c r="W396" s="965"/>
      <c r="X396" s="965"/>
      <c r="Y396" s="965"/>
      <c r="Z396" s="965"/>
    </row>
    <row r="397">
      <c r="A397" s="965"/>
      <c r="B397" s="965"/>
      <c r="C397" s="965"/>
      <c r="D397" s="965"/>
      <c r="E397" s="965"/>
      <c r="F397" s="965"/>
      <c r="G397" s="965"/>
      <c r="H397" s="965"/>
      <c r="I397" s="965"/>
      <c r="J397" s="965"/>
      <c r="K397" s="965"/>
      <c r="L397" s="965"/>
      <c r="M397" s="965"/>
      <c r="N397" s="965"/>
      <c r="O397" s="965"/>
      <c r="P397" s="965"/>
      <c r="Q397" s="965"/>
      <c r="R397" s="965"/>
      <c r="S397" s="965"/>
      <c r="T397" s="965"/>
      <c r="U397" s="965"/>
      <c r="V397" s="965"/>
      <c r="W397" s="965"/>
      <c r="X397" s="965"/>
      <c r="Y397" s="965"/>
      <c r="Z397" s="965"/>
    </row>
    <row r="398">
      <c r="A398" s="965"/>
      <c r="B398" s="965"/>
      <c r="C398" s="965"/>
      <c r="D398" s="965"/>
      <c r="E398" s="965"/>
      <c r="F398" s="965"/>
      <c r="G398" s="965"/>
      <c r="H398" s="965"/>
      <c r="I398" s="965"/>
      <c r="J398" s="965"/>
      <c r="K398" s="965"/>
      <c r="L398" s="965"/>
      <c r="M398" s="965"/>
      <c r="N398" s="965"/>
      <c r="O398" s="965"/>
      <c r="P398" s="965"/>
      <c r="Q398" s="965"/>
      <c r="R398" s="965"/>
      <c r="S398" s="965"/>
      <c r="T398" s="965"/>
      <c r="U398" s="965"/>
      <c r="V398" s="965"/>
      <c r="W398" s="965"/>
      <c r="X398" s="965"/>
      <c r="Y398" s="965"/>
      <c r="Z398" s="965"/>
    </row>
    <row r="399">
      <c r="A399" s="965"/>
      <c r="B399" s="965"/>
      <c r="C399" s="965"/>
      <c r="D399" s="965"/>
      <c r="E399" s="965"/>
      <c r="F399" s="965"/>
      <c r="G399" s="965"/>
      <c r="H399" s="965"/>
      <c r="I399" s="965"/>
      <c r="J399" s="965"/>
      <c r="K399" s="965"/>
      <c r="L399" s="965"/>
      <c r="M399" s="965"/>
      <c r="N399" s="965"/>
      <c r="O399" s="965"/>
      <c r="P399" s="965"/>
      <c r="Q399" s="965"/>
      <c r="R399" s="965"/>
      <c r="S399" s="965"/>
      <c r="T399" s="965"/>
      <c r="U399" s="965"/>
      <c r="V399" s="965"/>
      <c r="W399" s="965"/>
      <c r="X399" s="965"/>
      <c r="Y399" s="965"/>
      <c r="Z399" s="965"/>
    </row>
    <row r="400">
      <c r="A400" s="965"/>
      <c r="B400" s="965"/>
      <c r="C400" s="965"/>
      <c r="D400" s="965"/>
      <c r="E400" s="965"/>
      <c r="F400" s="965"/>
      <c r="G400" s="965"/>
      <c r="H400" s="965"/>
      <c r="I400" s="965"/>
      <c r="J400" s="965"/>
      <c r="K400" s="965"/>
      <c r="L400" s="965"/>
      <c r="M400" s="965"/>
      <c r="N400" s="965"/>
      <c r="O400" s="965"/>
      <c r="P400" s="965"/>
      <c r="Q400" s="965"/>
      <c r="R400" s="965"/>
      <c r="S400" s="965"/>
      <c r="T400" s="965"/>
      <c r="U400" s="965"/>
      <c r="V400" s="965"/>
      <c r="W400" s="965"/>
      <c r="X400" s="965"/>
      <c r="Y400" s="965"/>
      <c r="Z400" s="965"/>
    </row>
    <row r="401">
      <c r="A401" s="965"/>
      <c r="B401" s="965"/>
      <c r="C401" s="965"/>
      <c r="D401" s="965"/>
      <c r="E401" s="965"/>
      <c r="F401" s="965"/>
      <c r="G401" s="965"/>
      <c r="H401" s="965"/>
      <c r="I401" s="965"/>
      <c r="J401" s="965"/>
      <c r="K401" s="965"/>
      <c r="L401" s="965"/>
      <c r="M401" s="965"/>
      <c r="N401" s="965"/>
      <c r="O401" s="965"/>
      <c r="P401" s="965"/>
      <c r="Q401" s="965"/>
      <c r="R401" s="965"/>
      <c r="S401" s="965"/>
      <c r="T401" s="965"/>
      <c r="U401" s="965"/>
      <c r="V401" s="965"/>
      <c r="W401" s="965"/>
      <c r="X401" s="965"/>
      <c r="Y401" s="965"/>
      <c r="Z401" s="965"/>
    </row>
    <row r="402">
      <c r="A402" s="965"/>
      <c r="B402" s="965"/>
      <c r="C402" s="965"/>
      <c r="D402" s="965"/>
      <c r="E402" s="965"/>
      <c r="F402" s="965"/>
      <c r="G402" s="965"/>
      <c r="H402" s="965"/>
      <c r="I402" s="965"/>
      <c r="J402" s="965"/>
      <c r="K402" s="965"/>
      <c r="L402" s="965"/>
      <c r="M402" s="965"/>
      <c r="N402" s="965"/>
      <c r="O402" s="965"/>
      <c r="P402" s="965"/>
      <c r="Q402" s="965"/>
      <c r="R402" s="965"/>
      <c r="S402" s="965"/>
      <c r="T402" s="965"/>
      <c r="U402" s="965"/>
      <c r="V402" s="965"/>
      <c r="W402" s="965"/>
      <c r="X402" s="965"/>
      <c r="Y402" s="965"/>
      <c r="Z402" s="965"/>
    </row>
    <row r="403">
      <c r="A403" s="965"/>
      <c r="B403" s="965"/>
      <c r="C403" s="965"/>
      <c r="D403" s="965"/>
      <c r="E403" s="965"/>
      <c r="F403" s="965"/>
      <c r="G403" s="965"/>
      <c r="H403" s="965"/>
      <c r="I403" s="965"/>
      <c r="J403" s="965"/>
      <c r="K403" s="965"/>
      <c r="L403" s="965"/>
      <c r="M403" s="965"/>
      <c r="N403" s="965"/>
      <c r="O403" s="965"/>
      <c r="P403" s="965"/>
      <c r="Q403" s="965"/>
      <c r="R403" s="965"/>
      <c r="S403" s="965"/>
      <c r="T403" s="965"/>
      <c r="U403" s="965"/>
      <c r="V403" s="965"/>
      <c r="W403" s="965"/>
      <c r="X403" s="965"/>
      <c r="Y403" s="965"/>
      <c r="Z403" s="965"/>
    </row>
    <row r="404">
      <c r="A404" s="965"/>
      <c r="B404" s="965"/>
      <c r="C404" s="965"/>
      <c r="D404" s="965"/>
      <c r="E404" s="965"/>
      <c r="F404" s="965"/>
      <c r="G404" s="965"/>
      <c r="H404" s="965"/>
      <c r="I404" s="965"/>
      <c r="J404" s="965"/>
      <c r="K404" s="965"/>
      <c r="L404" s="965"/>
      <c r="M404" s="965"/>
      <c r="N404" s="965"/>
      <c r="O404" s="965"/>
      <c r="P404" s="965"/>
      <c r="Q404" s="965"/>
      <c r="R404" s="965"/>
      <c r="S404" s="965"/>
      <c r="T404" s="965"/>
      <c r="U404" s="965"/>
      <c r="V404" s="965"/>
      <c r="W404" s="965"/>
      <c r="X404" s="965"/>
      <c r="Y404" s="965"/>
      <c r="Z404" s="965"/>
    </row>
    <row r="405">
      <c r="A405" s="965"/>
      <c r="B405" s="965"/>
      <c r="C405" s="965"/>
      <c r="D405" s="965"/>
      <c r="E405" s="965"/>
      <c r="F405" s="965"/>
      <c r="G405" s="965"/>
      <c r="H405" s="965"/>
      <c r="I405" s="965"/>
      <c r="J405" s="965"/>
      <c r="K405" s="965"/>
      <c r="L405" s="965"/>
      <c r="M405" s="965"/>
      <c r="N405" s="965"/>
      <c r="O405" s="965"/>
      <c r="P405" s="965"/>
      <c r="Q405" s="965"/>
      <c r="R405" s="965"/>
      <c r="S405" s="965"/>
      <c r="T405" s="965"/>
      <c r="U405" s="965"/>
      <c r="V405" s="965"/>
      <c r="W405" s="965"/>
      <c r="X405" s="965"/>
      <c r="Y405" s="965"/>
      <c r="Z405" s="965"/>
    </row>
    <row r="406">
      <c r="A406" s="965"/>
      <c r="B406" s="965"/>
      <c r="C406" s="965"/>
      <c r="D406" s="965"/>
      <c r="E406" s="965"/>
      <c r="F406" s="965"/>
      <c r="G406" s="965"/>
      <c r="H406" s="965"/>
      <c r="I406" s="965"/>
      <c r="J406" s="965"/>
      <c r="K406" s="965"/>
      <c r="L406" s="965"/>
      <c r="M406" s="965"/>
      <c r="N406" s="965"/>
      <c r="O406" s="965"/>
      <c r="P406" s="965"/>
      <c r="Q406" s="965"/>
      <c r="R406" s="965"/>
      <c r="S406" s="965"/>
      <c r="T406" s="965"/>
      <c r="U406" s="965"/>
      <c r="V406" s="965"/>
      <c r="W406" s="965"/>
      <c r="X406" s="965"/>
      <c r="Y406" s="965"/>
      <c r="Z406" s="965"/>
    </row>
    <row r="407">
      <c r="A407" s="965"/>
      <c r="B407" s="965"/>
      <c r="C407" s="965"/>
      <c r="D407" s="965"/>
      <c r="E407" s="965"/>
      <c r="F407" s="965"/>
      <c r="G407" s="965"/>
      <c r="H407" s="965"/>
      <c r="I407" s="965"/>
      <c r="J407" s="965"/>
      <c r="K407" s="965"/>
      <c r="L407" s="965"/>
      <c r="M407" s="965"/>
      <c r="N407" s="965"/>
      <c r="O407" s="965"/>
      <c r="P407" s="965"/>
      <c r="Q407" s="965"/>
      <c r="R407" s="965"/>
      <c r="S407" s="965"/>
      <c r="T407" s="965"/>
      <c r="U407" s="965"/>
      <c r="V407" s="965"/>
      <c r="W407" s="965"/>
      <c r="X407" s="965"/>
      <c r="Y407" s="965"/>
      <c r="Z407" s="965"/>
    </row>
    <row r="408">
      <c r="A408" s="965"/>
      <c r="B408" s="965"/>
      <c r="C408" s="965"/>
      <c r="D408" s="965"/>
      <c r="E408" s="965"/>
      <c r="F408" s="965"/>
      <c r="G408" s="965"/>
      <c r="H408" s="965"/>
      <c r="I408" s="965"/>
      <c r="J408" s="965"/>
      <c r="K408" s="965"/>
      <c r="L408" s="965"/>
      <c r="M408" s="965"/>
      <c r="N408" s="965"/>
      <c r="O408" s="965"/>
      <c r="P408" s="965"/>
      <c r="Q408" s="965"/>
      <c r="R408" s="965"/>
      <c r="S408" s="965"/>
      <c r="T408" s="965"/>
      <c r="U408" s="965"/>
      <c r="V408" s="965"/>
      <c r="W408" s="965"/>
      <c r="X408" s="965"/>
      <c r="Y408" s="965"/>
      <c r="Z408" s="965"/>
    </row>
    <row r="409">
      <c r="A409" s="965"/>
      <c r="B409" s="965"/>
      <c r="C409" s="965"/>
      <c r="D409" s="965"/>
      <c r="E409" s="965"/>
      <c r="F409" s="965"/>
      <c r="G409" s="965"/>
      <c r="H409" s="965"/>
      <c r="I409" s="965"/>
      <c r="J409" s="965"/>
      <c r="K409" s="965"/>
      <c r="L409" s="965"/>
      <c r="M409" s="965"/>
      <c r="N409" s="965"/>
      <c r="O409" s="965"/>
      <c r="P409" s="965"/>
      <c r="Q409" s="965"/>
      <c r="R409" s="965"/>
      <c r="S409" s="965"/>
      <c r="T409" s="965"/>
      <c r="U409" s="965"/>
      <c r="V409" s="965"/>
      <c r="W409" s="965"/>
      <c r="X409" s="965"/>
      <c r="Y409" s="965"/>
      <c r="Z409" s="965"/>
    </row>
    <row r="410">
      <c r="A410" s="965"/>
      <c r="B410" s="965"/>
      <c r="C410" s="965"/>
      <c r="D410" s="965"/>
      <c r="E410" s="965"/>
      <c r="F410" s="965"/>
      <c r="G410" s="965"/>
      <c r="H410" s="965"/>
      <c r="I410" s="965"/>
      <c r="J410" s="965"/>
      <c r="K410" s="965"/>
      <c r="L410" s="965"/>
      <c r="M410" s="965"/>
      <c r="N410" s="965"/>
      <c r="O410" s="965"/>
      <c r="P410" s="965"/>
      <c r="Q410" s="965"/>
      <c r="R410" s="965"/>
      <c r="S410" s="965"/>
      <c r="T410" s="965"/>
      <c r="U410" s="965"/>
      <c r="V410" s="965"/>
      <c r="W410" s="965"/>
      <c r="X410" s="965"/>
      <c r="Y410" s="965"/>
      <c r="Z410" s="965"/>
    </row>
    <row r="411">
      <c r="A411" s="965"/>
      <c r="B411" s="965"/>
      <c r="C411" s="965"/>
      <c r="D411" s="965"/>
      <c r="E411" s="965"/>
      <c r="F411" s="965"/>
      <c r="G411" s="965"/>
      <c r="H411" s="965"/>
      <c r="I411" s="965"/>
      <c r="J411" s="965"/>
      <c r="K411" s="965"/>
      <c r="L411" s="965"/>
      <c r="M411" s="965"/>
      <c r="N411" s="965"/>
      <c r="O411" s="965"/>
      <c r="P411" s="965"/>
      <c r="Q411" s="965"/>
      <c r="R411" s="965"/>
      <c r="S411" s="965"/>
      <c r="T411" s="965"/>
      <c r="U411" s="965"/>
      <c r="V411" s="965"/>
      <c r="W411" s="965"/>
      <c r="X411" s="965"/>
      <c r="Y411" s="965"/>
      <c r="Z411" s="965"/>
    </row>
    <row r="412">
      <c r="A412" s="965"/>
      <c r="B412" s="965"/>
      <c r="C412" s="965"/>
      <c r="D412" s="965"/>
      <c r="E412" s="965"/>
      <c r="F412" s="965"/>
      <c r="G412" s="965"/>
      <c r="H412" s="965"/>
      <c r="I412" s="965"/>
      <c r="J412" s="965"/>
      <c r="K412" s="965"/>
      <c r="L412" s="965"/>
      <c r="M412" s="965"/>
      <c r="N412" s="965"/>
      <c r="O412" s="965"/>
      <c r="P412" s="965"/>
      <c r="Q412" s="965"/>
      <c r="R412" s="965"/>
      <c r="S412" s="965"/>
      <c r="T412" s="965"/>
      <c r="U412" s="965"/>
      <c r="V412" s="965"/>
      <c r="W412" s="965"/>
      <c r="X412" s="965"/>
      <c r="Y412" s="965"/>
      <c r="Z412" s="965"/>
    </row>
    <row r="413">
      <c r="A413" s="965"/>
      <c r="B413" s="965"/>
      <c r="C413" s="965"/>
      <c r="D413" s="965"/>
      <c r="E413" s="965"/>
      <c r="F413" s="965"/>
      <c r="G413" s="965"/>
      <c r="H413" s="965"/>
      <c r="I413" s="965"/>
      <c r="J413" s="965"/>
      <c r="K413" s="965"/>
      <c r="L413" s="965"/>
      <c r="M413" s="965"/>
      <c r="N413" s="965"/>
      <c r="O413" s="965"/>
      <c r="P413" s="965"/>
      <c r="Q413" s="965"/>
      <c r="R413" s="965"/>
      <c r="S413" s="965"/>
      <c r="T413" s="965"/>
      <c r="U413" s="965"/>
      <c r="V413" s="965"/>
      <c r="W413" s="965"/>
      <c r="X413" s="965"/>
      <c r="Y413" s="965"/>
      <c r="Z413" s="965"/>
    </row>
    <row r="414">
      <c r="A414" s="965"/>
      <c r="B414" s="965"/>
      <c r="C414" s="965"/>
      <c r="D414" s="965"/>
      <c r="E414" s="965"/>
      <c r="F414" s="965"/>
      <c r="G414" s="965"/>
      <c r="H414" s="965"/>
      <c r="I414" s="965"/>
      <c r="J414" s="965"/>
      <c r="K414" s="965"/>
      <c r="L414" s="965"/>
      <c r="M414" s="965"/>
      <c r="N414" s="965"/>
      <c r="O414" s="965"/>
      <c r="P414" s="965"/>
      <c r="Q414" s="965"/>
      <c r="R414" s="965"/>
      <c r="S414" s="965"/>
      <c r="T414" s="965"/>
      <c r="U414" s="965"/>
      <c r="V414" s="965"/>
      <c r="W414" s="965"/>
      <c r="X414" s="965"/>
      <c r="Y414" s="965"/>
      <c r="Z414" s="965"/>
    </row>
    <row r="415">
      <c r="A415" s="965"/>
      <c r="B415" s="965"/>
      <c r="C415" s="965"/>
      <c r="D415" s="965"/>
      <c r="E415" s="965"/>
      <c r="F415" s="965"/>
      <c r="G415" s="965"/>
      <c r="H415" s="965"/>
      <c r="I415" s="965"/>
      <c r="J415" s="965"/>
      <c r="K415" s="965"/>
      <c r="L415" s="965"/>
      <c r="M415" s="965"/>
      <c r="N415" s="965"/>
      <c r="O415" s="965"/>
      <c r="P415" s="965"/>
      <c r="Q415" s="965"/>
      <c r="R415" s="965"/>
      <c r="S415" s="965"/>
      <c r="T415" s="965"/>
      <c r="U415" s="965"/>
      <c r="V415" s="965"/>
      <c r="W415" s="965"/>
      <c r="X415" s="965"/>
      <c r="Y415" s="965"/>
      <c r="Z415" s="965"/>
    </row>
    <row r="416">
      <c r="A416" s="965"/>
      <c r="B416" s="965"/>
      <c r="C416" s="965"/>
      <c r="D416" s="965"/>
      <c r="E416" s="965"/>
      <c r="F416" s="965"/>
      <c r="G416" s="965"/>
      <c r="H416" s="965"/>
      <c r="I416" s="965"/>
      <c r="J416" s="965"/>
      <c r="K416" s="965"/>
      <c r="L416" s="965"/>
      <c r="M416" s="965"/>
      <c r="N416" s="965"/>
      <c r="O416" s="965"/>
      <c r="P416" s="965"/>
      <c r="Q416" s="965"/>
      <c r="R416" s="965"/>
      <c r="S416" s="965"/>
      <c r="T416" s="965"/>
      <c r="U416" s="965"/>
      <c r="V416" s="965"/>
      <c r="W416" s="965"/>
      <c r="X416" s="965"/>
      <c r="Y416" s="965"/>
      <c r="Z416" s="965"/>
    </row>
    <row r="417">
      <c r="A417" s="965"/>
      <c r="B417" s="965"/>
      <c r="C417" s="965"/>
      <c r="D417" s="965"/>
      <c r="E417" s="965"/>
      <c r="F417" s="965"/>
      <c r="G417" s="965"/>
      <c r="H417" s="965"/>
      <c r="I417" s="965"/>
      <c r="J417" s="965"/>
      <c r="K417" s="965"/>
      <c r="L417" s="965"/>
      <c r="M417" s="965"/>
      <c r="N417" s="965"/>
      <c r="O417" s="965"/>
      <c r="P417" s="965"/>
      <c r="Q417" s="965"/>
      <c r="R417" s="965"/>
      <c r="S417" s="965"/>
      <c r="T417" s="965"/>
      <c r="U417" s="965"/>
      <c r="V417" s="965"/>
      <c r="W417" s="965"/>
      <c r="X417" s="965"/>
      <c r="Y417" s="965"/>
      <c r="Z417" s="965"/>
    </row>
    <row r="418">
      <c r="A418" s="965"/>
      <c r="B418" s="965"/>
      <c r="C418" s="965"/>
      <c r="D418" s="965"/>
      <c r="E418" s="965"/>
      <c r="F418" s="965"/>
      <c r="G418" s="965"/>
      <c r="H418" s="965"/>
      <c r="I418" s="965"/>
      <c r="J418" s="965"/>
      <c r="K418" s="965"/>
      <c r="L418" s="965"/>
      <c r="M418" s="965"/>
      <c r="N418" s="965"/>
      <c r="O418" s="965"/>
      <c r="P418" s="965"/>
      <c r="Q418" s="965"/>
      <c r="R418" s="965"/>
      <c r="S418" s="965"/>
      <c r="T418" s="965"/>
      <c r="U418" s="965"/>
      <c r="V418" s="965"/>
      <c r="W418" s="965"/>
      <c r="X418" s="965"/>
      <c r="Y418" s="965"/>
      <c r="Z418" s="965"/>
    </row>
    <row r="419">
      <c r="A419" s="965"/>
      <c r="B419" s="965"/>
      <c r="C419" s="965"/>
      <c r="D419" s="965"/>
      <c r="E419" s="965"/>
      <c r="F419" s="965"/>
      <c r="G419" s="965"/>
      <c r="H419" s="965"/>
      <c r="I419" s="965"/>
      <c r="J419" s="965"/>
      <c r="K419" s="965"/>
      <c r="L419" s="965"/>
      <c r="M419" s="965"/>
      <c r="N419" s="965"/>
      <c r="O419" s="965"/>
      <c r="P419" s="965"/>
      <c r="Q419" s="965"/>
      <c r="R419" s="965"/>
      <c r="S419" s="965"/>
      <c r="T419" s="965"/>
      <c r="U419" s="965"/>
      <c r="V419" s="965"/>
      <c r="W419" s="965"/>
      <c r="X419" s="965"/>
      <c r="Y419" s="965"/>
      <c r="Z419" s="965"/>
    </row>
    <row r="420">
      <c r="A420" s="965"/>
      <c r="B420" s="965"/>
      <c r="C420" s="965"/>
      <c r="D420" s="965"/>
      <c r="E420" s="965"/>
      <c r="F420" s="965"/>
      <c r="G420" s="965"/>
      <c r="H420" s="965"/>
      <c r="I420" s="965"/>
      <c r="J420" s="965"/>
      <c r="K420" s="965"/>
      <c r="L420" s="965"/>
      <c r="M420" s="965"/>
      <c r="N420" s="965"/>
      <c r="O420" s="965"/>
      <c r="P420" s="965"/>
      <c r="Q420" s="965"/>
      <c r="R420" s="965"/>
      <c r="S420" s="965"/>
      <c r="T420" s="965"/>
      <c r="U420" s="965"/>
      <c r="V420" s="965"/>
      <c r="W420" s="965"/>
      <c r="X420" s="965"/>
      <c r="Y420" s="965"/>
      <c r="Z420" s="965"/>
    </row>
    <row r="421">
      <c r="A421" s="965"/>
      <c r="B421" s="965"/>
      <c r="C421" s="965"/>
      <c r="D421" s="965"/>
      <c r="E421" s="965"/>
      <c r="F421" s="965"/>
      <c r="G421" s="965"/>
      <c r="H421" s="965"/>
      <c r="I421" s="965"/>
      <c r="J421" s="965"/>
      <c r="K421" s="965"/>
      <c r="L421" s="965"/>
      <c r="M421" s="965"/>
      <c r="N421" s="965"/>
      <c r="O421" s="965"/>
      <c r="P421" s="965"/>
      <c r="Q421" s="965"/>
      <c r="R421" s="965"/>
      <c r="S421" s="965"/>
      <c r="T421" s="965"/>
      <c r="U421" s="965"/>
      <c r="V421" s="965"/>
      <c r="W421" s="965"/>
      <c r="X421" s="965"/>
      <c r="Y421" s="965"/>
      <c r="Z421" s="965"/>
    </row>
    <row r="422">
      <c r="A422" s="965"/>
      <c r="B422" s="965"/>
      <c r="C422" s="965"/>
      <c r="D422" s="965"/>
      <c r="E422" s="965"/>
      <c r="F422" s="965"/>
      <c r="G422" s="965"/>
      <c r="H422" s="965"/>
      <c r="I422" s="965"/>
      <c r="J422" s="965"/>
      <c r="K422" s="965"/>
      <c r="L422" s="965"/>
      <c r="M422" s="965"/>
      <c r="N422" s="965"/>
      <c r="O422" s="965"/>
      <c r="P422" s="965"/>
      <c r="Q422" s="965"/>
      <c r="R422" s="965"/>
      <c r="S422" s="965"/>
      <c r="T422" s="965"/>
      <c r="U422" s="965"/>
      <c r="V422" s="965"/>
      <c r="W422" s="965"/>
      <c r="X422" s="965"/>
      <c r="Y422" s="965"/>
      <c r="Z422" s="965"/>
    </row>
    <row r="423">
      <c r="A423" s="965"/>
      <c r="B423" s="965"/>
      <c r="C423" s="965"/>
      <c r="D423" s="965"/>
      <c r="E423" s="965"/>
      <c r="F423" s="965"/>
      <c r="G423" s="965"/>
      <c r="H423" s="965"/>
      <c r="I423" s="965"/>
      <c r="J423" s="965"/>
      <c r="K423" s="965"/>
      <c r="L423" s="965"/>
      <c r="M423" s="965"/>
      <c r="N423" s="965"/>
      <c r="O423" s="965"/>
      <c r="P423" s="965"/>
      <c r="Q423" s="965"/>
      <c r="R423" s="965"/>
      <c r="S423" s="965"/>
      <c r="T423" s="965"/>
      <c r="U423" s="965"/>
      <c r="V423" s="965"/>
      <c r="W423" s="965"/>
      <c r="X423" s="965"/>
      <c r="Y423" s="965"/>
      <c r="Z423" s="965"/>
    </row>
    <row r="424">
      <c r="A424" s="965"/>
      <c r="B424" s="965"/>
      <c r="C424" s="965"/>
      <c r="D424" s="965"/>
      <c r="E424" s="965"/>
      <c r="F424" s="965"/>
      <c r="G424" s="965"/>
      <c r="H424" s="965"/>
      <c r="I424" s="965"/>
      <c r="J424" s="965"/>
      <c r="K424" s="965"/>
      <c r="L424" s="965"/>
      <c r="M424" s="965"/>
      <c r="N424" s="965"/>
      <c r="O424" s="965"/>
      <c r="P424" s="965"/>
      <c r="Q424" s="965"/>
      <c r="R424" s="965"/>
      <c r="S424" s="965"/>
      <c r="T424" s="965"/>
      <c r="U424" s="965"/>
      <c r="V424" s="965"/>
      <c r="W424" s="965"/>
      <c r="X424" s="965"/>
      <c r="Y424" s="965"/>
      <c r="Z424" s="965"/>
    </row>
    <row r="425">
      <c r="A425" s="965"/>
      <c r="B425" s="965"/>
      <c r="C425" s="965"/>
      <c r="D425" s="965"/>
      <c r="E425" s="965"/>
      <c r="F425" s="965"/>
      <c r="G425" s="965"/>
      <c r="H425" s="965"/>
      <c r="I425" s="965"/>
      <c r="J425" s="965"/>
      <c r="K425" s="965"/>
      <c r="L425" s="965"/>
      <c r="M425" s="965"/>
      <c r="N425" s="965"/>
      <c r="O425" s="965"/>
      <c r="P425" s="965"/>
      <c r="Q425" s="965"/>
      <c r="R425" s="965"/>
      <c r="S425" s="965"/>
      <c r="T425" s="965"/>
      <c r="U425" s="965"/>
      <c r="V425" s="965"/>
      <c r="W425" s="965"/>
      <c r="X425" s="965"/>
      <c r="Y425" s="965"/>
      <c r="Z425" s="965"/>
    </row>
    <row r="426">
      <c r="A426" s="965"/>
      <c r="B426" s="965"/>
      <c r="C426" s="965"/>
      <c r="D426" s="965"/>
      <c r="E426" s="965"/>
      <c r="F426" s="965"/>
      <c r="G426" s="965"/>
      <c r="H426" s="965"/>
      <c r="I426" s="965"/>
      <c r="J426" s="965"/>
      <c r="K426" s="965"/>
      <c r="L426" s="965"/>
      <c r="M426" s="965"/>
      <c r="N426" s="965"/>
      <c r="O426" s="965"/>
      <c r="P426" s="965"/>
      <c r="Q426" s="965"/>
      <c r="R426" s="965"/>
      <c r="S426" s="965"/>
      <c r="T426" s="965"/>
      <c r="U426" s="965"/>
      <c r="V426" s="965"/>
      <c r="W426" s="965"/>
      <c r="X426" s="965"/>
      <c r="Y426" s="965"/>
      <c r="Z426" s="965"/>
    </row>
    <row r="427">
      <c r="A427" s="965"/>
      <c r="B427" s="965"/>
      <c r="C427" s="965"/>
      <c r="D427" s="965"/>
      <c r="E427" s="965"/>
      <c r="F427" s="965"/>
      <c r="G427" s="965"/>
      <c r="H427" s="965"/>
      <c r="I427" s="965"/>
      <c r="J427" s="965"/>
      <c r="K427" s="965"/>
      <c r="L427" s="965"/>
      <c r="M427" s="965"/>
      <c r="N427" s="965"/>
      <c r="O427" s="965"/>
      <c r="P427" s="965"/>
      <c r="Q427" s="965"/>
      <c r="R427" s="965"/>
      <c r="S427" s="965"/>
      <c r="T427" s="965"/>
      <c r="U427" s="965"/>
      <c r="V427" s="965"/>
      <c r="W427" s="965"/>
      <c r="X427" s="965"/>
      <c r="Y427" s="965"/>
      <c r="Z427" s="965"/>
    </row>
    <row r="428">
      <c r="A428" s="965"/>
      <c r="B428" s="965"/>
      <c r="C428" s="965"/>
      <c r="D428" s="965"/>
      <c r="E428" s="965"/>
      <c r="F428" s="965"/>
      <c r="G428" s="965"/>
      <c r="H428" s="965"/>
      <c r="I428" s="965"/>
      <c r="J428" s="965"/>
      <c r="K428" s="965"/>
      <c r="L428" s="965"/>
      <c r="M428" s="965"/>
      <c r="N428" s="965"/>
      <c r="O428" s="965"/>
      <c r="P428" s="965"/>
      <c r="Q428" s="965"/>
      <c r="R428" s="965"/>
      <c r="S428" s="965"/>
      <c r="T428" s="965"/>
      <c r="U428" s="965"/>
      <c r="V428" s="965"/>
      <c r="W428" s="965"/>
      <c r="X428" s="965"/>
      <c r="Y428" s="965"/>
      <c r="Z428" s="965"/>
    </row>
    <row r="429">
      <c r="A429" s="965"/>
      <c r="B429" s="965"/>
      <c r="C429" s="965"/>
      <c r="D429" s="965"/>
      <c r="E429" s="965"/>
      <c r="F429" s="965"/>
      <c r="G429" s="965"/>
      <c r="H429" s="965"/>
      <c r="I429" s="965"/>
      <c r="J429" s="965"/>
      <c r="K429" s="965"/>
      <c r="L429" s="965"/>
      <c r="M429" s="965"/>
      <c r="N429" s="965"/>
      <c r="O429" s="965"/>
      <c r="P429" s="965"/>
      <c r="Q429" s="965"/>
      <c r="R429" s="965"/>
      <c r="S429" s="965"/>
      <c r="T429" s="965"/>
      <c r="U429" s="965"/>
      <c r="V429" s="965"/>
      <c r="W429" s="965"/>
      <c r="X429" s="965"/>
      <c r="Y429" s="965"/>
      <c r="Z429" s="965"/>
    </row>
    <row r="430">
      <c r="A430" s="965"/>
      <c r="B430" s="965"/>
      <c r="C430" s="965"/>
      <c r="D430" s="965"/>
      <c r="E430" s="965"/>
      <c r="F430" s="965"/>
      <c r="G430" s="965"/>
      <c r="H430" s="965"/>
      <c r="I430" s="965"/>
      <c r="J430" s="965"/>
      <c r="K430" s="965"/>
      <c r="L430" s="965"/>
      <c r="M430" s="965"/>
      <c r="N430" s="965"/>
      <c r="O430" s="965"/>
      <c r="P430" s="965"/>
      <c r="Q430" s="965"/>
      <c r="R430" s="965"/>
      <c r="S430" s="965"/>
      <c r="T430" s="965"/>
      <c r="U430" s="965"/>
      <c r="V430" s="965"/>
      <c r="W430" s="965"/>
      <c r="X430" s="965"/>
      <c r="Y430" s="965"/>
      <c r="Z430" s="965"/>
    </row>
    <row r="431">
      <c r="A431" s="965"/>
      <c r="B431" s="965"/>
      <c r="C431" s="965"/>
      <c r="D431" s="965"/>
      <c r="E431" s="965"/>
      <c r="F431" s="965"/>
      <c r="G431" s="965"/>
      <c r="H431" s="965"/>
      <c r="I431" s="965"/>
      <c r="J431" s="965"/>
      <c r="K431" s="965"/>
      <c r="L431" s="965"/>
      <c r="M431" s="965"/>
      <c r="N431" s="965"/>
      <c r="O431" s="965"/>
      <c r="P431" s="965"/>
      <c r="Q431" s="965"/>
      <c r="R431" s="965"/>
      <c r="S431" s="965"/>
      <c r="T431" s="965"/>
      <c r="U431" s="965"/>
      <c r="V431" s="965"/>
      <c r="W431" s="965"/>
      <c r="X431" s="965"/>
      <c r="Y431" s="965"/>
      <c r="Z431" s="965"/>
    </row>
    <row r="432">
      <c r="A432" s="965"/>
      <c r="B432" s="965"/>
      <c r="C432" s="965"/>
      <c r="D432" s="965"/>
      <c r="E432" s="965"/>
      <c r="F432" s="965"/>
      <c r="G432" s="965"/>
      <c r="H432" s="965"/>
      <c r="I432" s="965"/>
      <c r="J432" s="965"/>
      <c r="K432" s="965"/>
      <c r="L432" s="965"/>
      <c r="M432" s="965"/>
      <c r="N432" s="965"/>
      <c r="O432" s="965"/>
      <c r="P432" s="965"/>
      <c r="Q432" s="965"/>
      <c r="R432" s="965"/>
      <c r="S432" s="965"/>
      <c r="T432" s="965"/>
      <c r="U432" s="965"/>
      <c r="V432" s="965"/>
      <c r="W432" s="965"/>
      <c r="X432" s="965"/>
      <c r="Y432" s="965"/>
      <c r="Z432" s="965"/>
    </row>
    <row r="433">
      <c r="A433" s="965"/>
      <c r="B433" s="965"/>
      <c r="C433" s="965"/>
      <c r="D433" s="965"/>
      <c r="E433" s="965"/>
      <c r="F433" s="965"/>
      <c r="G433" s="965"/>
      <c r="H433" s="965"/>
      <c r="I433" s="965"/>
      <c r="J433" s="965"/>
      <c r="K433" s="965"/>
      <c r="L433" s="965"/>
      <c r="M433" s="965"/>
      <c r="N433" s="965"/>
      <c r="O433" s="965"/>
      <c r="P433" s="965"/>
      <c r="Q433" s="965"/>
      <c r="R433" s="965"/>
      <c r="S433" s="965"/>
      <c r="T433" s="965"/>
      <c r="U433" s="965"/>
      <c r="V433" s="965"/>
      <c r="W433" s="965"/>
      <c r="X433" s="965"/>
      <c r="Y433" s="965"/>
      <c r="Z433" s="965"/>
    </row>
    <row r="434">
      <c r="A434" s="965"/>
      <c r="B434" s="965"/>
      <c r="C434" s="965"/>
      <c r="D434" s="965"/>
      <c r="E434" s="965"/>
      <c r="F434" s="965"/>
      <c r="G434" s="965"/>
      <c r="H434" s="965"/>
      <c r="I434" s="965"/>
      <c r="J434" s="965"/>
      <c r="K434" s="965"/>
      <c r="L434" s="965"/>
      <c r="M434" s="965"/>
      <c r="N434" s="965"/>
      <c r="O434" s="965"/>
      <c r="P434" s="965"/>
      <c r="Q434" s="965"/>
      <c r="R434" s="965"/>
      <c r="S434" s="965"/>
      <c r="T434" s="965"/>
      <c r="U434" s="965"/>
      <c r="V434" s="965"/>
      <c r="W434" s="965"/>
      <c r="X434" s="965"/>
      <c r="Y434" s="965"/>
      <c r="Z434" s="965"/>
    </row>
    <row r="435">
      <c r="A435" s="965"/>
      <c r="B435" s="965"/>
      <c r="C435" s="965"/>
      <c r="D435" s="965"/>
      <c r="E435" s="965"/>
      <c r="F435" s="965"/>
      <c r="G435" s="965"/>
      <c r="H435" s="965"/>
      <c r="I435" s="965"/>
      <c r="J435" s="965"/>
      <c r="K435" s="965"/>
      <c r="L435" s="965"/>
      <c r="M435" s="965"/>
      <c r="N435" s="965"/>
      <c r="O435" s="965"/>
      <c r="P435" s="965"/>
      <c r="Q435" s="965"/>
      <c r="R435" s="965"/>
      <c r="S435" s="965"/>
      <c r="T435" s="965"/>
      <c r="U435" s="965"/>
      <c r="V435" s="965"/>
      <c r="W435" s="965"/>
      <c r="X435" s="965"/>
      <c r="Y435" s="965"/>
      <c r="Z435" s="965"/>
    </row>
    <row r="436">
      <c r="A436" s="965"/>
      <c r="B436" s="965"/>
      <c r="C436" s="965"/>
      <c r="D436" s="965"/>
      <c r="E436" s="965"/>
      <c r="F436" s="965"/>
      <c r="G436" s="965"/>
      <c r="H436" s="965"/>
      <c r="I436" s="965"/>
      <c r="J436" s="965"/>
      <c r="K436" s="965"/>
      <c r="L436" s="965"/>
      <c r="M436" s="965"/>
      <c r="N436" s="965"/>
      <c r="O436" s="965"/>
      <c r="P436" s="965"/>
      <c r="Q436" s="965"/>
      <c r="R436" s="965"/>
      <c r="S436" s="965"/>
      <c r="T436" s="965"/>
      <c r="U436" s="965"/>
      <c r="V436" s="965"/>
      <c r="W436" s="965"/>
      <c r="X436" s="965"/>
      <c r="Y436" s="965"/>
      <c r="Z436" s="965"/>
    </row>
    <row r="437">
      <c r="A437" s="965"/>
      <c r="B437" s="965"/>
      <c r="C437" s="965"/>
      <c r="D437" s="965"/>
      <c r="E437" s="965"/>
      <c r="F437" s="965"/>
      <c r="G437" s="965"/>
      <c r="H437" s="965"/>
      <c r="I437" s="965"/>
      <c r="J437" s="965"/>
      <c r="K437" s="965"/>
      <c r="L437" s="965"/>
      <c r="M437" s="965"/>
      <c r="N437" s="965"/>
      <c r="O437" s="965"/>
      <c r="P437" s="965"/>
      <c r="Q437" s="965"/>
      <c r="R437" s="965"/>
      <c r="S437" s="965"/>
      <c r="T437" s="965"/>
      <c r="U437" s="965"/>
      <c r="V437" s="965"/>
      <c r="W437" s="965"/>
      <c r="X437" s="965"/>
      <c r="Y437" s="965"/>
      <c r="Z437" s="965"/>
    </row>
    <row r="438">
      <c r="A438" s="965"/>
      <c r="B438" s="965"/>
      <c r="C438" s="965"/>
      <c r="D438" s="965"/>
      <c r="E438" s="965"/>
      <c r="F438" s="965"/>
      <c r="G438" s="965"/>
      <c r="H438" s="965"/>
      <c r="I438" s="965"/>
      <c r="J438" s="965"/>
      <c r="K438" s="965"/>
      <c r="L438" s="965"/>
      <c r="M438" s="965"/>
      <c r="N438" s="965"/>
      <c r="O438" s="965"/>
      <c r="P438" s="965"/>
      <c r="Q438" s="965"/>
      <c r="R438" s="965"/>
      <c r="S438" s="965"/>
      <c r="T438" s="965"/>
      <c r="U438" s="965"/>
      <c r="V438" s="965"/>
      <c r="W438" s="965"/>
      <c r="X438" s="965"/>
      <c r="Y438" s="965"/>
      <c r="Z438" s="965"/>
    </row>
    <row r="439">
      <c r="A439" s="965"/>
      <c r="B439" s="965"/>
      <c r="C439" s="965"/>
      <c r="D439" s="965"/>
      <c r="E439" s="965"/>
      <c r="F439" s="965"/>
      <c r="G439" s="965"/>
      <c r="H439" s="965"/>
      <c r="I439" s="965"/>
      <c r="J439" s="965"/>
      <c r="K439" s="965"/>
      <c r="L439" s="965"/>
      <c r="M439" s="965"/>
      <c r="N439" s="965"/>
      <c r="O439" s="965"/>
      <c r="P439" s="965"/>
      <c r="Q439" s="965"/>
      <c r="R439" s="965"/>
      <c r="S439" s="965"/>
      <c r="T439" s="965"/>
      <c r="U439" s="965"/>
      <c r="V439" s="965"/>
      <c r="W439" s="965"/>
      <c r="X439" s="965"/>
      <c r="Y439" s="965"/>
      <c r="Z439" s="965"/>
    </row>
    <row r="440">
      <c r="A440" s="965"/>
      <c r="B440" s="965"/>
      <c r="C440" s="965"/>
      <c r="D440" s="965"/>
      <c r="E440" s="965"/>
      <c r="F440" s="965"/>
      <c r="G440" s="965"/>
      <c r="H440" s="965"/>
      <c r="I440" s="965"/>
      <c r="J440" s="965"/>
      <c r="K440" s="965"/>
      <c r="L440" s="965"/>
      <c r="M440" s="965"/>
      <c r="N440" s="965"/>
      <c r="O440" s="965"/>
      <c r="P440" s="965"/>
      <c r="Q440" s="965"/>
      <c r="R440" s="965"/>
      <c r="S440" s="965"/>
      <c r="T440" s="965"/>
      <c r="U440" s="965"/>
      <c r="V440" s="965"/>
      <c r="W440" s="965"/>
      <c r="X440" s="965"/>
      <c r="Y440" s="965"/>
      <c r="Z440" s="965"/>
    </row>
    <row r="441">
      <c r="A441" s="965"/>
      <c r="B441" s="965"/>
      <c r="C441" s="965"/>
      <c r="D441" s="965"/>
      <c r="E441" s="965"/>
      <c r="F441" s="965"/>
      <c r="G441" s="965"/>
      <c r="H441" s="965"/>
      <c r="I441" s="965"/>
      <c r="J441" s="965"/>
      <c r="K441" s="965"/>
      <c r="L441" s="965"/>
      <c r="M441" s="965"/>
      <c r="N441" s="965"/>
      <c r="O441" s="965"/>
      <c r="P441" s="965"/>
      <c r="Q441" s="965"/>
      <c r="R441" s="965"/>
      <c r="S441" s="965"/>
      <c r="T441" s="965"/>
      <c r="U441" s="965"/>
      <c r="V441" s="965"/>
      <c r="W441" s="965"/>
      <c r="X441" s="965"/>
      <c r="Y441" s="965"/>
      <c r="Z441" s="965"/>
    </row>
    <row r="442">
      <c r="A442" s="965"/>
      <c r="B442" s="965"/>
      <c r="C442" s="965"/>
      <c r="D442" s="965"/>
      <c r="E442" s="965"/>
      <c r="F442" s="965"/>
      <c r="G442" s="965"/>
      <c r="H442" s="965"/>
      <c r="I442" s="965"/>
      <c r="J442" s="965"/>
      <c r="K442" s="965"/>
      <c r="L442" s="965"/>
      <c r="M442" s="965"/>
      <c r="N442" s="965"/>
      <c r="O442" s="965"/>
      <c r="P442" s="965"/>
      <c r="Q442" s="965"/>
      <c r="R442" s="965"/>
      <c r="S442" s="965"/>
      <c r="T442" s="965"/>
      <c r="U442" s="965"/>
      <c r="V442" s="965"/>
      <c r="W442" s="965"/>
      <c r="X442" s="965"/>
      <c r="Y442" s="965"/>
      <c r="Z442" s="965"/>
    </row>
    <row r="443">
      <c r="A443" s="965"/>
      <c r="B443" s="965"/>
      <c r="C443" s="965"/>
      <c r="D443" s="965"/>
      <c r="E443" s="965"/>
      <c r="F443" s="965"/>
      <c r="G443" s="965"/>
      <c r="H443" s="965"/>
      <c r="I443" s="965"/>
      <c r="J443" s="965"/>
      <c r="K443" s="965"/>
      <c r="L443" s="965"/>
      <c r="M443" s="965"/>
      <c r="N443" s="965"/>
      <c r="O443" s="965"/>
      <c r="P443" s="965"/>
      <c r="Q443" s="965"/>
      <c r="R443" s="965"/>
      <c r="S443" s="965"/>
      <c r="T443" s="965"/>
      <c r="U443" s="965"/>
      <c r="V443" s="965"/>
      <c r="W443" s="965"/>
      <c r="X443" s="965"/>
      <c r="Y443" s="965"/>
      <c r="Z443" s="965"/>
    </row>
    <row r="444">
      <c r="A444" s="965"/>
      <c r="B444" s="965"/>
      <c r="C444" s="965"/>
      <c r="D444" s="965"/>
      <c r="E444" s="965"/>
      <c r="F444" s="965"/>
      <c r="G444" s="965"/>
      <c r="H444" s="965"/>
      <c r="I444" s="965"/>
      <c r="J444" s="965"/>
      <c r="K444" s="965"/>
      <c r="L444" s="965"/>
      <c r="M444" s="965"/>
      <c r="N444" s="965"/>
      <c r="O444" s="965"/>
      <c r="P444" s="965"/>
      <c r="Q444" s="965"/>
      <c r="R444" s="965"/>
      <c r="S444" s="965"/>
      <c r="T444" s="965"/>
      <c r="U444" s="965"/>
      <c r="V444" s="965"/>
      <c r="W444" s="965"/>
      <c r="X444" s="965"/>
      <c r="Y444" s="965"/>
      <c r="Z444" s="965"/>
    </row>
    <row r="445">
      <c r="A445" s="965"/>
      <c r="B445" s="965"/>
      <c r="C445" s="965"/>
      <c r="D445" s="965"/>
      <c r="E445" s="965"/>
      <c r="F445" s="965"/>
      <c r="G445" s="965"/>
      <c r="H445" s="965"/>
      <c r="I445" s="965"/>
      <c r="J445" s="965"/>
      <c r="K445" s="965"/>
      <c r="L445" s="965"/>
      <c r="M445" s="965"/>
      <c r="N445" s="965"/>
      <c r="O445" s="965"/>
      <c r="P445" s="965"/>
      <c r="Q445" s="965"/>
      <c r="R445" s="965"/>
      <c r="S445" s="965"/>
      <c r="T445" s="965"/>
      <c r="U445" s="965"/>
      <c r="V445" s="965"/>
      <c r="W445" s="965"/>
      <c r="X445" s="965"/>
      <c r="Y445" s="965"/>
      <c r="Z445" s="965"/>
    </row>
    <row r="446">
      <c r="A446" s="965"/>
      <c r="B446" s="965"/>
      <c r="C446" s="965"/>
      <c r="D446" s="965"/>
      <c r="E446" s="965"/>
      <c r="F446" s="965"/>
      <c r="G446" s="965"/>
      <c r="H446" s="965"/>
      <c r="I446" s="965"/>
      <c r="J446" s="965"/>
      <c r="K446" s="965"/>
      <c r="L446" s="965"/>
      <c r="M446" s="965"/>
      <c r="N446" s="965"/>
      <c r="O446" s="965"/>
      <c r="P446" s="965"/>
      <c r="Q446" s="965"/>
      <c r="R446" s="965"/>
      <c r="S446" s="965"/>
      <c r="T446" s="965"/>
      <c r="U446" s="965"/>
      <c r="V446" s="965"/>
      <c r="W446" s="965"/>
      <c r="X446" s="965"/>
      <c r="Y446" s="965"/>
      <c r="Z446" s="965"/>
    </row>
    <row r="447">
      <c r="A447" s="965"/>
      <c r="B447" s="965"/>
      <c r="C447" s="965"/>
      <c r="D447" s="965"/>
      <c r="E447" s="965"/>
      <c r="F447" s="965"/>
      <c r="G447" s="965"/>
      <c r="H447" s="965"/>
      <c r="I447" s="965"/>
      <c r="J447" s="965"/>
      <c r="K447" s="965"/>
      <c r="L447" s="965"/>
      <c r="M447" s="965"/>
      <c r="N447" s="965"/>
      <c r="O447" s="965"/>
      <c r="P447" s="965"/>
      <c r="Q447" s="965"/>
      <c r="R447" s="965"/>
      <c r="S447" s="965"/>
      <c r="T447" s="965"/>
      <c r="U447" s="965"/>
      <c r="V447" s="965"/>
      <c r="W447" s="965"/>
      <c r="X447" s="965"/>
      <c r="Y447" s="965"/>
      <c r="Z447" s="965"/>
    </row>
    <row r="448">
      <c r="A448" s="965"/>
      <c r="B448" s="965"/>
      <c r="C448" s="965"/>
      <c r="D448" s="965"/>
      <c r="E448" s="965"/>
      <c r="F448" s="965"/>
      <c r="G448" s="965"/>
      <c r="H448" s="965"/>
      <c r="I448" s="965"/>
      <c r="J448" s="965"/>
      <c r="K448" s="965"/>
      <c r="L448" s="965"/>
      <c r="M448" s="965"/>
      <c r="N448" s="965"/>
      <c r="O448" s="965"/>
      <c r="P448" s="965"/>
      <c r="Q448" s="965"/>
      <c r="R448" s="965"/>
      <c r="S448" s="965"/>
      <c r="T448" s="965"/>
      <c r="U448" s="965"/>
      <c r="V448" s="965"/>
      <c r="W448" s="965"/>
      <c r="X448" s="965"/>
      <c r="Y448" s="965"/>
      <c r="Z448" s="965"/>
    </row>
    <row r="449">
      <c r="A449" s="965"/>
      <c r="B449" s="965"/>
      <c r="C449" s="965"/>
      <c r="D449" s="965"/>
      <c r="E449" s="965"/>
      <c r="F449" s="965"/>
      <c r="G449" s="965"/>
      <c r="H449" s="965"/>
      <c r="I449" s="965"/>
      <c r="J449" s="965"/>
      <c r="K449" s="965"/>
      <c r="L449" s="965"/>
      <c r="M449" s="965"/>
      <c r="N449" s="965"/>
      <c r="O449" s="965"/>
      <c r="P449" s="965"/>
      <c r="Q449" s="965"/>
      <c r="R449" s="965"/>
      <c r="S449" s="965"/>
      <c r="T449" s="965"/>
      <c r="U449" s="965"/>
      <c r="V449" s="965"/>
      <c r="W449" s="965"/>
      <c r="X449" s="965"/>
      <c r="Y449" s="965"/>
      <c r="Z449" s="965"/>
    </row>
    <row r="450">
      <c r="A450" s="965"/>
      <c r="B450" s="965"/>
      <c r="C450" s="965"/>
      <c r="D450" s="965"/>
      <c r="E450" s="965"/>
      <c r="F450" s="965"/>
      <c r="G450" s="965"/>
      <c r="H450" s="965"/>
      <c r="I450" s="965"/>
      <c r="J450" s="965"/>
      <c r="K450" s="965"/>
      <c r="L450" s="965"/>
      <c r="M450" s="965"/>
      <c r="N450" s="965"/>
      <c r="O450" s="965"/>
      <c r="P450" s="965"/>
      <c r="Q450" s="965"/>
      <c r="R450" s="965"/>
      <c r="S450" s="965"/>
      <c r="T450" s="965"/>
      <c r="U450" s="965"/>
      <c r="V450" s="965"/>
      <c r="W450" s="965"/>
      <c r="X450" s="965"/>
      <c r="Y450" s="965"/>
      <c r="Z450" s="965"/>
    </row>
    <row r="451">
      <c r="A451" s="965"/>
      <c r="B451" s="965"/>
      <c r="C451" s="965"/>
      <c r="D451" s="965"/>
      <c r="E451" s="965"/>
      <c r="F451" s="965"/>
      <c r="G451" s="965"/>
      <c r="H451" s="965"/>
      <c r="I451" s="965"/>
      <c r="J451" s="965"/>
      <c r="K451" s="965"/>
      <c r="L451" s="965"/>
      <c r="M451" s="965"/>
      <c r="N451" s="965"/>
      <c r="O451" s="965"/>
      <c r="P451" s="965"/>
      <c r="Q451" s="965"/>
      <c r="R451" s="965"/>
      <c r="S451" s="965"/>
      <c r="T451" s="965"/>
      <c r="U451" s="965"/>
      <c r="V451" s="965"/>
      <c r="W451" s="965"/>
      <c r="X451" s="965"/>
      <c r="Y451" s="965"/>
      <c r="Z451" s="965"/>
    </row>
    <row r="452">
      <c r="A452" s="965"/>
      <c r="B452" s="965"/>
      <c r="C452" s="965"/>
      <c r="D452" s="965"/>
      <c r="E452" s="965"/>
      <c r="F452" s="965"/>
      <c r="G452" s="965"/>
      <c r="H452" s="965"/>
      <c r="I452" s="965"/>
      <c r="J452" s="965"/>
      <c r="K452" s="965"/>
      <c r="L452" s="965"/>
      <c r="M452" s="965"/>
      <c r="N452" s="965"/>
      <c r="O452" s="965"/>
      <c r="P452" s="965"/>
      <c r="Q452" s="965"/>
      <c r="R452" s="965"/>
      <c r="S452" s="965"/>
      <c r="T452" s="965"/>
      <c r="U452" s="965"/>
      <c r="V452" s="965"/>
      <c r="W452" s="965"/>
      <c r="X452" s="965"/>
      <c r="Y452" s="965"/>
      <c r="Z452" s="965"/>
    </row>
    <row r="453">
      <c r="A453" s="965"/>
      <c r="B453" s="965"/>
      <c r="C453" s="965"/>
      <c r="D453" s="965"/>
      <c r="E453" s="965"/>
      <c r="F453" s="965"/>
      <c r="G453" s="965"/>
      <c r="H453" s="965"/>
      <c r="I453" s="965"/>
      <c r="J453" s="965"/>
      <c r="K453" s="965"/>
      <c r="L453" s="965"/>
      <c r="M453" s="965"/>
      <c r="N453" s="965"/>
      <c r="O453" s="965"/>
      <c r="P453" s="965"/>
      <c r="Q453" s="965"/>
      <c r="R453" s="965"/>
      <c r="S453" s="965"/>
      <c r="T453" s="965"/>
      <c r="U453" s="965"/>
      <c r="V453" s="965"/>
      <c r="W453" s="965"/>
      <c r="X453" s="965"/>
      <c r="Y453" s="965"/>
      <c r="Z453" s="965"/>
    </row>
    <row r="454">
      <c r="A454" s="965"/>
      <c r="B454" s="965"/>
      <c r="C454" s="965"/>
      <c r="D454" s="965"/>
      <c r="E454" s="965"/>
      <c r="F454" s="965"/>
      <c r="G454" s="965"/>
      <c r="H454" s="965"/>
      <c r="I454" s="965"/>
      <c r="J454" s="965"/>
      <c r="K454" s="965"/>
      <c r="L454" s="965"/>
      <c r="M454" s="965"/>
      <c r="N454" s="965"/>
      <c r="O454" s="965"/>
      <c r="P454" s="965"/>
      <c r="Q454" s="965"/>
      <c r="R454" s="965"/>
      <c r="S454" s="965"/>
      <c r="T454" s="965"/>
      <c r="U454" s="965"/>
      <c r="V454" s="965"/>
      <c r="W454" s="965"/>
      <c r="X454" s="965"/>
      <c r="Y454" s="965"/>
      <c r="Z454" s="965"/>
    </row>
    <row r="455">
      <c r="A455" s="965"/>
      <c r="B455" s="965"/>
      <c r="C455" s="965"/>
      <c r="D455" s="965"/>
      <c r="E455" s="965"/>
      <c r="F455" s="965"/>
      <c r="G455" s="965"/>
      <c r="H455" s="965"/>
      <c r="I455" s="965"/>
      <c r="J455" s="965"/>
      <c r="K455" s="965"/>
      <c r="L455" s="965"/>
      <c r="M455" s="965"/>
      <c r="N455" s="965"/>
      <c r="O455" s="965"/>
      <c r="P455" s="965"/>
      <c r="Q455" s="965"/>
      <c r="R455" s="965"/>
      <c r="S455" s="965"/>
      <c r="T455" s="965"/>
      <c r="U455" s="965"/>
      <c r="V455" s="965"/>
      <c r="W455" s="965"/>
      <c r="X455" s="965"/>
      <c r="Y455" s="965"/>
      <c r="Z455" s="965"/>
    </row>
    <row r="456">
      <c r="A456" s="965"/>
      <c r="B456" s="965"/>
      <c r="C456" s="965"/>
      <c r="D456" s="965"/>
      <c r="E456" s="965"/>
      <c r="F456" s="965"/>
      <c r="G456" s="965"/>
      <c r="H456" s="965"/>
      <c r="I456" s="965"/>
      <c r="J456" s="965"/>
      <c r="K456" s="965"/>
      <c r="L456" s="965"/>
      <c r="M456" s="965"/>
      <c r="N456" s="965"/>
      <c r="O456" s="965"/>
      <c r="P456" s="965"/>
      <c r="Q456" s="965"/>
      <c r="R456" s="965"/>
      <c r="S456" s="965"/>
      <c r="T456" s="965"/>
      <c r="U456" s="965"/>
      <c r="V456" s="965"/>
      <c r="W456" s="965"/>
      <c r="X456" s="965"/>
      <c r="Y456" s="965"/>
      <c r="Z456" s="965"/>
    </row>
    <row r="457">
      <c r="A457" s="965"/>
      <c r="B457" s="965"/>
      <c r="C457" s="965"/>
      <c r="D457" s="965"/>
      <c r="E457" s="965"/>
      <c r="F457" s="965"/>
      <c r="G457" s="965"/>
      <c r="H457" s="965"/>
      <c r="I457" s="965"/>
      <c r="J457" s="965"/>
      <c r="K457" s="965"/>
      <c r="L457" s="965"/>
      <c r="M457" s="965"/>
      <c r="N457" s="965"/>
      <c r="O457" s="965"/>
      <c r="P457" s="965"/>
      <c r="Q457" s="965"/>
      <c r="R457" s="965"/>
      <c r="S457" s="965"/>
      <c r="T457" s="965"/>
      <c r="U457" s="965"/>
      <c r="V457" s="965"/>
      <c r="W457" s="965"/>
      <c r="X457" s="965"/>
      <c r="Y457" s="965"/>
      <c r="Z457" s="965"/>
    </row>
    <row r="458">
      <c r="A458" s="965"/>
      <c r="B458" s="965"/>
      <c r="C458" s="965"/>
      <c r="D458" s="965"/>
      <c r="E458" s="965"/>
      <c r="F458" s="965"/>
      <c r="G458" s="965"/>
      <c r="H458" s="965"/>
      <c r="I458" s="965"/>
      <c r="J458" s="965"/>
      <c r="K458" s="965"/>
      <c r="L458" s="965"/>
      <c r="M458" s="965"/>
      <c r="N458" s="965"/>
      <c r="O458" s="965"/>
      <c r="P458" s="965"/>
      <c r="Q458" s="965"/>
      <c r="R458" s="965"/>
      <c r="S458" s="965"/>
      <c r="T458" s="965"/>
      <c r="U458" s="965"/>
      <c r="V458" s="965"/>
      <c r="W458" s="965"/>
      <c r="X458" s="965"/>
      <c r="Y458" s="965"/>
      <c r="Z458" s="965"/>
    </row>
    <row r="459">
      <c r="A459" s="965"/>
      <c r="B459" s="965"/>
      <c r="C459" s="965"/>
      <c r="D459" s="965"/>
      <c r="E459" s="965"/>
      <c r="F459" s="965"/>
      <c r="G459" s="965"/>
      <c r="H459" s="965"/>
      <c r="I459" s="965"/>
      <c r="J459" s="965"/>
      <c r="K459" s="965"/>
      <c r="L459" s="965"/>
      <c r="M459" s="965"/>
      <c r="N459" s="965"/>
      <c r="O459" s="965"/>
      <c r="P459" s="965"/>
      <c r="Q459" s="965"/>
      <c r="R459" s="965"/>
      <c r="S459" s="965"/>
      <c r="T459" s="965"/>
      <c r="U459" s="965"/>
      <c r="V459" s="965"/>
      <c r="W459" s="965"/>
      <c r="X459" s="965"/>
      <c r="Y459" s="965"/>
      <c r="Z459" s="965"/>
    </row>
    <row r="460">
      <c r="A460" s="965"/>
      <c r="B460" s="965"/>
      <c r="C460" s="965"/>
      <c r="D460" s="965"/>
      <c r="E460" s="965"/>
      <c r="F460" s="965"/>
      <c r="G460" s="965"/>
      <c r="H460" s="965"/>
      <c r="I460" s="965"/>
      <c r="J460" s="965"/>
      <c r="K460" s="965"/>
      <c r="L460" s="965"/>
      <c r="M460" s="965"/>
      <c r="N460" s="965"/>
      <c r="O460" s="965"/>
      <c r="P460" s="965"/>
      <c r="Q460" s="965"/>
      <c r="R460" s="965"/>
      <c r="S460" s="965"/>
      <c r="T460" s="965"/>
      <c r="U460" s="965"/>
      <c r="V460" s="965"/>
      <c r="W460" s="965"/>
      <c r="X460" s="965"/>
      <c r="Y460" s="965"/>
      <c r="Z460" s="965"/>
    </row>
    <row r="461">
      <c r="A461" s="965"/>
      <c r="B461" s="965"/>
      <c r="C461" s="965"/>
      <c r="D461" s="965"/>
      <c r="E461" s="965"/>
      <c r="F461" s="965"/>
      <c r="G461" s="965"/>
      <c r="H461" s="965"/>
      <c r="I461" s="965"/>
      <c r="J461" s="965"/>
      <c r="K461" s="965"/>
      <c r="L461" s="965"/>
      <c r="M461" s="965"/>
      <c r="N461" s="965"/>
      <c r="O461" s="965"/>
      <c r="P461" s="965"/>
      <c r="Q461" s="965"/>
      <c r="R461" s="965"/>
      <c r="S461" s="965"/>
      <c r="T461" s="965"/>
      <c r="U461" s="965"/>
      <c r="V461" s="965"/>
      <c r="W461" s="965"/>
      <c r="X461" s="965"/>
      <c r="Y461" s="965"/>
      <c r="Z461" s="965"/>
    </row>
    <row r="462">
      <c r="A462" s="965"/>
      <c r="B462" s="965"/>
      <c r="C462" s="965"/>
      <c r="D462" s="965"/>
      <c r="E462" s="965"/>
      <c r="F462" s="965"/>
      <c r="G462" s="965"/>
      <c r="H462" s="965"/>
      <c r="I462" s="965"/>
      <c r="J462" s="965"/>
      <c r="K462" s="965"/>
      <c r="L462" s="965"/>
      <c r="M462" s="965"/>
      <c r="N462" s="965"/>
      <c r="O462" s="965"/>
      <c r="P462" s="965"/>
      <c r="Q462" s="965"/>
      <c r="R462" s="965"/>
      <c r="S462" s="965"/>
      <c r="T462" s="965"/>
      <c r="U462" s="965"/>
      <c r="V462" s="965"/>
      <c r="W462" s="965"/>
      <c r="X462" s="965"/>
      <c r="Y462" s="965"/>
      <c r="Z462" s="965"/>
    </row>
    <row r="463">
      <c r="A463" s="965"/>
      <c r="B463" s="965"/>
      <c r="C463" s="965"/>
      <c r="D463" s="965"/>
      <c r="E463" s="965"/>
      <c r="F463" s="965"/>
      <c r="G463" s="965"/>
      <c r="H463" s="965"/>
      <c r="I463" s="965"/>
      <c r="J463" s="965"/>
      <c r="K463" s="965"/>
      <c r="L463" s="965"/>
      <c r="M463" s="965"/>
      <c r="N463" s="965"/>
      <c r="O463" s="965"/>
      <c r="P463" s="965"/>
      <c r="Q463" s="965"/>
      <c r="R463" s="965"/>
      <c r="S463" s="965"/>
      <c r="T463" s="965"/>
      <c r="U463" s="965"/>
      <c r="V463" s="965"/>
      <c r="W463" s="965"/>
      <c r="X463" s="965"/>
      <c r="Y463" s="965"/>
      <c r="Z463" s="965"/>
    </row>
    <row r="464">
      <c r="A464" s="965"/>
      <c r="B464" s="965"/>
      <c r="C464" s="965"/>
      <c r="D464" s="965"/>
      <c r="E464" s="965"/>
      <c r="F464" s="965"/>
      <c r="G464" s="965"/>
      <c r="H464" s="965"/>
      <c r="I464" s="965"/>
      <c r="J464" s="965"/>
      <c r="K464" s="965"/>
      <c r="L464" s="965"/>
      <c r="M464" s="965"/>
      <c r="N464" s="965"/>
      <c r="O464" s="965"/>
      <c r="P464" s="965"/>
      <c r="Q464" s="965"/>
      <c r="R464" s="965"/>
      <c r="S464" s="965"/>
      <c r="T464" s="965"/>
      <c r="U464" s="965"/>
      <c r="V464" s="965"/>
      <c r="W464" s="965"/>
      <c r="X464" s="965"/>
      <c r="Y464" s="965"/>
      <c r="Z464" s="965"/>
    </row>
    <row r="465">
      <c r="A465" s="965"/>
      <c r="B465" s="965"/>
      <c r="C465" s="965"/>
      <c r="D465" s="965"/>
      <c r="E465" s="965"/>
      <c r="F465" s="965"/>
      <c r="G465" s="965"/>
      <c r="H465" s="965"/>
      <c r="I465" s="965"/>
      <c r="J465" s="965"/>
      <c r="K465" s="965"/>
      <c r="L465" s="965"/>
      <c r="M465" s="965"/>
      <c r="N465" s="965"/>
      <c r="O465" s="965"/>
      <c r="P465" s="965"/>
      <c r="Q465" s="965"/>
      <c r="R465" s="965"/>
      <c r="S465" s="965"/>
      <c r="T465" s="965"/>
      <c r="U465" s="965"/>
      <c r="V465" s="965"/>
      <c r="W465" s="965"/>
      <c r="X465" s="965"/>
      <c r="Y465" s="965"/>
      <c r="Z465" s="965"/>
    </row>
    <row r="466">
      <c r="A466" s="965"/>
      <c r="B466" s="965"/>
      <c r="C466" s="965"/>
      <c r="D466" s="965"/>
      <c r="E466" s="965"/>
      <c r="F466" s="965"/>
      <c r="G466" s="965"/>
      <c r="H466" s="965"/>
      <c r="I466" s="965"/>
      <c r="J466" s="965"/>
      <c r="K466" s="965"/>
      <c r="L466" s="965"/>
      <c r="M466" s="965"/>
      <c r="N466" s="965"/>
      <c r="O466" s="965"/>
      <c r="P466" s="965"/>
      <c r="Q466" s="965"/>
      <c r="R466" s="965"/>
      <c r="S466" s="965"/>
      <c r="T466" s="965"/>
      <c r="U466" s="965"/>
      <c r="V466" s="965"/>
      <c r="W466" s="965"/>
      <c r="X466" s="965"/>
      <c r="Y466" s="965"/>
      <c r="Z466" s="965"/>
    </row>
    <row r="467">
      <c r="A467" s="965"/>
      <c r="B467" s="965"/>
      <c r="C467" s="965"/>
      <c r="D467" s="965"/>
      <c r="E467" s="965"/>
      <c r="F467" s="965"/>
      <c r="G467" s="965"/>
      <c r="H467" s="965"/>
      <c r="I467" s="965"/>
      <c r="J467" s="965"/>
      <c r="K467" s="965"/>
      <c r="L467" s="965"/>
      <c r="M467" s="965"/>
      <c r="N467" s="965"/>
      <c r="O467" s="965"/>
      <c r="P467" s="965"/>
      <c r="Q467" s="965"/>
      <c r="R467" s="965"/>
      <c r="S467" s="965"/>
      <c r="T467" s="965"/>
      <c r="U467" s="965"/>
      <c r="V467" s="965"/>
      <c r="W467" s="965"/>
      <c r="X467" s="965"/>
      <c r="Y467" s="965"/>
      <c r="Z467" s="965"/>
    </row>
    <row r="468">
      <c r="A468" s="965"/>
      <c r="B468" s="965"/>
      <c r="C468" s="965"/>
      <c r="D468" s="965"/>
      <c r="E468" s="965"/>
      <c r="F468" s="965"/>
      <c r="G468" s="965"/>
      <c r="H468" s="965"/>
      <c r="I468" s="965"/>
      <c r="J468" s="965"/>
      <c r="K468" s="965"/>
      <c r="L468" s="965"/>
      <c r="M468" s="965"/>
      <c r="N468" s="965"/>
      <c r="O468" s="965"/>
      <c r="P468" s="965"/>
      <c r="Q468" s="965"/>
      <c r="R468" s="965"/>
      <c r="S468" s="965"/>
      <c r="T468" s="965"/>
      <c r="U468" s="965"/>
      <c r="V468" s="965"/>
      <c r="W468" s="965"/>
      <c r="X468" s="965"/>
      <c r="Y468" s="965"/>
      <c r="Z468" s="965"/>
    </row>
    <row r="469">
      <c r="A469" s="965"/>
      <c r="B469" s="965"/>
      <c r="C469" s="965"/>
      <c r="D469" s="965"/>
      <c r="E469" s="965"/>
      <c r="F469" s="965"/>
      <c r="G469" s="965"/>
      <c r="H469" s="965"/>
      <c r="I469" s="965"/>
      <c r="J469" s="965"/>
      <c r="K469" s="965"/>
      <c r="L469" s="965"/>
      <c r="M469" s="965"/>
      <c r="N469" s="965"/>
      <c r="O469" s="965"/>
      <c r="P469" s="965"/>
      <c r="Q469" s="965"/>
      <c r="R469" s="965"/>
      <c r="S469" s="965"/>
      <c r="T469" s="965"/>
      <c r="U469" s="965"/>
      <c r="V469" s="965"/>
      <c r="W469" s="965"/>
      <c r="X469" s="965"/>
      <c r="Y469" s="965"/>
      <c r="Z469" s="965"/>
    </row>
    <row r="470">
      <c r="A470" s="965"/>
      <c r="B470" s="965"/>
      <c r="C470" s="965"/>
      <c r="D470" s="965"/>
      <c r="E470" s="965"/>
      <c r="F470" s="965"/>
      <c r="G470" s="965"/>
      <c r="H470" s="965"/>
      <c r="I470" s="965"/>
      <c r="J470" s="965"/>
      <c r="K470" s="965"/>
      <c r="L470" s="965"/>
      <c r="M470" s="965"/>
      <c r="N470" s="965"/>
      <c r="O470" s="965"/>
      <c r="P470" s="965"/>
      <c r="Q470" s="965"/>
      <c r="R470" s="965"/>
      <c r="S470" s="965"/>
      <c r="T470" s="965"/>
      <c r="U470" s="965"/>
      <c r="V470" s="965"/>
      <c r="W470" s="965"/>
      <c r="X470" s="965"/>
      <c r="Y470" s="965"/>
      <c r="Z470" s="965"/>
    </row>
    <row r="471">
      <c r="A471" s="965"/>
      <c r="B471" s="965"/>
      <c r="C471" s="965"/>
      <c r="D471" s="965"/>
      <c r="E471" s="965"/>
      <c r="F471" s="965"/>
      <c r="G471" s="965"/>
      <c r="H471" s="965"/>
      <c r="I471" s="965"/>
      <c r="J471" s="965"/>
      <c r="K471" s="965"/>
      <c r="L471" s="965"/>
      <c r="M471" s="965"/>
      <c r="N471" s="965"/>
      <c r="O471" s="965"/>
      <c r="P471" s="965"/>
      <c r="Q471" s="965"/>
      <c r="R471" s="965"/>
      <c r="S471" s="965"/>
      <c r="T471" s="965"/>
      <c r="U471" s="965"/>
      <c r="V471" s="965"/>
      <c r="W471" s="965"/>
      <c r="X471" s="965"/>
      <c r="Y471" s="965"/>
      <c r="Z471" s="965"/>
    </row>
    <row r="472">
      <c r="A472" s="965"/>
      <c r="B472" s="965"/>
      <c r="C472" s="965"/>
      <c r="D472" s="965"/>
      <c r="E472" s="965"/>
      <c r="F472" s="965"/>
      <c r="G472" s="965"/>
      <c r="H472" s="965"/>
      <c r="I472" s="965"/>
      <c r="J472" s="965"/>
      <c r="K472" s="965"/>
      <c r="L472" s="965"/>
      <c r="M472" s="965"/>
      <c r="N472" s="965"/>
      <c r="O472" s="965"/>
      <c r="P472" s="965"/>
      <c r="Q472" s="965"/>
      <c r="R472" s="965"/>
      <c r="S472" s="965"/>
      <c r="T472" s="965"/>
      <c r="U472" s="965"/>
      <c r="V472" s="965"/>
      <c r="W472" s="965"/>
      <c r="X472" s="965"/>
      <c r="Y472" s="965"/>
      <c r="Z472" s="965"/>
    </row>
    <row r="473">
      <c r="A473" s="965"/>
      <c r="B473" s="965"/>
      <c r="C473" s="965"/>
      <c r="D473" s="965"/>
      <c r="E473" s="965"/>
      <c r="F473" s="965"/>
      <c r="G473" s="965"/>
      <c r="H473" s="965"/>
      <c r="I473" s="965"/>
      <c r="J473" s="965"/>
      <c r="K473" s="965"/>
      <c r="L473" s="965"/>
      <c r="M473" s="965"/>
      <c r="N473" s="965"/>
      <c r="O473" s="965"/>
      <c r="P473" s="965"/>
      <c r="Q473" s="965"/>
      <c r="R473" s="965"/>
      <c r="S473" s="965"/>
      <c r="T473" s="965"/>
      <c r="U473" s="965"/>
      <c r="V473" s="965"/>
      <c r="W473" s="965"/>
      <c r="X473" s="965"/>
      <c r="Y473" s="965"/>
      <c r="Z473" s="965"/>
    </row>
    <row r="474">
      <c r="A474" s="965"/>
      <c r="B474" s="965"/>
      <c r="C474" s="965"/>
      <c r="D474" s="965"/>
      <c r="E474" s="965"/>
      <c r="F474" s="965"/>
      <c r="G474" s="965"/>
      <c r="H474" s="965"/>
      <c r="I474" s="965"/>
      <c r="J474" s="965"/>
      <c r="K474" s="965"/>
      <c r="L474" s="965"/>
      <c r="M474" s="965"/>
      <c r="N474" s="965"/>
      <c r="O474" s="965"/>
      <c r="P474" s="965"/>
      <c r="Q474" s="965"/>
      <c r="R474" s="965"/>
      <c r="S474" s="965"/>
      <c r="T474" s="965"/>
      <c r="U474" s="965"/>
      <c r="V474" s="965"/>
      <c r="W474" s="965"/>
      <c r="X474" s="965"/>
      <c r="Y474" s="965"/>
      <c r="Z474" s="965"/>
    </row>
    <row r="475">
      <c r="A475" s="965"/>
      <c r="B475" s="965"/>
      <c r="C475" s="965"/>
      <c r="D475" s="965"/>
      <c r="E475" s="965"/>
      <c r="F475" s="965"/>
      <c r="G475" s="965"/>
      <c r="H475" s="965"/>
      <c r="I475" s="965"/>
      <c r="J475" s="965"/>
      <c r="K475" s="965"/>
      <c r="L475" s="965"/>
      <c r="M475" s="965"/>
      <c r="N475" s="965"/>
      <c r="O475" s="965"/>
      <c r="P475" s="965"/>
      <c r="Q475" s="965"/>
      <c r="R475" s="965"/>
      <c r="S475" s="965"/>
      <c r="T475" s="965"/>
      <c r="U475" s="965"/>
      <c r="V475" s="965"/>
      <c r="W475" s="965"/>
      <c r="X475" s="965"/>
      <c r="Y475" s="965"/>
      <c r="Z475" s="965"/>
    </row>
    <row r="476">
      <c r="A476" s="965"/>
      <c r="B476" s="965"/>
      <c r="C476" s="965"/>
      <c r="D476" s="965"/>
      <c r="E476" s="965"/>
      <c r="F476" s="965"/>
      <c r="G476" s="965"/>
      <c r="H476" s="965"/>
      <c r="I476" s="965"/>
      <c r="J476" s="965"/>
      <c r="K476" s="965"/>
      <c r="L476" s="965"/>
      <c r="M476" s="965"/>
      <c r="N476" s="965"/>
      <c r="O476" s="965"/>
      <c r="P476" s="965"/>
      <c r="Q476" s="965"/>
      <c r="R476" s="965"/>
      <c r="S476" s="965"/>
      <c r="T476" s="965"/>
      <c r="U476" s="965"/>
      <c r="V476" s="965"/>
      <c r="W476" s="965"/>
      <c r="X476" s="965"/>
      <c r="Y476" s="965"/>
      <c r="Z476" s="965"/>
    </row>
    <row r="477">
      <c r="A477" s="965"/>
      <c r="B477" s="965"/>
      <c r="C477" s="965"/>
      <c r="D477" s="965"/>
      <c r="E477" s="965"/>
      <c r="F477" s="965"/>
      <c r="G477" s="965"/>
      <c r="H477" s="965"/>
      <c r="I477" s="965"/>
      <c r="J477" s="965"/>
      <c r="K477" s="965"/>
      <c r="L477" s="965"/>
      <c r="M477" s="965"/>
      <c r="N477" s="965"/>
      <c r="O477" s="965"/>
      <c r="P477" s="965"/>
      <c r="Q477" s="965"/>
      <c r="R477" s="965"/>
      <c r="S477" s="965"/>
      <c r="T477" s="965"/>
      <c r="U477" s="965"/>
      <c r="V477" s="965"/>
      <c r="W477" s="965"/>
      <c r="X477" s="965"/>
      <c r="Y477" s="965"/>
      <c r="Z477" s="965"/>
    </row>
    <row r="478">
      <c r="A478" s="965"/>
      <c r="B478" s="965"/>
      <c r="C478" s="965"/>
      <c r="D478" s="965"/>
      <c r="E478" s="965"/>
      <c r="F478" s="965"/>
      <c r="G478" s="965"/>
      <c r="H478" s="965"/>
      <c r="I478" s="965"/>
      <c r="J478" s="965"/>
      <c r="K478" s="965"/>
      <c r="L478" s="965"/>
      <c r="M478" s="965"/>
      <c r="N478" s="965"/>
      <c r="O478" s="965"/>
      <c r="P478" s="965"/>
      <c r="Q478" s="965"/>
      <c r="R478" s="965"/>
      <c r="S478" s="965"/>
      <c r="T478" s="965"/>
      <c r="U478" s="965"/>
      <c r="V478" s="965"/>
      <c r="W478" s="965"/>
      <c r="X478" s="965"/>
      <c r="Y478" s="965"/>
      <c r="Z478" s="965"/>
    </row>
    <row r="479">
      <c r="A479" s="965"/>
      <c r="B479" s="965"/>
      <c r="C479" s="965"/>
      <c r="D479" s="965"/>
      <c r="E479" s="965"/>
      <c r="F479" s="965"/>
      <c r="G479" s="965"/>
      <c r="H479" s="965"/>
      <c r="I479" s="965"/>
      <c r="J479" s="965"/>
      <c r="K479" s="965"/>
      <c r="L479" s="965"/>
      <c r="M479" s="965"/>
      <c r="N479" s="965"/>
      <c r="O479" s="965"/>
      <c r="P479" s="965"/>
      <c r="Q479" s="965"/>
      <c r="R479" s="965"/>
      <c r="S479" s="965"/>
      <c r="T479" s="965"/>
      <c r="U479" s="965"/>
      <c r="V479" s="965"/>
      <c r="W479" s="965"/>
      <c r="X479" s="965"/>
      <c r="Y479" s="965"/>
      <c r="Z479" s="965"/>
    </row>
    <row r="480">
      <c r="A480" s="965"/>
      <c r="B480" s="965"/>
      <c r="C480" s="965"/>
      <c r="D480" s="965"/>
      <c r="E480" s="965"/>
      <c r="F480" s="965"/>
      <c r="G480" s="965"/>
      <c r="H480" s="965"/>
      <c r="I480" s="965"/>
      <c r="J480" s="965"/>
      <c r="K480" s="965"/>
      <c r="L480" s="965"/>
      <c r="M480" s="965"/>
      <c r="N480" s="965"/>
      <c r="O480" s="965"/>
      <c r="P480" s="965"/>
      <c r="Q480" s="965"/>
      <c r="R480" s="965"/>
      <c r="S480" s="965"/>
      <c r="T480" s="965"/>
      <c r="U480" s="965"/>
      <c r="V480" s="965"/>
      <c r="W480" s="965"/>
      <c r="X480" s="965"/>
      <c r="Y480" s="965"/>
      <c r="Z480" s="965"/>
    </row>
    <row r="481">
      <c r="A481" s="965"/>
      <c r="B481" s="965"/>
      <c r="C481" s="965"/>
      <c r="D481" s="965"/>
      <c r="E481" s="965"/>
      <c r="F481" s="965"/>
      <c r="G481" s="965"/>
      <c r="H481" s="965"/>
      <c r="I481" s="965"/>
      <c r="J481" s="965"/>
      <c r="K481" s="965"/>
      <c r="L481" s="965"/>
      <c r="M481" s="965"/>
      <c r="N481" s="965"/>
      <c r="O481" s="965"/>
      <c r="P481" s="965"/>
      <c r="Q481" s="965"/>
      <c r="R481" s="965"/>
      <c r="S481" s="965"/>
      <c r="T481" s="965"/>
      <c r="U481" s="965"/>
      <c r="V481" s="965"/>
      <c r="W481" s="965"/>
      <c r="X481" s="965"/>
      <c r="Y481" s="965"/>
      <c r="Z481" s="965"/>
    </row>
    <row r="482">
      <c r="A482" s="965"/>
      <c r="B482" s="965"/>
      <c r="C482" s="965"/>
      <c r="D482" s="965"/>
      <c r="E482" s="965"/>
      <c r="F482" s="965"/>
      <c r="G482" s="965"/>
      <c r="H482" s="965"/>
      <c r="I482" s="965"/>
      <c r="J482" s="965"/>
      <c r="K482" s="965"/>
      <c r="L482" s="965"/>
      <c r="M482" s="965"/>
      <c r="N482" s="965"/>
      <c r="O482" s="965"/>
      <c r="P482" s="965"/>
      <c r="Q482" s="965"/>
      <c r="R482" s="965"/>
      <c r="S482" s="965"/>
      <c r="T482" s="965"/>
      <c r="U482" s="965"/>
      <c r="V482" s="965"/>
      <c r="W482" s="965"/>
      <c r="X482" s="965"/>
      <c r="Y482" s="965"/>
      <c r="Z482" s="965"/>
    </row>
    <row r="483">
      <c r="A483" s="965"/>
      <c r="B483" s="965"/>
      <c r="C483" s="965"/>
      <c r="D483" s="965"/>
      <c r="E483" s="965"/>
      <c r="F483" s="965"/>
      <c r="G483" s="965"/>
      <c r="H483" s="965"/>
      <c r="I483" s="965"/>
      <c r="J483" s="965"/>
      <c r="K483" s="965"/>
      <c r="L483" s="965"/>
      <c r="M483" s="965"/>
      <c r="N483" s="965"/>
      <c r="O483" s="965"/>
      <c r="P483" s="965"/>
      <c r="Q483" s="965"/>
      <c r="R483" s="965"/>
      <c r="S483" s="965"/>
      <c r="T483" s="965"/>
      <c r="U483" s="965"/>
      <c r="V483" s="965"/>
      <c r="W483" s="965"/>
      <c r="X483" s="965"/>
      <c r="Y483" s="965"/>
      <c r="Z483" s="965"/>
    </row>
    <row r="484">
      <c r="A484" s="965"/>
      <c r="B484" s="965"/>
      <c r="C484" s="965"/>
      <c r="D484" s="965"/>
      <c r="E484" s="965"/>
      <c r="F484" s="965"/>
      <c r="G484" s="965"/>
      <c r="H484" s="965"/>
      <c r="I484" s="965"/>
      <c r="J484" s="965"/>
      <c r="K484" s="965"/>
      <c r="L484" s="965"/>
      <c r="M484" s="965"/>
      <c r="N484" s="965"/>
      <c r="O484" s="965"/>
      <c r="P484" s="965"/>
      <c r="Q484" s="965"/>
      <c r="R484" s="965"/>
      <c r="S484" s="965"/>
      <c r="T484" s="965"/>
      <c r="U484" s="965"/>
      <c r="V484" s="965"/>
      <c r="W484" s="965"/>
      <c r="X484" s="965"/>
      <c r="Y484" s="965"/>
      <c r="Z484" s="965"/>
    </row>
    <row r="485">
      <c r="A485" s="965"/>
      <c r="B485" s="965"/>
      <c r="C485" s="965"/>
      <c r="D485" s="965"/>
      <c r="E485" s="965"/>
      <c r="F485" s="965"/>
      <c r="G485" s="965"/>
      <c r="H485" s="965"/>
      <c r="I485" s="965"/>
      <c r="J485" s="965"/>
      <c r="K485" s="965"/>
      <c r="L485" s="965"/>
      <c r="M485" s="965"/>
      <c r="N485" s="965"/>
      <c r="O485" s="965"/>
      <c r="P485" s="965"/>
      <c r="Q485" s="965"/>
      <c r="R485" s="965"/>
      <c r="S485" s="965"/>
      <c r="T485" s="965"/>
      <c r="U485" s="965"/>
      <c r="V485" s="965"/>
      <c r="W485" s="965"/>
      <c r="X485" s="965"/>
      <c r="Y485" s="965"/>
      <c r="Z485" s="965"/>
    </row>
    <row r="486">
      <c r="A486" s="965"/>
      <c r="B486" s="965"/>
      <c r="C486" s="965"/>
      <c r="D486" s="965"/>
      <c r="E486" s="965"/>
      <c r="F486" s="965"/>
      <c r="G486" s="965"/>
      <c r="H486" s="965"/>
      <c r="I486" s="965"/>
      <c r="J486" s="965"/>
      <c r="K486" s="965"/>
      <c r="L486" s="965"/>
      <c r="M486" s="965"/>
      <c r="N486" s="965"/>
      <c r="O486" s="965"/>
      <c r="P486" s="965"/>
      <c r="Q486" s="965"/>
      <c r="R486" s="965"/>
      <c r="S486" s="965"/>
      <c r="T486" s="965"/>
      <c r="U486" s="965"/>
      <c r="V486" s="965"/>
      <c r="W486" s="965"/>
      <c r="X486" s="965"/>
      <c r="Y486" s="965"/>
      <c r="Z486" s="965"/>
    </row>
    <row r="487">
      <c r="A487" s="965"/>
      <c r="B487" s="965"/>
      <c r="C487" s="965"/>
      <c r="D487" s="965"/>
      <c r="E487" s="965"/>
      <c r="F487" s="965"/>
      <c r="G487" s="965"/>
      <c r="H487" s="965"/>
      <c r="I487" s="965"/>
      <c r="J487" s="965"/>
      <c r="K487" s="965"/>
      <c r="L487" s="965"/>
      <c r="M487" s="965"/>
      <c r="N487" s="965"/>
      <c r="O487" s="965"/>
      <c r="P487" s="965"/>
      <c r="Q487" s="965"/>
      <c r="R487" s="965"/>
      <c r="S487" s="965"/>
      <c r="T487" s="965"/>
      <c r="U487" s="965"/>
      <c r="V487" s="965"/>
      <c r="W487" s="965"/>
      <c r="X487" s="965"/>
      <c r="Y487" s="965"/>
      <c r="Z487" s="965"/>
    </row>
    <row r="488">
      <c r="A488" s="965"/>
      <c r="B488" s="965"/>
      <c r="C488" s="965"/>
      <c r="D488" s="965"/>
      <c r="E488" s="965"/>
      <c r="F488" s="965"/>
      <c r="G488" s="965"/>
      <c r="H488" s="965"/>
      <c r="I488" s="965"/>
      <c r="J488" s="965"/>
      <c r="K488" s="965"/>
      <c r="L488" s="965"/>
      <c r="M488" s="965"/>
      <c r="N488" s="965"/>
      <c r="O488" s="965"/>
      <c r="P488" s="965"/>
      <c r="Q488" s="965"/>
      <c r="R488" s="965"/>
      <c r="S488" s="965"/>
      <c r="T488" s="965"/>
      <c r="U488" s="965"/>
      <c r="V488" s="965"/>
      <c r="W488" s="965"/>
      <c r="X488" s="965"/>
      <c r="Y488" s="965"/>
      <c r="Z488" s="965"/>
    </row>
    <row r="489">
      <c r="A489" s="965"/>
      <c r="B489" s="965"/>
      <c r="C489" s="965"/>
      <c r="D489" s="965"/>
      <c r="E489" s="965"/>
      <c r="F489" s="965"/>
      <c r="G489" s="965"/>
      <c r="H489" s="965"/>
      <c r="I489" s="965"/>
      <c r="J489" s="965"/>
      <c r="K489" s="965"/>
      <c r="L489" s="965"/>
      <c r="M489" s="965"/>
      <c r="N489" s="965"/>
      <c r="O489" s="965"/>
      <c r="P489" s="965"/>
      <c r="Q489" s="965"/>
      <c r="R489" s="965"/>
      <c r="S489" s="965"/>
      <c r="T489" s="965"/>
      <c r="U489" s="965"/>
      <c r="V489" s="965"/>
      <c r="W489" s="965"/>
      <c r="X489" s="965"/>
      <c r="Y489" s="965"/>
      <c r="Z489" s="965"/>
    </row>
    <row r="490">
      <c r="A490" s="965"/>
      <c r="B490" s="965"/>
      <c r="C490" s="965"/>
      <c r="D490" s="965"/>
      <c r="E490" s="965"/>
      <c r="F490" s="965"/>
      <c r="G490" s="965"/>
      <c r="H490" s="965"/>
      <c r="I490" s="965"/>
      <c r="J490" s="965"/>
      <c r="K490" s="965"/>
      <c r="L490" s="965"/>
      <c r="M490" s="965"/>
      <c r="N490" s="965"/>
      <c r="O490" s="965"/>
      <c r="P490" s="965"/>
      <c r="Q490" s="965"/>
      <c r="R490" s="965"/>
      <c r="S490" s="965"/>
      <c r="T490" s="965"/>
      <c r="U490" s="965"/>
      <c r="V490" s="965"/>
      <c r="W490" s="965"/>
      <c r="X490" s="965"/>
      <c r="Y490" s="965"/>
      <c r="Z490" s="965"/>
    </row>
    <row r="491">
      <c r="A491" s="965"/>
      <c r="B491" s="965"/>
      <c r="C491" s="965"/>
      <c r="D491" s="965"/>
      <c r="E491" s="965"/>
      <c r="F491" s="965"/>
      <c r="G491" s="965"/>
      <c r="H491" s="965"/>
      <c r="I491" s="965"/>
      <c r="J491" s="965"/>
      <c r="K491" s="965"/>
      <c r="L491" s="965"/>
      <c r="M491" s="965"/>
      <c r="N491" s="965"/>
      <c r="O491" s="965"/>
      <c r="P491" s="965"/>
      <c r="Q491" s="965"/>
      <c r="R491" s="965"/>
      <c r="S491" s="965"/>
      <c r="T491" s="965"/>
      <c r="U491" s="965"/>
      <c r="V491" s="965"/>
      <c r="W491" s="965"/>
      <c r="X491" s="965"/>
      <c r="Y491" s="965"/>
      <c r="Z491" s="965"/>
    </row>
    <row r="492">
      <c r="A492" s="965"/>
      <c r="B492" s="965"/>
      <c r="C492" s="965"/>
      <c r="D492" s="965"/>
      <c r="E492" s="965"/>
      <c r="F492" s="965"/>
      <c r="G492" s="965"/>
      <c r="H492" s="965"/>
      <c r="I492" s="965"/>
      <c r="J492" s="965"/>
      <c r="K492" s="965"/>
      <c r="L492" s="965"/>
      <c r="M492" s="965"/>
      <c r="N492" s="965"/>
      <c r="O492" s="965"/>
      <c r="P492" s="965"/>
      <c r="Q492" s="965"/>
      <c r="R492" s="965"/>
      <c r="S492" s="965"/>
      <c r="T492" s="965"/>
      <c r="U492" s="965"/>
      <c r="V492" s="965"/>
      <c r="W492" s="965"/>
      <c r="X492" s="965"/>
      <c r="Y492" s="965"/>
      <c r="Z492" s="965"/>
    </row>
    <row r="493">
      <c r="A493" s="965"/>
      <c r="B493" s="965"/>
      <c r="C493" s="965"/>
      <c r="D493" s="965"/>
      <c r="E493" s="965"/>
      <c r="F493" s="965"/>
      <c r="G493" s="965"/>
      <c r="H493" s="965"/>
      <c r="I493" s="965"/>
      <c r="J493" s="965"/>
      <c r="K493" s="965"/>
      <c r="L493" s="965"/>
      <c r="M493" s="965"/>
      <c r="N493" s="965"/>
      <c r="O493" s="965"/>
      <c r="P493" s="965"/>
      <c r="Q493" s="965"/>
      <c r="R493" s="965"/>
      <c r="S493" s="965"/>
      <c r="T493" s="965"/>
      <c r="U493" s="965"/>
      <c r="V493" s="965"/>
      <c r="W493" s="965"/>
      <c r="X493" s="965"/>
      <c r="Y493" s="965"/>
      <c r="Z493" s="965"/>
    </row>
    <row r="494">
      <c r="A494" s="965"/>
      <c r="B494" s="965"/>
      <c r="C494" s="965"/>
      <c r="D494" s="965"/>
      <c r="E494" s="965"/>
      <c r="F494" s="965"/>
      <c r="G494" s="965"/>
      <c r="H494" s="965"/>
      <c r="I494" s="965"/>
      <c r="J494" s="965"/>
      <c r="K494" s="965"/>
      <c r="L494" s="965"/>
      <c r="M494" s="965"/>
      <c r="N494" s="965"/>
      <c r="O494" s="965"/>
      <c r="P494" s="965"/>
      <c r="Q494" s="965"/>
      <c r="R494" s="965"/>
      <c r="S494" s="965"/>
      <c r="T494" s="965"/>
      <c r="U494" s="965"/>
      <c r="V494" s="965"/>
      <c r="W494" s="965"/>
      <c r="X494" s="965"/>
      <c r="Y494" s="965"/>
      <c r="Z494" s="965"/>
    </row>
    <row r="495">
      <c r="A495" s="965"/>
      <c r="B495" s="965"/>
      <c r="C495" s="965"/>
      <c r="D495" s="965"/>
      <c r="E495" s="965"/>
      <c r="F495" s="965"/>
      <c r="G495" s="965"/>
      <c r="H495" s="965"/>
      <c r="I495" s="965"/>
      <c r="J495" s="965"/>
      <c r="K495" s="965"/>
      <c r="L495" s="965"/>
      <c r="M495" s="965"/>
      <c r="N495" s="965"/>
      <c r="O495" s="965"/>
      <c r="P495" s="965"/>
      <c r="Q495" s="965"/>
      <c r="R495" s="965"/>
      <c r="S495" s="965"/>
      <c r="T495" s="965"/>
      <c r="U495" s="965"/>
      <c r="V495" s="965"/>
      <c r="W495" s="965"/>
      <c r="X495" s="965"/>
      <c r="Y495" s="965"/>
      <c r="Z495" s="965"/>
    </row>
    <row r="496">
      <c r="A496" s="965"/>
      <c r="B496" s="965"/>
      <c r="C496" s="965"/>
      <c r="D496" s="965"/>
      <c r="E496" s="965"/>
      <c r="F496" s="965"/>
      <c r="G496" s="965"/>
      <c r="H496" s="965"/>
      <c r="I496" s="965"/>
      <c r="J496" s="965"/>
      <c r="K496" s="965"/>
      <c r="L496" s="965"/>
      <c r="M496" s="965"/>
      <c r="N496" s="965"/>
      <c r="O496" s="965"/>
      <c r="P496" s="965"/>
      <c r="Q496" s="965"/>
      <c r="R496" s="965"/>
      <c r="S496" s="965"/>
      <c r="T496" s="965"/>
      <c r="U496" s="965"/>
      <c r="V496" s="965"/>
      <c r="W496" s="965"/>
      <c r="X496" s="965"/>
      <c r="Y496" s="965"/>
      <c r="Z496" s="965"/>
    </row>
    <row r="497">
      <c r="A497" s="965"/>
      <c r="B497" s="965"/>
      <c r="C497" s="965"/>
      <c r="D497" s="965"/>
      <c r="E497" s="965"/>
      <c r="F497" s="965"/>
      <c r="G497" s="965"/>
      <c r="H497" s="965"/>
      <c r="I497" s="965"/>
      <c r="J497" s="965"/>
      <c r="K497" s="965"/>
      <c r="L497" s="965"/>
      <c r="M497" s="965"/>
      <c r="N497" s="965"/>
      <c r="O497" s="965"/>
      <c r="P497" s="965"/>
      <c r="Q497" s="965"/>
      <c r="R497" s="965"/>
      <c r="S497" s="965"/>
      <c r="T497" s="965"/>
      <c r="U497" s="965"/>
      <c r="V497" s="965"/>
      <c r="W497" s="965"/>
      <c r="X497" s="965"/>
      <c r="Y497" s="965"/>
      <c r="Z497" s="965"/>
    </row>
    <row r="498">
      <c r="A498" s="965"/>
      <c r="B498" s="965"/>
      <c r="C498" s="965"/>
      <c r="D498" s="965"/>
      <c r="E498" s="965"/>
      <c r="F498" s="965"/>
      <c r="G498" s="965"/>
      <c r="H498" s="965"/>
      <c r="I498" s="965"/>
      <c r="J498" s="965"/>
      <c r="K498" s="965"/>
      <c r="L498" s="965"/>
      <c r="M498" s="965"/>
      <c r="N498" s="965"/>
      <c r="O498" s="965"/>
      <c r="P498" s="965"/>
      <c r="Q498" s="965"/>
      <c r="R498" s="965"/>
      <c r="S498" s="965"/>
      <c r="T498" s="965"/>
      <c r="U498" s="965"/>
      <c r="V498" s="965"/>
      <c r="W498" s="965"/>
      <c r="X498" s="965"/>
      <c r="Y498" s="965"/>
      <c r="Z498" s="965"/>
    </row>
    <row r="499">
      <c r="A499" s="965"/>
      <c r="B499" s="965"/>
      <c r="C499" s="965"/>
      <c r="D499" s="965"/>
      <c r="E499" s="965"/>
      <c r="F499" s="965"/>
      <c r="G499" s="965"/>
      <c r="H499" s="965"/>
      <c r="I499" s="965"/>
      <c r="J499" s="965"/>
      <c r="K499" s="965"/>
      <c r="L499" s="965"/>
      <c r="M499" s="965"/>
      <c r="N499" s="965"/>
      <c r="O499" s="965"/>
      <c r="P499" s="965"/>
      <c r="Q499" s="965"/>
      <c r="R499" s="965"/>
      <c r="S499" s="965"/>
      <c r="T499" s="965"/>
      <c r="U499" s="965"/>
      <c r="V499" s="965"/>
      <c r="W499" s="965"/>
      <c r="X499" s="965"/>
      <c r="Y499" s="965"/>
      <c r="Z499" s="965"/>
    </row>
    <row r="500">
      <c r="A500" s="965"/>
      <c r="B500" s="965"/>
      <c r="C500" s="965"/>
      <c r="D500" s="965"/>
      <c r="E500" s="965"/>
      <c r="F500" s="965"/>
      <c r="G500" s="965"/>
      <c r="H500" s="965"/>
      <c r="I500" s="965"/>
      <c r="J500" s="965"/>
      <c r="K500" s="965"/>
      <c r="L500" s="965"/>
      <c r="M500" s="965"/>
      <c r="N500" s="965"/>
      <c r="O500" s="965"/>
      <c r="P500" s="965"/>
      <c r="Q500" s="965"/>
      <c r="R500" s="965"/>
      <c r="S500" s="965"/>
      <c r="T500" s="965"/>
      <c r="U500" s="965"/>
      <c r="V500" s="965"/>
      <c r="W500" s="965"/>
      <c r="X500" s="965"/>
      <c r="Y500" s="965"/>
      <c r="Z500" s="965"/>
    </row>
    <row r="501">
      <c r="A501" s="965"/>
      <c r="B501" s="965"/>
      <c r="C501" s="965"/>
      <c r="D501" s="965"/>
      <c r="E501" s="965"/>
      <c r="F501" s="965"/>
      <c r="G501" s="965"/>
      <c r="H501" s="965"/>
      <c r="I501" s="965"/>
      <c r="J501" s="965"/>
      <c r="K501" s="965"/>
      <c r="L501" s="965"/>
      <c r="M501" s="965"/>
      <c r="N501" s="965"/>
      <c r="O501" s="965"/>
      <c r="P501" s="965"/>
      <c r="Q501" s="965"/>
      <c r="R501" s="965"/>
      <c r="S501" s="965"/>
      <c r="T501" s="965"/>
      <c r="U501" s="965"/>
      <c r="V501" s="965"/>
      <c r="W501" s="965"/>
      <c r="X501" s="965"/>
      <c r="Y501" s="965"/>
      <c r="Z501" s="965"/>
    </row>
    <row r="502">
      <c r="A502" s="965"/>
      <c r="B502" s="965"/>
      <c r="C502" s="965"/>
      <c r="D502" s="965"/>
      <c r="E502" s="965"/>
      <c r="F502" s="965"/>
      <c r="G502" s="965"/>
      <c r="H502" s="965"/>
      <c r="I502" s="965"/>
      <c r="J502" s="965"/>
      <c r="K502" s="965"/>
      <c r="L502" s="965"/>
      <c r="M502" s="965"/>
      <c r="N502" s="965"/>
      <c r="O502" s="965"/>
      <c r="P502" s="965"/>
      <c r="Q502" s="965"/>
      <c r="R502" s="965"/>
      <c r="S502" s="965"/>
      <c r="T502" s="965"/>
      <c r="U502" s="965"/>
      <c r="V502" s="965"/>
      <c r="W502" s="965"/>
      <c r="X502" s="965"/>
      <c r="Y502" s="965"/>
      <c r="Z502" s="965"/>
    </row>
    <row r="503">
      <c r="A503" s="965"/>
      <c r="B503" s="965"/>
      <c r="C503" s="965"/>
      <c r="D503" s="965"/>
      <c r="E503" s="965"/>
      <c r="F503" s="965"/>
      <c r="G503" s="965"/>
      <c r="H503" s="965"/>
      <c r="I503" s="965"/>
      <c r="J503" s="965"/>
      <c r="K503" s="965"/>
      <c r="L503" s="965"/>
      <c r="M503" s="965"/>
      <c r="N503" s="965"/>
      <c r="O503" s="965"/>
      <c r="P503" s="965"/>
      <c r="Q503" s="965"/>
      <c r="R503" s="965"/>
      <c r="S503" s="965"/>
      <c r="T503" s="965"/>
      <c r="U503" s="965"/>
      <c r="V503" s="965"/>
      <c r="W503" s="965"/>
      <c r="X503" s="965"/>
      <c r="Y503" s="965"/>
      <c r="Z503" s="965"/>
    </row>
    <row r="504">
      <c r="A504" s="965"/>
      <c r="B504" s="965"/>
      <c r="C504" s="965"/>
      <c r="D504" s="965"/>
      <c r="E504" s="965"/>
      <c r="F504" s="965"/>
      <c r="G504" s="965"/>
      <c r="H504" s="965"/>
      <c r="I504" s="965"/>
      <c r="J504" s="965"/>
      <c r="K504" s="965"/>
      <c r="L504" s="965"/>
      <c r="M504" s="965"/>
      <c r="N504" s="965"/>
      <c r="O504" s="965"/>
      <c r="P504" s="965"/>
      <c r="Q504" s="965"/>
      <c r="R504" s="965"/>
      <c r="S504" s="965"/>
      <c r="T504" s="965"/>
      <c r="U504" s="965"/>
      <c r="V504" s="965"/>
      <c r="W504" s="965"/>
      <c r="X504" s="965"/>
      <c r="Y504" s="965"/>
      <c r="Z504" s="965"/>
    </row>
    <row r="505">
      <c r="A505" s="965"/>
      <c r="B505" s="965"/>
      <c r="C505" s="965"/>
      <c r="D505" s="965"/>
      <c r="E505" s="965"/>
      <c r="F505" s="965"/>
      <c r="G505" s="965"/>
      <c r="H505" s="965"/>
      <c r="I505" s="965"/>
      <c r="J505" s="965"/>
      <c r="K505" s="965"/>
      <c r="L505" s="965"/>
      <c r="M505" s="965"/>
      <c r="N505" s="965"/>
      <c r="O505" s="965"/>
      <c r="P505" s="965"/>
      <c r="Q505" s="965"/>
      <c r="R505" s="965"/>
      <c r="S505" s="965"/>
      <c r="T505" s="965"/>
      <c r="U505" s="965"/>
      <c r="V505" s="965"/>
      <c r="W505" s="965"/>
      <c r="X505" s="965"/>
      <c r="Y505" s="965"/>
      <c r="Z505" s="965"/>
    </row>
    <row r="506">
      <c r="A506" s="965"/>
      <c r="B506" s="965"/>
      <c r="C506" s="965"/>
      <c r="D506" s="965"/>
      <c r="E506" s="965"/>
      <c r="F506" s="965"/>
      <c r="G506" s="965"/>
      <c r="H506" s="965"/>
      <c r="I506" s="965"/>
      <c r="J506" s="965"/>
      <c r="K506" s="965"/>
      <c r="L506" s="965"/>
      <c r="M506" s="965"/>
      <c r="N506" s="965"/>
      <c r="O506" s="965"/>
      <c r="P506" s="965"/>
      <c r="Q506" s="965"/>
      <c r="R506" s="965"/>
      <c r="S506" s="965"/>
      <c r="T506" s="965"/>
      <c r="U506" s="965"/>
      <c r="V506" s="965"/>
      <c r="W506" s="965"/>
      <c r="X506" s="965"/>
      <c r="Y506" s="965"/>
      <c r="Z506" s="965"/>
    </row>
    <row r="507">
      <c r="A507" s="965"/>
      <c r="B507" s="965"/>
      <c r="C507" s="965"/>
      <c r="D507" s="965"/>
      <c r="E507" s="965"/>
      <c r="F507" s="965"/>
      <c r="G507" s="965"/>
      <c r="H507" s="965"/>
      <c r="I507" s="965"/>
      <c r="J507" s="965"/>
      <c r="K507" s="965"/>
      <c r="L507" s="965"/>
      <c r="M507" s="965"/>
      <c r="N507" s="965"/>
      <c r="O507" s="965"/>
      <c r="P507" s="965"/>
      <c r="Q507" s="965"/>
      <c r="R507" s="965"/>
      <c r="S507" s="965"/>
      <c r="T507" s="965"/>
      <c r="U507" s="965"/>
      <c r="V507" s="965"/>
      <c r="W507" s="965"/>
      <c r="X507" s="965"/>
      <c r="Y507" s="965"/>
      <c r="Z507" s="965"/>
    </row>
    <row r="508">
      <c r="A508" s="965"/>
      <c r="B508" s="965"/>
      <c r="C508" s="965"/>
      <c r="D508" s="965"/>
      <c r="E508" s="965"/>
      <c r="F508" s="965"/>
      <c r="G508" s="965"/>
      <c r="H508" s="965"/>
      <c r="I508" s="965"/>
      <c r="J508" s="965"/>
      <c r="K508" s="965"/>
      <c r="L508" s="965"/>
      <c r="M508" s="965"/>
      <c r="N508" s="965"/>
      <c r="O508" s="965"/>
      <c r="P508" s="965"/>
      <c r="Q508" s="965"/>
      <c r="R508" s="965"/>
      <c r="S508" s="965"/>
      <c r="T508" s="965"/>
      <c r="U508" s="965"/>
      <c r="V508" s="965"/>
      <c r="W508" s="965"/>
      <c r="X508" s="965"/>
      <c r="Y508" s="965"/>
      <c r="Z508" s="965"/>
    </row>
    <row r="509">
      <c r="A509" s="965"/>
      <c r="B509" s="965"/>
      <c r="C509" s="965"/>
      <c r="D509" s="965"/>
      <c r="E509" s="965"/>
      <c r="F509" s="965"/>
      <c r="G509" s="965"/>
      <c r="H509" s="965"/>
      <c r="I509" s="965"/>
      <c r="J509" s="965"/>
      <c r="K509" s="965"/>
      <c r="L509" s="965"/>
      <c r="M509" s="965"/>
      <c r="N509" s="965"/>
      <c r="O509" s="965"/>
      <c r="P509" s="965"/>
      <c r="Q509" s="965"/>
      <c r="R509" s="965"/>
      <c r="S509" s="965"/>
      <c r="T509" s="965"/>
      <c r="U509" s="965"/>
      <c r="V509" s="965"/>
      <c r="W509" s="965"/>
      <c r="X509" s="965"/>
      <c r="Y509" s="965"/>
      <c r="Z509" s="965"/>
    </row>
    <row r="510">
      <c r="A510" s="965"/>
      <c r="B510" s="965"/>
      <c r="C510" s="965"/>
      <c r="D510" s="965"/>
      <c r="E510" s="965"/>
      <c r="F510" s="965"/>
      <c r="G510" s="965"/>
      <c r="H510" s="965"/>
      <c r="I510" s="965"/>
      <c r="J510" s="965"/>
      <c r="K510" s="965"/>
      <c r="L510" s="965"/>
      <c r="M510" s="965"/>
      <c r="N510" s="965"/>
      <c r="O510" s="965"/>
      <c r="P510" s="965"/>
      <c r="Q510" s="965"/>
      <c r="R510" s="965"/>
      <c r="S510" s="965"/>
      <c r="T510" s="965"/>
      <c r="U510" s="965"/>
      <c r="V510" s="965"/>
      <c r="W510" s="965"/>
      <c r="X510" s="965"/>
      <c r="Y510" s="965"/>
      <c r="Z510" s="965"/>
    </row>
    <row r="511">
      <c r="A511" s="965"/>
      <c r="B511" s="965"/>
      <c r="C511" s="965"/>
      <c r="D511" s="965"/>
      <c r="E511" s="965"/>
      <c r="F511" s="965"/>
      <c r="G511" s="965"/>
      <c r="H511" s="965"/>
      <c r="I511" s="965"/>
      <c r="J511" s="965"/>
      <c r="K511" s="965"/>
      <c r="L511" s="965"/>
      <c r="M511" s="965"/>
      <c r="N511" s="965"/>
      <c r="O511" s="965"/>
      <c r="P511" s="965"/>
      <c r="Q511" s="965"/>
      <c r="R511" s="965"/>
      <c r="S511" s="965"/>
      <c r="T511" s="965"/>
      <c r="U511" s="965"/>
      <c r="V511" s="965"/>
      <c r="W511" s="965"/>
      <c r="X511" s="965"/>
      <c r="Y511" s="965"/>
      <c r="Z511" s="965"/>
    </row>
    <row r="512">
      <c r="A512" s="965"/>
      <c r="B512" s="965"/>
      <c r="C512" s="965"/>
      <c r="D512" s="965"/>
      <c r="E512" s="965"/>
      <c r="F512" s="965"/>
      <c r="G512" s="965"/>
      <c r="H512" s="965"/>
      <c r="I512" s="965"/>
      <c r="J512" s="965"/>
      <c r="K512" s="965"/>
      <c r="L512" s="965"/>
      <c r="M512" s="965"/>
      <c r="N512" s="965"/>
      <c r="O512" s="965"/>
      <c r="P512" s="965"/>
      <c r="Q512" s="965"/>
      <c r="R512" s="965"/>
      <c r="S512" s="965"/>
      <c r="T512" s="965"/>
      <c r="U512" s="965"/>
      <c r="V512" s="965"/>
      <c r="W512" s="965"/>
      <c r="X512" s="965"/>
      <c r="Y512" s="965"/>
      <c r="Z512" s="965"/>
    </row>
    <row r="513">
      <c r="A513" s="965"/>
      <c r="B513" s="965"/>
      <c r="C513" s="965"/>
      <c r="D513" s="965"/>
      <c r="E513" s="965"/>
      <c r="F513" s="965"/>
      <c r="G513" s="965"/>
      <c r="H513" s="965"/>
      <c r="I513" s="965"/>
      <c r="J513" s="965"/>
      <c r="K513" s="965"/>
      <c r="L513" s="965"/>
      <c r="M513" s="965"/>
      <c r="N513" s="965"/>
      <c r="O513" s="965"/>
      <c r="P513" s="965"/>
      <c r="Q513" s="965"/>
      <c r="R513" s="965"/>
      <c r="S513" s="965"/>
      <c r="T513" s="965"/>
      <c r="U513" s="965"/>
      <c r="V513" s="965"/>
      <c r="W513" s="965"/>
      <c r="X513" s="965"/>
      <c r="Y513" s="965"/>
      <c r="Z513" s="965"/>
    </row>
    <row r="514">
      <c r="A514" s="965"/>
      <c r="B514" s="965"/>
      <c r="C514" s="965"/>
      <c r="D514" s="965"/>
      <c r="E514" s="965"/>
      <c r="F514" s="965"/>
      <c r="G514" s="965"/>
      <c r="H514" s="965"/>
      <c r="I514" s="965"/>
      <c r="J514" s="965"/>
      <c r="K514" s="965"/>
      <c r="L514" s="965"/>
      <c r="M514" s="965"/>
      <c r="N514" s="965"/>
      <c r="O514" s="965"/>
      <c r="P514" s="965"/>
      <c r="Q514" s="965"/>
      <c r="R514" s="965"/>
      <c r="S514" s="965"/>
      <c r="T514" s="965"/>
      <c r="U514" s="965"/>
      <c r="V514" s="965"/>
      <c r="W514" s="965"/>
      <c r="X514" s="965"/>
      <c r="Y514" s="965"/>
      <c r="Z514" s="965"/>
    </row>
    <row r="515">
      <c r="A515" s="965"/>
      <c r="B515" s="965"/>
      <c r="C515" s="965"/>
      <c r="D515" s="965"/>
      <c r="E515" s="965"/>
      <c r="F515" s="965"/>
      <c r="G515" s="965"/>
      <c r="H515" s="965"/>
      <c r="I515" s="965"/>
      <c r="J515" s="965"/>
      <c r="K515" s="965"/>
      <c r="L515" s="965"/>
      <c r="M515" s="965"/>
      <c r="N515" s="965"/>
      <c r="O515" s="965"/>
      <c r="P515" s="965"/>
      <c r="Q515" s="965"/>
      <c r="R515" s="965"/>
      <c r="S515" s="965"/>
      <c r="T515" s="965"/>
      <c r="U515" s="965"/>
      <c r="V515" s="965"/>
      <c r="W515" s="965"/>
      <c r="X515" s="965"/>
      <c r="Y515" s="965"/>
      <c r="Z515" s="965"/>
    </row>
    <row r="516">
      <c r="A516" s="965"/>
      <c r="B516" s="965"/>
      <c r="C516" s="965"/>
      <c r="D516" s="965"/>
      <c r="E516" s="965"/>
      <c r="F516" s="965"/>
      <c r="G516" s="965"/>
      <c r="H516" s="965"/>
      <c r="I516" s="965"/>
      <c r="J516" s="965"/>
      <c r="K516" s="965"/>
      <c r="L516" s="965"/>
      <c r="M516" s="965"/>
      <c r="N516" s="965"/>
      <c r="O516" s="965"/>
      <c r="P516" s="965"/>
      <c r="Q516" s="965"/>
      <c r="R516" s="965"/>
      <c r="S516" s="965"/>
      <c r="T516" s="965"/>
      <c r="U516" s="965"/>
      <c r="V516" s="965"/>
      <c r="W516" s="965"/>
      <c r="X516" s="965"/>
      <c r="Y516" s="965"/>
      <c r="Z516" s="965"/>
    </row>
    <row r="517">
      <c r="A517" s="965"/>
      <c r="B517" s="965"/>
      <c r="C517" s="965"/>
      <c r="D517" s="965"/>
      <c r="E517" s="965"/>
      <c r="F517" s="965"/>
      <c r="G517" s="965"/>
      <c r="H517" s="965"/>
      <c r="I517" s="965"/>
      <c r="J517" s="965"/>
      <c r="K517" s="965"/>
      <c r="L517" s="965"/>
      <c r="M517" s="965"/>
      <c r="N517" s="965"/>
      <c r="O517" s="965"/>
      <c r="P517" s="965"/>
      <c r="Q517" s="965"/>
      <c r="R517" s="965"/>
      <c r="S517" s="965"/>
      <c r="T517" s="965"/>
      <c r="U517" s="965"/>
      <c r="V517" s="965"/>
      <c r="W517" s="965"/>
      <c r="X517" s="965"/>
      <c r="Y517" s="965"/>
      <c r="Z517" s="965"/>
    </row>
    <row r="518">
      <c r="A518" s="965"/>
      <c r="B518" s="965"/>
      <c r="C518" s="965"/>
      <c r="D518" s="965"/>
      <c r="E518" s="965"/>
      <c r="F518" s="965"/>
      <c r="G518" s="965"/>
      <c r="H518" s="965"/>
      <c r="I518" s="965"/>
      <c r="J518" s="965"/>
      <c r="K518" s="965"/>
      <c r="L518" s="965"/>
      <c r="M518" s="965"/>
      <c r="N518" s="965"/>
      <c r="O518" s="965"/>
      <c r="P518" s="965"/>
      <c r="Q518" s="965"/>
      <c r="R518" s="965"/>
      <c r="S518" s="965"/>
      <c r="T518" s="965"/>
      <c r="U518" s="965"/>
      <c r="V518" s="965"/>
      <c r="W518" s="965"/>
      <c r="X518" s="965"/>
      <c r="Y518" s="965"/>
      <c r="Z518" s="965"/>
    </row>
    <row r="519">
      <c r="A519" s="965"/>
      <c r="B519" s="965"/>
      <c r="C519" s="965"/>
      <c r="D519" s="965"/>
      <c r="E519" s="965"/>
      <c r="F519" s="965"/>
      <c r="G519" s="965"/>
      <c r="H519" s="965"/>
      <c r="I519" s="965"/>
      <c r="J519" s="965"/>
      <c r="K519" s="965"/>
      <c r="L519" s="965"/>
      <c r="M519" s="965"/>
      <c r="N519" s="965"/>
      <c r="O519" s="965"/>
      <c r="P519" s="965"/>
      <c r="Q519" s="965"/>
      <c r="R519" s="965"/>
      <c r="S519" s="965"/>
      <c r="T519" s="965"/>
      <c r="U519" s="965"/>
      <c r="V519" s="965"/>
      <c r="W519" s="965"/>
      <c r="X519" s="965"/>
      <c r="Y519" s="965"/>
      <c r="Z519" s="965"/>
    </row>
    <row r="520">
      <c r="A520" s="965"/>
      <c r="B520" s="965"/>
      <c r="C520" s="965"/>
      <c r="D520" s="965"/>
      <c r="E520" s="965"/>
      <c r="F520" s="965"/>
      <c r="G520" s="965"/>
      <c r="H520" s="965"/>
      <c r="I520" s="965"/>
      <c r="J520" s="965"/>
      <c r="K520" s="965"/>
      <c r="L520" s="965"/>
      <c r="M520" s="965"/>
      <c r="N520" s="965"/>
      <c r="O520" s="965"/>
      <c r="P520" s="965"/>
      <c r="Q520" s="965"/>
      <c r="R520" s="965"/>
      <c r="S520" s="965"/>
      <c r="T520" s="965"/>
      <c r="U520" s="965"/>
      <c r="V520" s="965"/>
      <c r="W520" s="965"/>
      <c r="X520" s="965"/>
      <c r="Y520" s="965"/>
      <c r="Z520" s="965"/>
    </row>
    <row r="521">
      <c r="A521" s="965"/>
      <c r="B521" s="965"/>
      <c r="C521" s="965"/>
      <c r="D521" s="965"/>
      <c r="E521" s="965"/>
      <c r="F521" s="965"/>
      <c r="G521" s="965"/>
      <c r="H521" s="965"/>
      <c r="I521" s="965"/>
      <c r="J521" s="965"/>
      <c r="K521" s="965"/>
      <c r="L521" s="965"/>
      <c r="M521" s="965"/>
      <c r="N521" s="965"/>
      <c r="O521" s="965"/>
      <c r="P521" s="965"/>
      <c r="Q521" s="965"/>
      <c r="R521" s="965"/>
      <c r="S521" s="965"/>
      <c r="T521" s="965"/>
      <c r="U521" s="965"/>
      <c r="V521" s="965"/>
      <c r="W521" s="965"/>
      <c r="X521" s="965"/>
      <c r="Y521" s="965"/>
      <c r="Z521" s="965"/>
    </row>
    <row r="522">
      <c r="A522" s="965"/>
      <c r="B522" s="965"/>
      <c r="C522" s="965"/>
      <c r="D522" s="965"/>
      <c r="E522" s="965"/>
      <c r="F522" s="965"/>
      <c r="G522" s="965"/>
      <c r="H522" s="965"/>
      <c r="I522" s="965"/>
      <c r="J522" s="965"/>
      <c r="K522" s="965"/>
      <c r="L522" s="965"/>
      <c r="M522" s="965"/>
      <c r="N522" s="965"/>
      <c r="O522" s="965"/>
      <c r="P522" s="965"/>
      <c r="Q522" s="965"/>
      <c r="R522" s="965"/>
      <c r="S522" s="965"/>
      <c r="T522" s="965"/>
      <c r="U522" s="965"/>
      <c r="V522" s="965"/>
      <c r="W522" s="965"/>
      <c r="X522" s="965"/>
      <c r="Y522" s="965"/>
      <c r="Z522" s="965"/>
    </row>
    <row r="523">
      <c r="A523" s="965"/>
      <c r="B523" s="965"/>
      <c r="C523" s="965"/>
      <c r="D523" s="965"/>
      <c r="E523" s="965"/>
      <c r="F523" s="965"/>
      <c r="G523" s="965"/>
      <c r="H523" s="965"/>
      <c r="I523" s="965"/>
      <c r="J523" s="965"/>
      <c r="K523" s="965"/>
      <c r="L523" s="965"/>
      <c r="M523" s="965"/>
      <c r="N523" s="965"/>
      <c r="O523" s="965"/>
      <c r="P523" s="965"/>
      <c r="Q523" s="965"/>
      <c r="R523" s="965"/>
      <c r="S523" s="965"/>
      <c r="T523" s="965"/>
      <c r="U523" s="965"/>
      <c r="V523" s="965"/>
      <c r="W523" s="965"/>
      <c r="X523" s="965"/>
      <c r="Y523" s="965"/>
      <c r="Z523" s="965"/>
    </row>
    <row r="524">
      <c r="A524" s="965"/>
      <c r="B524" s="965"/>
      <c r="C524" s="965"/>
      <c r="D524" s="965"/>
      <c r="E524" s="965"/>
      <c r="F524" s="965"/>
      <c r="G524" s="965"/>
      <c r="H524" s="965"/>
      <c r="I524" s="965"/>
      <c r="J524" s="965"/>
      <c r="K524" s="965"/>
      <c r="L524" s="965"/>
      <c r="M524" s="965"/>
      <c r="N524" s="965"/>
      <c r="O524" s="965"/>
      <c r="P524" s="965"/>
      <c r="Q524" s="965"/>
      <c r="R524" s="965"/>
      <c r="S524" s="965"/>
      <c r="T524" s="965"/>
      <c r="U524" s="965"/>
      <c r="V524" s="965"/>
      <c r="W524" s="965"/>
      <c r="X524" s="965"/>
      <c r="Y524" s="965"/>
      <c r="Z524" s="965"/>
    </row>
    <row r="525">
      <c r="A525" s="965"/>
      <c r="B525" s="965"/>
      <c r="C525" s="965"/>
      <c r="D525" s="965"/>
      <c r="E525" s="965"/>
      <c r="F525" s="965"/>
      <c r="G525" s="965"/>
      <c r="H525" s="965"/>
      <c r="I525" s="965"/>
      <c r="J525" s="965"/>
      <c r="K525" s="965"/>
      <c r="L525" s="965"/>
      <c r="M525" s="965"/>
      <c r="N525" s="965"/>
      <c r="O525" s="965"/>
      <c r="P525" s="965"/>
      <c r="Q525" s="965"/>
      <c r="R525" s="965"/>
      <c r="S525" s="965"/>
      <c r="T525" s="965"/>
      <c r="U525" s="965"/>
      <c r="V525" s="965"/>
      <c r="W525" s="965"/>
      <c r="X525" s="965"/>
      <c r="Y525" s="965"/>
      <c r="Z525" s="965"/>
    </row>
    <row r="526">
      <c r="A526" s="965"/>
      <c r="B526" s="965"/>
      <c r="C526" s="965"/>
      <c r="D526" s="965"/>
      <c r="E526" s="965"/>
      <c r="F526" s="965"/>
      <c r="G526" s="965"/>
      <c r="H526" s="965"/>
      <c r="I526" s="965"/>
      <c r="J526" s="965"/>
      <c r="K526" s="965"/>
      <c r="L526" s="965"/>
      <c r="M526" s="965"/>
      <c r="N526" s="965"/>
      <c r="O526" s="965"/>
      <c r="P526" s="965"/>
      <c r="Q526" s="965"/>
      <c r="R526" s="965"/>
      <c r="S526" s="965"/>
      <c r="T526" s="965"/>
      <c r="U526" s="965"/>
      <c r="V526" s="965"/>
      <c r="W526" s="965"/>
      <c r="X526" s="965"/>
      <c r="Y526" s="965"/>
      <c r="Z526" s="965"/>
    </row>
    <row r="527">
      <c r="A527" s="965"/>
      <c r="B527" s="965"/>
      <c r="C527" s="965"/>
      <c r="D527" s="965"/>
      <c r="E527" s="965"/>
      <c r="F527" s="965"/>
      <c r="G527" s="965"/>
      <c r="H527" s="965"/>
      <c r="I527" s="965"/>
      <c r="J527" s="965"/>
      <c r="K527" s="965"/>
      <c r="L527" s="965"/>
      <c r="M527" s="965"/>
      <c r="N527" s="965"/>
      <c r="O527" s="965"/>
      <c r="P527" s="965"/>
      <c r="Q527" s="965"/>
      <c r="R527" s="965"/>
      <c r="S527" s="965"/>
      <c r="T527" s="965"/>
      <c r="U527" s="965"/>
      <c r="V527" s="965"/>
      <c r="W527" s="965"/>
      <c r="X527" s="965"/>
      <c r="Y527" s="965"/>
      <c r="Z527" s="965"/>
    </row>
    <row r="528">
      <c r="A528" s="965"/>
      <c r="B528" s="965"/>
      <c r="C528" s="965"/>
      <c r="D528" s="965"/>
      <c r="E528" s="965"/>
      <c r="F528" s="965"/>
      <c r="G528" s="965"/>
      <c r="H528" s="965"/>
      <c r="I528" s="965"/>
      <c r="J528" s="965"/>
      <c r="K528" s="965"/>
      <c r="L528" s="965"/>
      <c r="M528" s="965"/>
      <c r="N528" s="965"/>
      <c r="O528" s="965"/>
      <c r="P528" s="965"/>
      <c r="Q528" s="965"/>
      <c r="R528" s="965"/>
      <c r="S528" s="965"/>
      <c r="T528" s="965"/>
      <c r="U528" s="965"/>
      <c r="V528" s="965"/>
      <c r="W528" s="965"/>
      <c r="X528" s="965"/>
      <c r="Y528" s="965"/>
      <c r="Z528" s="965"/>
    </row>
    <row r="529">
      <c r="A529" s="965"/>
      <c r="B529" s="965"/>
      <c r="C529" s="965"/>
      <c r="D529" s="965"/>
      <c r="E529" s="965"/>
      <c r="F529" s="965"/>
      <c r="G529" s="965"/>
      <c r="H529" s="965"/>
      <c r="I529" s="965"/>
      <c r="J529" s="965"/>
      <c r="K529" s="965"/>
      <c r="L529" s="965"/>
      <c r="M529" s="965"/>
      <c r="N529" s="965"/>
      <c r="O529" s="965"/>
      <c r="P529" s="965"/>
      <c r="Q529" s="965"/>
      <c r="R529" s="965"/>
      <c r="S529" s="965"/>
      <c r="T529" s="965"/>
      <c r="U529" s="965"/>
      <c r="V529" s="965"/>
      <c r="W529" s="965"/>
      <c r="X529" s="965"/>
      <c r="Y529" s="965"/>
      <c r="Z529" s="965"/>
    </row>
    <row r="530">
      <c r="A530" s="965"/>
      <c r="B530" s="965"/>
      <c r="C530" s="965"/>
      <c r="D530" s="965"/>
      <c r="E530" s="965"/>
      <c r="F530" s="965"/>
      <c r="G530" s="965"/>
      <c r="H530" s="965"/>
      <c r="I530" s="965"/>
      <c r="J530" s="965"/>
      <c r="K530" s="965"/>
      <c r="L530" s="965"/>
      <c r="M530" s="965"/>
      <c r="N530" s="965"/>
      <c r="O530" s="965"/>
      <c r="P530" s="965"/>
      <c r="Q530" s="965"/>
      <c r="R530" s="965"/>
      <c r="S530" s="965"/>
      <c r="T530" s="965"/>
      <c r="U530" s="965"/>
      <c r="V530" s="965"/>
      <c r="W530" s="965"/>
      <c r="X530" s="965"/>
      <c r="Y530" s="965"/>
      <c r="Z530" s="965"/>
    </row>
    <row r="531">
      <c r="A531" s="965"/>
      <c r="B531" s="965"/>
      <c r="C531" s="965"/>
      <c r="D531" s="965"/>
      <c r="E531" s="965"/>
      <c r="F531" s="965"/>
      <c r="G531" s="965"/>
      <c r="H531" s="965"/>
      <c r="I531" s="965"/>
      <c r="J531" s="965"/>
      <c r="K531" s="965"/>
      <c r="L531" s="965"/>
      <c r="M531" s="965"/>
      <c r="N531" s="965"/>
      <c r="O531" s="965"/>
      <c r="P531" s="965"/>
      <c r="Q531" s="965"/>
      <c r="R531" s="965"/>
      <c r="S531" s="965"/>
      <c r="T531" s="965"/>
      <c r="U531" s="965"/>
      <c r="V531" s="965"/>
      <c r="W531" s="965"/>
      <c r="X531" s="965"/>
      <c r="Y531" s="965"/>
      <c r="Z531" s="965"/>
    </row>
    <row r="532">
      <c r="A532" s="965"/>
      <c r="B532" s="965"/>
      <c r="C532" s="965"/>
      <c r="D532" s="965"/>
      <c r="E532" s="965"/>
      <c r="F532" s="965"/>
      <c r="G532" s="965"/>
      <c r="H532" s="965"/>
      <c r="I532" s="965"/>
      <c r="J532" s="965"/>
      <c r="K532" s="965"/>
      <c r="L532" s="965"/>
      <c r="M532" s="965"/>
      <c r="N532" s="965"/>
      <c r="O532" s="965"/>
      <c r="P532" s="965"/>
      <c r="Q532" s="965"/>
      <c r="R532" s="965"/>
      <c r="S532" s="965"/>
      <c r="T532" s="965"/>
      <c r="U532" s="965"/>
      <c r="V532" s="965"/>
      <c r="W532" s="965"/>
      <c r="X532" s="965"/>
      <c r="Y532" s="965"/>
      <c r="Z532" s="965"/>
    </row>
    <row r="533">
      <c r="A533" s="965"/>
      <c r="B533" s="965"/>
      <c r="C533" s="965"/>
      <c r="D533" s="965"/>
      <c r="E533" s="965"/>
      <c r="F533" s="965"/>
      <c r="G533" s="965"/>
      <c r="H533" s="965"/>
      <c r="I533" s="965"/>
      <c r="J533" s="965"/>
      <c r="K533" s="965"/>
      <c r="L533" s="965"/>
      <c r="M533" s="965"/>
      <c r="N533" s="965"/>
      <c r="O533" s="965"/>
      <c r="P533" s="965"/>
      <c r="Q533" s="965"/>
      <c r="R533" s="965"/>
      <c r="S533" s="965"/>
      <c r="T533" s="965"/>
      <c r="U533" s="965"/>
      <c r="V533" s="965"/>
      <c r="W533" s="965"/>
      <c r="X533" s="965"/>
      <c r="Y533" s="965"/>
      <c r="Z533" s="965"/>
    </row>
    <row r="534">
      <c r="A534" s="965"/>
      <c r="B534" s="965"/>
      <c r="C534" s="965"/>
      <c r="D534" s="965"/>
      <c r="E534" s="965"/>
      <c r="F534" s="965"/>
      <c r="G534" s="965"/>
      <c r="H534" s="965"/>
      <c r="I534" s="965"/>
      <c r="J534" s="965"/>
      <c r="K534" s="965"/>
      <c r="L534" s="965"/>
      <c r="M534" s="965"/>
      <c r="N534" s="965"/>
      <c r="O534" s="965"/>
      <c r="P534" s="965"/>
      <c r="Q534" s="965"/>
      <c r="R534" s="965"/>
      <c r="S534" s="965"/>
      <c r="T534" s="965"/>
      <c r="U534" s="965"/>
      <c r="V534" s="965"/>
      <c r="W534" s="965"/>
      <c r="X534" s="965"/>
      <c r="Y534" s="965"/>
      <c r="Z534" s="965"/>
    </row>
    <row r="535">
      <c r="A535" s="965"/>
      <c r="B535" s="965"/>
      <c r="C535" s="965"/>
      <c r="D535" s="965"/>
      <c r="E535" s="965"/>
      <c r="F535" s="965"/>
      <c r="G535" s="965"/>
      <c r="H535" s="965"/>
      <c r="I535" s="965"/>
      <c r="J535" s="965"/>
      <c r="K535" s="965"/>
      <c r="L535" s="965"/>
      <c r="M535" s="965"/>
      <c r="N535" s="965"/>
      <c r="O535" s="965"/>
      <c r="P535" s="965"/>
      <c r="Q535" s="965"/>
      <c r="R535" s="965"/>
      <c r="S535" s="965"/>
      <c r="T535" s="965"/>
      <c r="U535" s="965"/>
      <c r="V535" s="965"/>
      <c r="W535" s="965"/>
      <c r="X535" s="965"/>
      <c r="Y535" s="965"/>
      <c r="Z535" s="965"/>
    </row>
    <row r="536">
      <c r="A536" s="965"/>
      <c r="B536" s="965"/>
      <c r="C536" s="965"/>
      <c r="D536" s="965"/>
      <c r="E536" s="965"/>
      <c r="F536" s="965"/>
      <c r="G536" s="965"/>
      <c r="H536" s="965"/>
      <c r="I536" s="965"/>
      <c r="J536" s="965"/>
      <c r="K536" s="965"/>
      <c r="L536" s="965"/>
      <c r="M536" s="965"/>
      <c r="N536" s="965"/>
      <c r="O536" s="965"/>
      <c r="P536" s="965"/>
      <c r="Q536" s="965"/>
      <c r="R536" s="965"/>
      <c r="S536" s="965"/>
      <c r="T536" s="965"/>
      <c r="U536" s="965"/>
      <c r="V536" s="965"/>
      <c r="W536" s="965"/>
      <c r="X536" s="965"/>
      <c r="Y536" s="965"/>
      <c r="Z536" s="965"/>
    </row>
    <row r="537">
      <c r="A537" s="965"/>
      <c r="B537" s="965"/>
      <c r="C537" s="965"/>
      <c r="D537" s="965"/>
      <c r="E537" s="965"/>
      <c r="F537" s="965"/>
      <c r="G537" s="965"/>
      <c r="H537" s="965"/>
      <c r="I537" s="965"/>
      <c r="J537" s="965"/>
      <c r="K537" s="965"/>
      <c r="L537" s="965"/>
      <c r="M537" s="965"/>
      <c r="N537" s="965"/>
      <c r="O537" s="965"/>
      <c r="P537" s="965"/>
      <c r="Q537" s="965"/>
      <c r="R537" s="965"/>
      <c r="S537" s="965"/>
      <c r="T537" s="965"/>
      <c r="U537" s="965"/>
      <c r="V537" s="965"/>
      <c r="W537" s="965"/>
      <c r="X537" s="965"/>
      <c r="Y537" s="965"/>
      <c r="Z537" s="965"/>
    </row>
    <row r="538">
      <c r="A538" s="965"/>
      <c r="B538" s="965"/>
      <c r="C538" s="965"/>
      <c r="D538" s="965"/>
      <c r="E538" s="965"/>
      <c r="F538" s="965"/>
      <c r="G538" s="965"/>
      <c r="H538" s="965"/>
      <c r="I538" s="965"/>
      <c r="J538" s="965"/>
      <c r="K538" s="965"/>
      <c r="L538" s="965"/>
      <c r="M538" s="965"/>
      <c r="N538" s="965"/>
      <c r="O538" s="965"/>
      <c r="P538" s="965"/>
      <c r="Q538" s="965"/>
      <c r="R538" s="965"/>
      <c r="S538" s="965"/>
      <c r="T538" s="965"/>
      <c r="U538" s="965"/>
      <c r="V538" s="965"/>
      <c r="W538" s="965"/>
      <c r="X538" s="965"/>
      <c r="Y538" s="965"/>
      <c r="Z538" s="965"/>
    </row>
    <row r="539">
      <c r="A539" s="965"/>
      <c r="B539" s="965"/>
      <c r="C539" s="965"/>
      <c r="D539" s="965"/>
      <c r="E539" s="965"/>
      <c r="F539" s="965"/>
      <c r="G539" s="965"/>
      <c r="H539" s="965"/>
      <c r="I539" s="965"/>
      <c r="J539" s="965"/>
      <c r="K539" s="965"/>
      <c r="L539" s="965"/>
      <c r="M539" s="965"/>
      <c r="N539" s="965"/>
      <c r="O539" s="965"/>
      <c r="P539" s="965"/>
      <c r="Q539" s="965"/>
      <c r="R539" s="965"/>
      <c r="S539" s="965"/>
      <c r="T539" s="965"/>
      <c r="U539" s="965"/>
      <c r="V539" s="965"/>
      <c r="W539" s="965"/>
      <c r="X539" s="965"/>
      <c r="Y539" s="965"/>
      <c r="Z539" s="965"/>
    </row>
    <row r="540">
      <c r="A540" s="965"/>
      <c r="B540" s="965"/>
      <c r="C540" s="965"/>
      <c r="D540" s="965"/>
      <c r="E540" s="965"/>
      <c r="F540" s="965"/>
      <c r="G540" s="965"/>
      <c r="H540" s="965"/>
      <c r="I540" s="965"/>
      <c r="J540" s="965"/>
      <c r="K540" s="965"/>
      <c r="L540" s="965"/>
      <c r="M540" s="965"/>
      <c r="N540" s="965"/>
      <c r="O540" s="965"/>
      <c r="P540" s="965"/>
      <c r="Q540" s="965"/>
      <c r="R540" s="965"/>
      <c r="S540" s="965"/>
      <c r="T540" s="965"/>
      <c r="U540" s="965"/>
      <c r="V540" s="965"/>
      <c r="W540" s="965"/>
      <c r="X540" s="965"/>
      <c r="Y540" s="965"/>
      <c r="Z540" s="965"/>
    </row>
    <row r="541">
      <c r="A541" s="965"/>
      <c r="B541" s="965"/>
      <c r="C541" s="965"/>
      <c r="D541" s="965"/>
      <c r="E541" s="965"/>
      <c r="F541" s="965"/>
      <c r="G541" s="965"/>
      <c r="H541" s="965"/>
      <c r="I541" s="965"/>
      <c r="J541" s="965"/>
      <c r="K541" s="965"/>
      <c r="L541" s="965"/>
      <c r="M541" s="965"/>
      <c r="N541" s="965"/>
      <c r="O541" s="965"/>
      <c r="P541" s="965"/>
      <c r="Q541" s="965"/>
      <c r="R541" s="965"/>
      <c r="S541" s="965"/>
      <c r="T541" s="965"/>
      <c r="U541" s="965"/>
      <c r="V541" s="965"/>
      <c r="W541" s="965"/>
      <c r="X541" s="965"/>
      <c r="Y541" s="965"/>
      <c r="Z541" s="965"/>
    </row>
    <row r="542">
      <c r="A542" s="965"/>
      <c r="B542" s="965"/>
      <c r="C542" s="965"/>
      <c r="D542" s="965"/>
      <c r="E542" s="965"/>
      <c r="F542" s="965"/>
      <c r="G542" s="965"/>
      <c r="H542" s="965"/>
      <c r="I542" s="965"/>
      <c r="J542" s="965"/>
      <c r="K542" s="965"/>
      <c r="L542" s="965"/>
      <c r="M542" s="965"/>
      <c r="N542" s="965"/>
      <c r="O542" s="965"/>
      <c r="P542" s="965"/>
      <c r="Q542" s="965"/>
      <c r="R542" s="965"/>
      <c r="S542" s="965"/>
      <c r="T542" s="965"/>
      <c r="U542" s="965"/>
      <c r="V542" s="965"/>
      <c r="W542" s="965"/>
      <c r="X542" s="965"/>
      <c r="Y542" s="965"/>
      <c r="Z542" s="965"/>
    </row>
    <row r="543">
      <c r="A543" s="965"/>
      <c r="B543" s="965"/>
      <c r="C543" s="965"/>
      <c r="D543" s="965"/>
      <c r="E543" s="965"/>
      <c r="F543" s="965"/>
      <c r="G543" s="965"/>
      <c r="H543" s="965"/>
      <c r="I543" s="965"/>
      <c r="J543" s="965"/>
      <c r="K543" s="965"/>
      <c r="L543" s="965"/>
      <c r="M543" s="965"/>
      <c r="N543" s="965"/>
      <c r="O543" s="965"/>
      <c r="P543" s="965"/>
      <c r="Q543" s="965"/>
      <c r="R543" s="965"/>
      <c r="S543" s="965"/>
      <c r="T543" s="965"/>
      <c r="U543" s="965"/>
      <c r="V543" s="965"/>
      <c r="W543" s="965"/>
      <c r="X543" s="965"/>
      <c r="Y543" s="965"/>
      <c r="Z543" s="965"/>
    </row>
    <row r="544">
      <c r="A544" s="965"/>
      <c r="B544" s="965"/>
      <c r="C544" s="965"/>
      <c r="D544" s="965"/>
      <c r="E544" s="965"/>
      <c r="F544" s="965"/>
      <c r="G544" s="965"/>
      <c r="H544" s="965"/>
      <c r="I544" s="965"/>
      <c r="J544" s="965"/>
      <c r="K544" s="965"/>
      <c r="L544" s="965"/>
      <c r="M544" s="965"/>
      <c r="N544" s="965"/>
      <c r="O544" s="965"/>
      <c r="P544" s="965"/>
      <c r="Q544" s="965"/>
      <c r="R544" s="965"/>
      <c r="S544" s="965"/>
      <c r="T544" s="965"/>
      <c r="U544" s="965"/>
      <c r="V544" s="965"/>
      <c r="W544" s="965"/>
      <c r="X544" s="965"/>
      <c r="Y544" s="965"/>
      <c r="Z544" s="965"/>
    </row>
    <row r="545">
      <c r="A545" s="965"/>
      <c r="B545" s="965"/>
      <c r="C545" s="965"/>
      <c r="D545" s="965"/>
      <c r="E545" s="965"/>
      <c r="F545" s="965"/>
      <c r="G545" s="965"/>
      <c r="H545" s="965"/>
      <c r="I545" s="965"/>
      <c r="J545" s="965"/>
      <c r="K545" s="965"/>
      <c r="L545" s="965"/>
      <c r="M545" s="965"/>
      <c r="N545" s="965"/>
      <c r="O545" s="965"/>
      <c r="P545" s="965"/>
      <c r="Q545" s="965"/>
      <c r="R545" s="965"/>
      <c r="S545" s="965"/>
      <c r="T545" s="965"/>
      <c r="U545" s="965"/>
      <c r="V545" s="965"/>
      <c r="W545" s="965"/>
      <c r="X545" s="965"/>
      <c r="Y545" s="965"/>
      <c r="Z545" s="965"/>
    </row>
    <row r="546">
      <c r="A546" s="965"/>
      <c r="B546" s="965"/>
      <c r="C546" s="965"/>
      <c r="D546" s="965"/>
      <c r="E546" s="965"/>
      <c r="F546" s="965"/>
      <c r="G546" s="965"/>
      <c r="H546" s="965"/>
      <c r="I546" s="965"/>
      <c r="J546" s="965"/>
      <c r="K546" s="965"/>
      <c r="L546" s="965"/>
      <c r="M546" s="965"/>
      <c r="N546" s="965"/>
      <c r="O546" s="965"/>
      <c r="P546" s="965"/>
      <c r="Q546" s="965"/>
      <c r="R546" s="965"/>
      <c r="S546" s="965"/>
      <c r="T546" s="965"/>
      <c r="U546" s="965"/>
      <c r="V546" s="965"/>
      <c r="W546" s="965"/>
      <c r="X546" s="965"/>
      <c r="Y546" s="965"/>
      <c r="Z546" s="965"/>
    </row>
    <row r="547">
      <c r="A547" s="965"/>
      <c r="B547" s="965"/>
      <c r="C547" s="965"/>
      <c r="D547" s="965"/>
      <c r="E547" s="965"/>
      <c r="F547" s="965"/>
      <c r="G547" s="965"/>
      <c r="H547" s="965"/>
      <c r="I547" s="965"/>
      <c r="J547" s="965"/>
      <c r="K547" s="965"/>
      <c r="L547" s="965"/>
      <c r="M547" s="965"/>
      <c r="N547" s="965"/>
      <c r="O547" s="965"/>
      <c r="P547" s="965"/>
      <c r="Q547" s="965"/>
      <c r="R547" s="965"/>
      <c r="S547" s="965"/>
      <c r="T547" s="965"/>
      <c r="U547" s="965"/>
      <c r="V547" s="965"/>
      <c r="W547" s="965"/>
      <c r="X547" s="965"/>
      <c r="Y547" s="965"/>
      <c r="Z547" s="965"/>
    </row>
    <row r="548">
      <c r="A548" s="965"/>
      <c r="B548" s="965"/>
      <c r="C548" s="965"/>
      <c r="D548" s="965"/>
      <c r="E548" s="965"/>
      <c r="F548" s="965"/>
      <c r="G548" s="965"/>
      <c r="H548" s="965"/>
      <c r="I548" s="965"/>
      <c r="J548" s="965"/>
      <c r="K548" s="965"/>
      <c r="L548" s="965"/>
      <c r="M548" s="965"/>
      <c r="N548" s="965"/>
      <c r="O548" s="965"/>
      <c r="P548" s="965"/>
      <c r="Q548" s="965"/>
      <c r="R548" s="965"/>
      <c r="S548" s="965"/>
      <c r="T548" s="965"/>
      <c r="U548" s="965"/>
      <c r="V548" s="965"/>
      <c r="W548" s="965"/>
      <c r="X548" s="965"/>
      <c r="Y548" s="965"/>
      <c r="Z548" s="965"/>
    </row>
    <row r="549">
      <c r="A549" s="965"/>
      <c r="B549" s="965"/>
      <c r="C549" s="965"/>
      <c r="D549" s="965"/>
      <c r="E549" s="965"/>
      <c r="F549" s="965"/>
      <c r="G549" s="965"/>
      <c r="H549" s="965"/>
      <c r="I549" s="965"/>
      <c r="J549" s="965"/>
      <c r="K549" s="965"/>
      <c r="L549" s="965"/>
      <c r="M549" s="965"/>
      <c r="N549" s="965"/>
      <c r="O549" s="965"/>
      <c r="P549" s="965"/>
      <c r="Q549" s="965"/>
      <c r="R549" s="965"/>
      <c r="S549" s="965"/>
      <c r="T549" s="965"/>
      <c r="U549" s="965"/>
      <c r="V549" s="965"/>
      <c r="W549" s="965"/>
      <c r="X549" s="965"/>
      <c r="Y549" s="965"/>
      <c r="Z549" s="965"/>
    </row>
    <row r="550">
      <c r="A550" s="965"/>
      <c r="B550" s="965"/>
      <c r="C550" s="965"/>
      <c r="D550" s="965"/>
      <c r="E550" s="965"/>
      <c r="F550" s="965"/>
      <c r="G550" s="965"/>
      <c r="H550" s="965"/>
      <c r="I550" s="965"/>
      <c r="J550" s="965"/>
      <c r="K550" s="965"/>
      <c r="L550" s="965"/>
      <c r="M550" s="965"/>
      <c r="N550" s="965"/>
      <c r="O550" s="965"/>
      <c r="P550" s="965"/>
      <c r="Q550" s="965"/>
      <c r="R550" s="965"/>
      <c r="S550" s="965"/>
      <c r="T550" s="965"/>
      <c r="U550" s="965"/>
      <c r="V550" s="965"/>
      <c r="W550" s="965"/>
      <c r="X550" s="965"/>
      <c r="Y550" s="965"/>
      <c r="Z550" s="965"/>
    </row>
    <row r="551">
      <c r="A551" s="965"/>
      <c r="B551" s="965"/>
      <c r="C551" s="965"/>
      <c r="D551" s="965"/>
      <c r="E551" s="965"/>
      <c r="F551" s="965"/>
      <c r="G551" s="965"/>
      <c r="H551" s="965"/>
      <c r="I551" s="965"/>
      <c r="J551" s="965"/>
      <c r="K551" s="965"/>
      <c r="L551" s="965"/>
      <c r="M551" s="965"/>
      <c r="N551" s="965"/>
      <c r="O551" s="965"/>
      <c r="P551" s="965"/>
      <c r="Q551" s="965"/>
      <c r="R551" s="965"/>
      <c r="S551" s="965"/>
      <c r="T551" s="965"/>
      <c r="U551" s="965"/>
      <c r="V551" s="965"/>
      <c r="W551" s="965"/>
      <c r="X551" s="965"/>
      <c r="Y551" s="965"/>
      <c r="Z551" s="965"/>
    </row>
    <row r="552">
      <c r="A552" s="965"/>
      <c r="B552" s="965"/>
      <c r="C552" s="965"/>
      <c r="D552" s="965"/>
      <c r="E552" s="965"/>
      <c r="F552" s="965"/>
      <c r="G552" s="965"/>
      <c r="H552" s="965"/>
      <c r="I552" s="965"/>
      <c r="J552" s="965"/>
      <c r="K552" s="965"/>
      <c r="L552" s="965"/>
      <c r="M552" s="965"/>
      <c r="N552" s="965"/>
      <c r="O552" s="965"/>
      <c r="P552" s="965"/>
      <c r="Q552" s="965"/>
      <c r="R552" s="965"/>
      <c r="S552" s="965"/>
      <c r="T552" s="965"/>
      <c r="U552" s="965"/>
      <c r="V552" s="965"/>
      <c r="W552" s="965"/>
      <c r="X552" s="965"/>
      <c r="Y552" s="965"/>
      <c r="Z552" s="965"/>
    </row>
    <row r="553">
      <c r="A553" s="965"/>
      <c r="B553" s="965"/>
      <c r="C553" s="965"/>
      <c r="D553" s="965"/>
      <c r="E553" s="965"/>
      <c r="F553" s="965"/>
      <c r="G553" s="965"/>
      <c r="H553" s="965"/>
      <c r="I553" s="965"/>
      <c r="J553" s="965"/>
      <c r="K553" s="965"/>
      <c r="L553" s="965"/>
      <c r="M553" s="965"/>
      <c r="N553" s="965"/>
      <c r="O553" s="965"/>
      <c r="P553" s="965"/>
      <c r="Q553" s="965"/>
      <c r="R553" s="965"/>
      <c r="S553" s="965"/>
      <c r="T553" s="965"/>
      <c r="U553" s="965"/>
      <c r="V553" s="965"/>
      <c r="W553" s="965"/>
      <c r="X553" s="965"/>
      <c r="Y553" s="965"/>
      <c r="Z553" s="965"/>
    </row>
    <row r="554">
      <c r="A554" s="965"/>
      <c r="B554" s="965"/>
      <c r="C554" s="965"/>
      <c r="D554" s="965"/>
      <c r="E554" s="965"/>
      <c r="F554" s="965"/>
      <c r="G554" s="965"/>
      <c r="H554" s="965"/>
      <c r="I554" s="965"/>
      <c r="J554" s="965"/>
      <c r="K554" s="965"/>
      <c r="L554" s="965"/>
      <c r="M554" s="965"/>
      <c r="N554" s="965"/>
      <c r="O554" s="965"/>
      <c r="P554" s="965"/>
      <c r="Q554" s="965"/>
      <c r="R554" s="965"/>
      <c r="S554" s="965"/>
      <c r="T554" s="965"/>
      <c r="U554" s="965"/>
      <c r="V554" s="965"/>
      <c r="W554" s="965"/>
      <c r="X554" s="965"/>
      <c r="Y554" s="965"/>
      <c r="Z554" s="965"/>
    </row>
    <row r="555">
      <c r="A555" s="965"/>
      <c r="B555" s="965"/>
      <c r="C555" s="965"/>
      <c r="D555" s="965"/>
      <c r="E555" s="965"/>
      <c r="F555" s="965"/>
      <c r="G555" s="965"/>
      <c r="H555" s="965"/>
      <c r="I555" s="965"/>
      <c r="J555" s="965"/>
      <c r="K555" s="965"/>
      <c r="L555" s="965"/>
      <c r="M555" s="965"/>
      <c r="N555" s="965"/>
      <c r="O555" s="965"/>
      <c r="P555" s="965"/>
      <c r="Q555" s="965"/>
      <c r="R555" s="965"/>
      <c r="S555" s="965"/>
      <c r="T555" s="965"/>
      <c r="U555" s="965"/>
      <c r="V555" s="965"/>
      <c r="W555" s="965"/>
      <c r="X555" s="965"/>
      <c r="Y555" s="965"/>
      <c r="Z555" s="965"/>
    </row>
    <row r="556">
      <c r="A556" s="965"/>
      <c r="B556" s="965"/>
      <c r="C556" s="965"/>
      <c r="D556" s="965"/>
      <c r="E556" s="965"/>
      <c r="F556" s="965"/>
      <c r="G556" s="965"/>
      <c r="H556" s="965"/>
      <c r="I556" s="965"/>
      <c r="J556" s="965"/>
      <c r="K556" s="965"/>
      <c r="L556" s="965"/>
      <c r="M556" s="965"/>
      <c r="N556" s="965"/>
      <c r="O556" s="965"/>
      <c r="P556" s="965"/>
      <c r="Q556" s="965"/>
      <c r="R556" s="965"/>
      <c r="S556" s="965"/>
      <c r="T556" s="965"/>
      <c r="U556" s="965"/>
      <c r="V556" s="965"/>
      <c r="W556" s="965"/>
      <c r="X556" s="965"/>
      <c r="Y556" s="965"/>
      <c r="Z556" s="965"/>
    </row>
    <row r="557">
      <c r="A557" s="965"/>
      <c r="B557" s="965"/>
      <c r="C557" s="965"/>
      <c r="D557" s="965"/>
      <c r="E557" s="965"/>
      <c r="F557" s="965"/>
      <c r="G557" s="965"/>
      <c r="H557" s="965"/>
      <c r="I557" s="965"/>
      <c r="J557" s="965"/>
      <c r="K557" s="965"/>
      <c r="L557" s="965"/>
      <c r="M557" s="965"/>
      <c r="N557" s="965"/>
      <c r="O557" s="965"/>
      <c r="P557" s="965"/>
      <c r="Q557" s="965"/>
      <c r="R557" s="965"/>
      <c r="S557" s="965"/>
      <c r="T557" s="965"/>
      <c r="U557" s="965"/>
      <c r="V557" s="965"/>
      <c r="W557" s="965"/>
      <c r="X557" s="965"/>
      <c r="Y557" s="965"/>
      <c r="Z557" s="965"/>
    </row>
    <row r="558">
      <c r="A558" s="965"/>
      <c r="B558" s="965"/>
      <c r="C558" s="965"/>
      <c r="D558" s="965"/>
      <c r="E558" s="965"/>
      <c r="F558" s="965"/>
      <c r="G558" s="965"/>
      <c r="H558" s="965"/>
      <c r="I558" s="965"/>
      <c r="J558" s="965"/>
      <c r="K558" s="965"/>
      <c r="L558" s="965"/>
      <c r="M558" s="965"/>
      <c r="N558" s="965"/>
      <c r="O558" s="965"/>
      <c r="P558" s="965"/>
      <c r="Q558" s="965"/>
      <c r="R558" s="965"/>
      <c r="S558" s="965"/>
      <c r="T558" s="965"/>
      <c r="U558" s="965"/>
      <c r="V558" s="965"/>
      <c r="W558" s="965"/>
      <c r="X558" s="965"/>
      <c r="Y558" s="965"/>
      <c r="Z558" s="965"/>
    </row>
    <row r="559">
      <c r="A559" s="965"/>
      <c r="B559" s="965"/>
      <c r="C559" s="965"/>
      <c r="D559" s="965"/>
      <c r="E559" s="965"/>
      <c r="F559" s="965"/>
      <c r="G559" s="965"/>
      <c r="H559" s="965"/>
      <c r="I559" s="965"/>
      <c r="J559" s="965"/>
      <c r="K559" s="965"/>
      <c r="L559" s="965"/>
      <c r="M559" s="965"/>
      <c r="N559" s="965"/>
      <c r="O559" s="965"/>
      <c r="P559" s="965"/>
      <c r="Q559" s="965"/>
      <c r="R559" s="965"/>
      <c r="S559" s="965"/>
      <c r="T559" s="965"/>
      <c r="U559" s="965"/>
      <c r="V559" s="965"/>
      <c r="W559" s="965"/>
      <c r="X559" s="965"/>
      <c r="Y559" s="965"/>
      <c r="Z559" s="965"/>
    </row>
    <row r="560">
      <c r="A560" s="965"/>
      <c r="B560" s="965"/>
      <c r="C560" s="965"/>
      <c r="D560" s="965"/>
      <c r="E560" s="965"/>
      <c r="F560" s="965"/>
      <c r="G560" s="965"/>
      <c r="H560" s="965"/>
      <c r="I560" s="965"/>
      <c r="J560" s="965"/>
      <c r="K560" s="965"/>
      <c r="L560" s="965"/>
      <c r="M560" s="965"/>
      <c r="N560" s="965"/>
      <c r="O560" s="965"/>
      <c r="P560" s="965"/>
      <c r="Q560" s="965"/>
      <c r="R560" s="965"/>
      <c r="S560" s="965"/>
      <c r="T560" s="965"/>
      <c r="U560" s="965"/>
      <c r="V560" s="965"/>
      <c r="W560" s="965"/>
      <c r="X560" s="965"/>
      <c r="Y560" s="965"/>
      <c r="Z560" s="965"/>
    </row>
    <row r="561">
      <c r="A561" s="965"/>
      <c r="B561" s="965"/>
      <c r="C561" s="965"/>
      <c r="D561" s="965"/>
      <c r="E561" s="965"/>
      <c r="F561" s="965"/>
      <c r="G561" s="965"/>
      <c r="H561" s="965"/>
      <c r="I561" s="965"/>
      <c r="J561" s="965"/>
      <c r="K561" s="965"/>
      <c r="L561" s="965"/>
      <c r="M561" s="965"/>
      <c r="N561" s="965"/>
      <c r="O561" s="965"/>
      <c r="P561" s="965"/>
      <c r="Q561" s="965"/>
      <c r="R561" s="965"/>
      <c r="S561" s="965"/>
      <c r="T561" s="965"/>
      <c r="U561" s="965"/>
      <c r="V561" s="965"/>
      <c r="W561" s="965"/>
      <c r="X561" s="965"/>
      <c r="Y561" s="965"/>
      <c r="Z561" s="965"/>
    </row>
    <row r="562">
      <c r="A562" s="965"/>
      <c r="B562" s="965"/>
      <c r="C562" s="965"/>
      <c r="D562" s="965"/>
      <c r="E562" s="965"/>
      <c r="F562" s="965"/>
      <c r="G562" s="965"/>
      <c r="H562" s="965"/>
      <c r="I562" s="965"/>
      <c r="J562" s="965"/>
      <c r="K562" s="965"/>
      <c r="L562" s="965"/>
      <c r="M562" s="965"/>
      <c r="N562" s="965"/>
      <c r="O562" s="965"/>
      <c r="P562" s="965"/>
      <c r="Q562" s="965"/>
      <c r="R562" s="965"/>
      <c r="S562" s="965"/>
      <c r="T562" s="965"/>
      <c r="U562" s="965"/>
      <c r="V562" s="965"/>
      <c r="W562" s="965"/>
      <c r="X562" s="965"/>
      <c r="Y562" s="965"/>
      <c r="Z562" s="965"/>
    </row>
    <row r="563">
      <c r="A563" s="965"/>
      <c r="B563" s="965"/>
      <c r="C563" s="965"/>
      <c r="D563" s="965"/>
      <c r="E563" s="965"/>
      <c r="F563" s="965"/>
      <c r="G563" s="965"/>
      <c r="H563" s="965"/>
      <c r="I563" s="965"/>
      <c r="J563" s="965"/>
      <c r="K563" s="965"/>
      <c r="L563" s="965"/>
      <c r="M563" s="965"/>
      <c r="N563" s="965"/>
      <c r="O563" s="965"/>
      <c r="P563" s="965"/>
      <c r="Q563" s="965"/>
      <c r="R563" s="965"/>
      <c r="S563" s="965"/>
      <c r="T563" s="965"/>
      <c r="U563" s="965"/>
      <c r="V563" s="965"/>
      <c r="W563" s="965"/>
      <c r="X563" s="965"/>
      <c r="Y563" s="965"/>
      <c r="Z563" s="965"/>
    </row>
    <row r="564">
      <c r="A564" s="965"/>
      <c r="B564" s="965"/>
      <c r="C564" s="965"/>
      <c r="D564" s="965"/>
      <c r="E564" s="965"/>
      <c r="F564" s="965"/>
      <c r="G564" s="965"/>
      <c r="H564" s="965"/>
      <c r="I564" s="965"/>
      <c r="J564" s="965"/>
      <c r="K564" s="965"/>
      <c r="L564" s="965"/>
      <c r="M564" s="965"/>
      <c r="N564" s="965"/>
      <c r="O564" s="965"/>
      <c r="P564" s="965"/>
      <c r="Q564" s="965"/>
      <c r="R564" s="965"/>
      <c r="S564" s="965"/>
      <c r="T564" s="965"/>
      <c r="U564" s="965"/>
      <c r="V564" s="965"/>
      <c r="W564" s="965"/>
      <c r="X564" s="965"/>
      <c r="Y564" s="965"/>
      <c r="Z564" s="965"/>
    </row>
    <row r="565">
      <c r="A565" s="965"/>
      <c r="B565" s="965"/>
      <c r="C565" s="965"/>
      <c r="D565" s="965"/>
      <c r="E565" s="965"/>
      <c r="F565" s="965"/>
      <c r="G565" s="965"/>
      <c r="H565" s="965"/>
      <c r="I565" s="965"/>
      <c r="J565" s="965"/>
      <c r="K565" s="965"/>
      <c r="L565" s="965"/>
      <c r="M565" s="965"/>
      <c r="N565" s="965"/>
      <c r="O565" s="965"/>
      <c r="P565" s="965"/>
      <c r="Q565" s="965"/>
      <c r="R565" s="965"/>
      <c r="S565" s="965"/>
      <c r="T565" s="965"/>
      <c r="U565" s="965"/>
      <c r="V565" s="965"/>
      <c r="W565" s="965"/>
      <c r="X565" s="965"/>
      <c r="Y565" s="965"/>
      <c r="Z565" s="965"/>
    </row>
    <row r="566">
      <c r="A566" s="965"/>
      <c r="B566" s="965"/>
      <c r="C566" s="965"/>
      <c r="D566" s="965"/>
      <c r="E566" s="965"/>
      <c r="F566" s="965"/>
      <c r="G566" s="965"/>
      <c r="H566" s="965"/>
      <c r="I566" s="965"/>
      <c r="J566" s="965"/>
      <c r="K566" s="965"/>
      <c r="L566" s="965"/>
      <c r="M566" s="965"/>
      <c r="N566" s="965"/>
      <c r="O566" s="965"/>
      <c r="P566" s="965"/>
      <c r="Q566" s="965"/>
      <c r="R566" s="965"/>
      <c r="S566" s="965"/>
      <c r="T566" s="965"/>
      <c r="U566" s="965"/>
      <c r="V566" s="965"/>
      <c r="W566" s="965"/>
      <c r="X566" s="965"/>
      <c r="Y566" s="965"/>
      <c r="Z566" s="965"/>
    </row>
    <row r="567">
      <c r="A567" s="965"/>
      <c r="B567" s="965"/>
      <c r="C567" s="965"/>
      <c r="D567" s="965"/>
      <c r="E567" s="965"/>
      <c r="F567" s="965"/>
      <c r="G567" s="965"/>
      <c r="H567" s="965"/>
      <c r="I567" s="965"/>
      <c r="J567" s="965"/>
      <c r="K567" s="965"/>
      <c r="L567" s="965"/>
      <c r="M567" s="965"/>
      <c r="N567" s="965"/>
      <c r="O567" s="965"/>
      <c r="P567" s="965"/>
      <c r="Q567" s="965"/>
      <c r="R567" s="965"/>
      <c r="S567" s="965"/>
      <c r="T567" s="965"/>
      <c r="U567" s="965"/>
      <c r="V567" s="965"/>
      <c r="W567" s="965"/>
      <c r="X567" s="965"/>
      <c r="Y567" s="965"/>
      <c r="Z567" s="965"/>
    </row>
    <row r="568">
      <c r="A568" s="965"/>
      <c r="B568" s="965"/>
      <c r="C568" s="965"/>
      <c r="D568" s="965"/>
      <c r="E568" s="965"/>
      <c r="F568" s="965"/>
      <c r="G568" s="965"/>
      <c r="H568" s="965"/>
      <c r="I568" s="965"/>
      <c r="J568" s="965"/>
      <c r="K568" s="965"/>
      <c r="L568" s="965"/>
      <c r="M568" s="965"/>
      <c r="N568" s="965"/>
      <c r="O568" s="965"/>
      <c r="P568" s="965"/>
      <c r="Q568" s="965"/>
      <c r="R568" s="965"/>
      <c r="S568" s="965"/>
      <c r="T568" s="965"/>
      <c r="U568" s="965"/>
      <c r="V568" s="965"/>
      <c r="W568" s="965"/>
      <c r="X568" s="965"/>
      <c r="Y568" s="965"/>
      <c r="Z568" s="965"/>
    </row>
    <row r="569">
      <c r="A569" s="965"/>
      <c r="B569" s="965"/>
      <c r="C569" s="965"/>
      <c r="D569" s="965"/>
      <c r="E569" s="965"/>
      <c r="F569" s="965"/>
      <c r="G569" s="965"/>
      <c r="H569" s="965"/>
      <c r="I569" s="965"/>
      <c r="J569" s="965"/>
      <c r="K569" s="965"/>
      <c r="L569" s="965"/>
      <c r="M569" s="965"/>
      <c r="N569" s="965"/>
      <c r="O569" s="965"/>
      <c r="P569" s="965"/>
      <c r="Q569" s="965"/>
      <c r="R569" s="965"/>
      <c r="S569" s="965"/>
      <c r="T569" s="965"/>
      <c r="U569" s="965"/>
      <c r="V569" s="965"/>
      <c r="W569" s="965"/>
      <c r="X569" s="965"/>
      <c r="Y569" s="965"/>
      <c r="Z569" s="965"/>
    </row>
    <row r="570">
      <c r="A570" s="965"/>
      <c r="B570" s="965"/>
      <c r="C570" s="965"/>
      <c r="D570" s="965"/>
      <c r="E570" s="965"/>
      <c r="F570" s="965"/>
      <c r="G570" s="965"/>
      <c r="H570" s="965"/>
      <c r="I570" s="965"/>
      <c r="J570" s="965"/>
      <c r="K570" s="965"/>
      <c r="L570" s="965"/>
      <c r="M570" s="965"/>
      <c r="N570" s="965"/>
      <c r="O570" s="965"/>
      <c r="P570" s="965"/>
      <c r="Q570" s="965"/>
      <c r="R570" s="965"/>
      <c r="S570" s="965"/>
      <c r="T570" s="965"/>
      <c r="U570" s="965"/>
      <c r="V570" s="965"/>
      <c r="W570" s="965"/>
      <c r="X570" s="965"/>
      <c r="Y570" s="965"/>
      <c r="Z570" s="965"/>
    </row>
    <row r="571">
      <c r="A571" s="965"/>
      <c r="B571" s="965"/>
      <c r="C571" s="965"/>
      <c r="D571" s="965"/>
      <c r="E571" s="965"/>
      <c r="F571" s="965"/>
      <c r="G571" s="965"/>
      <c r="H571" s="965"/>
      <c r="I571" s="965"/>
      <c r="J571" s="965"/>
      <c r="K571" s="965"/>
      <c r="L571" s="965"/>
      <c r="M571" s="965"/>
      <c r="N571" s="965"/>
      <c r="O571" s="965"/>
      <c r="P571" s="965"/>
      <c r="Q571" s="965"/>
      <c r="R571" s="965"/>
      <c r="S571" s="965"/>
      <c r="T571" s="965"/>
      <c r="U571" s="965"/>
      <c r="V571" s="965"/>
      <c r="W571" s="965"/>
      <c r="X571" s="965"/>
      <c r="Y571" s="965"/>
      <c r="Z571" s="965"/>
    </row>
    <row r="572">
      <c r="A572" s="965"/>
      <c r="B572" s="965"/>
      <c r="C572" s="965"/>
      <c r="D572" s="965"/>
      <c r="E572" s="965"/>
      <c r="F572" s="965"/>
      <c r="G572" s="965"/>
      <c r="H572" s="965"/>
      <c r="I572" s="965"/>
      <c r="J572" s="965"/>
      <c r="K572" s="965"/>
      <c r="L572" s="965"/>
      <c r="M572" s="965"/>
      <c r="N572" s="965"/>
      <c r="O572" s="965"/>
      <c r="P572" s="965"/>
      <c r="Q572" s="965"/>
      <c r="R572" s="965"/>
      <c r="S572" s="965"/>
      <c r="T572" s="965"/>
      <c r="U572" s="965"/>
      <c r="V572" s="965"/>
      <c r="W572" s="965"/>
      <c r="X572" s="965"/>
      <c r="Y572" s="965"/>
      <c r="Z572" s="965"/>
    </row>
    <row r="573">
      <c r="A573" s="965"/>
      <c r="B573" s="965"/>
      <c r="C573" s="965"/>
      <c r="D573" s="965"/>
      <c r="E573" s="965"/>
      <c r="F573" s="965"/>
      <c r="G573" s="965"/>
      <c r="H573" s="965"/>
      <c r="I573" s="965"/>
      <c r="J573" s="965"/>
      <c r="K573" s="965"/>
      <c r="L573" s="965"/>
      <c r="M573" s="965"/>
      <c r="N573" s="965"/>
      <c r="O573" s="965"/>
      <c r="P573" s="965"/>
      <c r="Q573" s="965"/>
      <c r="R573" s="965"/>
      <c r="S573" s="965"/>
      <c r="T573" s="965"/>
      <c r="U573" s="965"/>
      <c r="V573" s="965"/>
      <c r="W573" s="965"/>
      <c r="X573" s="965"/>
      <c r="Y573" s="965"/>
      <c r="Z573" s="965"/>
    </row>
    <row r="574">
      <c r="A574" s="965"/>
      <c r="B574" s="965"/>
      <c r="C574" s="965"/>
      <c r="D574" s="965"/>
      <c r="E574" s="965"/>
      <c r="F574" s="965"/>
      <c r="G574" s="965"/>
      <c r="H574" s="965"/>
      <c r="I574" s="965"/>
      <c r="J574" s="965"/>
      <c r="K574" s="965"/>
      <c r="L574" s="965"/>
      <c r="M574" s="965"/>
      <c r="N574" s="965"/>
      <c r="O574" s="965"/>
      <c r="P574" s="965"/>
      <c r="Q574" s="965"/>
      <c r="R574" s="965"/>
      <c r="S574" s="965"/>
      <c r="T574" s="965"/>
      <c r="U574" s="965"/>
      <c r="V574" s="965"/>
      <c r="W574" s="965"/>
      <c r="X574" s="965"/>
      <c r="Y574" s="965"/>
      <c r="Z574" s="965"/>
    </row>
    <row r="575">
      <c r="A575" s="965"/>
      <c r="B575" s="965"/>
      <c r="C575" s="965"/>
      <c r="D575" s="965"/>
      <c r="E575" s="965"/>
      <c r="F575" s="965"/>
      <c r="G575" s="965"/>
      <c r="H575" s="965"/>
      <c r="I575" s="965"/>
      <c r="J575" s="965"/>
      <c r="K575" s="965"/>
      <c r="L575" s="965"/>
      <c r="M575" s="965"/>
      <c r="N575" s="965"/>
      <c r="O575" s="965"/>
      <c r="P575" s="965"/>
      <c r="Q575" s="965"/>
      <c r="R575" s="965"/>
      <c r="S575" s="965"/>
      <c r="T575" s="965"/>
      <c r="U575" s="965"/>
      <c r="V575" s="965"/>
      <c r="W575" s="965"/>
      <c r="X575" s="965"/>
      <c r="Y575" s="965"/>
      <c r="Z575" s="965"/>
    </row>
    <row r="576">
      <c r="A576" s="965"/>
      <c r="B576" s="965"/>
      <c r="C576" s="965"/>
      <c r="D576" s="965"/>
      <c r="E576" s="965"/>
      <c r="F576" s="965"/>
      <c r="G576" s="965"/>
      <c r="H576" s="965"/>
      <c r="I576" s="965"/>
      <c r="J576" s="965"/>
      <c r="K576" s="965"/>
      <c r="L576" s="965"/>
      <c r="M576" s="965"/>
      <c r="N576" s="965"/>
      <c r="O576" s="965"/>
      <c r="P576" s="965"/>
      <c r="Q576" s="965"/>
      <c r="R576" s="965"/>
      <c r="S576" s="965"/>
      <c r="T576" s="965"/>
      <c r="U576" s="965"/>
      <c r="V576" s="965"/>
      <c r="W576" s="965"/>
      <c r="X576" s="965"/>
      <c r="Y576" s="965"/>
      <c r="Z576" s="965"/>
    </row>
    <row r="577">
      <c r="A577" s="965"/>
      <c r="B577" s="965"/>
      <c r="C577" s="965"/>
      <c r="D577" s="965"/>
      <c r="E577" s="965"/>
      <c r="F577" s="965"/>
      <c r="G577" s="965"/>
      <c r="H577" s="965"/>
      <c r="I577" s="965"/>
      <c r="J577" s="965"/>
      <c r="K577" s="965"/>
      <c r="L577" s="965"/>
      <c r="M577" s="965"/>
      <c r="N577" s="965"/>
      <c r="O577" s="965"/>
      <c r="P577" s="965"/>
      <c r="Q577" s="965"/>
      <c r="R577" s="965"/>
      <c r="S577" s="965"/>
      <c r="T577" s="965"/>
      <c r="U577" s="965"/>
      <c r="V577" s="965"/>
      <c r="W577" s="965"/>
      <c r="X577" s="965"/>
      <c r="Y577" s="965"/>
      <c r="Z577" s="965"/>
    </row>
    <row r="578">
      <c r="A578" s="965"/>
      <c r="B578" s="965"/>
      <c r="C578" s="965"/>
      <c r="D578" s="965"/>
      <c r="E578" s="965"/>
      <c r="F578" s="965"/>
      <c r="G578" s="965"/>
      <c r="H578" s="965"/>
      <c r="I578" s="965"/>
      <c r="J578" s="965"/>
      <c r="K578" s="965"/>
      <c r="L578" s="965"/>
      <c r="M578" s="965"/>
      <c r="N578" s="965"/>
      <c r="O578" s="965"/>
      <c r="P578" s="965"/>
      <c r="Q578" s="965"/>
      <c r="R578" s="965"/>
      <c r="S578" s="965"/>
      <c r="T578" s="965"/>
      <c r="U578" s="965"/>
      <c r="V578" s="965"/>
      <c r="W578" s="965"/>
      <c r="X578" s="965"/>
      <c r="Y578" s="965"/>
      <c r="Z578" s="965"/>
    </row>
    <row r="579">
      <c r="A579" s="965"/>
      <c r="B579" s="965"/>
      <c r="C579" s="965"/>
      <c r="D579" s="965"/>
      <c r="E579" s="965"/>
      <c r="F579" s="965"/>
      <c r="G579" s="965"/>
      <c r="H579" s="965"/>
      <c r="I579" s="965"/>
      <c r="J579" s="965"/>
      <c r="K579" s="965"/>
      <c r="L579" s="965"/>
      <c r="M579" s="965"/>
      <c r="N579" s="965"/>
      <c r="O579" s="965"/>
      <c r="P579" s="965"/>
      <c r="Q579" s="965"/>
      <c r="R579" s="965"/>
      <c r="S579" s="965"/>
      <c r="T579" s="965"/>
      <c r="U579" s="965"/>
      <c r="V579" s="965"/>
      <c r="W579" s="965"/>
      <c r="X579" s="965"/>
      <c r="Y579" s="965"/>
      <c r="Z579" s="965"/>
    </row>
    <row r="580">
      <c r="A580" s="965"/>
      <c r="B580" s="965"/>
      <c r="C580" s="965"/>
      <c r="D580" s="965"/>
      <c r="E580" s="965"/>
      <c r="F580" s="965"/>
      <c r="G580" s="965"/>
      <c r="H580" s="965"/>
      <c r="I580" s="965"/>
      <c r="J580" s="965"/>
      <c r="K580" s="965"/>
      <c r="L580" s="965"/>
      <c r="M580" s="965"/>
      <c r="N580" s="965"/>
      <c r="O580" s="965"/>
      <c r="P580" s="965"/>
      <c r="Q580" s="965"/>
      <c r="R580" s="965"/>
      <c r="S580" s="965"/>
      <c r="T580" s="965"/>
      <c r="U580" s="965"/>
      <c r="V580" s="965"/>
      <c r="W580" s="965"/>
      <c r="X580" s="965"/>
      <c r="Y580" s="965"/>
      <c r="Z580" s="965"/>
    </row>
    <row r="581">
      <c r="A581" s="965"/>
      <c r="B581" s="965"/>
      <c r="C581" s="965"/>
      <c r="D581" s="965"/>
      <c r="E581" s="965"/>
      <c r="F581" s="965"/>
      <c r="G581" s="965"/>
      <c r="H581" s="965"/>
      <c r="I581" s="965"/>
      <c r="J581" s="965"/>
      <c r="K581" s="965"/>
      <c r="L581" s="965"/>
      <c r="M581" s="965"/>
      <c r="N581" s="965"/>
      <c r="O581" s="965"/>
      <c r="P581" s="965"/>
      <c r="Q581" s="965"/>
      <c r="R581" s="965"/>
      <c r="S581" s="965"/>
      <c r="T581" s="965"/>
      <c r="U581" s="965"/>
      <c r="V581" s="965"/>
      <c r="W581" s="965"/>
      <c r="X581" s="965"/>
      <c r="Y581" s="965"/>
      <c r="Z581" s="965"/>
    </row>
    <row r="582">
      <c r="A582" s="965"/>
      <c r="B582" s="965"/>
      <c r="C582" s="965"/>
      <c r="D582" s="965"/>
      <c r="E582" s="965"/>
      <c r="F582" s="965"/>
      <c r="G582" s="965"/>
      <c r="H582" s="965"/>
      <c r="I582" s="965"/>
      <c r="J582" s="965"/>
      <c r="K582" s="965"/>
      <c r="L582" s="965"/>
      <c r="M582" s="965"/>
      <c r="N582" s="965"/>
      <c r="O582" s="965"/>
      <c r="P582" s="965"/>
      <c r="Q582" s="965"/>
      <c r="R582" s="965"/>
      <c r="S582" s="965"/>
      <c r="T582" s="965"/>
      <c r="U582" s="965"/>
      <c r="V582" s="965"/>
      <c r="W582" s="965"/>
      <c r="X582" s="965"/>
      <c r="Y582" s="965"/>
      <c r="Z582" s="965"/>
    </row>
    <row r="583">
      <c r="A583" s="965"/>
      <c r="B583" s="965"/>
      <c r="C583" s="965"/>
      <c r="D583" s="965"/>
      <c r="E583" s="965"/>
      <c r="F583" s="965"/>
      <c r="G583" s="965"/>
      <c r="H583" s="965"/>
      <c r="I583" s="965"/>
      <c r="J583" s="965"/>
      <c r="K583" s="965"/>
      <c r="L583" s="965"/>
      <c r="M583" s="965"/>
      <c r="N583" s="965"/>
      <c r="O583" s="965"/>
      <c r="P583" s="965"/>
      <c r="Q583" s="965"/>
      <c r="R583" s="965"/>
      <c r="S583" s="965"/>
      <c r="T583" s="965"/>
      <c r="U583" s="965"/>
      <c r="V583" s="965"/>
      <c r="W583" s="965"/>
      <c r="X583" s="965"/>
      <c r="Y583" s="965"/>
      <c r="Z583" s="965"/>
    </row>
    <row r="584">
      <c r="A584" s="965"/>
      <c r="B584" s="965"/>
      <c r="C584" s="965"/>
      <c r="D584" s="965"/>
      <c r="E584" s="965"/>
      <c r="F584" s="965"/>
      <c r="G584" s="965"/>
      <c r="H584" s="965"/>
      <c r="I584" s="965"/>
      <c r="J584" s="965"/>
      <c r="K584" s="965"/>
      <c r="L584" s="965"/>
      <c r="M584" s="965"/>
      <c r="N584" s="965"/>
      <c r="O584" s="965"/>
      <c r="P584" s="965"/>
      <c r="Q584" s="965"/>
      <c r="R584" s="965"/>
      <c r="S584" s="965"/>
      <c r="T584" s="965"/>
      <c r="U584" s="965"/>
      <c r="V584" s="965"/>
      <c r="W584" s="965"/>
      <c r="X584" s="965"/>
      <c r="Y584" s="965"/>
      <c r="Z584" s="965"/>
    </row>
    <row r="585">
      <c r="A585" s="965"/>
      <c r="B585" s="965"/>
      <c r="C585" s="965"/>
      <c r="D585" s="965"/>
      <c r="E585" s="965"/>
      <c r="F585" s="965"/>
      <c r="G585" s="965"/>
      <c r="H585" s="965"/>
      <c r="I585" s="965"/>
      <c r="J585" s="965"/>
      <c r="K585" s="965"/>
      <c r="L585" s="965"/>
      <c r="M585" s="965"/>
      <c r="N585" s="965"/>
      <c r="O585" s="965"/>
      <c r="P585" s="965"/>
      <c r="Q585" s="965"/>
      <c r="R585" s="965"/>
      <c r="S585" s="965"/>
      <c r="T585" s="965"/>
      <c r="U585" s="965"/>
      <c r="V585" s="965"/>
      <c r="W585" s="965"/>
      <c r="X585" s="965"/>
      <c r="Y585" s="965"/>
      <c r="Z585" s="965"/>
    </row>
    <row r="586">
      <c r="A586" s="965"/>
      <c r="B586" s="965"/>
      <c r="C586" s="965"/>
      <c r="D586" s="965"/>
      <c r="E586" s="965"/>
      <c r="F586" s="965"/>
      <c r="G586" s="965"/>
      <c r="H586" s="965"/>
      <c r="I586" s="965"/>
      <c r="J586" s="965"/>
      <c r="K586" s="965"/>
      <c r="L586" s="965"/>
      <c r="M586" s="965"/>
      <c r="N586" s="965"/>
      <c r="O586" s="965"/>
      <c r="P586" s="965"/>
      <c r="Q586" s="965"/>
      <c r="R586" s="965"/>
      <c r="S586" s="965"/>
      <c r="T586" s="965"/>
      <c r="U586" s="965"/>
      <c r="V586" s="965"/>
      <c r="W586" s="965"/>
      <c r="X586" s="965"/>
      <c r="Y586" s="965"/>
      <c r="Z586" s="965"/>
    </row>
    <row r="587">
      <c r="A587" s="965"/>
      <c r="B587" s="965"/>
      <c r="C587" s="965"/>
      <c r="D587" s="965"/>
      <c r="E587" s="965"/>
      <c r="F587" s="965"/>
      <c r="G587" s="965"/>
      <c r="H587" s="965"/>
      <c r="I587" s="965"/>
      <c r="J587" s="965"/>
      <c r="K587" s="965"/>
      <c r="L587" s="965"/>
      <c r="M587" s="965"/>
      <c r="N587" s="965"/>
      <c r="O587" s="965"/>
      <c r="P587" s="965"/>
      <c r="Q587" s="965"/>
      <c r="R587" s="965"/>
      <c r="S587" s="965"/>
      <c r="T587" s="965"/>
      <c r="U587" s="965"/>
      <c r="V587" s="965"/>
      <c r="W587" s="965"/>
      <c r="X587" s="965"/>
      <c r="Y587" s="965"/>
      <c r="Z587" s="965"/>
    </row>
    <row r="588">
      <c r="A588" s="965"/>
      <c r="B588" s="965"/>
      <c r="C588" s="965"/>
      <c r="D588" s="965"/>
      <c r="E588" s="965"/>
      <c r="F588" s="965"/>
      <c r="G588" s="965"/>
      <c r="H588" s="965"/>
      <c r="I588" s="965"/>
      <c r="J588" s="965"/>
      <c r="K588" s="965"/>
      <c r="L588" s="965"/>
      <c r="M588" s="965"/>
      <c r="N588" s="965"/>
      <c r="O588" s="965"/>
      <c r="P588" s="965"/>
      <c r="Q588" s="965"/>
      <c r="R588" s="965"/>
      <c r="S588" s="965"/>
      <c r="T588" s="965"/>
      <c r="U588" s="965"/>
      <c r="V588" s="965"/>
      <c r="W588" s="965"/>
      <c r="X588" s="965"/>
      <c r="Y588" s="965"/>
      <c r="Z588" s="965"/>
    </row>
    <row r="589">
      <c r="A589" s="965"/>
      <c r="B589" s="965"/>
      <c r="C589" s="965"/>
      <c r="D589" s="965"/>
      <c r="E589" s="965"/>
      <c r="F589" s="965"/>
      <c r="G589" s="965"/>
      <c r="H589" s="965"/>
      <c r="I589" s="965"/>
      <c r="J589" s="965"/>
      <c r="K589" s="965"/>
      <c r="L589" s="965"/>
      <c r="M589" s="965"/>
      <c r="N589" s="965"/>
      <c r="O589" s="965"/>
      <c r="P589" s="965"/>
      <c r="Q589" s="965"/>
      <c r="R589" s="965"/>
      <c r="S589" s="965"/>
      <c r="T589" s="965"/>
      <c r="U589" s="965"/>
      <c r="V589" s="965"/>
      <c r="W589" s="965"/>
      <c r="X589" s="965"/>
      <c r="Y589" s="965"/>
      <c r="Z589" s="965"/>
    </row>
    <row r="590">
      <c r="A590" s="965"/>
      <c r="B590" s="965"/>
      <c r="C590" s="965"/>
      <c r="D590" s="965"/>
      <c r="E590" s="965"/>
      <c r="F590" s="965"/>
      <c r="G590" s="965"/>
      <c r="H590" s="965"/>
      <c r="I590" s="965"/>
      <c r="J590" s="965"/>
      <c r="K590" s="965"/>
      <c r="L590" s="965"/>
      <c r="M590" s="965"/>
      <c r="N590" s="965"/>
      <c r="O590" s="965"/>
      <c r="P590" s="965"/>
      <c r="Q590" s="965"/>
      <c r="R590" s="965"/>
      <c r="S590" s="965"/>
      <c r="T590" s="965"/>
      <c r="U590" s="965"/>
      <c r="V590" s="965"/>
      <c r="W590" s="965"/>
      <c r="X590" s="965"/>
      <c r="Y590" s="965"/>
      <c r="Z590" s="965"/>
    </row>
    <row r="591">
      <c r="A591" s="965"/>
      <c r="B591" s="965"/>
      <c r="C591" s="965"/>
      <c r="D591" s="965"/>
      <c r="E591" s="965"/>
      <c r="F591" s="965"/>
      <c r="G591" s="965"/>
      <c r="H591" s="965"/>
      <c r="I591" s="965"/>
      <c r="J591" s="965"/>
      <c r="K591" s="965"/>
      <c r="L591" s="965"/>
      <c r="M591" s="965"/>
      <c r="N591" s="965"/>
      <c r="O591" s="965"/>
      <c r="P591" s="965"/>
      <c r="Q591" s="965"/>
      <c r="R591" s="965"/>
      <c r="S591" s="965"/>
      <c r="T591" s="965"/>
      <c r="U591" s="965"/>
      <c r="V591" s="965"/>
      <c r="W591" s="965"/>
      <c r="X591" s="965"/>
      <c r="Y591" s="965"/>
      <c r="Z591" s="965"/>
    </row>
    <row r="592">
      <c r="A592" s="965"/>
      <c r="B592" s="965"/>
      <c r="C592" s="965"/>
      <c r="D592" s="965"/>
      <c r="E592" s="965"/>
      <c r="F592" s="965"/>
      <c r="G592" s="965"/>
      <c r="H592" s="965"/>
      <c r="I592" s="965"/>
      <c r="J592" s="965"/>
      <c r="K592" s="965"/>
      <c r="L592" s="965"/>
      <c r="M592" s="965"/>
      <c r="N592" s="965"/>
      <c r="O592" s="965"/>
      <c r="P592" s="965"/>
      <c r="Q592" s="965"/>
      <c r="R592" s="965"/>
      <c r="S592" s="965"/>
      <c r="T592" s="965"/>
      <c r="U592" s="965"/>
      <c r="V592" s="965"/>
      <c r="W592" s="965"/>
      <c r="X592" s="965"/>
      <c r="Y592" s="965"/>
      <c r="Z592" s="965"/>
    </row>
    <row r="593">
      <c r="A593" s="965"/>
      <c r="B593" s="965"/>
      <c r="C593" s="965"/>
      <c r="D593" s="965"/>
      <c r="E593" s="965"/>
      <c r="F593" s="965"/>
      <c r="G593" s="965"/>
      <c r="H593" s="965"/>
      <c r="I593" s="965"/>
      <c r="J593" s="965"/>
      <c r="K593" s="965"/>
      <c r="L593" s="965"/>
      <c r="M593" s="965"/>
      <c r="N593" s="965"/>
      <c r="O593" s="965"/>
      <c r="P593" s="965"/>
      <c r="Q593" s="965"/>
      <c r="R593" s="965"/>
      <c r="S593" s="965"/>
      <c r="T593" s="965"/>
      <c r="U593" s="965"/>
      <c r="V593" s="965"/>
      <c r="W593" s="965"/>
      <c r="X593" s="965"/>
      <c r="Y593" s="965"/>
      <c r="Z593" s="965"/>
    </row>
    <row r="594">
      <c r="A594" s="965"/>
      <c r="B594" s="965"/>
      <c r="C594" s="965"/>
      <c r="D594" s="965"/>
      <c r="E594" s="965"/>
      <c r="F594" s="965"/>
      <c r="G594" s="965"/>
      <c r="H594" s="965"/>
      <c r="I594" s="965"/>
      <c r="J594" s="965"/>
      <c r="K594" s="965"/>
      <c r="L594" s="965"/>
      <c r="M594" s="965"/>
      <c r="N594" s="965"/>
      <c r="O594" s="965"/>
      <c r="P594" s="965"/>
      <c r="Q594" s="965"/>
      <c r="R594" s="965"/>
      <c r="S594" s="965"/>
      <c r="T594" s="965"/>
      <c r="U594" s="965"/>
      <c r="V594" s="965"/>
      <c r="W594" s="965"/>
      <c r="X594" s="965"/>
      <c r="Y594" s="965"/>
      <c r="Z594" s="965"/>
    </row>
    <row r="595">
      <c r="A595" s="965"/>
      <c r="B595" s="965"/>
      <c r="C595" s="965"/>
      <c r="D595" s="965"/>
      <c r="E595" s="965"/>
      <c r="F595" s="965"/>
      <c r="G595" s="965"/>
      <c r="H595" s="965"/>
      <c r="I595" s="965"/>
      <c r="J595" s="965"/>
      <c r="K595" s="965"/>
      <c r="L595" s="965"/>
      <c r="M595" s="965"/>
      <c r="N595" s="965"/>
      <c r="O595" s="965"/>
      <c r="P595" s="965"/>
      <c r="Q595" s="965"/>
      <c r="R595" s="965"/>
      <c r="S595" s="965"/>
      <c r="T595" s="965"/>
      <c r="U595" s="965"/>
      <c r="V595" s="965"/>
      <c r="W595" s="965"/>
      <c r="X595" s="965"/>
      <c r="Y595" s="965"/>
      <c r="Z595" s="965"/>
    </row>
    <row r="596">
      <c r="A596" s="965"/>
      <c r="B596" s="965"/>
      <c r="C596" s="965"/>
      <c r="D596" s="965"/>
      <c r="E596" s="965"/>
      <c r="F596" s="965"/>
      <c r="G596" s="965"/>
      <c r="H596" s="965"/>
      <c r="I596" s="965"/>
      <c r="J596" s="965"/>
      <c r="K596" s="965"/>
      <c r="L596" s="965"/>
      <c r="M596" s="965"/>
      <c r="N596" s="965"/>
      <c r="O596" s="965"/>
      <c r="P596" s="965"/>
      <c r="Q596" s="965"/>
      <c r="R596" s="965"/>
      <c r="S596" s="965"/>
      <c r="T596" s="965"/>
      <c r="U596" s="965"/>
      <c r="V596" s="965"/>
      <c r="W596" s="965"/>
      <c r="X596" s="965"/>
      <c r="Y596" s="965"/>
      <c r="Z596" s="965"/>
    </row>
    <row r="597">
      <c r="A597" s="965"/>
      <c r="B597" s="965"/>
      <c r="C597" s="965"/>
      <c r="D597" s="965"/>
      <c r="E597" s="965"/>
      <c r="F597" s="965"/>
      <c r="G597" s="965"/>
      <c r="H597" s="965"/>
      <c r="I597" s="965"/>
      <c r="J597" s="965"/>
      <c r="K597" s="965"/>
      <c r="L597" s="965"/>
      <c r="M597" s="965"/>
      <c r="N597" s="965"/>
      <c r="O597" s="965"/>
      <c r="P597" s="965"/>
      <c r="Q597" s="965"/>
      <c r="R597" s="965"/>
      <c r="S597" s="965"/>
      <c r="T597" s="965"/>
      <c r="U597" s="965"/>
      <c r="V597" s="965"/>
      <c r="W597" s="965"/>
      <c r="X597" s="965"/>
      <c r="Y597" s="965"/>
      <c r="Z597" s="965"/>
    </row>
    <row r="598">
      <c r="A598" s="965"/>
      <c r="B598" s="965"/>
      <c r="C598" s="965"/>
      <c r="D598" s="965"/>
      <c r="E598" s="965"/>
      <c r="F598" s="965"/>
      <c r="G598" s="965"/>
      <c r="H598" s="965"/>
      <c r="I598" s="965"/>
      <c r="J598" s="965"/>
      <c r="K598" s="965"/>
      <c r="L598" s="965"/>
      <c r="M598" s="965"/>
      <c r="N598" s="965"/>
      <c r="O598" s="965"/>
      <c r="P598" s="965"/>
      <c r="Q598" s="965"/>
      <c r="R598" s="965"/>
      <c r="S598" s="965"/>
      <c r="T598" s="965"/>
      <c r="U598" s="965"/>
      <c r="V598" s="965"/>
      <c r="W598" s="965"/>
      <c r="X598" s="965"/>
      <c r="Y598" s="965"/>
      <c r="Z598" s="965"/>
    </row>
    <row r="599">
      <c r="A599" s="965"/>
      <c r="B599" s="965"/>
      <c r="C599" s="965"/>
      <c r="D599" s="965"/>
      <c r="E599" s="965"/>
      <c r="F599" s="965"/>
      <c r="G599" s="965"/>
      <c r="H599" s="965"/>
      <c r="I599" s="965"/>
      <c r="J599" s="965"/>
      <c r="K599" s="965"/>
      <c r="L599" s="965"/>
      <c r="M599" s="965"/>
      <c r="N599" s="965"/>
      <c r="O599" s="965"/>
      <c r="P599" s="965"/>
      <c r="Q599" s="965"/>
      <c r="R599" s="965"/>
      <c r="S599" s="965"/>
      <c r="T599" s="965"/>
      <c r="U599" s="965"/>
      <c r="V599" s="965"/>
      <c r="W599" s="965"/>
      <c r="X599" s="965"/>
      <c r="Y599" s="965"/>
      <c r="Z599" s="965"/>
    </row>
    <row r="600">
      <c r="A600" s="965"/>
      <c r="B600" s="965"/>
      <c r="C600" s="965"/>
      <c r="D600" s="965"/>
      <c r="E600" s="965"/>
      <c r="F600" s="965"/>
      <c r="G600" s="965"/>
      <c r="H600" s="965"/>
      <c r="I600" s="965"/>
      <c r="J600" s="965"/>
      <c r="K600" s="965"/>
      <c r="L600" s="965"/>
      <c r="M600" s="965"/>
      <c r="N600" s="965"/>
      <c r="O600" s="965"/>
      <c r="P600" s="965"/>
      <c r="Q600" s="965"/>
      <c r="R600" s="965"/>
      <c r="S600" s="965"/>
      <c r="T600" s="965"/>
      <c r="U600" s="965"/>
      <c r="V600" s="965"/>
      <c r="W600" s="965"/>
      <c r="X600" s="965"/>
      <c r="Y600" s="965"/>
      <c r="Z600" s="965"/>
    </row>
    <row r="601">
      <c r="A601" s="965"/>
      <c r="B601" s="965"/>
      <c r="C601" s="965"/>
      <c r="D601" s="965"/>
      <c r="E601" s="965"/>
      <c r="F601" s="965"/>
      <c r="G601" s="965"/>
      <c r="H601" s="965"/>
      <c r="I601" s="965"/>
      <c r="J601" s="965"/>
      <c r="K601" s="965"/>
      <c r="L601" s="965"/>
      <c r="M601" s="965"/>
      <c r="N601" s="965"/>
      <c r="O601" s="965"/>
      <c r="P601" s="965"/>
      <c r="Q601" s="965"/>
      <c r="R601" s="965"/>
      <c r="S601" s="965"/>
      <c r="T601" s="965"/>
      <c r="U601" s="965"/>
      <c r="V601" s="965"/>
      <c r="W601" s="965"/>
      <c r="X601" s="965"/>
      <c r="Y601" s="965"/>
      <c r="Z601" s="965"/>
    </row>
    <row r="602">
      <c r="A602" s="965"/>
      <c r="B602" s="965"/>
      <c r="C602" s="965"/>
      <c r="D602" s="965"/>
      <c r="E602" s="965"/>
      <c r="F602" s="965"/>
      <c r="G602" s="965"/>
      <c r="H602" s="965"/>
      <c r="I602" s="965"/>
      <c r="J602" s="965"/>
      <c r="K602" s="965"/>
      <c r="L602" s="965"/>
      <c r="M602" s="965"/>
      <c r="N602" s="965"/>
      <c r="O602" s="965"/>
      <c r="P602" s="965"/>
      <c r="Q602" s="965"/>
      <c r="R602" s="965"/>
      <c r="S602" s="965"/>
      <c r="T602" s="965"/>
      <c r="U602" s="965"/>
      <c r="V602" s="965"/>
      <c r="W602" s="965"/>
      <c r="X602" s="965"/>
      <c r="Y602" s="965"/>
      <c r="Z602" s="965"/>
    </row>
    <row r="603">
      <c r="A603" s="965"/>
      <c r="B603" s="965"/>
      <c r="C603" s="965"/>
      <c r="D603" s="965"/>
      <c r="E603" s="965"/>
      <c r="F603" s="965"/>
      <c r="G603" s="965"/>
      <c r="H603" s="965"/>
      <c r="I603" s="965"/>
      <c r="J603" s="965"/>
      <c r="K603" s="965"/>
      <c r="L603" s="965"/>
      <c r="M603" s="965"/>
      <c r="N603" s="965"/>
      <c r="O603" s="965"/>
      <c r="P603" s="965"/>
      <c r="Q603" s="965"/>
      <c r="R603" s="965"/>
      <c r="S603" s="965"/>
      <c r="T603" s="965"/>
      <c r="U603" s="965"/>
      <c r="V603" s="965"/>
      <c r="W603" s="965"/>
      <c r="X603" s="965"/>
      <c r="Y603" s="965"/>
      <c r="Z603" s="965"/>
    </row>
    <row r="604">
      <c r="A604" s="965"/>
      <c r="B604" s="965"/>
      <c r="C604" s="965"/>
      <c r="D604" s="965"/>
      <c r="E604" s="965"/>
      <c r="F604" s="965"/>
      <c r="G604" s="965"/>
      <c r="H604" s="965"/>
      <c r="I604" s="965"/>
      <c r="J604" s="965"/>
      <c r="K604" s="965"/>
      <c r="L604" s="965"/>
      <c r="M604" s="965"/>
      <c r="N604" s="965"/>
      <c r="O604" s="965"/>
      <c r="P604" s="965"/>
      <c r="Q604" s="965"/>
      <c r="R604" s="965"/>
      <c r="S604" s="965"/>
      <c r="T604" s="965"/>
      <c r="U604" s="965"/>
      <c r="V604" s="965"/>
      <c r="W604" s="965"/>
      <c r="X604" s="965"/>
      <c r="Y604" s="965"/>
      <c r="Z604" s="965"/>
    </row>
    <row r="605">
      <c r="A605" s="965"/>
      <c r="B605" s="965"/>
      <c r="C605" s="965"/>
      <c r="D605" s="965"/>
      <c r="E605" s="965"/>
      <c r="F605" s="965"/>
      <c r="G605" s="965"/>
      <c r="H605" s="965"/>
      <c r="I605" s="965"/>
      <c r="J605" s="965"/>
      <c r="K605" s="965"/>
      <c r="L605" s="965"/>
      <c r="M605" s="965"/>
      <c r="N605" s="965"/>
      <c r="O605" s="965"/>
      <c r="P605" s="965"/>
      <c r="Q605" s="965"/>
      <c r="R605" s="965"/>
      <c r="S605" s="965"/>
      <c r="T605" s="965"/>
      <c r="U605" s="965"/>
      <c r="V605" s="965"/>
      <c r="W605" s="965"/>
      <c r="X605" s="965"/>
      <c r="Y605" s="965"/>
      <c r="Z605" s="965"/>
    </row>
    <row r="606">
      <c r="A606" s="965"/>
      <c r="B606" s="965"/>
      <c r="C606" s="965"/>
      <c r="D606" s="965"/>
      <c r="E606" s="965"/>
      <c r="F606" s="965"/>
      <c r="G606" s="965"/>
      <c r="H606" s="965"/>
      <c r="I606" s="965"/>
      <c r="J606" s="965"/>
      <c r="K606" s="965"/>
      <c r="L606" s="965"/>
      <c r="M606" s="965"/>
      <c r="N606" s="965"/>
      <c r="O606" s="965"/>
      <c r="P606" s="965"/>
      <c r="Q606" s="965"/>
      <c r="R606" s="965"/>
      <c r="S606" s="965"/>
      <c r="T606" s="965"/>
      <c r="U606" s="965"/>
      <c r="V606" s="965"/>
      <c r="W606" s="965"/>
      <c r="X606" s="965"/>
      <c r="Y606" s="965"/>
      <c r="Z606" s="965"/>
    </row>
    <row r="607">
      <c r="A607" s="965"/>
      <c r="B607" s="965"/>
      <c r="C607" s="965"/>
      <c r="D607" s="965"/>
      <c r="E607" s="965"/>
      <c r="F607" s="965"/>
      <c r="G607" s="965"/>
      <c r="H607" s="965"/>
      <c r="I607" s="965"/>
      <c r="J607" s="965"/>
      <c r="K607" s="965"/>
      <c r="L607" s="965"/>
      <c r="M607" s="965"/>
      <c r="N607" s="965"/>
      <c r="O607" s="965"/>
      <c r="P607" s="965"/>
      <c r="Q607" s="965"/>
      <c r="R607" s="965"/>
      <c r="S607" s="965"/>
      <c r="T607" s="965"/>
      <c r="U607" s="965"/>
      <c r="V607" s="965"/>
      <c r="W607" s="965"/>
      <c r="X607" s="965"/>
      <c r="Y607" s="965"/>
      <c r="Z607" s="965"/>
    </row>
    <row r="608">
      <c r="A608" s="965"/>
      <c r="B608" s="965"/>
      <c r="C608" s="965"/>
      <c r="D608" s="965"/>
      <c r="E608" s="965"/>
      <c r="F608" s="965"/>
      <c r="G608" s="965"/>
      <c r="H608" s="965"/>
      <c r="I608" s="965"/>
      <c r="J608" s="965"/>
      <c r="K608" s="965"/>
      <c r="L608" s="965"/>
      <c r="M608" s="965"/>
      <c r="N608" s="965"/>
      <c r="O608" s="965"/>
      <c r="P608" s="965"/>
      <c r="Q608" s="965"/>
      <c r="R608" s="965"/>
      <c r="S608" s="965"/>
      <c r="T608" s="965"/>
      <c r="U608" s="965"/>
      <c r="V608" s="965"/>
      <c r="W608" s="965"/>
      <c r="X608" s="965"/>
      <c r="Y608" s="965"/>
      <c r="Z608" s="965"/>
    </row>
    <row r="609">
      <c r="A609" s="965"/>
      <c r="B609" s="965"/>
      <c r="C609" s="965"/>
      <c r="D609" s="965"/>
      <c r="E609" s="965"/>
      <c r="F609" s="965"/>
      <c r="G609" s="965"/>
      <c r="H609" s="965"/>
      <c r="I609" s="965"/>
      <c r="J609" s="965"/>
      <c r="K609" s="965"/>
      <c r="L609" s="965"/>
      <c r="M609" s="965"/>
      <c r="N609" s="965"/>
      <c r="O609" s="965"/>
      <c r="P609" s="965"/>
      <c r="Q609" s="965"/>
      <c r="R609" s="965"/>
      <c r="S609" s="965"/>
      <c r="T609" s="965"/>
      <c r="U609" s="965"/>
      <c r="V609" s="965"/>
      <c r="W609" s="965"/>
      <c r="X609" s="965"/>
      <c r="Y609" s="965"/>
      <c r="Z609" s="965"/>
    </row>
    <row r="610">
      <c r="A610" s="965"/>
      <c r="B610" s="965"/>
      <c r="C610" s="965"/>
      <c r="D610" s="965"/>
      <c r="E610" s="965"/>
      <c r="F610" s="965"/>
      <c r="G610" s="965"/>
      <c r="H610" s="965"/>
      <c r="I610" s="965"/>
      <c r="J610" s="965"/>
      <c r="K610" s="965"/>
      <c r="L610" s="965"/>
      <c r="M610" s="965"/>
      <c r="N610" s="965"/>
      <c r="O610" s="965"/>
      <c r="P610" s="965"/>
      <c r="Q610" s="965"/>
      <c r="R610" s="965"/>
      <c r="S610" s="965"/>
      <c r="T610" s="965"/>
      <c r="U610" s="965"/>
      <c r="V610" s="965"/>
      <c r="W610" s="965"/>
      <c r="X610" s="965"/>
      <c r="Y610" s="965"/>
      <c r="Z610" s="965"/>
    </row>
    <row r="611">
      <c r="A611" s="965"/>
      <c r="B611" s="965"/>
      <c r="C611" s="965"/>
      <c r="D611" s="965"/>
      <c r="E611" s="965"/>
      <c r="F611" s="965"/>
      <c r="G611" s="965"/>
      <c r="H611" s="965"/>
      <c r="I611" s="965"/>
      <c r="J611" s="965"/>
      <c r="K611" s="965"/>
      <c r="L611" s="965"/>
      <c r="M611" s="965"/>
      <c r="N611" s="965"/>
      <c r="O611" s="965"/>
      <c r="P611" s="965"/>
      <c r="Q611" s="965"/>
      <c r="R611" s="965"/>
      <c r="S611" s="965"/>
      <c r="T611" s="965"/>
      <c r="U611" s="965"/>
      <c r="V611" s="965"/>
      <c r="W611" s="965"/>
      <c r="X611" s="965"/>
      <c r="Y611" s="965"/>
      <c r="Z611" s="965"/>
    </row>
    <row r="612">
      <c r="A612" s="965"/>
      <c r="B612" s="965"/>
      <c r="C612" s="965"/>
      <c r="D612" s="965"/>
      <c r="E612" s="965"/>
      <c r="F612" s="965"/>
      <c r="G612" s="965"/>
      <c r="H612" s="965"/>
      <c r="I612" s="965"/>
      <c r="J612" s="965"/>
      <c r="K612" s="965"/>
      <c r="L612" s="965"/>
      <c r="M612" s="965"/>
      <c r="N612" s="965"/>
      <c r="O612" s="965"/>
      <c r="P612" s="965"/>
      <c r="Q612" s="965"/>
      <c r="R612" s="965"/>
      <c r="S612" s="965"/>
      <c r="T612" s="965"/>
      <c r="U612" s="965"/>
      <c r="V612" s="965"/>
      <c r="W612" s="965"/>
      <c r="X612" s="965"/>
      <c r="Y612" s="965"/>
      <c r="Z612" s="965"/>
    </row>
    <row r="613">
      <c r="A613" s="965"/>
      <c r="B613" s="965"/>
      <c r="C613" s="965"/>
      <c r="D613" s="965"/>
      <c r="E613" s="965"/>
      <c r="F613" s="965"/>
      <c r="G613" s="965"/>
      <c r="H613" s="965"/>
      <c r="I613" s="965"/>
      <c r="J613" s="965"/>
      <c r="K613" s="965"/>
      <c r="L613" s="965"/>
      <c r="M613" s="965"/>
      <c r="N613" s="965"/>
      <c r="O613" s="965"/>
      <c r="P613" s="965"/>
      <c r="Q613" s="965"/>
      <c r="R613" s="965"/>
      <c r="S613" s="965"/>
      <c r="T613" s="965"/>
      <c r="U613" s="965"/>
      <c r="V613" s="965"/>
      <c r="W613" s="965"/>
      <c r="X613" s="965"/>
      <c r="Y613" s="965"/>
      <c r="Z613" s="965"/>
    </row>
    <row r="614">
      <c r="A614" s="965"/>
      <c r="B614" s="965"/>
      <c r="C614" s="965"/>
      <c r="D614" s="965"/>
      <c r="E614" s="965"/>
      <c r="F614" s="965"/>
      <c r="G614" s="965"/>
      <c r="H614" s="965"/>
      <c r="I614" s="965"/>
      <c r="J614" s="965"/>
      <c r="K614" s="965"/>
      <c r="L614" s="965"/>
      <c r="M614" s="965"/>
      <c r="N614" s="965"/>
      <c r="O614" s="965"/>
      <c r="P614" s="965"/>
      <c r="Q614" s="965"/>
      <c r="R614" s="965"/>
      <c r="S614" s="965"/>
      <c r="T614" s="965"/>
      <c r="U614" s="965"/>
      <c r="V614" s="965"/>
      <c r="W614" s="965"/>
      <c r="X614" s="965"/>
      <c r="Y614" s="965"/>
      <c r="Z614" s="965"/>
    </row>
    <row r="615">
      <c r="A615" s="965"/>
      <c r="B615" s="965"/>
      <c r="C615" s="965"/>
      <c r="D615" s="965"/>
      <c r="E615" s="965"/>
      <c r="F615" s="965"/>
      <c r="G615" s="965"/>
      <c r="H615" s="965"/>
      <c r="I615" s="965"/>
      <c r="J615" s="965"/>
      <c r="K615" s="965"/>
      <c r="L615" s="965"/>
      <c r="M615" s="965"/>
      <c r="N615" s="965"/>
      <c r="O615" s="965"/>
      <c r="P615" s="965"/>
      <c r="Q615" s="965"/>
      <c r="R615" s="965"/>
      <c r="S615" s="965"/>
      <c r="T615" s="965"/>
      <c r="U615" s="965"/>
      <c r="V615" s="965"/>
      <c r="W615" s="965"/>
      <c r="X615" s="965"/>
      <c r="Y615" s="965"/>
      <c r="Z615" s="965"/>
    </row>
    <row r="616">
      <c r="A616" s="965"/>
      <c r="B616" s="965"/>
      <c r="C616" s="965"/>
      <c r="D616" s="965"/>
      <c r="E616" s="965"/>
      <c r="F616" s="965"/>
      <c r="G616" s="965"/>
      <c r="H616" s="965"/>
      <c r="I616" s="965"/>
      <c r="J616" s="965"/>
      <c r="K616" s="965"/>
      <c r="L616" s="965"/>
      <c r="M616" s="965"/>
      <c r="N616" s="965"/>
      <c r="O616" s="965"/>
      <c r="P616" s="965"/>
      <c r="Q616" s="965"/>
      <c r="R616" s="965"/>
      <c r="S616" s="965"/>
      <c r="T616" s="965"/>
      <c r="U616" s="965"/>
      <c r="V616" s="965"/>
      <c r="W616" s="965"/>
      <c r="X616" s="965"/>
      <c r="Y616" s="965"/>
      <c r="Z616" s="965"/>
    </row>
    <row r="617">
      <c r="A617" s="965"/>
      <c r="B617" s="965"/>
      <c r="C617" s="965"/>
      <c r="D617" s="965"/>
      <c r="E617" s="965"/>
      <c r="F617" s="965"/>
      <c r="G617" s="965"/>
      <c r="H617" s="965"/>
      <c r="I617" s="965"/>
      <c r="J617" s="965"/>
      <c r="K617" s="965"/>
      <c r="L617" s="965"/>
      <c r="M617" s="965"/>
      <c r="N617" s="965"/>
      <c r="O617" s="965"/>
      <c r="P617" s="965"/>
      <c r="Q617" s="965"/>
      <c r="R617" s="965"/>
      <c r="S617" s="965"/>
      <c r="T617" s="965"/>
      <c r="U617" s="965"/>
      <c r="V617" s="965"/>
      <c r="W617" s="965"/>
      <c r="X617" s="965"/>
      <c r="Y617" s="965"/>
      <c r="Z617" s="965"/>
    </row>
    <row r="618">
      <c r="A618" s="965"/>
      <c r="B618" s="965"/>
      <c r="C618" s="965"/>
      <c r="D618" s="965"/>
      <c r="E618" s="965"/>
      <c r="F618" s="965"/>
      <c r="G618" s="965"/>
      <c r="H618" s="965"/>
      <c r="I618" s="965"/>
      <c r="J618" s="965"/>
      <c r="K618" s="965"/>
      <c r="L618" s="965"/>
      <c r="M618" s="965"/>
      <c r="N618" s="965"/>
      <c r="O618" s="965"/>
      <c r="P618" s="965"/>
      <c r="Q618" s="965"/>
      <c r="R618" s="965"/>
      <c r="S618" s="965"/>
      <c r="T618" s="965"/>
      <c r="U618" s="965"/>
      <c r="V618" s="965"/>
      <c r="W618" s="965"/>
      <c r="X618" s="965"/>
      <c r="Y618" s="965"/>
      <c r="Z618" s="965"/>
    </row>
    <row r="619">
      <c r="A619" s="965"/>
      <c r="B619" s="965"/>
      <c r="C619" s="965"/>
      <c r="D619" s="965"/>
      <c r="E619" s="965"/>
      <c r="F619" s="965"/>
      <c r="G619" s="965"/>
      <c r="H619" s="965"/>
      <c r="I619" s="965"/>
      <c r="J619" s="965"/>
      <c r="K619" s="965"/>
      <c r="L619" s="965"/>
      <c r="M619" s="965"/>
      <c r="N619" s="965"/>
      <c r="O619" s="965"/>
      <c r="P619" s="965"/>
      <c r="Q619" s="965"/>
      <c r="R619" s="965"/>
      <c r="S619" s="965"/>
      <c r="T619" s="965"/>
      <c r="U619" s="965"/>
      <c r="V619" s="965"/>
      <c r="W619" s="965"/>
      <c r="X619" s="965"/>
      <c r="Y619" s="965"/>
      <c r="Z619" s="965"/>
    </row>
    <row r="620">
      <c r="A620" s="965"/>
      <c r="B620" s="965"/>
      <c r="C620" s="965"/>
      <c r="D620" s="965"/>
      <c r="E620" s="965"/>
      <c r="F620" s="965"/>
      <c r="G620" s="965"/>
      <c r="H620" s="965"/>
      <c r="I620" s="965"/>
      <c r="J620" s="965"/>
      <c r="K620" s="965"/>
      <c r="L620" s="965"/>
      <c r="M620" s="965"/>
      <c r="N620" s="965"/>
      <c r="O620" s="965"/>
      <c r="P620" s="965"/>
      <c r="Q620" s="965"/>
      <c r="R620" s="965"/>
      <c r="S620" s="965"/>
      <c r="T620" s="965"/>
      <c r="U620" s="965"/>
      <c r="V620" s="965"/>
      <c r="W620" s="965"/>
      <c r="X620" s="965"/>
      <c r="Y620" s="965"/>
      <c r="Z620" s="965"/>
    </row>
    <row r="621">
      <c r="A621" s="965"/>
      <c r="B621" s="965"/>
      <c r="C621" s="965"/>
      <c r="D621" s="965"/>
      <c r="E621" s="965"/>
      <c r="F621" s="965"/>
      <c r="G621" s="965"/>
      <c r="H621" s="965"/>
      <c r="I621" s="965"/>
      <c r="J621" s="965"/>
      <c r="K621" s="965"/>
      <c r="L621" s="965"/>
      <c r="M621" s="965"/>
      <c r="N621" s="965"/>
      <c r="O621" s="965"/>
      <c r="P621" s="965"/>
      <c r="Q621" s="965"/>
      <c r="R621" s="965"/>
      <c r="S621" s="965"/>
      <c r="T621" s="965"/>
      <c r="U621" s="965"/>
      <c r="V621" s="965"/>
      <c r="W621" s="965"/>
      <c r="X621" s="965"/>
      <c r="Y621" s="965"/>
      <c r="Z621" s="965"/>
    </row>
    <row r="622">
      <c r="A622" s="965"/>
      <c r="B622" s="965"/>
      <c r="C622" s="965"/>
      <c r="D622" s="965"/>
      <c r="E622" s="965"/>
      <c r="F622" s="965"/>
      <c r="G622" s="965"/>
      <c r="H622" s="965"/>
      <c r="I622" s="965"/>
      <c r="J622" s="965"/>
      <c r="K622" s="965"/>
      <c r="L622" s="965"/>
      <c r="M622" s="965"/>
      <c r="N622" s="965"/>
      <c r="O622" s="965"/>
      <c r="P622" s="965"/>
      <c r="Q622" s="965"/>
      <c r="R622" s="965"/>
      <c r="S622" s="965"/>
      <c r="T622" s="965"/>
      <c r="U622" s="965"/>
      <c r="V622" s="965"/>
      <c r="W622" s="965"/>
      <c r="X622" s="965"/>
      <c r="Y622" s="965"/>
      <c r="Z622" s="965"/>
    </row>
    <row r="623">
      <c r="A623" s="965"/>
      <c r="B623" s="965"/>
      <c r="C623" s="965"/>
      <c r="D623" s="965"/>
      <c r="E623" s="965"/>
      <c r="F623" s="965"/>
      <c r="G623" s="965"/>
      <c r="H623" s="965"/>
      <c r="I623" s="965"/>
      <c r="J623" s="965"/>
      <c r="K623" s="965"/>
      <c r="L623" s="965"/>
      <c r="M623" s="965"/>
      <c r="N623" s="965"/>
      <c r="O623" s="965"/>
      <c r="P623" s="965"/>
      <c r="Q623" s="965"/>
      <c r="R623" s="965"/>
      <c r="S623" s="965"/>
      <c r="T623" s="965"/>
      <c r="U623" s="965"/>
      <c r="V623" s="965"/>
      <c r="W623" s="965"/>
      <c r="X623" s="965"/>
      <c r="Y623" s="965"/>
      <c r="Z623" s="965"/>
    </row>
    <row r="624">
      <c r="A624" s="965"/>
      <c r="B624" s="965"/>
      <c r="C624" s="965"/>
      <c r="D624" s="965"/>
      <c r="E624" s="965"/>
      <c r="F624" s="965"/>
      <c r="G624" s="965"/>
      <c r="H624" s="965"/>
      <c r="I624" s="965"/>
      <c r="J624" s="965"/>
      <c r="K624" s="965"/>
      <c r="L624" s="965"/>
      <c r="M624" s="965"/>
      <c r="N624" s="965"/>
      <c r="O624" s="965"/>
      <c r="P624" s="965"/>
      <c r="Q624" s="965"/>
      <c r="R624" s="965"/>
      <c r="S624" s="965"/>
      <c r="T624" s="965"/>
      <c r="U624" s="965"/>
      <c r="V624" s="965"/>
      <c r="W624" s="965"/>
      <c r="X624" s="965"/>
      <c r="Y624" s="965"/>
      <c r="Z624" s="965"/>
    </row>
    <row r="625">
      <c r="A625" s="965"/>
      <c r="B625" s="965"/>
      <c r="C625" s="965"/>
      <c r="D625" s="965"/>
      <c r="E625" s="965"/>
      <c r="F625" s="965"/>
      <c r="G625" s="965"/>
      <c r="H625" s="965"/>
      <c r="I625" s="965"/>
      <c r="J625" s="965"/>
      <c r="K625" s="965"/>
      <c r="L625" s="965"/>
      <c r="M625" s="965"/>
      <c r="N625" s="965"/>
      <c r="O625" s="965"/>
      <c r="P625" s="965"/>
      <c r="Q625" s="965"/>
      <c r="R625" s="965"/>
      <c r="S625" s="965"/>
      <c r="T625" s="965"/>
      <c r="U625" s="965"/>
      <c r="V625" s="965"/>
      <c r="W625" s="965"/>
      <c r="X625" s="965"/>
      <c r="Y625" s="965"/>
      <c r="Z625" s="965"/>
    </row>
    <row r="626">
      <c r="A626" s="965"/>
      <c r="B626" s="965"/>
      <c r="C626" s="965"/>
      <c r="D626" s="965"/>
      <c r="E626" s="965"/>
      <c r="F626" s="965"/>
      <c r="G626" s="965"/>
      <c r="H626" s="965"/>
      <c r="I626" s="965"/>
      <c r="J626" s="965"/>
      <c r="K626" s="965"/>
      <c r="L626" s="965"/>
      <c r="M626" s="965"/>
      <c r="N626" s="965"/>
      <c r="O626" s="965"/>
      <c r="P626" s="965"/>
      <c r="Q626" s="965"/>
      <c r="R626" s="965"/>
      <c r="S626" s="965"/>
      <c r="T626" s="965"/>
      <c r="U626" s="965"/>
      <c r="V626" s="965"/>
      <c r="W626" s="965"/>
      <c r="X626" s="965"/>
      <c r="Y626" s="965"/>
      <c r="Z626" s="965"/>
    </row>
    <row r="627">
      <c r="A627" s="965"/>
      <c r="B627" s="965"/>
      <c r="C627" s="965"/>
      <c r="D627" s="965"/>
      <c r="E627" s="965"/>
      <c r="F627" s="965"/>
      <c r="G627" s="965"/>
      <c r="H627" s="965"/>
      <c r="I627" s="965"/>
      <c r="J627" s="965"/>
      <c r="K627" s="965"/>
      <c r="L627" s="965"/>
      <c r="M627" s="965"/>
      <c r="N627" s="965"/>
      <c r="O627" s="965"/>
      <c r="P627" s="965"/>
      <c r="Q627" s="965"/>
      <c r="R627" s="965"/>
      <c r="S627" s="965"/>
      <c r="T627" s="965"/>
      <c r="U627" s="965"/>
      <c r="V627" s="965"/>
      <c r="W627" s="965"/>
      <c r="X627" s="965"/>
      <c r="Y627" s="965"/>
      <c r="Z627" s="965"/>
    </row>
    <row r="628">
      <c r="A628" s="965"/>
      <c r="B628" s="965"/>
      <c r="C628" s="965"/>
      <c r="D628" s="965"/>
      <c r="E628" s="965"/>
      <c r="F628" s="965"/>
      <c r="G628" s="965"/>
      <c r="H628" s="965"/>
      <c r="I628" s="965"/>
      <c r="J628" s="965"/>
      <c r="K628" s="965"/>
      <c r="L628" s="965"/>
      <c r="M628" s="965"/>
      <c r="N628" s="965"/>
      <c r="O628" s="965"/>
      <c r="P628" s="965"/>
      <c r="Q628" s="965"/>
      <c r="R628" s="965"/>
      <c r="S628" s="965"/>
      <c r="T628" s="965"/>
      <c r="U628" s="965"/>
      <c r="V628" s="965"/>
      <c r="W628" s="965"/>
      <c r="X628" s="965"/>
      <c r="Y628" s="965"/>
      <c r="Z628" s="965"/>
    </row>
    <row r="629">
      <c r="A629" s="965"/>
      <c r="B629" s="965"/>
      <c r="C629" s="965"/>
      <c r="D629" s="965"/>
      <c r="E629" s="965"/>
      <c r="F629" s="965"/>
      <c r="G629" s="965"/>
      <c r="H629" s="965"/>
      <c r="I629" s="965"/>
      <c r="J629" s="965"/>
      <c r="K629" s="965"/>
      <c r="L629" s="965"/>
      <c r="M629" s="965"/>
      <c r="N629" s="965"/>
      <c r="O629" s="965"/>
      <c r="P629" s="965"/>
      <c r="Q629" s="965"/>
      <c r="R629" s="965"/>
      <c r="S629" s="965"/>
      <c r="T629" s="965"/>
      <c r="U629" s="965"/>
      <c r="V629" s="965"/>
      <c r="W629" s="965"/>
      <c r="X629" s="965"/>
      <c r="Y629" s="965"/>
      <c r="Z629" s="965"/>
    </row>
    <row r="630">
      <c r="A630" s="965"/>
      <c r="B630" s="965"/>
      <c r="C630" s="965"/>
      <c r="D630" s="965"/>
      <c r="E630" s="965"/>
      <c r="F630" s="965"/>
      <c r="G630" s="965"/>
      <c r="H630" s="965"/>
      <c r="I630" s="965"/>
      <c r="J630" s="965"/>
      <c r="K630" s="965"/>
      <c r="L630" s="965"/>
      <c r="M630" s="965"/>
      <c r="N630" s="965"/>
      <c r="O630" s="965"/>
      <c r="P630" s="965"/>
      <c r="Q630" s="965"/>
      <c r="R630" s="965"/>
      <c r="S630" s="965"/>
      <c r="T630" s="965"/>
      <c r="U630" s="965"/>
      <c r="V630" s="965"/>
      <c r="W630" s="965"/>
      <c r="X630" s="965"/>
      <c r="Y630" s="965"/>
      <c r="Z630" s="965"/>
    </row>
    <row r="631">
      <c r="A631" s="965"/>
      <c r="B631" s="965"/>
      <c r="C631" s="965"/>
      <c r="D631" s="965"/>
      <c r="E631" s="965"/>
      <c r="F631" s="965"/>
      <c r="G631" s="965"/>
      <c r="H631" s="965"/>
      <c r="I631" s="965"/>
      <c r="J631" s="965"/>
      <c r="K631" s="965"/>
      <c r="L631" s="965"/>
      <c r="M631" s="965"/>
      <c r="N631" s="965"/>
      <c r="O631" s="965"/>
      <c r="P631" s="965"/>
      <c r="Q631" s="965"/>
      <c r="R631" s="965"/>
      <c r="S631" s="965"/>
      <c r="T631" s="965"/>
      <c r="U631" s="965"/>
      <c r="V631" s="965"/>
      <c r="W631" s="965"/>
      <c r="X631" s="965"/>
      <c r="Y631" s="965"/>
      <c r="Z631" s="965"/>
    </row>
    <row r="632">
      <c r="A632" s="965"/>
      <c r="B632" s="965"/>
      <c r="C632" s="965"/>
      <c r="D632" s="965"/>
      <c r="E632" s="965"/>
      <c r="F632" s="965"/>
      <c r="G632" s="965"/>
      <c r="H632" s="965"/>
      <c r="I632" s="965"/>
      <c r="J632" s="965"/>
      <c r="K632" s="965"/>
      <c r="L632" s="965"/>
      <c r="M632" s="965"/>
      <c r="N632" s="965"/>
      <c r="O632" s="965"/>
      <c r="P632" s="965"/>
      <c r="Q632" s="965"/>
      <c r="R632" s="965"/>
      <c r="S632" s="965"/>
      <c r="T632" s="965"/>
      <c r="U632" s="965"/>
      <c r="V632" s="965"/>
      <c r="W632" s="965"/>
      <c r="X632" s="965"/>
      <c r="Y632" s="965"/>
      <c r="Z632" s="965"/>
    </row>
    <row r="633">
      <c r="A633" s="965"/>
      <c r="B633" s="965"/>
      <c r="C633" s="965"/>
      <c r="D633" s="965"/>
      <c r="E633" s="965"/>
      <c r="F633" s="965"/>
      <c r="G633" s="965"/>
      <c r="H633" s="965"/>
      <c r="I633" s="965"/>
      <c r="J633" s="965"/>
      <c r="K633" s="965"/>
      <c r="L633" s="965"/>
      <c r="M633" s="965"/>
      <c r="N633" s="965"/>
      <c r="O633" s="965"/>
      <c r="P633" s="965"/>
      <c r="Q633" s="965"/>
      <c r="R633" s="965"/>
      <c r="S633" s="965"/>
      <c r="T633" s="965"/>
      <c r="U633" s="965"/>
      <c r="V633" s="965"/>
      <c r="W633" s="965"/>
      <c r="X633" s="965"/>
      <c r="Y633" s="965"/>
      <c r="Z633" s="965"/>
    </row>
    <row r="634">
      <c r="A634" s="965"/>
      <c r="B634" s="965"/>
      <c r="C634" s="965"/>
      <c r="D634" s="965"/>
      <c r="E634" s="965"/>
      <c r="F634" s="965"/>
      <c r="G634" s="965"/>
      <c r="H634" s="965"/>
      <c r="I634" s="965"/>
      <c r="J634" s="965"/>
      <c r="K634" s="965"/>
      <c r="L634" s="965"/>
      <c r="M634" s="965"/>
      <c r="N634" s="965"/>
      <c r="O634" s="965"/>
      <c r="P634" s="965"/>
      <c r="Q634" s="965"/>
      <c r="R634" s="965"/>
      <c r="S634" s="965"/>
      <c r="T634" s="965"/>
      <c r="U634" s="965"/>
      <c r="V634" s="965"/>
      <c r="W634" s="965"/>
      <c r="X634" s="965"/>
      <c r="Y634" s="965"/>
      <c r="Z634" s="965"/>
    </row>
    <row r="635">
      <c r="A635" s="965"/>
      <c r="B635" s="965"/>
      <c r="C635" s="965"/>
      <c r="D635" s="965"/>
      <c r="E635" s="965"/>
      <c r="F635" s="965"/>
      <c r="G635" s="965"/>
      <c r="H635" s="965"/>
      <c r="I635" s="965"/>
      <c r="J635" s="965"/>
      <c r="K635" s="965"/>
      <c r="L635" s="965"/>
      <c r="M635" s="965"/>
      <c r="N635" s="965"/>
      <c r="O635" s="965"/>
      <c r="P635" s="965"/>
      <c r="Q635" s="965"/>
      <c r="R635" s="965"/>
      <c r="S635" s="965"/>
      <c r="T635" s="965"/>
      <c r="U635" s="965"/>
      <c r="V635" s="965"/>
      <c r="W635" s="965"/>
      <c r="X635" s="965"/>
      <c r="Y635" s="965"/>
      <c r="Z635" s="965"/>
    </row>
    <row r="636">
      <c r="A636" s="965"/>
      <c r="B636" s="965"/>
      <c r="C636" s="965"/>
      <c r="D636" s="965"/>
      <c r="E636" s="965"/>
      <c r="F636" s="965"/>
      <c r="G636" s="965"/>
      <c r="H636" s="965"/>
      <c r="I636" s="965"/>
      <c r="J636" s="965"/>
      <c r="K636" s="965"/>
      <c r="L636" s="965"/>
      <c r="M636" s="965"/>
      <c r="N636" s="965"/>
      <c r="O636" s="965"/>
      <c r="P636" s="965"/>
      <c r="Q636" s="965"/>
      <c r="R636" s="965"/>
      <c r="S636" s="965"/>
      <c r="T636" s="965"/>
      <c r="U636" s="965"/>
      <c r="V636" s="965"/>
      <c r="W636" s="965"/>
      <c r="X636" s="965"/>
      <c r="Y636" s="965"/>
      <c r="Z636" s="965"/>
    </row>
    <row r="637">
      <c r="A637" s="965"/>
      <c r="B637" s="965"/>
      <c r="C637" s="965"/>
      <c r="D637" s="965"/>
      <c r="E637" s="965"/>
      <c r="F637" s="965"/>
      <c r="G637" s="965"/>
      <c r="H637" s="965"/>
      <c r="I637" s="965"/>
      <c r="J637" s="965"/>
      <c r="K637" s="965"/>
      <c r="L637" s="965"/>
      <c r="M637" s="965"/>
      <c r="N637" s="965"/>
      <c r="O637" s="965"/>
      <c r="P637" s="965"/>
      <c r="Q637" s="965"/>
      <c r="R637" s="965"/>
      <c r="S637" s="965"/>
      <c r="T637" s="965"/>
      <c r="U637" s="965"/>
      <c r="V637" s="965"/>
      <c r="W637" s="965"/>
      <c r="X637" s="965"/>
      <c r="Y637" s="965"/>
      <c r="Z637" s="965"/>
    </row>
    <row r="638">
      <c r="A638" s="965"/>
      <c r="B638" s="965"/>
      <c r="C638" s="965"/>
      <c r="D638" s="965"/>
      <c r="E638" s="965"/>
      <c r="F638" s="965"/>
      <c r="G638" s="965"/>
      <c r="H638" s="965"/>
      <c r="I638" s="965"/>
      <c r="J638" s="965"/>
      <c r="K638" s="965"/>
      <c r="L638" s="965"/>
      <c r="M638" s="965"/>
      <c r="N638" s="965"/>
      <c r="O638" s="965"/>
      <c r="P638" s="965"/>
      <c r="Q638" s="965"/>
      <c r="R638" s="965"/>
      <c r="S638" s="965"/>
      <c r="T638" s="965"/>
      <c r="U638" s="965"/>
      <c r="V638" s="965"/>
      <c r="W638" s="965"/>
      <c r="X638" s="965"/>
      <c r="Y638" s="965"/>
      <c r="Z638" s="965"/>
    </row>
    <row r="639">
      <c r="A639" s="965"/>
      <c r="B639" s="965"/>
      <c r="C639" s="965"/>
      <c r="D639" s="965"/>
      <c r="E639" s="965"/>
      <c r="F639" s="965"/>
      <c r="G639" s="965"/>
      <c r="H639" s="965"/>
      <c r="I639" s="965"/>
      <c r="J639" s="965"/>
      <c r="K639" s="965"/>
      <c r="L639" s="965"/>
      <c r="M639" s="965"/>
      <c r="N639" s="965"/>
      <c r="O639" s="965"/>
      <c r="P639" s="965"/>
      <c r="Q639" s="965"/>
      <c r="R639" s="965"/>
      <c r="S639" s="965"/>
      <c r="T639" s="965"/>
      <c r="U639" s="965"/>
      <c r="V639" s="965"/>
      <c r="W639" s="965"/>
      <c r="X639" s="965"/>
      <c r="Y639" s="965"/>
      <c r="Z639" s="965"/>
    </row>
    <row r="640">
      <c r="A640" s="965"/>
      <c r="B640" s="965"/>
      <c r="C640" s="965"/>
      <c r="D640" s="965"/>
      <c r="E640" s="965"/>
      <c r="F640" s="965"/>
      <c r="G640" s="965"/>
      <c r="H640" s="965"/>
      <c r="I640" s="965"/>
      <c r="J640" s="965"/>
      <c r="K640" s="965"/>
      <c r="L640" s="965"/>
      <c r="M640" s="965"/>
      <c r="N640" s="965"/>
      <c r="O640" s="965"/>
      <c r="P640" s="965"/>
      <c r="Q640" s="965"/>
      <c r="R640" s="965"/>
      <c r="S640" s="965"/>
      <c r="T640" s="965"/>
      <c r="U640" s="965"/>
      <c r="V640" s="965"/>
      <c r="W640" s="965"/>
      <c r="X640" s="965"/>
      <c r="Y640" s="965"/>
      <c r="Z640" s="965"/>
    </row>
    <row r="641">
      <c r="A641" s="965"/>
      <c r="B641" s="965"/>
      <c r="C641" s="965"/>
      <c r="D641" s="965"/>
      <c r="E641" s="965"/>
      <c r="F641" s="965"/>
      <c r="G641" s="965"/>
      <c r="H641" s="965"/>
      <c r="I641" s="965"/>
      <c r="J641" s="965"/>
      <c r="K641" s="965"/>
      <c r="L641" s="965"/>
      <c r="M641" s="965"/>
      <c r="N641" s="965"/>
      <c r="O641" s="965"/>
      <c r="P641" s="965"/>
      <c r="Q641" s="965"/>
      <c r="R641" s="965"/>
      <c r="S641" s="965"/>
      <c r="T641" s="965"/>
      <c r="U641" s="965"/>
      <c r="V641" s="965"/>
      <c r="W641" s="965"/>
      <c r="X641" s="965"/>
      <c r="Y641" s="965"/>
      <c r="Z641" s="965"/>
    </row>
    <row r="642">
      <c r="A642" s="965"/>
      <c r="B642" s="965"/>
      <c r="C642" s="965"/>
      <c r="D642" s="965"/>
      <c r="E642" s="965"/>
      <c r="F642" s="965"/>
      <c r="G642" s="965"/>
      <c r="H642" s="965"/>
      <c r="I642" s="965"/>
      <c r="J642" s="965"/>
      <c r="K642" s="965"/>
      <c r="L642" s="965"/>
      <c r="M642" s="965"/>
      <c r="N642" s="965"/>
      <c r="O642" s="965"/>
      <c r="P642" s="965"/>
      <c r="Q642" s="965"/>
      <c r="R642" s="965"/>
      <c r="S642" s="965"/>
      <c r="T642" s="965"/>
      <c r="U642" s="965"/>
      <c r="V642" s="965"/>
      <c r="W642" s="965"/>
      <c r="X642" s="965"/>
      <c r="Y642" s="965"/>
      <c r="Z642" s="965"/>
    </row>
    <row r="643">
      <c r="A643" s="965"/>
      <c r="B643" s="965"/>
      <c r="C643" s="965"/>
      <c r="D643" s="965"/>
      <c r="E643" s="965"/>
      <c r="F643" s="965"/>
      <c r="G643" s="965"/>
      <c r="H643" s="965"/>
      <c r="I643" s="965"/>
      <c r="J643" s="965"/>
      <c r="K643" s="965"/>
      <c r="L643" s="965"/>
      <c r="M643" s="965"/>
      <c r="N643" s="965"/>
      <c r="O643" s="965"/>
      <c r="P643" s="965"/>
      <c r="Q643" s="965"/>
      <c r="R643" s="965"/>
      <c r="S643" s="965"/>
      <c r="T643" s="965"/>
      <c r="U643" s="965"/>
      <c r="V643" s="965"/>
      <c r="W643" s="965"/>
      <c r="X643" s="965"/>
      <c r="Y643" s="965"/>
      <c r="Z643" s="965"/>
    </row>
    <row r="644">
      <c r="A644" s="965"/>
      <c r="B644" s="965"/>
      <c r="C644" s="965"/>
      <c r="D644" s="965"/>
      <c r="E644" s="965"/>
      <c r="F644" s="965"/>
      <c r="G644" s="965"/>
      <c r="H644" s="965"/>
      <c r="I644" s="965"/>
      <c r="J644" s="965"/>
      <c r="K644" s="965"/>
      <c r="L644" s="965"/>
      <c r="M644" s="965"/>
      <c r="N644" s="965"/>
      <c r="O644" s="965"/>
      <c r="P644" s="965"/>
      <c r="Q644" s="965"/>
      <c r="R644" s="965"/>
      <c r="S644" s="965"/>
      <c r="T644" s="965"/>
      <c r="U644" s="965"/>
      <c r="V644" s="965"/>
      <c r="W644" s="965"/>
      <c r="X644" s="965"/>
      <c r="Y644" s="965"/>
      <c r="Z644" s="965"/>
    </row>
    <row r="645">
      <c r="A645" s="965"/>
      <c r="B645" s="965"/>
      <c r="C645" s="965"/>
      <c r="D645" s="965"/>
      <c r="E645" s="965"/>
      <c r="F645" s="965"/>
      <c r="G645" s="965"/>
      <c r="H645" s="965"/>
      <c r="I645" s="965"/>
      <c r="J645" s="965"/>
      <c r="K645" s="965"/>
      <c r="L645" s="965"/>
      <c r="M645" s="965"/>
      <c r="N645" s="965"/>
      <c r="O645" s="965"/>
      <c r="P645" s="965"/>
      <c r="Q645" s="965"/>
      <c r="R645" s="965"/>
      <c r="S645" s="965"/>
      <c r="T645" s="965"/>
      <c r="U645" s="965"/>
      <c r="V645" s="965"/>
      <c r="W645" s="965"/>
      <c r="X645" s="965"/>
      <c r="Y645" s="965"/>
      <c r="Z645" s="965"/>
    </row>
    <row r="646">
      <c r="A646" s="965"/>
      <c r="B646" s="965"/>
      <c r="C646" s="965"/>
      <c r="D646" s="965"/>
      <c r="E646" s="965"/>
      <c r="F646" s="965"/>
      <c r="G646" s="965"/>
      <c r="H646" s="965"/>
      <c r="I646" s="965"/>
      <c r="J646" s="965"/>
      <c r="K646" s="965"/>
      <c r="L646" s="965"/>
      <c r="M646" s="965"/>
      <c r="N646" s="965"/>
      <c r="O646" s="965"/>
      <c r="P646" s="965"/>
      <c r="Q646" s="965"/>
      <c r="R646" s="965"/>
      <c r="S646" s="965"/>
      <c r="T646" s="965"/>
      <c r="U646" s="965"/>
      <c r="V646" s="965"/>
      <c r="W646" s="965"/>
      <c r="X646" s="965"/>
      <c r="Y646" s="965"/>
      <c r="Z646" s="965"/>
    </row>
    <row r="647">
      <c r="A647" s="965"/>
      <c r="B647" s="965"/>
      <c r="C647" s="965"/>
      <c r="D647" s="965"/>
      <c r="E647" s="965"/>
      <c r="F647" s="965"/>
      <c r="G647" s="965"/>
      <c r="H647" s="965"/>
      <c r="I647" s="965"/>
      <c r="J647" s="965"/>
      <c r="K647" s="965"/>
      <c r="L647" s="965"/>
      <c r="M647" s="965"/>
      <c r="N647" s="965"/>
      <c r="O647" s="965"/>
      <c r="P647" s="965"/>
      <c r="Q647" s="965"/>
      <c r="R647" s="965"/>
      <c r="S647" s="965"/>
      <c r="T647" s="965"/>
      <c r="U647" s="965"/>
      <c r="V647" s="965"/>
      <c r="W647" s="965"/>
      <c r="X647" s="965"/>
      <c r="Y647" s="965"/>
      <c r="Z647" s="965"/>
    </row>
    <row r="648">
      <c r="A648" s="965"/>
      <c r="B648" s="965"/>
      <c r="C648" s="965"/>
      <c r="D648" s="965"/>
      <c r="E648" s="965"/>
      <c r="F648" s="965"/>
      <c r="G648" s="965"/>
      <c r="H648" s="965"/>
      <c r="I648" s="965"/>
      <c r="J648" s="965"/>
      <c r="K648" s="965"/>
      <c r="L648" s="965"/>
      <c r="M648" s="965"/>
      <c r="N648" s="965"/>
      <c r="O648" s="965"/>
      <c r="P648" s="965"/>
      <c r="Q648" s="965"/>
      <c r="R648" s="965"/>
      <c r="S648" s="965"/>
      <c r="T648" s="965"/>
      <c r="U648" s="965"/>
      <c r="V648" s="965"/>
      <c r="W648" s="965"/>
      <c r="X648" s="965"/>
      <c r="Y648" s="965"/>
      <c r="Z648" s="965"/>
    </row>
    <row r="649">
      <c r="A649" s="965"/>
      <c r="B649" s="965"/>
      <c r="C649" s="965"/>
      <c r="D649" s="965"/>
      <c r="E649" s="965"/>
      <c r="F649" s="965"/>
      <c r="G649" s="965"/>
      <c r="H649" s="965"/>
      <c r="I649" s="965"/>
      <c r="J649" s="965"/>
      <c r="K649" s="965"/>
      <c r="L649" s="965"/>
      <c r="M649" s="965"/>
      <c r="N649" s="965"/>
      <c r="O649" s="965"/>
      <c r="P649" s="965"/>
      <c r="Q649" s="965"/>
      <c r="R649" s="965"/>
      <c r="S649" s="965"/>
      <c r="T649" s="965"/>
      <c r="U649" s="965"/>
      <c r="V649" s="965"/>
      <c r="W649" s="965"/>
      <c r="X649" s="965"/>
      <c r="Y649" s="965"/>
      <c r="Z649" s="965"/>
    </row>
    <row r="650">
      <c r="A650" s="965"/>
      <c r="B650" s="965"/>
      <c r="C650" s="965"/>
      <c r="D650" s="965"/>
      <c r="E650" s="965"/>
      <c r="F650" s="965"/>
      <c r="G650" s="965"/>
      <c r="H650" s="965"/>
      <c r="I650" s="965"/>
      <c r="J650" s="965"/>
      <c r="K650" s="965"/>
      <c r="L650" s="965"/>
      <c r="M650" s="965"/>
      <c r="N650" s="965"/>
      <c r="O650" s="965"/>
      <c r="P650" s="965"/>
      <c r="Q650" s="965"/>
      <c r="R650" s="965"/>
      <c r="S650" s="965"/>
      <c r="T650" s="965"/>
      <c r="U650" s="965"/>
      <c r="V650" s="965"/>
      <c r="W650" s="965"/>
      <c r="X650" s="965"/>
      <c r="Y650" s="965"/>
      <c r="Z650" s="965"/>
    </row>
    <row r="651">
      <c r="A651" s="965"/>
      <c r="B651" s="965"/>
      <c r="C651" s="965"/>
      <c r="D651" s="965"/>
      <c r="E651" s="965"/>
      <c r="F651" s="965"/>
      <c r="G651" s="965"/>
      <c r="H651" s="965"/>
      <c r="I651" s="965"/>
      <c r="J651" s="965"/>
      <c r="K651" s="965"/>
      <c r="L651" s="965"/>
      <c r="M651" s="965"/>
      <c r="N651" s="965"/>
      <c r="O651" s="965"/>
      <c r="P651" s="965"/>
      <c r="Q651" s="965"/>
      <c r="R651" s="965"/>
      <c r="S651" s="965"/>
      <c r="T651" s="965"/>
      <c r="U651" s="965"/>
      <c r="V651" s="965"/>
      <c r="W651" s="965"/>
      <c r="X651" s="965"/>
      <c r="Y651" s="965"/>
      <c r="Z651" s="965"/>
    </row>
    <row r="652">
      <c r="A652" s="965"/>
      <c r="B652" s="965"/>
      <c r="C652" s="965"/>
      <c r="D652" s="965"/>
      <c r="E652" s="965"/>
      <c r="F652" s="965"/>
      <c r="G652" s="965"/>
      <c r="H652" s="965"/>
      <c r="I652" s="965"/>
      <c r="J652" s="965"/>
      <c r="K652" s="965"/>
      <c r="L652" s="965"/>
      <c r="M652" s="965"/>
      <c r="N652" s="965"/>
      <c r="O652" s="965"/>
      <c r="P652" s="965"/>
      <c r="Q652" s="965"/>
      <c r="R652" s="965"/>
      <c r="S652" s="965"/>
      <c r="T652" s="965"/>
      <c r="U652" s="965"/>
      <c r="V652" s="965"/>
      <c r="W652" s="965"/>
      <c r="X652" s="965"/>
      <c r="Y652" s="965"/>
      <c r="Z652" s="965"/>
    </row>
    <row r="653">
      <c r="A653" s="965"/>
      <c r="B653" s="965"/>
      <c r="C653" s="965"/>
      <c r="D653" s="965"/>
      <c r="E653" s="965"/>
      <c r="F653" s="965"/>
      <c r="G653" s="965"/>
      <c r="H653" s="965"/>
      <c r="I653" s="965"/>
      <c r="J653" s="965"/>
      <c r="K653" s="965"/>
      <c r="L653" s="965"/>
      <c r="M653" s="965"/>
      <c r="N653" s="965"/>
      <c r="O653" s="965"/>
      <c r="P653" s="965"/>
      <c r="Q653" s="965"/>
      <c r="R653" s="965"/>
      <c r="S653" s="965"/>
      <c r="T653" s="965"/>
      <c r="U653" s="965"/>
      <c r="V653" s="965"/>
      <c r="W653" s="965"/>
      <c r="X653" s="965"/>
      <c r="Y653" s="965"/>
      <c r="Z653" s="965"/>
    </row>
    <row r="654">
      <c r="A654" s="965"/>
      <c r="B654" s="965"/>
      <c r="C654" s="965"/>
      <c r="D654" s="965"/>
      <c r="E654" s="965"/>
      <c r="F654" s="965"/>
      <c r="G654" s="965"/>
      <c r="H654" s="965"/>
      <c r="I654" s="965"/>
      <c r="J654" s="965"/>
      <c r="K654" s="965"/>
      <c r="L654" s="965"/>
      <c r="M654" s="965"/>
      <c r="N654" s="965"/>
      <c r="O654" s="965"/>
      <c r="P654" s="965"/>
      <c r="Q654" s="965"/>
      <c r="R654" s="965"/>
      <c r="S654" s="965"/>
      <c r="T654" s="965"/>
      <c r="U654" s="965"/>
      <c r="V654" s="965"/>
      <c r="W654" s="965"/>
      <c r="X654" s="965"/>
      <c r="Y654" s="965"/>
      <c r="Z654" s="965"/>
    </row>
    <row r="655">
      <c r="A655" s="965"/>
      <c r="B655" s="965"/>
      <c r="C655" s="965"/>
      <c r="D655" s="965"/>
      <c r="E655" s="965"/>
      <c r="F655" s="965"/>
      <c r="G655" s="965"/>
      <c r="H655" s="965"/>
      <c r="I655" s="965"/>
      <c r="J655" s="965"/>
      <c r="K655" s="965"/>
      <c r="L655" s="965"/>
      <c r="M655" s="965"/>
      <c r="N655" s="965"/>
      <c r="O655" s="965"/>
      <c r="P655" s="965"/>
      <c r="Q655" s="965"/>
      <c r="R655" s="965"/>
      <c r="S655" s="965"/>
      <c r="T655" s="965"/>
      <c r="U655" s="965"/>
      <c r="V655" s="965"/>
      <c r="W655" s="965"/>
      <c r="X655" s="965"/>
      <c r="Y655" s="965"/>
      <c r="Z655" s="965"/>
    </row>
    <row r="656">
      <c r="A656" s="965"/>
      <c r="B656" s="965"/>
      <c r="C656" s="965"/>
      <c r="D656" s="965"/>
      <c r="E656" s="965"/>
      <c r="F656" s="965"/>
      <c r="G656" s="965"/>
      <c r="H656" s="965"/>
      <c r="I656" s="965"/>
      <c r="J656" s="965"/>
      <c r="K656" s="965"/>
      <c r="L656" s="965"/>
      <c r="M656" s="965"/>
      <c r="N656" s="965"/>
      <c r="O656" s="965"/>
      <c r="P656" s="965"/>
      <c r="Q656" s="965"/>
      <c r="R656" s="965"/>
      <c r="S656" s="965"/>
      <c r="T656" s="965"/>
      <c r="U656" s="965"/>
      <c r="V656" s="965"/>
      <c r="W656" s="965"/>
      <c r="X656" s="965"/>
      <c r="Y656" s="965"/>
      <c r="Z656" s="965"/>
    </row>
    <row r="657">
      <c r="A657" s="965"/>
      <c r="B657" s="965"/>
      <c r="C657" s="965"/>
      <c r="D657" s="965"/>
      <c r="E657" s="965"/>
      <c r="F657" s="965"/>
      <c r="G657" s="965"/>
      <c r="H657" s="965"/>
      <c r="I657" s="965"/>
      <c r="J657" s="965"/>
      <c r="K657" s="965"/>
      <c r="L657" s="965"/>
      <c r="M657" s="965"/>
      <c r="N657" s="965"/>
      <c r="O657" s="965"/>
      <c r="P657" s="965"/>
      <c r="Q657" s="965"/>
      <c r="R657" s="965"/>
      <c r="S657" s="965"/>
      <c r="T657" s="965"/>
      <c r="U657" s="965"/>
      <c r="V657" s="965"/>
      <c r="W657" s="965"/>
      <c r="X657" s="965"/>
      <c r="Y657" s="965"/>
      <c r="Z657" s="965"/>
    </row>
    <row r="658">
      <c r="A658" s="965"/>
      <c r="B658" s="965"/>
      <c r="C658" s="965"/>
      <c r="D658" s="965"/>
      <c r="E658" s="965"/>
      <c r="F658" s="965"/>
      <c r="G658" s="965"/>
      <c r="H658" s="965"/>
      <c r="I658" s="965"/>
      <c r="J658" s="965"/>
      <c r="K658" s="965"/>
      <c r="L658" s="965"/>
      <c r="M658" s="965"/>
      <c r="N658" s="965"/>
      <c r="O658" s="965"/>
      <c r="P658" s="965"/>
      <c r="Q658" s="965"/>
      <c r="R658" s="965"/>
      <c r="S658" s="965"/>
      <c r="T658" s="965"/>
      <c r="U658" s="965"/>
      <c r="V658" s="965"/>
      <c r="W658" s="965"/>
      <c r="X658" s="965"/>
      <c r="Y658" s="965"/>
      <c r="Z658" s="965"/>
    </row>
    <row r="659">
      <c r="A659" s="965"/>
      <c r="B659" s="965"/>
      <c r="C659" s="965"/>
      <c r="D659" s="965"/>
      <c r="E659" s="965"/>
      <c r="F659" s="965"/>
      <c r="G659" s="965"/>
      <c r="H659" s="965"/>
      <c r="I659" s="965"/>
      <c r="J659" s="965"/>
      <c r="K659" s="965"/>
      <c r="L659" s="965"/>
      <c r="M659" s="965"/>
      <c r="N659" s="965"/>
      <c r="O659" s="965"/>
      <c r="P659" s="965"/>
      <c r="Q659" s="965"/>
      <c r="R659" s="965"/>
      <c r="S659" s="965"/>
      <c r="T659" s="965"/>
      <c r="U659" s="965"/>
      <c r="V659" s="965"/>
      <c r="W659" s="965"/>
      <c r="X659" s="965"/>
      <c r="Y659" s="965"/>
      <c r="Z659" s="965"/>
    </row>
    <row r="660">
      <c r="A660" s="965"/>
      <c r="B660" s="965"/>
      <c r="C660" s="965"/>
      <c r="D660" s="965"/>
      <c r="E660" s="965"/>
      <c r="F660" s="965"/>
      <c r="G660" s="965"/>
      <c r="H660" s="965"/>
      <c r="I660" s="965"/>
      <c r="J660" s="965"/>
      <c r="K660" s="965"/>
      <c r="L660" s="965"/>
      <c r="M660" s="965"/>
      <c r="N660" s="965"/>
      <c r="O660" s="965"/>
      <c r="P660" s="965"/>
      <c r="Q660" s="965"/>
      <c r="R660" s="965"/>
      <c r="S660" s="965"/>
      <c r="T660" s="965"/>
      <c r="U660" s="965"/>
      <c r="V660" s="965"/>
      <c r="W660" s="965"/>
      <c r="X660" s="965"/>
      <c r="Y660" s="965"/>
      <c r="Z660" s="965"/>
    </row>
    <row r="661">
      <c r="A661" s="965"/>
      <c r="B661" s="965"/>
      <c r="C661" s="965"/>
      <c r="D661" s="965"/>
      <c r="E661" s="965"/>
      <c r="F661" s="965"/>
      <c r="G661" s="965"/>
      <c r="H661" s="965"/>
      <c r="I661" s="965"/>
      <c r="J661" s="965"/>
      <c r="K661" s="965"/>
      <c r="L661" s="965"/>
      <c r="M661" s="965"/>
      <c r="N661" s="965"/>
      <c r="O661" s="965"/>
      <c r="P661" s="965"/>
      <c r="Q661" s="965"/>
      <c r="R661" s="965"/>
      <c r="S661" s="965"/>
      <c r="T661" s="965"/>
      <c r="U661" s="965"/>
      <c r="V661" s="965"/>
      <c r="W661" s="965"/>
      <c r="X661" s="965"/>
      <c r="Y661" s="965"/>
      <c r="Z661" s="965"/>
    </row>
    <row r="662">
      <c r="A662" s="965"/>
      <c r="B662" s="965"/>
      <c r="C662" s="965"/>
      <c r="D662" s="965"/>
      <c r="E662" s="965"/>
      <c r="F662" s="965"/>
      <c r="G662" s="965"/>
      <c r="H662" s="965"/>
      <c r="I662" s="965"/>
      <c r="J662" s="965"/>
      <c r="K662" s="965"/>
      <c r="L662" s="965"/>
      <c r="M662" s="965"/>
      <c r="N662" s="965"/>
      <c r="O662" s="965"/>
      <c r="P662" s="965"/>
      <c r="Q662" s="965"/>
      <c r="R662" s="965"/>
      <c r="S662" s="965"/>
      <c r="T662" s="965"/>
      <c r="U662" s="965"/>
      <c r="V662" s="965"/>
      <c r="W662" s="965"/>
      <c r="X662" s="965"/>
      <c r="Y662" s="965"/>
      <c r="Z662" s="965"/>
    </row>
    <row r="663">
      <c r="A663" s="965"/>
      <c r="B663" s="965"/>
      <c r="C663" s="965"/>
      <c r="D663" s="965"/>
      <c r="E663" s="965"/>
      <c r="F663" s="965"/>
      <c r="G663" s="965"/>
      <c r="H663" s="965"/>
      <c r="I663" s="965"/>
      <c r="J663" s="965"/>
      <c r="K663" s="965"/>
      <c r="L663" s="965"/>
      <c r="M663" s="965"/>
      <c r="N663" s="965"/>
      <c r="O663" s="965"/>
      <c r="P663" s="965"/>
      <c r="Q663" s="965"/>
      <c r="R663" s="965"/>
      <c r="S663" s="965"/>
      <c r="T663" s="965"/>
      <c r="U663" s="965"/>
      <c r="V663" s="965"/>
      <c r="W663" s="965"/>
      <c r="X663" s="965"/>
      <c r="Y663" s="965"/>
      <c r="Z663" s="965"/>
    </row>
    <row r="664">
      <c r="A664" s="965"/>
      <c r="B664" s="965"/>
      <c r="C664" s="965"/>
      <c r="D664" s="965"/>
      <c r="E664" s="965"/>
      <c r="F664" s="965"/>
      <c r="G664" s="965"/>
      <c r="H664" s="965"/>
      <c r="I664" s="965"/>
      <c r="J664" s="965"/>
      <c r="K664" s="965"/>
      <c r="L664" s="965"/>
      <c r="M664" s="965"/>
      <c r="N664" s="965"/>
      <c r="O664" s="965"/>
      <c r="P664" s="965"/>
      <c r="Q664" s="965"/>
      <c r="R664" s="965"/>
      <c r="S664" s="965"/>
      <c r="T664" s="965"/>
      <c r="U664" s="965"/>
      <c r="V664" s="965"/>
      <c r="W664" s="965"/>
      <c r="X664" s="965"/>
      <c r="Y664" s="965"/>
      <c r="Z664" s="965"/>
    </row>
    <row r="665">
      <c r="A665" s="965"/>
      <c r="B665" s="965"/>
      <c r="C665" s="965"/>
      <c r="D665" s="965"/>
      <c r="E665" s="965"/>
      <c r="F665" s="965"/>
      <c r="G665" s="965"/>
      <c r="H665" s="965"/>
      <c r="I665" s="965"/>
      <c r="J665" s="965"/>
      <c r="K665" s="965"/>
      <c r="L665" s="965"/>
      <c r="M665" s="965"/>
      <c r="N665" s="965"/>
      <c r="O665" s="965"/>
      <c r="P665" s="965"/>
      <c r="Q665" s="965"/>
      <c r="R665" s="965"/>
      <c r="S665" s="965"/>
      <c r="T665" s="965"/>
      <c r="U665" s="965"/>
      <c r="V665" s="965"/>
      <c r="W665" s="965"/>
      <c r="X665" s="965"/>
      <c r="Y665" s="965"/>
      <c r="Z665" s="965"/>
    </row>
    <row r="666">
      <c r="A666" s="965"/>
      <c r="B666" s="965"/>
      <c r="C666" s="965"/>
      <c r="D666" s="965"/>
      <c r="E666" s="965"/>
      <c r="F666" s="965"/>
      <c r="G666" s="965"/>
      <c r="H666" s="965"/>
      <c r="I666" s="965"/>
      <c r="J666" s="965"/>
      <c r="K666" s="965"/>
      <c r="L666" s="965"/>
      <c r="M666" s="965"/>
      <c r="N666" s="965"/>
      <c r="O666" s="965"/>
      <c r="P666" s="965"/>
      <c r="Q666" s="965"/>
      <c r="R666" s="965"/>
      <c r="S666" s="965"/>
      <c r="T666" s="965"/>
      <c r="U666" s="965"/>
      <c r="V666" s="965"/>
      <c r="W666" s="965"/>
      <c r="X666" s="965"/>
      <c r="Y666" s="965"/>
      <c r="Z666" s="965"/>
    </row>
    <row r="667">
      <c r="A667" s="965"/>
      <c r="B667" s="965"/>
      <c r="C667" s="965"/>
      <c r="D667" s="965"/>
      <c r="E667" s="965"/>
      <c r="F667" s="965"/>
      <c r="G667" s="965"/>
      <c r="H667" s="965"/>
      <c r="I667" s="965"/>
      <c r="J667" s="965"/>
      <c r="K667" s="965"/>
      <c r="L667" s="965"/>
      <c r="M667" s="965"/>
      <c r="N667" s="965"/>
      <c r="O667" s="965"/>
      <c r="P667" s="965"/>
      <c r="Q667" s="965"/>
      <c r="R667" s="965"/>
      <c r="S667" s="965"/>
      <c r="T667" s="965"/>
      <c r="U667" s="965"/>
      <c r="V667" s="965"/>
      <c r="W667" s="965"/>
      <c r="X667" s="965"/>
      <c r="Y667" s="965"/>
      <c r="Z667" s="965"/>
    </row>
    <row r="668">
      <c r="A668" s="965"/>
      <c r="B668" s="965"/>
      <c r="C668" s="965"/>
      <c r="D668" s="965"/>
      <c r="E668" s="965"/>
      <c r="F668" s="965"/>
      <c r="G668" s="965"/>
      <c r="H668" s="965"/>
      <c r="I668" s="965"/>
      <c r="J668" s="965"/>
      <c r="K668" s="965"/>
      <c r="L668" s="965"/>
      <c r="M668" s="965"/>
      <c r="N668" s="965"/>
      <c r="O668" s="965"/>
      <c r="P668" s="965"/>
      <c r="Q668" s="965"/>
      <c r="R668" s="965"/>
      <c r="S668" s="965"/>
      <c r="T668" s="965"/>
      <c r="U668" s="965"/>
      <c r="V668" s="965"/>
      <c r="W668" s="965"/>
      <c r="X668" s="965"/>
      <c r="Y668" s="965"/>
      <c r="Z668" s="965"/>
    </row>
    <row r="669">
      <c r="A669" s="965"/>
      <c r="B669" s="965"/>
      <c r="C669" s="965"/>
      <c r="D669" s="965"/>
      <c r="E669" s="965"/>
      <c r="F669" s="965"/>
      <c r="G669" s="965"/>
      <c r="H669" s="965"/>
      <c r="I669" s="965"/>
      <c r="J669" s="965"/>
      <c r="K669" s="965"/>
      <c r="L669" s="965"/>
      <c r="M669" s="965"/>
      <c r="N669" s="965"/>
      <c r="O669" s="965"/>
      <c r="P669" s="965"/>
      <c r="Q669" s="965"/>
      <c r="R669" s="965"/>
      <c r="S669" s="965"/>
      <c r="T669" s="965"/>
      <c r="U669" s="965"/>
      <c r="V669" s="965"/>
      <c r="W669" s="965"/>
      <c r="X669" s="965"/>
      <c r="Y669" s="965"/>
      <c r="Z669" s="965"/>
    </row>
    <row r="670">
      <c r="A670" s="965"/>
      <c r="B670" s="965"/>
      <c r="C670" s="965"/>
      <c r="D670" s="965"/>
      <c r="E670" s="965"/>
      <c r="F670" s="965"/>
      <c r="G670" s="965"/>
      <c r="H670" s="965"/>
      <c r="I670" s="965"/>
      <c r="J670" s="965"/>
      <c r="K670" s="965"/>
      <c r="L670" s="965"/>
      <c r="M670" s="965"/>
      <c r="N670" s="965"/>
      <c r="O670" s="965"/>
      <c r="P670" s="965"/>
      <c r="Q670" s="965"/>
      <c r="R670" s="965"/>
      <c r="S670" s="965"/>
      <c r="T670" s="965"/>
      <c r="U670" s="965"/>
      <c r="V670" s="965"/>
      <c r="W670" s="965"/>
      <c r="X670" s="965"/>
      <c r="Y670" s="965"/>
      <c r="Z670" s="965"/>
    </row>
    <row r="671">
      <c r="A671" s="965"/>
      <c r="B671" s="965"/>
      <c r="C671" s="965"/>
      <c r="D671" s="965"/>
      <c r="E671" s="965"/>
      <c r="F671" s="965"/>
      <c r="G671" s="965"/>
      <c r="H671" s="965"/>
      <c r="I671" s="965"/>
      <c r="J671" s="965"/>
      <c r="K671" s="965"/>
      <c r="L671" s="965"/>
      <c r="M671" s="965"/>
      <c r="N671" s="965"/>
      <c r="O671" s="965"/>
      <c r="P671" s="965"/>
      <c r="Q671" s="965"/>
      <c r="R671" s="965"/>
      <c r="S671" s="965"/>
      <c r="T671" s="965"/>
      <c r="U671" s="965"/>
      <c r="V671" s="965"/>
      <c r="W671" s="965"/>
      <c r="X671" s="965"/>
      <c r="Y671" s="965"/>
      <c r="Z671" s="965"/>
    </row>
    <row r="672">
      <c r="A672" s="965"/>
      <c r="B672" s="965"/>
      <c r="C672" s="965"/>
      <c r="D672" s="965"/>
      <c r="E672" s="965"/>
      <c r="F672" s="965"/>
      <c r="G672" s="965"/>
      <c r="H672" s="965"/>
      <c r="I672" s="965"/>
      <c r="J672" s="965"/>
      <c r="K672" s="965"/>
      <c r="L672" s="965"/>
      <c r="M672" s="965"/>
      <c r="N672" s="965"/>
      <c r="O672" s="965"/>
      <c r="P672" s="965"/>
      <c r="Q672" s="965"/>
      <c r="R672" s="965"/>
      <c r="S672" s="965"/>
      <c r="T672" s="965"/>
      <c r="U672" s="965"/>
      <c r="V672" s="965"/>
      <c r="W672" s="965"/>
      <c r="X672" s="965"/>
      <c r="Y672" s="965"/>
      <c r="Z672" s="965"/>
    </row>
    <row r="673">
      <c r="A673" s="965"/>
      <c r="B673" s="965"/>
      <c r="C673" s="965"/>
      <c r="D673" s="965"/>
      <c r="E673" s="965"/>
      <c r="F673" s="965"/>
      <c r="G673" s="965"/>
      <c r="H673" s="965"/>
      <c r="I673" s="965"/>
      <c r="J673" s="965"/>
      <c r="K673" s="965"/>
      <c r="L673" s="965"/>
      <c r="M673" s="965"/>
      <c r="N673" s="965"/>
      <c r="O673" s="965"/>
      <c r="P673" s="965"/>
      <c r="Q673" s="965"/>
      <c r="R673" s="965"/>
      <c r="S673" s="965"/>
      <c r="T673" s="965"/>
      <c r="U673" s="965"/>
      <c r="V673" s="965"/>
      <c r="W673" s="965"/>
      <c r="X673" s="965"/>
      <c r="Y673" s="965"/>
      <c r="Z673" s="965"/>
    </row>
    <row r="674">
      <c r="A674" s="965"/>
      <c r="B674" s="965"/>
      <c r="C674" s="965"/>
      <c r="D674" s="965"/>
      <c r="E674" s="965"/>
      <c r="F674" s="965"/>
      <c r="G674" s="965"/>
      <c r="H674" s="965"/>
      <c r="I674" s="965"/>
      <c r="J674" s="965"/>
      <c r="K674" s="965"/>
      <c r="L674" s="965"/>
      <c r="M674" s="965"/>
      <c r="N674" s="965"/>
      <c r="O674" s="965"/>
      <c r="P674" s="965"/>
      <c r="Q674" s="965"/>
      <c r="R674" s="965"/>
      <c r="S674" s="965"/>
      <c r="T674" s="965"/>
      <c r="U674" s="965"/>
      <c r="V674" s="965"/>
      <c r="W674" s="965"/>
      <c r="X674" s="965"/>
      <c r="Y674" s="965"/>
      <c r="Z674" s="965"/>
    </row>
    <row r="675">
      <c r="A675" s="965"/>
      <c r="B675" s="965"/>
      <c r="C675" s="965"/>
      <c r="D675" s="965"/>
      <c r="E675" s="965"/>
      <c r="F675" s="965"/>
      <c r="G675" s="965"/>
      <c r="H675" s="965"/>
      <c r="I675" s="965"/>
      <c r="J675" s="965"/>
      <c r="K675" s="965"/>
      <c r="L675" s="965"/>
      <c r="M675" s="965"/>
      <c r="N675" s="965"/>
      <c r="O675" s="965"/>
      <c r="P675" s="965"/>
      <c r="Q675" s="965"/>
      <c r="R675" s="965"/>
      <c r="S675" s="965"/>
      <c r="T675" s="965"/>
      <c r="U675" s="965"/>
      <c r="V675" s="965"/>
      <c r="W675" s="965"/>
      <c r="X675" s="965"/>
      <c r="Y675" s="965"/>
      <c r="Z675" s="965"/>
    </row>
    <row r="676">
      <c r="A676" s="965"/>
      <c r="B676" s="965"/>
      <c r="C676" s="965"/>
      <c r="D676" s="965"/>
      <c r="E676" s="965"/>
      <c r="F676" s="965"/>
      <c r="G676" s="965"/>
      <c r="H676" s="965"/>
      <c r="I676" s="965"/>
      <c r="J676" s="965"/>
      <c r="K676" s="965"/>
      <c r="L676" s="965"/>
      <c r="M676" s="965"/>
      <c r="N676" s="965"/>
      <c r="O676" s="965"/>
      <c r="P676" s="965"/>
      <c r="Q676" s="965"/>
      <c r="R676" s="965"/>
      <c r="S676" s="965"/>
      <c r="T676" s="965"/>
      <c r="U676" s="965"/>
      <c r="V676" s="965"/>
      <c r="W676" s="965"/>
      <c r="X676" s="965"/>
      <c r="Y676" s="965"/>
      <c r="Z676" s="965"/>
    </row>
    <row r="677">
      <c r="A677" s="965"/>
      <c r="B677" s="965"/>
      <c r="C677" s="965"/>
      <c r="D677" s="965"/>
      <c r="E677" s="965"/>
      <c r="F677" s="965"/>
      <c r="G677" s="965"/>
      <c r="H677" s="965"/>
      <c r="I677" s="965"/>
      <c r="J677" s="965"/>
      <c r="K677" s="965"/>
      <c r="L677" s="965"/>
      <c r="M677" s="965"/>
      <c r="N677" s="965"/>
      <c r="O677" s="965"/>
      <c r="P677" s="965"/>
      <c r="Q677" s="965"/>
      <c r="R677" s="965"/>
      <c r="S677" s="965"/>
      <c r="T677" s="965"/>
      <c r="U677" s="965"/>
      <c r="V677" s="965"/>
      <c r="W677" s="965"/>
      <c r="X677" s="965"/>
      <c r="Y677" s="965"/>
      <c r="Z677" s="965"/>
    </row>
    <row r="678">
      <c r="A678" s="965"/>
      <c r="B678" s="965"/>
      <c r="C678" s="965"/>
      <c r="D678" s="965"/>
      <c r="E678" s="965"/>
      <c r="F678" s="965"/>
      <c r="G678" s="965"/>
      <c r="H678" s="965"/>
      <c r="I678" s="965"/>
      <c r="J678" s="965"/>
      <c r="K678" s="965"/>
      <c r="L678" s="965"/>
      <c r="M678" s="965"/>
      <c r="N678" s="965"/>
      <c r="O678" s="965"/>
      <c r="P678" s="965"/>
      <c r="Q678" s="965"/>
      <c r="R678" s="965"/>
      <c r="S678" s="965"/>
      <c r="T678" s="965"/>
      <c r="U678" s="965"/>
      <c r="V678" s="965"/>
      <c r="W678" s="965"/>
      <c r="X678" s="965"/>
      <c r="Y678" s="965"/>
      <c r="Z678" s="965"/>
    </row>
    <row r="679">
      <c r="A679" s="965"/>
      <c r="B679" s="965"/>
      <c r="C679" s="965"/>
      <c r="D679" s="965"/>
      <c r="E679" s="965"/>
      <c r="F679" s="965"/>
      <c r="G679" s="965"/>
      <c r="H679" s="965"/>
      <c r="I679" s="965"/>
      <c r="J679" s="965"/>
      <c r="K679" s="965"/>
      <c r="L679" s="965"/>
      <c r="M679" s="965"/>
      <c r="N679" s="965"/>
      <c r="O679" s="965"/>
      <c r="P679" s="965"/>
      <c r="Q679" s="965"/>
      <c r="R679" s="965"/>
      <c r="S679" s="965"/>
      <c r="T679" s="965"/>
      <c r="U679" s="965"/>
      <c r="V679" s="965"/>
      <c r="W679" s="965"/>
      <c r="X679" s="965"/>
      <c r="Y679" s="965"/>
      <c r="Z679" s="965"/>
    </row>
    <row r="680">
      <c r="A680" s="965"/>
      <c r="B680" s="965"/>
      <c r="C680" s="965"/>
      <c r="D680" s="965"/>
      <c r="E680" s="965"/>
      <c r="F680" s="965"/>
      <c r="G680" s="965"/>
      <c r="H680" s="965"/>
      <c r="I680" s="965"/>
      <c r="J680" s="965"/>
      <c r="K680" s="965"/>
      <c r="L680" s="965"/>
      <c r="M680" s="965"/>
      <c r="N680" s="965"/>
      <c r="O680" s="965"/>
      <c r="P680" s="965"/>
      <c r="Q680" s="965"/>
      <c r="R680" s="965"/>
      <c r="S680" s="965"/>
      <c r="T680" s="965"/>
      <c r="U680" s="965"/>
      <c r="V680" s="965"/>
      <c r="W680" s="965"/>
      <c r="X680" s="965"/>
      <c r="Y680" s="965"/>
      <c r="Z680" s="965"/>
    </row>
    <row r="681">
      <c r="A681" s="965"/>
      <c r="B681" s="965"/>
      <c r="C681" s="965"/>
      <c r="D681" s="965"/>
      <c r="E681" s="965"/>
      <c r="F681" s="965"/>
      <c r="G681" s="965"/>
      <c r="H681" s="965"/>
      <c r="I681" s="965"/>
      <c r="J681" s="965"/>
      <c r="K681" s="965"/>
      <c r="L681" s="965"/>
      <c r="M681" s="965"/>
      <c r="N681" s="965"/>
      <c r="O681" s="965"/>
      <c r="P681" s="965"/>
      <c r="Q681" s="965"/>
      <c r="R681" s="965"/>
      <c r="S681" s="965"/>
      <c r="T681" s="965"/>
      <c r="U681" s="965"/>
      <c r="V681" s="965"/>
      <c r="W681" s="965"/>
      <c r="X681" s="965"/>
      <c r="Y681" s="965"/>
      <c r="Z681" s="965"/>
    </row>
    <row r="682">
      <c r="A682" s="965"/>
      <c r="B682" s="965"/>
      <c r="C682" s="965"/>
      <c r="D682" s="965"/>
      <c r="E682" s="965"/>
      <c r="F682" s="965"/>
      <c r="G682" s="965"/>
      <c r="H682" s="965"/>
      <c r="I682" s="965"/>
      <c r="J682" s="965"/>
      <c r="K682" s="965"/>
      <c r="L682" s="965"/>
      <c r="M682" s="965"/>
      <c r="N682" s="965"/>
      <c r="O682" s="965"/>
      <c r="P682" s="965"/>
      <c r="Q682" s="965"/>
      <c r="R682" s="965"/>
      <c r="S682" s="965"/>
      <c r="T682" s="965"/>
      <c r="U682" s="965"/>
      <c r="V682" s="965"/>
      <c r="W682" s="965"/>
      <c r="X682" s="965"/>
      <c r="Y682" s="965"/>
      <c r="Z682" s="965"/>
    </row>
    <row r="683">
      <c r="A683" s="965"/>
      <c r="B683" s="965"/>
      <c r="C683" s="965"/>
      <c r="D683" s="965"/>
      <c r="E683" s="965"/>
      <c r="F683" s="965"/>
      <c r="G683" s="965"/>
      <c r="H683" s="965"/>
      <c r="I683" s="965"/>
      <c r="J683" s="965"/>
      <c r="K683" s="965"/>
      <c r="L683" s="965"/>
      <c r="M683" s="965"/>
      <c r="N683" s="965"/>
      <c r="O683" s="965"/>
      <c r="P683" s="965"/>
      <c r="Q683" s="965"/>
      <c r="R683" s="965"/>
      <c r="S683" s="965"/>
      <c r="T683" s="965"/>
      <c r="U683" s="965"/>
      <c r="V683" s="965"/>
      <c r="W683" s="965"/>
      <c r="X683" s="965"/>
      <c r="Y683" s="965"/>
      <c r="Z683" s="965"/>
    </row>
    <row r="684">
      <c r="A684" s="965"/>
      <c r="B684" s="965"/>
      <c r="C684" s="965"/>
      <c r="D684" s="965"/>
      <c r="E684" s="965"/>
      <c r="F684" s="965"/>
      <c r="G684" s="965"/>
      <c r="H684" s="965"/>
      <c r="I684" s="965"/>
      <c r="J684" s="965"/>
      <c r="K684" s="965"/>
      <c r="L684" s="965"/>
      <c r="M684" s="965"/>
      <c r="N684" s="965"/>
      <c r="O684" s="965"/>
      <c r="P684" s="965"/>
      <c r="Q684" s="965"/>
      <c r="R684" s="965"/>
      <c r="S684" s="965"/>
      <c r="T684" s="965"/>
      <c r="U684" s="965"/>
      <c r="V684" s="965"/>
      <c r="W684" s="965"/>
      <c r="X684" s="965"/>
      <c r="Y684" s="965"/>
      <c r="Z684" s="965"/>
    </row>
    <row r="685">
      <c r="A685" s="965"/>
      <c r="B685" s="965"/>
      <c r="C685" s="965"/>
      <c r="D685" s="965"/>
      <c r="E685" s="965"/>
      <c r="F685" s="965"/>
      <c r="G685" s="965"/>
      <c r="H685" s="965"/>
      <c r="I685" s="965"/>
      <c r="J685" s="965"/>
      <c r="K685" s="965"/>
      <c r="L685" s="965"/>
      <c r="M685" s="965"/>
      <c r="N685" s="965"/>
      <c r="O685" s="965"/>
      <c r="P685" s="965"/>
      <c r="Q685" s="965"/>
      <c r="R685" s="965"/>
      <c r="S685" s="965"/>
      <c r="T685" s="965"/>
      <c r="U685" s="965"/>
      <c r="V685" s="965"/>
      <c r="W685" s="965"/>
      <c r="X685" s="965"/>
      <c r="Y685" s="965"/>
      <c r="Z685" s="965"/>
    </row>
    <row r="686">
      <c r="A686" s="965"/>
      <c r="B686" s="965"/>
      <c r="C686" s="965"/>
      <c r="D686" s="965"/>
      <c r="E686" s="965"/>
      <c r="F686" s="965"/>
      <c r="G686" s="965"/>
      <c r="H686" s="965"/>
      <c r="I686" s="965"/>
      <c r="J686" s="965"/>
      <c r="K686" s="965"/>
      <c r="L686" s="965"/>
      <c r="M686" s="965"/>
      <c r="N686" s="965"/>
      <c r="O686" s="965"/>
      <c r="P686" s="965"/>
      <c r="Q686" s="965"/>
      <c r="R686" s="965"/>
      <c r="S686" s="965"/>
      <c r="T686" s="965"/>
      <c r="U686" s="965"/>
      <c r="V686" s="965"/>
      <c r="W686" s="965"/>
      <c r="X686" s="965"/>
      <c r="Y686" s="965"/>
      <c r="Z686" s="965"/>
    </row>
    <row r="687">
      <c r="A687" s="965"/>
      <c r="B687" s="965"/>
      <c r="C687" s="965"/>
      <c r="D687" s="965"/>
      <c r="E687" s="965"/>
      <c r="F687" s="965"/>
      <c r="G687" s="965"/>
      <c r="H687" s="965"/>
      <c r="I687" s="965"/>
      <c r="J687" s="965"/>
      <c r="K687" s="965"/>
      <c r="L687" s="965"/>
      <c r="M687" s="965"/>
      <c r="N687" s="965"/>
      <c r="O687" s="965"/>
      <c r="P687" s="965"/>
      <c r="Q687" s="965"/>
      <c r="R687" s="965"/>
      <c r="S687" s="965"/>
      <c r="T687" s="965"/>
      <c r="U687" s="965"/>
      <c r="V687" s="965"/>
      <c r="W687" s="965"/>
      <c r="X687" s="965"/>
      <c r="Y687" s="965"/>
      <c r="Z687" s="965"/>
    </row>
    <row r="688">
      <c r="A688" s="965"/>
      <c r="B688" s="965"/>
      <c r="C688" s="965"/>
      <c r="D688" s="965"/>
      <c r="E688" s="965"/>
      <c r="F688" s="965"/>
      <c r="G688" s="965"/>
      <c r="H688" s="965"/>
      <c r="I688" s="965"/>
      <c r="J688" s="965"/>
      <c r="K688" s="965"/>
      <c r="L688" s="965"/>
      <c r="M688" s="965"/>
      <c r="N688" s="965"/>
      <c r="O688" s="965"/>
      <c r="P688" s="965"/>
      <c r="Q688" s="965"/>
      <c r="R688" s="965"/>
      <c r="S688" s="965"/>
      <c r="T688" s="965"/>
      <c r="U688" s="965"/>
      <c r="V688" s="965"/>
      <c r="W688" s="965"/>
      <c r="X688" s="965"/>
      <c r="Y688" s="965"/>
      <c r="Z688" s="965"/>
    </row>
    <row r="689">
      <c r="A689" s="965"/>
      <c r="B689" s="965"/>
      <c r="C689" s="965"/>
      <c r="D689" s="965"/>
      <c r="E689" s="965"/>
      <c r="F689" s="965"/>
      <c r="G689" s="965"/>
      <c r="H689" s="965"/>
      <c r="I689" s="965"/>
      <c r="J689" s="965"/>
      <c r="K689" s="965"/>
      <c r="L689" s="965"/>
      <c r="M689" s="965"/>
      <c r="N689" s="965"/>
      <c r="O689" s="965"/>
      <c r="P689" s="965"/>
      <c r="Q689" s="965"/>
      <c r="R689" s="965"/>
      <c r="S689" s="965"/>
      <c r="T689" s="965"/>
      <c r="U689" s="965"/>
      <c r="V689" s="965"/>
      <c r="W689" s="965"/>
      <c r="X689" s="965"/>
      <c r="Y689" s="965"/>
      <c r="Z689" s="965"/>
    </row>
    <row r="690">
      <c r="A690" s="965"/>
      <c r="B690" s="965"/>
      <c r="C690" s="965"/>
      <c r="D690" s="965"/>
      <c r="E690" s="965"/>
      <c r="F690" s="965"/>
      <c r="G690" s="965"/>
      <c r="H690" s="965"/>
      <c r="I690" s="965"/>
      <c r="J690" s="965"/>
      <c r="K690" s="965"/>
      <c r="L690" s="965"/>
      <c r="M690" s="965"/>
      <c r="N690" s="965"/>
      <c r="O690" s="965"/>
      <c r="P690" s="965"/>
      <c r="Q690" s="965"/>
      <c r="R690" s="965"/>
      <c r="S690" s="965"/>
      <c r="T690" s="965"/>
      <c r="U690" s="965"/>
      <c r="V690" s="965"/>
      <c r="W690" s="965"/>
      <c r="X690" s="965"/>
      <c r="Y690" s="965"/>
      <c r="Z690" s="965"/>
    </row>
    <row r="691">
      <c r="A691" s="965"/>
      <c r="B691" s="965"/>
      <c r="C691" s="965"/>
      <c r="D691" s="965"/>
      <c r="E691" s="965"/>
      <c r="F691" s="965"/>
      <c r="G691" s="965"/>
      <c r="H691" s="965"/>
      <c r="I691" s="965"/>
      <c r="J691" s="965"/>
      <c r="K691" s="965"/>
      <c r="L691" s="965"/>
      <c r="M691" s="965"/>
      <c r="N691" s="965"/>
      <c r="O691" s="965"/>
      <c r="P691" s="965"/>
      <c r="Q691" s="965"/>
      <c r="R691" s="965"/>
      <c r="S691" s="965"/>
      <c r="T691" s="965"/>
      <c r="U691" s="965"/>
      <c r="V691" s="965"/>
      <c r="W691" s="965"/>
      <c r="X691" s="965"/>
      <c r="Y691" s="965"/>
      <c r="Z691" s="965"/>
    </row>
    <row r="692">
      <c r="A692" s="965"/>
      <c r="B692" s="965"/>
      <c r="C692" s="965"/>
      <c r="D692" s="965"/>
      <c r="E692" s="965"/>
      <c r="F692" s="965"/>
      <c r="G692" s="965"/>
      <c r="H692" s="965"/>
      <c r="I692" s="965"/>
      <c r="J692" s="965"/>
      <c r="K692" s="965"/>
      <c r="L692" s="965"/>
      <c r="M692" s="965"/>
      <c r="N692" s="965"/>
      <c r="O692" s="965"/>
      <c r="P692" s="965"/>
      <c r="Q692" s="965"/>
      <c r="R692" s="965"/>
      <c r="S692" s="965"/>
      <c r="T692" s="965"/>
      <c r="U692" s="965"/>
      <c r="V692" s="965"/>
      <c r="W692" s="965"/>
      <c r="X692" s="965"/>
      <c r="Y692" s="965"/>
      <c r="Z692" s="965"/>
    </row>
    <row r="693">
      <c r="A693" s="965"/>
      <c r="B693" s="965"/>
      <c r="C693" s="965"/>
      <c r="D693" s="965"/>
      <c r="E693" s="965"/>
      <c r="F693" s="965"/>
      <c r="G693" s="965"/>
      <c r="H693" s="965"/>
      <c r="I693" s="965"/>
      <c r="J693" s="965"/>
      <c r="K693" s="965"/>
      <c r="L693" s="965"/>
      <c r="M693" s="965"/>
      <c r="N693" s="965"/>
      <c r="O693" s="965"/>
      <c r="P693" s="965"/>
      <c r="Q693" s="965"/>
      <c r="R693" s="965"/>
      <c r="S693" s="965"/>
      <c r="T693" s="965"/>
      <c r="U693" s="965"/>
      <c r="V693" s="965"/>
      <c r="W693" s="965"/>
      <c r="X693" s="965"/>
      <c r="Y693" s="965"/>
      <c r="Z693" s="965"/>
    </row>
    <row r="694">
      <c r="A694" s="965"/>
      <c r="B694" s="965"/>
      <c r="C694" s="965"/>
      <c r="D694" s="965"/>
      <c r="E694" s="965"/>
      <c r="F694" s="965"/>
      <c r="G694" s="965"/>
      <c r="H694" s="965"/>
      <c r="I694" s="965"/>
      <c r="J694" s="965"/>
      <c r="K694" s="965"/>
      <c r="L694" s="965"/>
      <c r="M694" s="965"/>
      <c r="N694" s="965"/>
      <c r="O694" s="965"/>
      <c r="P694" s="965"/>
      <c r="Q694" s="965"/>
      <c r="R694" s="965"/>
      <c r="S694" s="965"/>
      <c r="T694" s="965"/>
      <c r="U694" s="965"/>
      <c r="V694" s="965"/>
      <c r="W694" s="965"/>
      <c r="X694" s="965"/>
      <c r="Y694" s="965"/>
      <c r="Z694" s="965"/>
    </row>
    <row r="695">
      <c r="A695" s="965"/>
      <c r="B695" s="965"/>
      <c r="C695" s="965"/>
      <c r="D695" s="965"/>
      <c r="E695" s="965"/>
      <c r="F695" s="965"/>
      <c r="G695" s="965"/>
      <c r="H695" s="965"/>
      <c r="I695" s="965"/>
      <c r="J695" s="965"/>
      <c r="K695" s="965"/>
      <c r="L695" s="965"/>
      <c r="M695" s="965"/>
      <c r="N695" s="965"/>
      <c r="O695" s="965"/>
      <c r="P695" s="965"/>
      <c r="Q695" s="965"/>
      <c r="R695" s="965"/>
      <c r="S695" s="965"/>
      <c r="T695" s="965"/>
      <c r="U695" s="965"/>
      <c r="V695" s="965"/>
      <c r="W695" s="965"/>
      <c r="X695" s="965"/>
      <c r="Y695" s="965"/>
      <c r="Z695" s="965"/>
    </row>
    <row r="696">
      <c r="A696" s="965"/>
      <c r="B696" s="965"/>
      <c r="C696" s="965"/>
      <c r="D696" s="965"/>
      <c r="E696" s="965"/>
      <c r="F696" s="965"/>
      <c r="G696" s="965"/>
      <c r="H696" s="965"/>
      <c r="I696" s="965"/>
      <c r="J696" s="965"/>
      <c r="K696" s="965"/>
      <c r="L696" s="965"/>
      <c r="M696" s="965"/>
      <c r="N696" s="965"/>
      <c r="O696" s="965"/>
      <c r="P696" s="965"/>
      <c r="Q696" s="965"/>
      <c r="R696" s="965"/>
      <c r="S696" s="965"/>
      <c r="T696" s="965"/>
      <c r="U696" s="965"/>
      <c r="V696" s="965"/>
      <c r="W696" s="965"/>
      <c r="X696" s="965"/>
      <c r="Y696" s="965"/>
      <c r="Z696" s="965"/>
    </row>
    <row r="697">
      <c r="A697" s="965"/>
      <c r="B697" s="965"/>
      <c r="C697" s="965"/>
      <c r="D697" s="965"/>
      <c r="E697" s="965"/>
      <c r="F697" s="965"/>
      <c r="G697" s="965"/>
      <c r="H697" s="965"/>
      <c r="I697" s="965"/>
      <c r="J697" s="965"/>
      <c r="K697" s="965"/>
      <c r="L697" s="965"/>
      <c r="M697" s="965"/>
      <c r="N697" s="965"/>
      <c r="O697" s="965"/>
      <c r="P697" s="965"/>
      <c r="Q697" s="965"/>
      <c r="R697" s="965"/>
      <c r="S697" s="965"/>
      <c r="T697" s="965"/>
      <c r="U697" s="965"/>
      <c r="V697" s="965"/>
      <c r="W697" s="965"/>
      <c r="X697" s="965"/>
      <c r="Y697" s="965"/>
      <c r="Z697" s="965"/>
    </row>
    <row r="698">
      <c r="A698" s="965"/>
      <c r="B698" s="965"/>
      <c r="C698" s="965"/>
      <c r="D698" s="965"/>
      <c r="E698" s="965"/>
      <c r="F698" s="965"/>
      <c r="G698" s="965"/>
      <c r="H698" s="965"/>
      <c r="I698" s="965"/>
      <c r="J698" s="965"/>
      <c r="K698" s="965"/>
      <c r="L698" s="965"/>
      <c r="M698" s="965"/>
      <c r="N698" s="965"/>
      <c r="O698" s="965"/>
      <c r="P698" s="965"/>
      <c r="Q698" s="965"/>
      <c r="R698" s="965"/>
      <c r="S698" s="965"/>
      <c r="T698" s="965"/>
      <c r="U698" s="965"/>
      <c r="V698" s="965"/>
      <c r="W698" s="965"/>
      <c r="X698" s="965"/>
      <c r="Y698" s="965"/>
      <c r="Z698" s="965"/>
    </row>
    <row r="699">
      <c r="A699" s="965"/>
      <c r="B699" s="965"/>
      <c r="C699" s="965"/>
      <c r="D699" s="965"/>
      <c r="E699" s="965"/>
      <c r="F699" s="965"/>
      <c r="G699" s="965"/>
      <c r="H699" s="965"/>
      <c r="I699" s="965"/>
      <c r="J699" s="965"/>
      <c r="K699" s="965"/>
      <c r="L699" s="965"/>
      <c r="M699" s="965"/>
      <c r="N699" s="965"/>
      <c r="O699" s="965"/>
      <c r="P699" s="965"/>
      <c r="Q699" s="965"/>
      <c r="R699" s="965"/>
      <c r="S699" s="965"/>
      <c r="T699" s="965"/>
      <c r="U699" s="965"/>
      <c r="V699" s="965"/>
      <c r="W699" s="965"/>
      <c r="X699" s="965"/>
      <c r="Y699" s="965"/>
      <c r="Z699" s="965"/>
    </row>
    <row r="700">
      <c r="A700" s="965"/>
      <c r="B700" s="965"/>
      <c r="C700" s="965"/>
      <c r="D700" s="965"/>
      <c r="E700" s="965"/>
      <c r="F700" s="965"/>
      <c r="G700" s="965"/>
      <c r="H700" s="965"/>
      <c r="I700" s="965"/>
      <c r="J700" s="965"/>
      <c r="K700" s="965"/>
      <c r="L700" s="965"/>
      <c r="M700" s="965"/>
      <c r="N700" s="965"/>
      <c r="O700" s="965"/>
      <c r="P700" s="965"/>
      <c r="Q700" s="965"/>
      <c r="R700" s="965"/>
      <c r="S700" s="965"/>
      <c r="T700" s="965"/>
      <c r="U700" s="965"/>
      <c r="V700" s="965"/>
      <c r="W700" s="965"/>
      <c r="X700" s="965"/>
      <c r="Y700" s="965"/>
      <c r="Z700" s="965"/>
    </row>
    <row r="701">
      <c r="A701" s="965"/>
      <c r="B701" s="965"/>
      <c r="C701" s="965"/>
      <c r="D701" s="965"/>
      <c r="E701" s="965"/>
      <c r="F701" s="965"/>
      <c r="G701" s="965"/>
      <c r="H701" s="965"/>
      <c r="I701" s="965"/>
      <c r="J701" s="965"/>
      <c r="K701" s="965"/>
      <c r="L701" s="965"/>
      <c r="M701" s="965"/>
      <c r="N701" s="965"/>
      <c r="O701" s="965"/>
      <c r="P701" s="965"/>
      <c r="Q701" s="965"/>
      <c r="R701" s="965"/>
      <c r="S701" s="965"/>
      <c r="T701" s="965"/>
      <c r="U701" s="965"/>
      <c r="V701" s="965"/>
      <c r="W701" s="965"/>
      <c r="X701" s="965"/>
      <c r="Y701" s="965"/>
      <c r="Z701" s="965"/>
    </row>
    <row r="702">
      <c r="A702" s="965"/>
      <c r="B702" s="965"/>
      <c r="C702" s="965"/>
      <c r="D702" s="965"/>
      <c r="E702" s="965"/>
      <c r="F702" s="965"/>
      <c r="G702" s="965"/>
      <c r="H702" s="965"/>
      <c r="I702" s="965"/>
      <c r="J702" s="965"/>
      <c r="K702" s="965"/>
      <c r="L702" s="965"/>
      <c r="M702" s="965"/>
      <c r="N702" s="965"/>
      <c r="O702" s="965"/>
      <c r="P702" s="965"/>
      <c r="Q702" s="965"/>
      <c r="R702" s="965"/>
      <c r="S702" s="965"/>
      <c r="T702" s="965"/>
      <c r="U702" s="965"/>
      <c r="V702" s="965"/>
      <c r="W702" s="965"/>
      <c r="X702" s="965"/>
      <c r="Y702" s="965"/>
      <c r="Z702" s="965"/>
    </row>
    <row r="703">
      <c r="A703" s="965"/>
      <c r="B703" s="965"/>
      <c r="C703" s="965"/>
      <c r="D703" s="965"/>
      <c r="E703" s="965"/>
      <c r="F703" s="965"/>
      <c r="G703" s="965"/>
      <c r="H703" s="965"/>
      <c r="I703" s="965"/>
      <c r="J703" s="965"/>
      <c r="K703" s="965"/>
      <c r="L703" s="965"/>
      <c r="M703" s="965"/>
      <c r="N703" s="965"/>
      <c r="O703" s="965"/>
      <c r="P703" s="965"/>
      <c r="Q703" s="965"/>
      <c r="R703" s="965"/>
      <c r="S703" s="965"/>
      <c r="T703" s="965"/>
      <c r="U703" s="965"/>
      <c r="V703" s="965"/>
      <c r="W703" s="965"/>
      <c r="X703" s="965"/>
      <c r="Y703" s="965"/>
      <c r="Z703" s="965"/>
    </row>
    <row r="704">
      <c r="A704" s="965"/>
      <c r="B704" s="965"/>
      <c r="C704" s="965"/>
      <c r="D704" s="965"/>
      <c r="E704" s="965"/>
      <c r="F704" s="965"/>
      <c r="G704" s="965"/>
      <c r="H704" s="965"/>
      <c r="I704" s="965"/>
      <c r="J704" s="965"/>
      <c r="K704" s="965"/>
      <c r="L704" s="965"/>
      <c r="M704" s="965"/>
      <c r="N704" s="965"/>
      <c r="O704" s="965"/>
      <c r="P704" s="965"/>
      <c r="Q704" s="965"/>
      <c r="R704" s="965"/>
      <c r="S704" s="965"/>
      <c r="T704" s="965"/>
      <c r="U704" s="965"/>
      <c r="V704" s="965"/>
      <c r="W704" s="965"/>
      <c r="X704" s="965"/>
      <c r="Y704" s="965"/>
      <c r="Z704" s="965"/>
    </row>
    <row r="705">
      <c r="A705" s="965"/>
      <c r="B705" s="965"/>
      <c r="C705" s="965"/>
      <c r="D705" s="965"/>
      <c r="E705" s="965"/>
      <c r="F705" s="965"/>
      <c r="G705" s="965"/>
      <c r="H705" s="965"/>
      <c r="I705" s="965"/>
      <c r="J705" s="965"/>
      <c r="K705" s="965"/>
      <c r="L705" s="965"/>
      <c r="M705" s="965"/>
      <c r="N705" s="965"/>
      <c r="O705" s="965"/>
      <c r="P705" s="965"/>
      <c r="Q705" s="965"/>
      <c r="R705" s="965"/>
      <c r="S705" s="965"/>
      <c r="T705" s="965"/>
      <c r="U705" s="965"/>
      <c r="V705" s="965"/>
      <c r="W705" s="965"/>
      <c r="X705" s="965"/>
      <c r="Y705" s="965"/>
      <c r="Z705" s="965"/>
    </row>
    <row r="706">
      <c r="A706" s="965"/>
      <c r="B706" s="965"/>
      <c r="C706" s="965"/>
      <c r="D706" s="965"/>
      <c r="E706" s="965"/>
      <c r="F706" s="965"/>
      <c r="G706" s="965"/>
      <c r="H706" s="965"/>
      <c r="I706" s="965"/>
      <c r="J706" s="965"/>
      <c r="K706" s="965"/>
      <c r="L706" s="965"/>
      <c r="M706" s="965"/>
      <c r="N706" s="965"/>
      <c r="O706" s="965"/>
      <c r="P706" s="965"/>
      <c r="Q706" s="965"/>
      <c r="R706" s="965"/>
      <c r="S706" s="965"/>
      <c r="T706" s="965"/>
      <c r="U706" s="965"/>
      <c r="V706" s="965"/>
      <c r="W706" s="965"/>
      <c r="X706" s="965"/>
      <c r="Y706" s="965"/>
      <c r="Z706" s="965"/>
    </row>
    <row r="707">
      <c r="A707" s="965"/>
      <c r="B707" s="965"/>
      <c r="C707" s="965"/>
      <c r="D707" s="965"/>
      <c r="E707" s="965"/>
      <c r="F707" s="965"/>
      <c r="G707" s="965"/>
      <c r="H707" s="965"/>
      <c r="I707" s="965"/>
      <c r="J707" s="965"/>
      <c r="K707" s="965"/>
      <c r="L707" s="965"/>
      <c r="M707" s="965"/>
      <c r="N707" s="965"/>
      <c r="O707" s="965"/>
      <c r="P707" s="965"/>
      <c r="Q707" s="965"/>
      <c r="R707" s="965"/>
      <c r="S707" s="965"/>
      <c r="T707" s="965"/>
      <c r="U707" s="965"/>
      <c r="V707" s="965"/>
      <c r="W707" s="965"/>
      <c r="X707" s="965"/>
      <c r="Y707" s="965"/>
      <c r="Z707" s="965"/>
    </row>
    <row r="708">
      <c r="A708" s="965"/>
      <c r="B708" s="965"/>
      <c r="C708" s="965"/>
      <c r="D708" s="965"/>
      <c r="E708" s="965"/>
      <c r="F708" s="965"/>
      <c r="G708" s="965"/>
      <c r="H708" s="965"/>
      <c r="I708" s="965"/>
      <c r="J708" s="965"/>
      <c r="K708" s="965"/>
      <c r="L708" s="965"/>
      <c r="M708" s="965"/>
      <c r="N708" s="965"/>
      <c r="O708" s="965"/>
      <c r="P708" s="965"/>
      <c r="Q708" s="965"/>
      <c r="R708" s="965"/>
      <c r="S708" s="965"/>
      <c r="T708" s="965"/>
      <c r="U708" s="965"/>
      <c r="V708" s="965"/>
      <c r="W708" s="965"/>
      <c r="X708" s="965"/>
      <c r="Y708" s="965"/>
      <c r="Z708" s="965"/>
    </row>
    <row r="709">
      <c r="A709" s="965"/>
      <c r="B709" s="965"/>
      <c r="C709" s="965"/>
      <c r="D709" s="965"/>
      <c r="E709" s="965"/>
      <c r="F709" s="965"/>
      <c r="G709" s="965"/>
      <c r="H709" s="965"/>
      <c r="I709" s="965"/>
      <c r="J709" s="965"/>
      <c r="K709" s="965"/>
      <c r="L709" s="965"/>
      <c r="M709" s="965"/>
      <c r="N709" s="965"/>
      <c r="O709" s="965"/>
      <c r="P709" s="965"/>
      <c r="Q709" s="965"/>
      <c r="R709" s="965"/>
      <c r="S709" s="965"/>
      <c r="T709" s="965"/>
      <c r="U709" s="965"/>
      <c r="V709" s="965"/>
      <c r="W709" s="965"/>
      <c r="X709" s="965"/>
      <c r="Y709" s="965"/>
      <c r="Z709" s="965"/>
    </row>
    <row r="710">
      <c r="A710" s="965"/>
      <c r="B710" s="965"/>
      <c r="C710" s="965"/>
      <c r="D710" s="965"/>
      <c r="E710" s="965"/>
      <c r="F710" s="965"/>
      <c r="G710" s="965"/>
      <c r="H710" s="965"/>
      <c r="I710" s="965"/>
      <c r="J710" s="965"/>
      <c r="K710" s="965"/>
      <c r="L710" s="965"/>
      <c r="M710" s="965"/>
      <c r="N710" s="965"/>
      <c r="O710" s="965"/>
      <c r="P710" s="965"/>
      <c r="Q710" s="965"/>
      <c r="R710" s="965"/>
      <c r="S710" s="965"/>
      <c r="T710" s="965"/>
      <c r="U710" s="965"/>
      <c r="V710" s="965"/>
      <c r="W710" s="965"/>
      <c r="X710" s="965"/>
      <c r="Y710" s="965"/>
      <c r="Z710" s="965"/>
    </row>
    <row r="711">
      <c r="A711" s="965"/>
      <c r="B711" s="965"/>
      <c r="C711" s="965"/>
      <c r="D711" s="965"/>
      <c r="E711" s="965"/>
      <c r="F711" s="965"/>
      <c r="G711" s="965"/>
      <c r="H711" s="965"/>
      <c r="I711" s="965"/>
      <c r="J711" s="965"/>
      <c r="K711" s="965"/>
      <c r="L711" s="965"/>
      <c r="M711" s="965"/>
      <c r="N711" s="965"/>
      <c r="O711" s="965"/>
      <c r="P711" s="965"/>
      <c r="Q711" s="965"/>
      <c r="R711" s="965"/>
      <c r="S711" s="965"/>
      <c r="T711" s="965"/>
      <c r="U711" s="965"/>
      <c r="V711" s="965"/>
      <c r="W711" s="965"/>
      <c r="X711" s="965"/>
      <c r="Y711" s="965"/>
      <c r="Z711" s="965"/>
    </row>
    <row r="712">
      <c r="A712" s="965"/>
      <c r="B712" s="965"/>
      <c r="C712" s="965"/>
      <c r="D712" s="965"/>
      <c r="E712" s="965"/>
      <c r="F712" s="965"/>
      <c r="G712" s="965"/>
      <c r="H712" s="965"/>
      <c r="I712" s="965"/>
      <c r="J712" s="965"/>
      <c r="K712" s="965"/>
      <c r="L712" s="965"/>
      <c r="M712" s="965"/>
      <c r="N712" s="965"/>
      <c r="O712" s="965"/>
      <c r="P712" s="965"/>
      <c r="Q712" s="965"/>
      <c r="R712" s="965"/>
      <c r="S712" s="965"/>
      <c r="T712" s="965"/>
      <c r="U712" s="965"/>
      <c r="V712" s="965"/>
      <c r="W712" s="965"/>
      <c r="X712" s="965"/>
      <c r="Y712" s="965"/>
      <c r="Z712" s="965"/>
    </row>
    <row r="713">
      <c r="A713" s="965"/>
      <c r="B713" s="965"/>
      <c r="C713" s="965"/>
      <c r="D713" s="965"/>
      <c r="E713" s="965"/>
      <c r="F713" s="965"/>
      <c r="G713" s="965"/>
      <c r="H713" s="965"/>
      <c r="I713" s="965"/>
      <c r="J713" s="965"/>
      <c r="K713" s="965"/>
      <c r="L713" s="965"/>
      <c r="M713" s="965"/>
      <c r="N713" s="965"/>
      <c r="O713" s="965"/>
      <c r="P713" s="965"/>
      <c r="Q713" s="965"/>
      <c r="R713" s="965"/>
      <c r="S713" s="965"/>
      <c r="T713" s="965"/>
      <c r="U713" s="965"/>
      <c r="V713" s="965"/>
      <c r="W713" s="965"/>
      <c r="X713" s="965"/>
      <c r="Y713" s="965"/>
      <c r="Z713" s="965"/>
    </row>
    <row r="714">
      <c r="A714" s="965"/>
      <c r="B714" s="965"/>
      <c r="C714" s="965"/>
      <c r="D714" s="965"/>
      <c r="E714" s="965"/>
      <c r="F714" s="965"/>
      <c r="G714" s="965"/>
      <c r="H714" s="965"/>
      <c r="I714" s="965"/>
      <c r="J714" s="965"/>
      <c r="K714" s="965"/>
      <c r="L714" s="965"/>
      <c r="M714" s="965"/>
      <c r="N714" s="965"/>
      <c r="O714" s="965"/>
      <c r="P714" s="965"/>
      <c r="Q714" s="965"/>
      <c r="R714" s="965"/>
      <c r="S714" s="965"/>
      <c r="T714" s="965"/>
      <c r="U714" s="965"/>
      <c r="V714" s="965"/>
      <c r="W714" s="965"/>
      <c r="X714" s="965"/>
      <c r="Y714" s="965"/>
      <c r="Z714" s="965"/>
    </row>
    <row r="715">
      <c r="A715" s="965"/>
      <c r="B715" s="965"/>
      <c r="C715" s="965"/>
      <c r="D715" s="965"/>
      <c r="E715" s="965"/>
      <c r="F715" s="965"/>
      <c r="G715" s="965"/>
      <c r="H715" s="965"/>
      <c r="I715" s="965"/>
      <c r="J715" s="965"/>
      <c r="K715" s="965"/>
      <c r="L715" s="965"/>
      <c r="M715" s="965"/>
      <c r="N715" s="965"/>
      <c r="O715" s="965"/>
      <c r="P715" s="965"/>
      <c r="Q715" s="965"/>
      <c r="R715" s="965"/>
      <c r="S715" s="965"/>
      <c r="T715" s="965"/>
      <c r="U715" s="965"/>
      <c r="V715" s="965"/>
      <c r="W715" s="965"/>
      <c r="X715" s="965"/>
      <c r="Y715" s="965"/>
      <c r="Z715" s="965"/>
    </row>
    <row r="716">
      <c r="A716" s="965"/>
      <c r="B716" s="965"/>
      <c r="C716" s="965"/>
      <c r="D716" s="965"/>
      <c r="E716" s="965"/>
      <c r="F716" s="965"/>
      <c r="G716" s="965"/>
      <c r="H716" s="965"/>
      <c r="I716" s="965"/>
      <c r="J716" s="965"/>
      <c r="K716" s="965"/>
      <c r="L716" s="965"/>
      <c r="M716" s="965"/>
      <c r="N716" s="965"/>
      <c r="O716" s="965"/>
      <c r="P716" s="965"/>
      <c r="Q716" s="965"/>
      <c r="R716" s="965"/>
      <c r="S716" s="965"/>
      <c r="T716" s="965"/>
      <c r="U716" s="965"/>
      <c r="V716" s="965"/>
      <c r="W716" s="965"/>
      <c r="X716" s="965"/>
      <c r="Y716" s="965"/>
      <c r="Z716" s="965"/>
    </row>
    <row r="717">
      <c r="A717" s="965"/>
      <c r="B717" s="965"/>
      <c r="C717" s="965"/>
      <c r="D717" s="965"/>
      <c r="E717" s="965"/>
      <c r="F717" s="965"/>
      <c r="G717" s="965"/>
      <c r="H717" s="965"/>
      <c r="I717" s="965"/>
      <c r="J717" s="965"/>
      <c r="K717" s="965"/>
      <c r="L717" s="965"/>
      <c r="M717" s="965"/>
      <c r="N717" s="965"/>
      <c r="O717" s="965"/>
      <c r="P717" s="965"/>
      <c r="Q717" s="965"/>
      <c r="R717" s="965"/>
      <c r="S717" s="965"/>
      <c r="T717" s="965"/>
      <c r="U717" s="965"/>
      <c r="V717" s="965"/>
      <c r="W717" s="965"/>
      <c r="X717" s="965"/>
      <c r="Y717" s="965"/>
      <c r="Z717" s="965"/>
    </row>
    <row r="718">
      <c r="A718" s="965"/>
      <c r="B718" s="965"/>
      <c r="C718" s="965"/>
      <c r="D718" s="965"/>
      <c r="E718" s="965"/>
      <c r="F718" s="965"/>
      <c r="G718" s="965"/>
      <c r="H718" s="965"/>
      <c r="I718" s="965"/>
      <c r="J718" s="965"/>
      <c r="K718" s="965"/>
      <c r="L718" s="965"/>
      <c r="M718" s="965"/>
      <c r="N718" s="965"/>
      <c r="O718" s="965"/>
      <c r="P718" s="965"/>
      <c r="Q718" s="965"/>
      <c r="R718" s="965"/>
      <c r="S718" s="965"/>
      <c r="T718" s="965"/>
      <c r="U718" s="965"/>
      <c r="V718" s="965"/>
      <c r="W718" s="965"/>
      <c r="X718" s="965"/>
      <c r="Y718" s="965"/>
      <c r="Z718" s="965"/>
    </row>
    <row r="719">
      <c r="A719" s="965"/>
      <c r="B719" s="965"/>
      <c r="C719" s="965"/>
      <c r="D719" s="965"/>
      <c r="E719" s="965"/>
      <c r="F719" s="965"/>
      <c r="G719" s="965"/>
      <c r="H719" s="965"/>
      <c r="I719" s="965"/>
      <c r="J719" s="965"/>
      <c r="K719" s="965"/>
      <c r="L719" s="965"/>
      <c r="M719" s="965"/>
      <c r="N719" s="965"/>
      <c r="O719" s="965"/>
      <c r="P719" s="965"/>
      <c r="Q719" s="965"/>
      <c r="R719" s="965"/>
      <c r="S719" s="965"/>
      <c r="T719" s="965"/>
      <c r="U719" s="965"/>
      <c r="V719" s="965"/>
      <c r="W719" s="965"/>
      <c r="X719" s="965"/>
      <c r="Y719" s="965"/>
      <c r="Z719" s="965"/>
    </row>
    <row r="720">
      <c r="A720" s="965"/>
      <c r="B720" s="965"/>
      <c r="C720" s="965"/>
      <c r="D720" s="965"/>
      <c r="E720" s="965"/>
      <c r="F720" s="965"/>
      <c r="G720" s="965"/>
      <c r="H720" s="965"/>
      <c r="I720" s="965"/>
      <c r="J720" s="965"/>
      <c r="K720" s="965"/>
      <c r="L720" s="965"/>
      <c r="M720" s="965"/>
      <c r="N720" s="965"/>
      <c r="O720" s="965"/>
      <c r="P720" s="965"/>
      <c r="Q720" s="965"/>
      <c r="R720" s="965"/>
      <c r="S720" s="965"/>
      <c r="T720" s="965"/>
      <c r="U720" s="965"/>
      <c r="V720" s="965"/>
      <c r="W720" s="965"/>
      <c r="X720" s="965"/>
      <c r="Y720" s="965"/>
      <c r="Z720" s="965"/>
    </row>
    <row r="721">
      <c r="A721" s="965"/>
      <c r="B721" s="965"/>
      <c r="C721" s="965"/>
      <c r="D721" s="965"/>
      <c r="E721" s="965"/>
      <c r="F721" s="965"/>
      <c r="G721" s="965"/>
      <c r="H721" s="965"/>
      <c r="I721" s="965"/>
      <c r="J721" s="965"/>
      <c r="K721" s="965"/>
      <c r="L721" s="965"/>
      <c r="M721" s="965"/>
      <c r="N721" s="965"/>
      <c r="O721" s="965"/>
      <c r="P721" s="965"/>
      <c r="Q721" s="965"/>
      <c r="R721" s="965"/>
      <c r="S721" s="965"/>
      <c r="T721" s="965"/>
      <c r="U721" s="965"/>
      <c r="V721" s="965"/>
      <c r="W721" s="965"/>
      <c r="X721" s="965"/>
      <c r="Y721" s="965"/>
      <c r="Z721" s="965"/>
    </row>
    <row r="722">
      <c r="A722" s="965"/>
      <c r="B722" s="965"/>
      <c r="C722" s="965"/>
      <c r="D722" s="965"/>
      <c r="E722" s="965"/>
      <c r="F722" s="965"/>
      <c r="G722" s="965"/>
      <c r="H722" s="965"/>
      <c r="I722" s="965"/>
      <c r="J722" s="965"/>
      <c r="K722" s="965"/>
      <c r="L722" s="965"/>
      <c r="M722" s="965"/>
      <c r="N722" s="965"/>
      <c r="O722" s="965"/>
      <c r="P722" s="965"/>
      <c r="Q722" s="965"/>
      <c r="R722" s="965"/>
      <c r="S722" s="965"/>
      <c r="T722" s="965"/>
      <c r="U722" s="965"/>
      <c r="V722" s="965"/>
      <c r="W722" s="965"/>
      <c r="X722" s="965"/>
      <c r="Y722" s="965"/>
      <c r="Z722" s="965"/>
    </row>
    <row r="723">
      <c r="A723" s="965"/>
      <c r="B723" s="965"/>
      <c r="C723" s="965"/>
      <c r="D723" s="965"/>
      <c r="E723" s="965"/>
      <c r="F723" s="965"/>
      <c r="G723" s="965"/>
      <c r="H723" s="965"/>
      <c r="I723" s="965"/>
      <c r="J723" s="965"/>
      <c r="K723" s="965"/>
      <c r="L723" s="965"/>
      <c r="M723" s="965"/>
      <c r="N723" s="965"/>
      <c r="O723" s="965"/>
      <c r="P723" s="965"/>
      <c r="Q723" s="965"/>
      <c r="R723" s="965"/>
      <c r="S723" s="965"/>
      <c r="T723" s="965"/>
      <c r="U723" s="965"/>
      <c r="V723" s="965"/>
      <c r="W723" s="965"/>
      <c r="X723" s="965"/>
      <c r="Y723" s="965"/>
      <c r="Z723" s="965"/>
    </row>
    <row r="724">
      <c r="A724" s="965"/>
      <c r="B724" s="965"/>
      <c r="C724" s="965"/>
      <c r="D724" s="965"/>
      <c r="E724" s="965"/>
      <c r="F724" s="965"/>
      <c r="G724" s="965"/>
      <c r="H724" s="965"/>
      <c r="I724" s="965"/>
      <c r="J724" s="965"/>
      <c r="K724" s="965"/>
      <c r="L724" s="965"/>
      <c r="M724" s="965"/>
      <c r="N724" s="965"/>
      <c r="O724" s="965"/>
      <c r="P724" s="965"/>
      <c r="Q724" s="965"/>
      <c r="R724" s="965"/>
      <c r="S724" s="965"/>
      <c r="T724" s="965"/>
      <c r="U724" s="965"/>
      <c r="V724" s="965"/>
      <c r="W724" s="965"/>
      <c r="X724" s="965"/>
      <c r="Y724" s="965"/>
      <c r="Z724" s="965"/>
    </row>
    <row r="725">
      <c r="A725" s="965"/>
      <c r="B725" s="965"/>
      <c r="C725" s="965"/>
      <c r="D725" s="965"/>
      <c r="E725" s="965"/>
      <c r="F725" s="965"/>
      <c r="G725" s="965"/>
      <c r="H725" s="965"/>
      <c r="I725" s="965"/>
      <c r="J725" s="965"/>
      <c r="K725" s="965"/>
      <c r="L725" s="965"/>
      <c r="M725" s="965"/>
      <c r="N725" s="965"/>
      <c r="O725" s="965"/>
      <c r="P725" s="965"/>
      <c r="Q725" s="965"/>
      <c r="R725" s="965"/>
      <c r="S725" s="965"/>
      <c r="T725" s="965"/>
      <c r="U725" s="965"/>
      <c r="V725" s="965"/>
      <c r="W725" s="965"/>
      <c r="X725" s="965"/>
      <c r="Y725" s="965"/>
      <c r="Z725" s="965"/>
    </row>
    <row r="726">
      <c r="A726" s="965"/>
      <c r="B726" s="965"/>
      <c r="C726" s="965"/>
      <c r="D726" s="965"/>
      <c r="E726" s="965"/>
      <c r="F726" s="965"/>
      <c r="G726" s="965"/>
      <c r="H726" s="965"/>
      <c r="I726" s="965"/>
      <c r="J726" s="965"/>
      <c r="K726" s="965"/>
      <c r="L726" s="965"/>
      <c r="M726" s="965"/>
      <c r="N726" s="965"/>
      <c r="O726" s="965"/>
      <c r="P726" s="965"/>
      <c r="Q726" s="965"/>
      <c r="R726" s="965"/>
      <c r="S726" s="965"/>
      <c r="T726" s="965"/>
      <c r="U726" s="965"/>
      <c r="V726" s="965"/>
      <c r="W726" s="965"/>
      <c r="X726" s="965"/>
      <c r="Y726" s="965"/>
      <c r="Z726" s="965"/>
    </row>
    <row r="727">
      <c r="A727" s="965"/>
      <c r="B727" s="965"/>
      <c r="C727" s="965"/>
      <c r="D727" s="965"/>
      <c r="E727" s="965"/>
      <c r="F727" s="965"/>
      <c r="G727" s="965"/>
      <c r="H727" s="965"/>
      <c r="I727" s="965"/>
      <c r="J727" s="965"/>
      <c r="K727" s="965"/>
      <c r="L727" s="965"/>
      <c r="M727" s="965"/>
      <c r="N727" s="965"/>
      <c r="O727" s="965"/>
      <c r="P727" s="965"/>
      <c r="Q727" s="965"/>
      <c r="R727" s="965"/>
      <c r="S727" s="965"/>
      <c r="T727" s="965"/>
      <c r="U727" s="965"/>
      <c r="V727" s="965"/>
      <c r="W727" s="965"/>
      <c r="X727" s="965"/>
      <c r="Y727" s="965"/>
      <c r="Z727" s="965"/>
    </row>
    <row r="728">
      <c r="A728" s="965"/>
      <c r="B728" s="965"/>
      <c r="C728" s="965"/>
      <c r="D728" s="965"/>
      <c r="E728" s="965"/>
      <c r="F728" s="965"/>
      <c r="G728" s="965"/>
      <c r="H728" s="965"/>
      <c r="I728" s="965"/>
      <c r="J728" s="965"/>
      <c r="K728" s="965"/>
      <c r="L728" s="965"/>
      <c r="M728" s="965"/>
      <c r="N728" s="965"/>
      <c r="O728" s="965"/>
      <c r="P728" s="965"/>
      <c r="Q728" s="965"/>
      <c r="R728" s="965"/>
      <c r="S728" s="965"/>
      <c r="T728" s="965"/>
      <c r="U728" s="965"/>
      <c r="V728" s="965"/>
      <c r="W728" s="965"/>
      <c r="X728" s="965"/>
      <c r="Y728" s="965"/>
      <c r="Z728" s="965"/>
    </row>
    <row r="729">
      <c r="A729" s="965"/>
      <c r="B729" s="965"/>
      <c r="C729" s="965"/>
      <c r="D729" s="965"/>
      <c r="E729" s="965"/>
      <c r="F729" s="965"/>
      <c r="G729" s="965"/>
      <c r="H729" s="965"/>
      <c r="I729" s="965"/>
      <c r="J729" s="965"/>
      <c r="K729" s="965"/>
      <c r="L729" s="965"/>
      <c r="M729" s="965"/>
      <c r="N729" s="965"/>
      <c r="O729" s="965"/>
      <c r="P729" s="965"/>
      <c r="Q729" s="965"/>
      <c r="R729" s="965"/>
      <c r="S729" s="965"/>
      <c r="T729" s="965"/>
      <c r="U729" s="965"/>
      <c r="V729" s="965"/>
      <c r="W729" s="965"/>
      <c r="X729" s="965"/>
      <c r="Y729" s="965"/>
      <c r="Z729" s="965"/>
    </row>
    <row r="730">
      <c r="A730" s="965"/>
      <c r="B730" s="965"/>
      <c r="C730" s="965"/>
      <c r="D730" s="965"/>
      <c r="E730" s="965"/>
      <c r="F730" s="965"/>
      <c r="G730" s="965"/>
      <c r="H730" s="965"/>
      <c r="I730" s="965"/>
      <c r="J730" s="965"/>
      <c r="K730" s="965"/>
      <c r="L730" s="965"/>
      <c r="M730" s="965"/>
      <c r="N730" s="965"/>
      <c r="O730" s="965"/>
      <c r="P730" s="965"/>
      <c r="Q730" s="965"/>
      <c r="R730" s="965"/>
      <c r="S730" s="965"/>
      <c r="T730" s="965"/>
      <c r="U730" s="965"/>
      <c r="V730" s="965"/>
      <c r="W730" s="965"/>
      <c r="X730" s="965"/>
      <c r="Y730" s="965"/>
      <c r="Z730" s="965"/>
    </row>
    <row r="731">
      <c r="A731" s="965"/>
      <c r="B731" s="965"/>
      <c r="C731" s="965"/>
      <c r="D731" s="965"/>
      <c r="E731" s="965"/>
      <c r="F731" s="965"/>
      <c r="G731" s="965"/>
      <c r="H731" s="965"/>
      <c r="I731" s="965"/>
      <c r="J731" s="965"/>
      <c r="K731" s="965"/>
      <c r="L731" s="965"/>
      <c r="M731" s="965"/>
      <c r="N731" s="965"/>
      <c r="O731" s="965"/>
      <c r="P731" s="965"/>
      <c r="Q731" s="965"/>
      <c r="R731" s="965"/>
      <c r="S731" s="965"/>
      <c r="T731" s="965"/>
      <c r="U731" s="965"/>
      <c r="V731" s="965"/>
      <c r="W731" s="965"/>
      <c r="X731" s="965"/>
      <c r="Y731" s="965"/>
      <c r="Z731" s="965"/>
    </row>
    <row r="732">
      <c r="A732" s="965"/>
      <c r="B732" s="965"/>
      <c r="C732" s="965"/>
      <c r="D732" s="965"/>
      <c r="E732" s="965"/>
      <c r="F732" s="965"/>
      <c r="G732" s="965"/>
      <c r="H732" s="965"/>
      <c r="I732" s="965"/>
      <c r="J732" s="965"/>
      <c r="K732" s="965"/>
      <c r="L732" s="965"/>
      <c r="M732" s="965"/>
      <c r="N732" s="965"/>
      <c r="O732" s="965"/>
      <c r="P732" s="965"/>
      <c r="Q732" s="965"/>
      <c r="R732" s="965"/>
      <c r="S732" s="965"/>
      <c r="T732" s="965"/>
      <c r="U732" s="965"/>
      <c r="V732" s="965"/>
      <c r="W732" s="965"/>
      <c r="X732" s="965"/>
      <c r="Y732" s="965"/>
      <c r="Z732" s="965"/>
    </row>
    <row r="733">
      <c r="A733" s="965"/>
      <c r="B733" s="965"/>
      <c r="C733" s="965"/>
      <c r="D733" s="965"/>
      <c r="E733" s="965"/>
      <c r="F733" s="965"/>
      <c r="G733" s="965"/>
      <c r="H733" s="965"/>
      <c r="I733" s="965"/>
      <c r="J733" s="965"/>
      <c r="K733" s="965"/>
      <c r="L733" s="965"/>
      <c r="M733" s="965"/>
      <c r="N733" s="965"/>
      <c r="O733" s="965"/>
      <c r="P733" s="965"/>
      <c r="Q733" s="965"/>
      <c r="R733" s="965"/>
      <c r="S733" s="965"/>
      <c r="T733" s="965"/>
      <c r="U733" s="965"/>
      <c r="V733" s="965"/>
      <c r="W733" s="965"/>
      <c r="X733" s="965"/>
      <c r="Y733" s="965"/>
      <c r="Z733" s="965"/>
    </row>
    <row r="734">
      <c r="A734" s="965"/>
      <c r="B734" s="965"/>
      <c r="C734" s="965"/>
      <c r="D734" s="965"/>
      <c r="E734" s="965"/>
      <c r="F734" s="965"/>
      <c r="G734" s="965"/>
      <c r="H734" s="965"/>
      <c r="I734" s="965"/>
      <c r="J734" s="965"/>
      <c r="K734" s="965"/>
      <c r="L734" s="965"/>
      <c r="M734" s="965"/>
      <c r="N734" s="965"/>
      <c r="O734" s="965"/>
      <c r="P734" s="965"/>
      <c r="Q734" s="965"/>
      <c r="R734" s="965"/>
      <c r="S734" s="965"/>
      <c r="T734" s="965"/>
      <c r="U734" s="965"/>
      <c r="V734" s="965"/>
      <c r="W734" s="965"/>
      <c r="X734" s="965"/>
      <c r="Y734" s="965"/>
      <c r="Z734" s="965"/>
    </row>
    <row r="735">
      <c r="A735" s="965"/>
      <c r="B735" s="965"/>
      <c r="C735" s="965"/>
      <c r="D735" s="965"/>
      <c r="E735" s="965"/>
      <c r="F735" s="965"/>
      <c r="G735" s="965"/>
      <c r="H735" s="965"/>
      <c r="I735" s="965"/>
      <c r="J735" s="965"/>
      <c r="K735" s="965"/>
      <c r="L735" s="965"/>
      <c r="M735" s="965"/>
      <c r="N735" s="965"/>
      <c r="O735" s="965"/>
      <c r="P735" s="965"/>
      <c r="Q735" s="965"/>
      <c r="R735" s="965"/>
      <c r="S735" s="965"/>
      <c r="T735" s="965"/>
      <c r="U735" s="965"/>
      <c r="V735" s="965"/>
      <c r="W735" s="965"/>
      <c r="X735" s="965"/>
      <c r="Y735" s="965"/>
      <c r="Z735" s="965"/>
    </row>
    <row r="736">
      <c r="A736" s="965"/>
      <c r="B736" s="965"/>
      <c r="C736" s="965"/>
      <c r="D736" s="965"/>
      <c r="E736" s="965"/>
      <c r="F736" s="965"/>
      <c r="G736" s="965"/>
      <c r="H736" s="965"/>
      <c r="I736" s="965"/>
      <c r="J736" s="965"/>
      <c r="K736" s="965"/>
      <c r="L736" s="965"/>
      <c r="M736" s="965"/>
      <c r="N736" s="965"/>
      <c r="O736" s="965"/>
      <c r="P736" s="965"/>
      <c r="Q736" s="965"/>
      <c r="R736" s="965"/>
      <c r="S736" s="965"/>
      <c r="T736" s="965"/>
      <c r="U736" s="965"/>
      <c r="V736" s="965"/>
      <c r="W736" s="965"/>
      <c r="X736" s="965"/>
      <c r="Y736" s="965"/>
      <c r="Z736" s="965"/>
    </row>
    <row r="737">
      <c r="A737" s="965"/>
      <c r="B737" s="965"/>
      <c r="C737" s="965"/>
      <c r="D737" s="965"/>
      <c r="E737" s="965"/>
      <c r="F737" s="965"/>
      <c r="G737" s="965"/>
      <c r="H737" s="965"/>
      <c r="I737" s="965"/>
      <c r="J737" s="965"/>
      <c r="K737" s="965"/>
      <c r="L737" s="965"/>
      <c r="M737" s="965"/>
      <c r="N737" s="965"/>
      <c r="O737" s="965"/>
      <c r="P737" s="965"/>
      <c r="Q737" s="965"/>
      <c r="R737" s="965"/>
      <c r="S737" s="965"/>
      <c r="T737" s="965"/>
      <c r="U737" s="965"/>
      <c r="V737" s="965"/>
      <c r="W737" s="965"/>
      <c r="X737" s="965"/>
      <c r="Y737" s="965"/>
      <c r="Z737" s="965"/>
    </row>
    <row r="738">
      <c r="A738" s="965"/>
      <c r="B738" s="965"/>
      <c r="C738" s="965"/>
      <c r="D738" s="965"/>
      <c r="E738" s="965"/>
      <c r="F738" s="965"/>
      <c r="G738" s="965"/>
      <c r="H738" s="965"/>
      <c r="I738" s="965"/>
      <c r="J738" s="965"/>
      <c r="K738" s="965"/>
      <c r="L738" s="965"/>
      <c r="M738" s="965"/>
      <c r="N738" s="965"/>
      <c r="O738" s="965"/>
      <c r="P738" s="965"/>
      <c r="Q738" s="965"/>
      <c r="R738" s="965"/>
      <c r="S738" s="965"/>
      <c r="T738" s="965"/>
      <c r="U738" s="965"/>
      <c r="V738" s="965"/>
      <c r="W738" s="965"/>
      <c r="X738" s="965"/>
      <c r="Y738" s="965"/>
      <c r="Z738" s="965"/>
    </row>
    <row r="739">
      <c r="A739" s="965"/>
      <c r="B739" s="965"/>
      <c r="C739" s="965"/>
      <c r="D739" s="965"/>
      <c r="E739" s="965"/>
      <c r="F739" s="965"/>
      <c r="G739" s="965"/>
      <c r="H739" s="965"/>
      <c r="I739" s="965"/>
      <c r="J739" s="965"/>
      <c r="K739" s="965"/>
      <c r="L739" s="965"/>
      <c r="M739" s="965"/>
      <c r="N739" s="965"/>
      <c r="O739" s="965"/>
      <c r="P739" s="965"/>
      <c r="Q739" s="965"/>
      <c r="R739" s="965"/>
      <c r="S739" s="965"/>
      <c r="T739" s="965"/>
      <c r="U739" s="965"/>
      <c r="V739" s="965"/>
      <c r="W739" s="965"/>
      <c r="X739" s="965"/>
      <c r="Y739" s="965"/>
      <c r="Z739" s="965"/>
    </row>
    <row r="740">
      <c r="A740" s="965"/>
      <c r="B740" s="965"/>
      <c r="C740" s="965"/>
      <c r="D740" s="965"/>
      <c r="E740" s="965"/>
      <c r="F740" s="965"/>
      <c r="G740" s="965"/>
      <c r="H740" s="965"/>
      <c r="I740" s="965"/>
      <c r="J740" s="965"/>
      <c r="K740" s="965"/>
      <c r="L740" s="965"/>
      <c r="M740" s="965"/>
      <c r="N740" s="965"/>
      <c r="O740" s="965"/>
      <c r="P740" s="965"/>
      <c r="Q740" s="965"/>
      <c r="R740" s="965"/>
      <c r="S740" s="965"/>
      <c r="T740" s="965"/>
      <c r="U740" s="965"/>
      <c r="V740" s="965"/>
      <c r="W740" s="965"/>
      <c r="X740" s="965"/>
      <c r="Y740" s="965"/>
      <c r="Z740" s="965"/>
    </row>
    <row r="741">
      <c r="A741" s="965"/>
      <c r="B741" s="965"/>
      <c r="C741" s="965"/>
      <c r="D741" s="965"/>
      <c r="E741" s="965"/>
      <c r="F741" s="965"/>
      <c r="G741" s="965"/>
      <c r="H741" s="965"/>
      <c r="I741" s="965"/>
      <c r="J741" s="965"/>
      <c r="K741" s="965"/>
      <c r="L741" s="965"/>
      <c r="M741" s="965"/>
      <c r="N741" s="965"/>
      <c r="O741" s="965"/>
      <c r="P741" s="965"/>
      <c r="Q741" s="965"/>
      <c r="R741" s="965"/>
      <c r="S741" s="965"/>
      <c r="T741" s="965"/>
      <c r="U741" s="965"/>
      <c r="V741" s="965"/>
      <c r="W741" s="965"/>
      <c r="X741" s="965"/>
      <c r="Y741" s="965"/>
      <c r="Z741" s="965"/>
    </row>
    <row r="742">
      <c r="A742" s="965"/>
      <c r="B742" s="965"/>
      <c r="C742" s="965"/>
      <c r="D742" s="965"/>
      <c r="E742" s="965"/>
      <c r="F742" s="965"/>
      <c r="G742" s="965"/>
      <c r="H742" s="965"/>
      <c r="I742" s="965"/>
      <c r="J742" s="965"/>
      <c r="K742" s="965"/>
      <c r="L742" s="965"/>
      <c r="M742" s="965"/>
      <c r="N742" s="965"/>
      <c r="O742" s="965"/>
      <c r="P742" s="965"/>
      <c r="Q742" s="965"/>
      <c r="R742" s="965"/>
      <c r="S742" s="965"/>
      <c r="T742" s="965"/>
      <c r="U742" s="965"/>
      <c r="V742" s="965"/>
      <c r="W742" s="965"/>
      <c r="X742" s="965"/>
      <c r="Y742" s="965"/>
      <c r="Z742" s="965"/>
    </row>
    <row r="743">
      <c r="A743" s="965"/>
      <c r="B743" s="965"/>
      <c r="C743" s="965"/>
      <c r="D743" s="965"/>
      <c r="E743" s="965"/>
      <c r="F743" s="965"/>
      <c r="G743" s="965"/>
      <c r="H743" s="965"/>
      <c r="I743" s="965"/>
      <c r="J743" s="965"/>
      <c r="K743" s="965"/>
      <c r="L743" s="965"/>
      <c r="M743" s="965"/>
      <c r="N743" s="965"/>
      <c r="O743" s="965"/>
      <c r="P743" s="965"/>
      <c r="Q743" s="965"/>
      <c r="R743" s="965"/>
      <c r="S743" s="965"/>
      <c r="T743" s="965"/>
      <c r="U743" s="965"/>
      <c r="V743" s="965"/>
      <c r="W743" s="965"/>
      <c r="X743" s="965"/>
      <c r="Y743" s="965"/>
      <c r="Z743" s="965"/>
    </row>
    <row r="744">
      <c r="A744" s="965"/>
      <c r="B744" s="965"/>
      <c r="C744" s="965"/>
      <c r="D744" s="965"/>
      <c r="E744" s="965"/>
      <c r="F744" s="965"/>
      <c r="G744" s="965"/>
      <c r="H744" s="965"/>
      <c r="I744" s="965"/>
      <c r="J744" s="965"/>
      <c r="K744" s="965"/>
      <c r="L744" s="965"/>
      <c r="M744" s="965"/>
      <c r="N744" s="965"/>
      <c r="O744" s="965"/>
      <c r="P744" s="965"/>
      <c r="Q744" s="965"/>
      <c r="R744" s="965"/>
      <c r="S744" s="965"/>
      <c r="T744" s="965"/>
      <c r="U744" s="965"/>
      <c r="V744" s="965"/>
      <c r="W744" s="965"/>
      <c r="X744" s="965"/>
      <c r="Y744" s="965"/>
      <c r="Z744" s="965"/>
    </row>
    <row r="745">
      <c r="A745" s="965"/>
      <c r="B745" s="965"/>
      <c r="C745" s="965"/>
      <c r="D745" s="965"/>
      <c r="E745" s="965"/>
      <c r="F745" s="965"/>
      <c r="G745" s="965"/>
      <c r="H745" s="965"/>
      <c r="I745" s="965"/>
      <c r="J745" s="965"/>
      <c r="K745" s="965"/>
      <c r="L745" s="965"/>
      <c r="M745" s="965"/>
      <c r="N745" s="965"/>
      <c r="O745" s="965"/>
      <c r="P745" s="965"/>
      <c r="Q745" s="965"/>
      <c r="R745" s="965"/>
      <c r="S745" s="965"/>
      <c r="T745" s="965"/>
      <c r="U745" s="965"/>
      <c r="V745" s="965"/>
      <c r="W745" s="965"/>
      <c r="X745" s="965"/>
      <c r="Y745" s="965"/>
      <c r="Z745" s="965"/>
    </row>
    <row r="746">
      <c r="A746" s="965"/>
      <c r="B746" s="965"/>
      <c r="C746" s="965"/>
      <c r="D746" s="965"/>
      <c r="E746" s="965"/>
      <c r="F746" s="965"/>
      <c r="G746" s="965"/>
      <c r="H746" s="965"/>
      <c r="I746" s="965"/>
      <c r="J746" s="965"/>
      <c r="K746" s="965"/>
      <c r="L746" s="965"/>
      <c r="M746" s="965"/>
      <c r="N746" s="965"/>
      <c r="O746" s="965"/>
      <c r="P746" s="965"/>
      <c r="Q746" s="965"/>
      <c r="R746" s="965"/>
      <c r="S746" s="965"/>
      <c r="T746" s="965"/>
      <c r="U746" s="965"/>
      <c r="V746" s="965"/>
      <c r="W746" s="965"/>
      <c r="X746" s="965"/>
      <c r="Y746" s="965"/>
      <c r="Z746" s="965"/>
    </row>
    <row r="747">
      <c r="A747" s="965"/>
      <c r="B747" s="965"/>
      <c r="C747" s="965"/>
      <c r="D747" s="965"/>
      <c r="E747" s="965"/>
      <c r="F747" s="965"/>
      <c r="G747" s="965"/>
      <c r="H747" s="965"/>
      <c r="I747" s="965"/>
      <c r="J747" s="965"/>
      <c r="K747" s="965"/>
      <c r="L747" s="965"/>
      <c r="M747" s="965"/>
      <c r="N747" s="965"/>
      <c r="O747" s="965"/>
      <c r="P747" s="965"/>
      <c r="Q747" s="965"/>
      <c r="R747" s="965"/>
      <c r="S747" s="965"/>
      <c r="T747" s="965"/>
      <c r="U747" s="965"/>
      <c r="V747" s="965"/>
      <c r="W747" s="965"/>
      <c r="X747" s="965"/>
      <c r="Y747" s="965"/>
      <c r="Z747" s="965"/>
    </row>
    <row r="748">
      <c r="A748" s="965"/>
      <c r="B748" s="965"/>
      <c r="C748" s="965"/>
      <c r="D748" s="965"/>
      <c r="E748" s="965"/>
      <c r="F748" s="965"/>
      <c r="G748" s="965"/>
      <c r="H748" s="965"/>
      <c r="I748" s="965"/>
      <c r="J748" s="965"/>
      <c r="K748" s="965"/>
      <c r="L748" s="965"/>
      <c r="M748" s="965"/>
      <c r="N748" s="965"/>
      <c r="O748" s="965"/>
      <c r="P748" s="965"/>
      <c r="Q748" s="965"/>
      <c r="R748" s="965"/>
      <c r="S748" s="965"/>
      <c r="T748" s="965"/>
      <c r="U748" s="965"/>
      <c r="V748" s="965"/>
      <c r="W748" s="965"/>
      <c r="X748" s="965"/>
      <c r="Y748" s="965"/>
      <c r="Z748" s="965"/>
    </row>
    <row r="749">
      <c r="A749" s="965"/>
      <c r="B749" s="965"/>
      <c r="C749" s="965"/>
      <c r="D749" s="965"/>
      <c r="E749" s="965"/>
      <c r="F749" s="965"/>
      <c r="G749" s="965"/>
      <c r="H749" s="965"/>
      <c r="I749" s="965"/>
      <c r="J749" s="965"/>
      <c r="K749" s="965"/>
      <c r="L749" s="965"/>
      <c r="M749" s="965"/>
      <c r="N749" s="965"/>
      <c r="O749" s="965"/>
      <c r="P749" s="965"/>
      <c r="Q749" s="965"/>
      <c r="R749" s="965"/>
      <c r="S749" s="965"/>
      <c r="T749" s="965"/>
      <c r="U749" s="965"/>
      <c r="V749" s="965"/>
      <c r="W749" s="965"/>
      <c r="X749" s="965"/>
      <c r="Y749" s="965"/>
      <c r="Z749" s="965"/>
    </row>
    <row r="750">
      <c r="A750" s="965"/>
      <c r="B750" s="965"/>
      <c r="C750" s="965"/>
      <c r="D750" s="965"/>
      <c r="E750" s="965"/>
      <c r="F750" s="965"/>
      <c r="G750" s="965"/>
      <c r="H750" s="965"/>
      <c r="I750" s="965"/>
      <c r="J750" s="965"/>
      <c r="K750" s="965"/>
      <c r="L750" s="965"/>
      <c r="M750" s="965"/>
      <c r="N750" s="965"/>
      <c r="O750" s="965"/>
      <c r="P750" s="965"/>
      <c r="Q750" s="965"/>
      <c r="R750" s="965"/>
      <c r="S750" s="965"/>
      <c r="T750" s="965"/>
      <c r="U750" s="965"/>
      <c r="V750" s="965"/>
      <c r="W750" s="965"/>
      <c r="X750" s="965"/>
      <c r="Y750" s="965"/>
      <c r="Z750" s="965"/>
    </row>
    <row r="751">
      <c r="A751" s="965"/>
      <c r="B751" s="965"/>
      <c r="C751" s="965"/>
      <c r="D751" s="965"/>
      <c r="E751" s="965"/>
      <c r="F751" s="965"/>
      <c r="G751" s="965"/>
      <c r="H751" s="965"/>
      <c r="I751" s="965"/>
      <c r="J751" s="965"/>
      <c r="K751" s="965"/>
      <c r="L751" s="965"/>
      <c r="M751" s="965"/>
      <c r="N751" s="965"/>
      <c r="O751" s="965"/>
      <c r="P751" s="965"/>
      <c r="Q751" s="965"/>
      <c r="R751" s="965"/>
      <c r="S751" s="965"/>
      <c r="T751" s="965"/>
      <c r="U751" s="965"/>
      <c r="V751" s="965"/>
      <c r="W751" s="965"/>
      <c r="X751" s="965"/>
      <c r="Y751" s="965"/>
      <c r="Z751" s="965"/>
    </row>
    <row r="752">
      <c r="A752" s="965"/>
      <c r="B752" s="965"/>
      <c r="C752" s="965"/>
      <c r="D752" s="965"/>
      <c r="E752" s="965"/>
      <c r="F752" s="965"/>
      <c r="G752" s="965"/>
      <c r="H752" s="965"/>
      <c r="I752" s="965"/>
      <c r="J752" s="965"/>
      <c r="K752" s="965"/>
      <c r="L752" s="965"/>
      <c r="M752" s="965"/>
      <c r="N752" s="965"/>
      <c r="O752" s="965"/>
      <c r="P752" s="965"/>
      <c r="Q752" s="965"/>
      <c r="R752" s="965"/>
      <c r="S752" s="965"/>
      <c r="T752" s="965"/>
      <c r="U752" s="965"/>
      <c r="V752" s="965"/>
      <c r="W752" s="965"/>
      <c r="X752" s="965"/>
      <c r="Y752" s="965"/>
      <c r="Z752" s="965"/>
    </row>
    <row r="753">
      <c r="A753" s="965"/>
      <c r="B753" s="965"/>
      <c r="C753" s="965"/>
      <c r="D753" s="965"/>
      <c r="E753" s="965"/>
      <c r="F753" s="965"/>
      <c r="G753" s="965"/>
      <c r="H753" s="965"/>
      <c r="I753" s="965"/>
      <c r="J753" s="965"/>
      <c r="K753" s="965"/>
      <c r="L753" s="965"/>
      <c r="M753" s="965"/>
      <c r="N753" s="965"/>
      <c r="O753" s="965"/>
      <c r="P753" s="965"/>
      <c r="Q753" s="965"/>
      <c r="R753" s="965"/>
      <c r="S753" s="965"/>
      <c r="T753" s="965"/>
      <c r="U753" s="965"/>
      <c r="V753" s="965"/>
      <c r="W753" s="965"/>
      <c r="X753" s="965"/>
      <c r="Y753" s="965"/>
      <c r="Z753" s="965"/>
    </row>
    <row r="754">
      <c r="A754" s="965"/>
      <c r="B754" s="965"/>
      <c r="C754" s="965"/>
      <c r="D754" s="965"/>
      <c r="E754" s="965"/>
      <c r="F754" s="965"/>
      <c r="G754" s="965"/>
      <c r="H754" s="965"/>
      <c r="I754" s="965"/>
      <c r="J754" s="965"/>
      <c r="K754" s="965"/>
      <c r="L754" s="965"/>
      <c r="M754" s="965"/>
      <c r="N754" s="965"/>
      <c r="O754" s="965"/>
      <c r="P754" s="965"/>
      <c r="Q754" s="965"/>
      <c r="R754" s="965"/>
      <c r="S754" s="965"/>
      <c r="T754" s="965"/>
      <c r="U754" s="965"/>
      <c r="V754" s="965"/>
      <c r="W754" s="965"/>
      <c r="X754" s="965"/>
      <c r="Y754" s="965"/>
      <c r="Z754" s="965"/>
    </row>
    <row r="755">
      <c r="A755" s="965"/>
      <c r="B755" s="965"/>
      <c r="C755" s="965"/>
      <c r="D755" s="965"/>
      <c r="E755" s="965"/>
      <c r="F755" s="965"/>
      <c r="G755" s="965"/>
      <c r="H755" s="965"/>
      <c r="I755" s="965"/>
      <c r="J755" s="965"/>
      <c r="K755" s="965"/>
      <c r="L755" s="965"/>
      <c r="M755" s="965"/>
      <c r="N755" s="965"/>
      <c r="O755" s="965"/>
      <c r="P755" s="965"/>
      <c r="Q755" s="965"/>
      <c r="R755" s="965"/>
      <c r="S755" s="965"/>
      <c r="T755" s="965"/>
      <c r="U755" s="965"/>
      <c r="V755" s="965"/>
      <c r="W755" s="965"/>
      <c r="X755" s="965"/>
      <c r="Y755" s="965"/>
      <c r="Z755" s="965"/>
    </row>
    <row r="756">
      <c r="A756" s="965"/>
      <c r="B756" s="965"/>
      <c r="C756" s="965"/>
      <c r="D756" s="965"/>
      <c r="E756" s="965"/>
      <c r="F756" s="965"/>
      <c r="G756" s="965"/>
      <c r="H756" s="965"/>
      <c r="I756" s="965"/>
      <c r="J756" s="965"/>
      <c r="K756" s="965"/>
      <c r="L756" s="965"/>
      <c r="M756" s="965"/>
      <c r="N756" s="965"/>
      <c r="O756" s="965"/>
      <c r="P756" s="965"/>
      <c r="Q756" s="965"/>
      <c r="R756" s="965"/>
      <c r="S756" s="965"/>
      <c r="T756" s="965"/>
      <c r="U756" s="965"/>
      <c r="V756" s="965"/>
      <c r="W756" s="965"/>
      <c r="X756" s="965"/>
      <c r="Y756" s="965"/>
      <c r="Z756" s="965"/>
    </row>
    <row r="757">
      <c r="A757" s="965"/>
      <c r="B757" s="965"/>
      <c r="C757" s="965"/>
      <c r="D757" s="965"/>
      <c r="E757" s="965"/>
      <c r="F757" s="965"/>
      <c r="G757" s="965"/>
      <c r="H757" s="965"/>
      <c r="I757" s="965"/>
      <c r="J757" s="965"/>
      <c r="K757" s="965"/>
      <c r="L757" s="965"/>
      <c r="M757" s="965"/>
      <c r="N757" s="965"/>
      <c r="O757" s="965"/>
      <c r="P757" s="965"/>
      <c r="Q757" s="965"/>
      <c r="R757" s="965"/>
      <c r="S757" s="965"/>
      <c r="T757" s="965"/>
      <c r="U757" s="965"/>
      <c r="V757" s="965"/>
      <c r="W757" s="965"/>
      <c r="X757" s="965"/>
      <c r="Y757" s="965"/>
      <c r="Z757" s="965"/>
    </row>
    <row r="758">
      <c r="A758" s="965"/>
      <c r="B758" s="965"/>
      <c r="C758" s="965"/>
      <c r="D758" s="965"/>
      <c r="E758" s="965"/>
      <c r="F758" s="965"/>
      <c r="G758" s="965"/>
      <c r="H758" s="965"/>
      <c r="I758" s="965"/>
      <c r="J758" s="965"/>
      <c r="K758" s="965"/>
      <c r="L758" s="965"/>
      <c r="M758" s="965"/>
      <c r="N758" s="965"/>
      <c r="O758" s="965"/>
      <c r="P758" s="965"/>
      <c r="Q758" s="965"/>
      <c r="R758" s="965"/>
      <c r="S758" s="965"/>
      <c r="T758" s="965"/>
      <c r="U758" s="965"/>
      <c r="V758" s="965"/>
      <c r="W758" s="965"/>
      <c r="X758" s="965"/>
      <c r="Y758" s="965"/>
      <c r="Z758" s="965"/>
    </row>
    <row r="759">
      <c r="A759" s="965"/>
      <c r="B759" s="965"/>
      <c r="C759" s="965"/>
      <c r="D759" s="965"/>
      <c r="E759" s="965"/>
      <c r="F759" s="965"/>
      <c r="G759" s="965"/>
      <c r="H759" s="965"/>
      <c r="I759" s="965"/>
      <c r="J759" s="965"/>
      <c r="K759" s="965"/>
      <c r="L759" s="965"/>
      <c r="M759" s="965"/>
      <c r="N759" s="965"/>
      <c r="O759" s="965"/>
      <c r="P759" s="965"/>
      <c r="Q759" s="965"/>
      <c r="R759" s="965"/>
      <c r="S759" s="965"/>
      <c r="T759" s="965"/>
      <c r="U759" s="965"/>
      <c r="V759" s="965"/>
      <c r="W759" s="965"/>
      <c r="X759" s="965"/>
      <c r="Y759" s="965"/>
      <c r="Z759" s="965"/>
    </row>
    <row r="760">
      <c r="A760" s="965"/>
      <c r="B760" s="965"/>
      <c r="C760" s="965"/>
      <c r="D760" s="965"/>
      <c r="E760" s="965"/>
      <c r="F760" s="965"/>
      <c r="G760" s="965"/>
      <c r="H760" s="965"/>
      <c r="I760" s="965"/>
      <c r="J760" s="965"/>
      <c r="K760" s="965"/>
      <c r="L760" s="965"/>
      <c r="M760" s="965"/>
      <c r="N760" s="965"/>
      <c r="O760" s="965"/>
      <c r="P760" s="965"/>
      <c r="Q760" s="965"/>
      <c r="R760" s="965"/>
      <c r="S760" s="965"/>
      <c r="T760" s="965"/>
      <c r="U760" s="965"/>
      <c r="V760" s="965"/>
      <c r="W760" s="965"/>
      <c r="X760" s="965"/>
      <c r="Y760" s="965"/>
      <c r="Z760" s="965"/>
    </row>
    <row r="761">
      <c r="A761" s="965"/>
      <c r="B761" s="965"/>
      <c r="C761" s="965"/>
      <c r="D761" s="965"/>
      <c r="E761" s="965"/>
      <c r="F761" s="965"/>
      <c r="G761" s="965"/>
      <c r="H761" s="965"/>
      <c r="I761" s="965"/>
      <c r="J761" s="965"/>
      <c r="K761" s="965"/>
      <c r="L761" s="965"/>
      <c r="M761" s="965"/>
      <c r="N761" s="965"/>
      <c r="O761" s="965"/>
      <c r="P761" s="965"/>
      <c r="Q761" s="965"/>
      <c r="R761" s="965"/>
      <c r="S761" s="965"/>
      <c r="T761" s="965"/>
      <c r="U761" s="965"/>
      <c r="V761" s="965"/>
      <c r="W761" s="965"/>
      <c r="X761" s="965"/>
      <c r="Y761" s="965"/>
      <c r="Z761" s="965"/>
    </row>
    <row r="762">
      <c r="A762" s="965"/>
      <c r="B762" s="965"/>
      <c r="C762" s="965"/>
      <c r="D762" s="965"/>
      <c r="E762" s="965"/>
      <c r="F762" s="965"/>
      <c r="G762" s="965"/>
      <c r="H762" s="965"/>
      <c r="I762" s="965"/>
      <c r="J762" s="965"/>
      <c r="K762" s="965"/>
      <c r="L762" s="965"/>
      <c r="M762" s="965"/>
      <c r="N762" s="965"/>
      <c r="O762" s="965"/>
      <c r="P762" s="965"/>
      <c r="Q762" s="965"/>
      <c r="R762" s="965"/>
      <c r="S762" s="965"/>
      <c r="T762" s="965"/>
      <c r="U762" s="965"/>
      <c r="V762" s="965"/>
      <c r="W762" s="965"/>
      <c r="X762" s="965"/>
      <c r="Y762" s="965"/>
      <c r="Z762" s="965"/>
    </row>
    <row r="763">
      <c r="A763" s="965"/>
      <c r="B763" s="965"/>
      <c r="C763" s="965"/>
      <c r="D763" s="965"/>
      <c r="E763" s="965"/>
      <c r="F763" s="965"/>
      <c r="G763" s="965"/>
      <c r="H763" s="965"/>
      <c r="I763" s="965"/>
      <c r="J763" s="965"/>
      <c r="K763" s="965"/>
      <c r="L763" s="965"/>
      <c r="M763" s="965"/>
      <c r="N763" s="965"/>
      <c r="O763" s="965"/>
      <c r="P763" s="965"/>
      <c r="Q763" s="965"/>
      <c r="R763" s="965"/>
      <c r="S763" s="965"/>
      <c r="T763" s="965"/>
      <c r="U763" s="965"/>
      <c r="V763" s="965"/>
      <c r="W763" s="965"/>
      <c r="X763" s="965"/>
      <c r="Y763" s="965"/>
      <c r="Z763" s="965"/>
    </row>
    <row r="764">
      <c r="A764" s="965"/>
      <c r="B764" s="965"/>
      <c r="C764" s="965"/>
      <c r="D764" s="965"/>
      <c r="E764" s="965"/>
      <c r="F764" s="965"/>
      <c r="G764" s="965"/>
      <c r="H764" s="965"/>
      <c r="I764" s="965"/>
      <c r="J764" s="965"/>
      <c r="K764" s="965"/>
      <c r="L764" s="965"/>
      <c r="M764" s="965"/>
      <c r="N764" s="965"/>
      <c r="O764" s="965"/>
      <c r="P764" s="965"/>
      <c r="Q764" s="965"/>
      <c r="R764" s="965"/>
      <c r="S764" s="965"/>
      <c r="T764" s="965"/>
      <c r="U764" s="965"/>
      <c r="V764" s="965"/>
      <c r="W764" s="965"/>
      <c r="X764" s="965"/>
      <c r="Y764" s="965"/>
      <c r="Z764" s="965"/>
    </row>
    <row r="765">
      <c r="A765" s="965"/>
      <c r="B765" s="965"/>
      <c r="C765" s="965"/>
      <c r="D765" s="965"/>
      <c r="E765" s="965"/>
      <c r="F765" s="965"/>
      <c r="G765" s="965"/>
      <c r="H765" s="965"/>
      <c r="I765" s="965"/>
      <c r="J765" s="965"/>
      <c r="K765" s="965"/>
      <c r="L765" s="965"/>
      <c r="M765" s="965"/>
      <c r="N765" s="965"/>
      <c r="O765" s="965"/>
      <c r="P765" s="965"/>
      <c r="Q765" s="965"/>
      <c r="R765" s="965"/>
      <c r="S765" s="965"/>
      <c r="T765" s="965"/>
      <c r="U765" s="965"/>
      <c r="V765" s="965"/>
      <c r="W765" s="965"/>
      <c r="X765" s="965"/>
      <c r="Y765" s="965"/>
      <c r="Z765" s="965"/>
    </row>
    <row r="766">
      <c r="A766" s="965"/>
      <c r="B766" s="965"/>
      <c r="C766" s="965"/>
      <c r="D766" s="965"/>
      <c r="E766" s="965"/>
      <c r="F766" s="965"/>
      <c r="G766" s="965"/>
      <c r="H766" s="965"/>
      <c r="I766" s="965"/>
      <c r="J766" s="965"/>
      <c r="K766" s="965"/>
      <c r="L766" s="965"/>
      <c r="M766" s="965"/>
      <c r="N766" s="965"/>
      <c r="O766" s="965"/>
      <c r="P766" s="965"/>
      <c r="Q766" s="965"/>
      <c r="R766" s="965"/>
      <c r="S766" s="965"/>
      <c r="T766" s="965"/>
      <c r="U766" s="965"/>
      <c r="V766" s="965"/>
      <c r="W766" s="965"/>
      <c r="X766" s="965"/>
      <c r="Y766" s="965"/>
      <c r="Z766" s="965"/>
    </row>
    <row r="767">
      <c r="A767" s="965"/>
      <c r="B767" s="965"/>
      <c r="C767" s="965"/>
      <c r="D767" s="965"/>
      <c r="E767" s="965"/>
      <c r="F767" s="965"/>
      <c r="G767" s="965"/>
      <c r="H767" s="965"/>
      <c r="I767" s="965"/>
      <c r="J767" s="965"/>
      <c r="K767" s="965"/>
      <c r="L767" s="965"/>
      <c r="M767" s="965"/>
      <c r="N767" s="965"/>
      <c r="O767" s="965"/>
      <c r="P767" s="965"/>
      <c r="Q767" s="965"/>
      <c r="R767" s="965"/>
      <c r="S767" s="965"/>
      <c r="T767" s="965"/>
      <c r="U767" s="965"/>
      <c r="V767" s="965"/>
      <c r="W767" s="965"/>
      <c r="X767" s="965"/>
      <c r="Y767" s="965"/>
      <c r="Z767" s="965"/>
    </row>
    <row r="768">
      <c r="A768" s="965"/>
      <c r="B768" s="965"/>
      <c r="C768" s="965"/>
      <c r="D768" s="965"/>
      <c r="E768" s="965"/>
      <c r="F768" s="965"/>
      <c r="G768" s="965"/>
      <c r="H768" s="965"/>
      <c r="I768" s="965"/>
      <c r="J768" s="965"/>
      <c r="K768" s="965"/>
      <c r="L768" s="965"/>
      <c r="M768" s="965"/>
      <c r="N768" s="965"/>
      <c r="O768" s="965"/>
      <c r="P768" s="965"/>
      <c r="Q768" s="965"/>
      <c r="R768" s="965"/>
      <c r="S768" s="965"/>
      <c r="T768" s="965"/>
      <c r="U768" s="965"/>
      <c r="V768" s="965"/>
      <c r="W768" s="965"/>
      <c r="X768" s="965"/>
      <c r="Y768" s="965"/>
      <c r="Z768" s="965"/>
    </row>
    <row r="769">
      <c r="A769" s="965"/>
      <c r="B769" s="965"/>
      <c r="C769" s="965"/>
      <c r="D769" s="965"/>
      <c r="E769" s="965"/>
      <c r="F769" s="965"/>
      <c r="G769" s="965"/>
      <c r="H769" s="965"/>
      <c r="I769" s="965"/>
      <c r="J769" s="965"/>
      <c r="K769" s="965"/>
      <c r="L769" s="965"/>
      <c r="M769" s="965"/>
      <c r="N769" s="965"/>
      <c r="O769" s="965"/>
      <c r="P769" s="965"/>
      <c r="Q769" s="965"/>
      <c r="R769" s="965"/>
      <c r="S769" s="965"/>
      <c r="T769" s="965"/>
      <c r="U769" s="965"/>
      <c r="V769" s="965"/>
      <c r="W769" s="965"/>
      <c r="X769" s="965"/>
      <c r="Y769" s="965"/>
      <c r="Z769" s="965"/>
    </row>
    <row r="770">
      <c r="A770" s="965"/>
      <c r="B770" s="965"/>
      <c r="C770" s="965"/>
      <c r="D770" s="965"/>
      <c r="E770" s="965"/>
      <c r="F770" s="965"/>
      <c r="G770" s="965"/>
      <c r="H770" s="965"/>
      <c r="I770" s="965"/>
      <c r="J770" s="965"/>
      <c r="K770" s="965"/>
      <c r="L770" s="965"/>
      <c r="M770" s="965"/>
      <c r="N770" s="965"/>
      <c r="O770" s="965"/>
      <c r="P770" s="965"/>
      <c r="Q770" s="965"/>
      <c r="R770" s="965"/>
      <c r="S770" s="965"/>
      <c r="T770" s="965"/>
      <c r="U770" s="965"/>
      <c r="V770" s="965"/>
      <c r="W770" s="965"/>
      <c r="X770" s="965"/>
      <c r="Y770" s="965"/>
      <c r="Z770" s="965"/>
    </row>
    <row r="771">
      <c r="A771" s="965"/>
      <c r="B771" s="965"/>
      <c r="C771" s="965"/>
      <c r="D771" s="965"/>
      <c r="E771" s="965"/>
      <c r="F771" s="965"/>
      <c r="G771" s="965"/>
      <c r="H771" s="965"/>
      <c r="I771" s="965"/>
      <c r="J771" s="965"/>
      <c r="K771" s="965"/>
      <c r="L771" s="965"/>
      <c r="M771" s="965"/>
      <c r="N771" s="965"/>
      <c r="O771" s="965"/>
      <c r="P771" s="965"/>
      <c r="Q771" s="965"/>
      <c r="R771" s="965"/>
      <c r="S771" s="965"/>
      <c r="T771" s="965"/>
      <c r="U771" s="965"/>
      <c r="V771" s="965"/>
      <c r="W771" s="965"/>
      <c r="X771" s="965"/>
      <c r="Y771" s="965"/>
      <c r="Z771" s="965"/>
    </row>
    <row r="772">
      <c r="A772" s="965"/>
      <c r="B772" s="965"/>
      <c r="C772" s="965"/>
      <c r="D772" s="965"/>
      <c r="E772" s="965"/>
      <c r="F772" s="965"/>
      <c r="G772" s="965"/>
      <c r="H772" s="965"/>
      <c r="I772" s="965"/>
      <c r="J772" s="965"/>
      <c r="K772" s="965"/>
      <c r="L772" s="965"/>
      <c r="M772" s="965"/>
      <c r="N772" s="965"/>
      <c r="O772" s="965"/>
      <c r="P772" s="965"/>
      <c r="Q772" s="965"/>
      <c r="R772" s="965"/>
      <c r="S772" s="965"/>
      <c r="T772" s="965"/>
      <c r="U772" s="965"/>
      <c r="V772" s="965"/>
      <c r="W772" s="965"/>
      <c r="X772" s="965"/>
      <c r="Y772" s="965"/>
      <c r="Z772" s="965"/>
    </row>
    <row r="773">
      <c r="A773" s="965"/>
      <c r="B773" s="965"/>
      <c r="C773" s="965"/>
      <c r="D773" s="965"/>
      <c r="E773" s="965"/>
      <c r="F773" s="965"/>
      <c r="G773" s="965"/>
      <c r="H773" s="965"/>
      <c r="I773" s="965"/>
      <c r="J773" s="965"/>
      <c r="K773" s="965"/>
      <c r="L773" s="965"/>
      <c r="M773" s="965"/>
      <c r="N773" s="965"/>
      <c r="O773" s="965"/>
      <c r="P773" s="965"/>
      <c r="Q773" s="965"/>
      <c r="R773" s="965"/>
      <c r="S773" s="965"/>
      <c r="T773" s="965"/>
      <c r="U773" s="965"/>
      <c r="V773" s="965"/>
      <c r="W773" s="965"/>
      <c r="X773" s="965"/>
      <c r="Y773" s="965"/>
      <c r="Z773" s="965"/>
    </row>
    <row r="774">
      <c r="A774" s="965"/>
      <c r="B774" s="965"/>
      <c r="C774" s="965"/>
      <c r="D774" s="965"/>
      <c r="E774" s="965"/>
      <c r="F774" s="965"/>
      <c r="G774" s="965"/>
      <c r="H774" s="965"/>
      <c r="I774" s="965"/>
      <c r="J774" s="965"/>
      <c r="K774" s="965"/>
      <c r="L774" s="965"/>
      <c r="M774" s="965"/>
      <c r="N774" s="965"/>
      <c r="O774" s="965"/>
      <c r="P774" s="965"/>
      <c r="Q774" s="965"/>
      <c r="R774" s="965"/>
      <c r="S774" s="965"/>
      <c r="T774" s="965"/>
      <c r="U774" s="965"/>
      <c r="V774" s="965"/>
      <c r="W774" s="965"/>
      <c r="X774" s="965"/>
      <c r="Y774" s="965"/>
      <c r="Z774" s="965"/>
    </row>
    <row r="775">
      <c r="A775" s="965"/>
      <c r="B775" s="965"/>
      <c r="C775" s="965"/>
      <c r="D775" s="965"/>
      <c r="E775" s="965"/>
      <c r="F775" s="965"/>
      <c r="G775" s="965"/>
      <c r="H775" s="965"/>
      <c r="I775" s="965"/>
      <c r="J775" s="965"/>
      <c r="K775" s="965"/>
      <c r="L775" s="965"/>
      <c r="M775" s="965"/>
      <c r="N775" s="965"/>
      <c r="O775" s="965"/>
      <c r="P775" s="965"/>
      <c r="Q775" s="965"/>
      <c r="R775" s="965"/>
      <c r="S775" s="965"/>
      <c r="T775" s="965"/>
      <c r="U775" s="965"/>
      <c r="V775" s="965"/>
      <c r="W775" s="965"/>
      <c r="X775" s="965"/>
      <c r="Y775" s="965"/>
      <c r="Z775" s="965"/>
    </row>
    <row r="776">
      <c r="A776" s="965"/>
      <c r="B776" s="965"/>
      <c r="C776" s="965"/>
      <c r="D776" s="965"/>
      <c r="E776" s="965"/>
      <c r="F776" s="965"/>
      <c r="G776" s="965"/>
      <c r="H776" s="965"/>
      <c r="I776" s="965"/>
      <c r="J776" s="965"/>
      <c r="K776" s="965"/>
      <c r="L776" s="965"/>
      <c r="M776" s="965"/>
      <c r="N776" s="965"/>
      <c r="O776" s="965"/>
      <c r="P776" s="965"/>
      <c r="Q776" s="965"/>
      <c r="R776" s="965"/>
      <c r="S776" s="965"/>
      <c r="T776" s="965"/>
      <c r="U776" s="965"/>
      <c r="V776" s="965"/>
      <c r="W776" s="965"/>
      <c r="X776" s="965"/>
      <c r="Y776" s="965"/>
      <c r="Z776" s="965"/>
    </row>
    <row r="777">
      <c r="A777" s="965"/>
      <c r="B777" s="965"/>
      <c r="C777" s="965"/>
      <c r="D777" s="965"/>
      <c r="E777" s="965"/>
      <c r="F777" s="965"/>
      <c r="G777" s="965"/>
      <c r="H777" s="965"/>
      <c r="I777" s="965"/>
      <c r="J777" s="965"/>
      <c r="K777" s="965"/>
      <c r="L777" s="965"/>
      <c r="M777" s="965"/>
      <c r="N777" s="965"/>
      <c r="O777" s="965"/>
      <c r="P777" s="965"/>
      <c r="Q777" s="965"/>
      <c r="R777" s="965"/>
      <c r="S777" s="965"/>
      <c r="T777" s="965"/>
      <c r="U777" s="965"/>
      <c r="V777" s="965"/>
      <c r="W777" s="965"/>
      <c r="X777" s="965"/>
      <c r="Y777" s="965"/>
      <c r="Z777" s="965"/>
    </row>
    <row r="778">
      <c r="A778" s="965"/>
      <c r="B778" s="965"/>
      <c r="C778" s="965"/>
      <c r="D778" s="965"/>
      <c r="E778" s="965"/>
      <c r="F778" s="965"/>
      <c r="G778" s="965"/>
      <c r="H778" s="965"/>
      <c r="I778" s="965"/>
      <c r="J778" s="965"/>
      <c r="K778" s="965"/>
      <c r="L778" s="965"/>
      <c r="M778" s="965"/>
      <c r="N778" s="965"/>
      <c r="O778" s="965"/>
      <c r="P778" s="965"/>
      <c r="Q778" s="965"/>
      <c r="R778" s="965"/>
      <c r="S778" s="965"/>
      <c r="T778" s="965"/>
      <c r="U778" s="965"/>
      <c r="V778" s="965"/>
      <c r="W778" s="965"/>
      <c r="X778" s="965"/>
      <c r="Y778" s="965"/>
      <c r="Z778" s="965"/>
    </row>
    <row r="779">
      <c r="A779" s="965"/>
      <c r="B779" s="965"/>
      <c r="C779" s="965"/>
      <c r="D779" s="965"/>
      <c r="E779" s="965"/>
      <c r="F779" s="965"/>
      <c r="G779" s="965"/>
      <c r="H779" s="965"/>
      <c r="I779" s="965"/>
      <c r="J779" s="965"/>
      <c r="K779" s="965"/>
      <c r="L779" s="965"/>
      <c r="M779" s="965"/>
      <c r="N779" s="965"/>
      <c r="O779" s="965"/>
      <c r="P779" s="965"/>
      <c r="Q779" s="965"/>
      <c r="R779" s="965"/>
      <c r="S779" s="965"/>
      <c r="T779" s="965"/>
      <c r="U779" s="965"/>
      <c r="V779" s="965"/>
      <c r="W779" s="965"/>
      <c r="X779" s="965"/>
      <c r="Y779" s="965"/>
      <c r="Z779" s="965"/>
    </row>
    <row r="780">
      <c r="A780" s="965"/>
      <c r="B780" s="965"/>
      <c r="C780" s="965"/>
      <c r="D780" s="965"/>
      <c r="E780" s="965"/>
      <c r="F780" s="965"/>
      <c r="G780" s="965"/>
      <c r="H780" s="965"/>
      <c r="I780" s="965"/>
      <c r="J780" s="965"/>
      <c r="K780" s="965"/>
      <c r="L780" s="965"/>
      <c r="M780" s="965"/>
      <c r="N780" s="965"/>
      <c r="O780" s="965"/>
      <c r="P780" s="965"/>
      <c r="Q780" s="965"/>
      <c r="R780" s="965"/>
      <c r="S780" s="965"/>
      <c r="T780" s="965"/>
      <c r="U780" s="965"/>
      <c r="V780" s="965"/>
      <c r="W780" s="965"/>
      <c r="X780" s="965"/>
      <c r="Y780" s="965"/>
      <c r="Z780" s="965"/>
    </row>
    <row r="781">
      <c r="A781" s="965"/>
      <c r="B781" s="965"/>
      <c r="C781" s="965"/>
      <c r="D781" s="965"/>
      <c r="E781" s="965"/>
      <c r="F781" s="965"/>
      <c r="G781" s="965"/>
      <c r="H781" s="965"/>
      <c r="I781" s="965"/>
      <c r="J781" s="965"/>
      <c r="K781" s="965"/>
      <c r="L781" s="965"/>
      <c r="M781" s="965"/>
      <c r="N781" s="965"/>
      <c r="O781" s="965"/>
      <c r="P781" s="965"/>
      <c r="Q781" s="965"/>
      <c r="R781" s="965"/>
      <c r="S781" s="965"/>
      <c r="T781" s="965"/>
      <c r="U781" s="965"/>
      <c r="V781" s="965"/>
      <c r="W781" s="965"/>
      <c r="X781" s="965"/>
      <c r="Y781" s="965"/>
      <c r="Z781" s="965"/>
    </row>
    <row r="782">
      <c r="A782" s="965"/>
      <c r="B782" s="965"/>
      <c r="C782" s="965"/>
      <c r="D782" s="965"/>
      <c r="E782" s="965"/>
      <c r="F782" s="965"/>
      <c r="G782" s="965"/>
      <c r="H782" s="965"/>
      <c r="I782" s="965"/>
      <c r="J782" s="965"/>
      <c r="K782" s="965"/>
      <c r="L782" s="965"/>
      <c r="M782" s="965"/>
      <c r="N782" s="965"/>
      <c r="O782" s="965"/>
      <c r="P782" s="965"/>
      <c r="Q782" s="965"/>
      <c r="R782" s="965"/>
      <c r="S782" s="965"/>
      <c r="T782" s="965"/>
      <c r="U782" s="965"/>
      <c r="V782" s="965"/>
      <c r="W782" s="965"/>
      <c r="X782" s="965"/>
      <c r="Y782" s="965"/>
      <c r="Z782" s="965"/>
    </row>
    <row r="783">
      <c r="A783" s="965"/>
      <c r="B783" s="965"/>
      <c r="C783" s="965"/>
      <c r="D783" s="965"/>
      <c r="E783" s="965"/>
      <c r="F783" s="965"/>
      <c r="G783" s="965"/>
      <c r="H783" s="965"/>
      <c r="I783" s="965"/>
      <c r="J783" s="965"/>
      <c r="K783" s="965"/>
      <c r="L783" s="965"/>
      <c r="M783" s="965"/>
      <c r="N783" s="965"/>
      <c r="O783" s="965"/>
      <c r="P783" s="965"/>
      <c r="Q783" s="965"/>
      <c r="R783" s="965"/>
      <c r="S783" s="965"/>
      <c r="T783" s="965"/>
      <c r="U783" s="965"/>
      <c r="V783" s="965"/>
      <c r="W783" s="965"/>
      <c r="X783" s="965"/>
      <c r="Y783" s="965"/>
      <c r="Z783" s="965"/>
    </row>
    <row r="784">
      <c r="A784" s="965"/>
      <c r="B784" s="965"/>
      <c r="C784" s="965"/>
      <c r="D784" s="965"/>
      <c r="E784" s="965"/>
      <c r="F784" s="965"/>
      <c r="G784" s="965"/>
      <c r="H784" s="965"/>
      <c r="I784" s="965"/>
      <c r="J784" s="965"/>
      <c r="K784" s="965"/>
      <c r="L784" s="965"/>
      <c r="M784" s="965"/>
      <c r="N784" s="965"/>
      <c r="O784" s="965"/>
      <c r="P784" s="965"/>
      <c r="Q784" s="965"/>
      <c r="R784" s="965"/>
      <c r="S784" s="965"/>
      <c r="T784" s="965"/>
      <c r="U784" s="965"/>
      <c r="V784" s="965"/>
      <c r="W784" s="965"/>
      <c r="X784" s="965"/>
      <c r="Y784" s="965"/>
      <c r="Z784" s="965"/>
    </row>
    <row r="785">
      <c r="A785" s="965"/>
      <c r="B785" s="965"/>
      <c r="C785" s="965"/>
      <c r="D785" s="965"/>
      <c r="E785" s="965"/>
      <c r="F785" s="965"/>
      <c r="G785" s="965"/>
      <c r="H785" s="965"/>
      <c r="I785" s="965"/>
      <c r="J785" s="965"/>
      <c r="K785" s="965"/>
      <c r="L785" s="965"/>
      <c r="M785" s="965"/>
      <c r="N785" s="965"/>
      <c r="O785" s="965"/>
      <c r="P785" s="965"/>
      <c r="Q785" s="965"/>
      <c r="R785" s="965"/>
      <c r="S785" s="965"/>
      <c r="T785" s="965"/>
      <c r="U785" s="965"/>
      <c r="V785" s="965"/>
      <c r="W785" s="965"/>
      <c r="X785" s="965"/>
      <c r="Y785" s="965"/>
      <c r="Z785" s="965"/>
    </row>
    <row r="786">
      <c r="A786" s="965"/>
      <c r="B786" s="965"/>
      <c r="C786" s="965"/>
      <c r="D786" s="965"/>
      <c r="E786" s="965"/>
      <c r="F786" s="965"/>
      <c r="G786" s="965"/>
      <c r="H786" s="965"/>
      <c r="I786" s="965"/>
      <c r="J786" s="965"/>
      <c r="K786" s="965"/>
      <c r="L786" s="965"/>
      <c r="M786" s="965"/>
      <c r="N786" s="965"/>
      <c r="O786" s="965"/>
      <c r="P786" s="965"/>
      <c r="Q786" s="965"/>
      <c r="R786" s="965"/>
      <c r="S786" s="965"/>
      <c r="T786" s="965"/>
      <c r="U786" s="965"/>
      <c r="V786" s="965"/>
      <c r="W786" s="965"/>
      <c r="X786" s="965"/>
      <c r="Y786" s="965"/>
      <c r="Z786" s="965"/>
    </row>
    <row r="787">
      <c r="A787" s="965"/>
      <c r="B787" s="965"/>
      <c r="C787" s="965"/>
      <c r="D787" s="965"/>
      <c r="E787" s="965"/>
      <c r="F787" s="965"/>
      <c r="G787" s="965"/>
      <c r="H787" s="965"/>
      <c r="I787" s="965"/>
      <c r="J787" s="965"/>
      <c r="K787" s="965"/>
      <c r="L787" s="965"/>
      <c r="M787" s="965"/>
      <c r="N787" s="965"/>
      <c r="O787" s="965"/>
      <c r="P787" s="965"/>
      <c r="Q787" s="965"/>
      <c r="R787" s="965"/>
      <c r="S787" s="965"/>
      <c r="T787" s="965"/>
      <c r="U787" s="965"/>
      <c r="V787" s="965"/>
      <c r="W787" s="965"/>
      <c r="X787" s="965"/>
      <c r="Y787" s="965"/>
      <c r="Z787" s="965"/>
    </row>
    <row r="788">
      <c r="A788" s="965"/>
      <c r="B788" s="965"/>
      <c r="C788" s="965"/>
      <c r="D788" s="965"/>
      <c r="E788" s="965"/>
      <c r="F788" s="965"/>
      <c r="G788" s="965"/>
      <c r="H788" s="965"/>
      <c r="I788" s="965"/>
      <c r="J788" s="965"/>
      <c r="K788" s="965"/>
      <c r="L788" s="965"/>
      <c r="M788" s="965"/>
      <c r="N788" s="965"/>
      <c r="O788" s="965"/>
      <c r="P788" s="965"/>
      <c r="Q788" s="965"/>
      <c r="R788" s="965"/>
      <c r="S788" s="965"/>
      <c r="T788" s="965"/>
      <c r="U788" s="965"/>
      <c r="V788" s="965"/>
      <c r="W788" s="965"/>
      <c r="X788" s="965"/>
      <c r="Y788" s="965"/>
      <c r="Z788" s="965"/>
    </row>
    <row r="789">
      <c r="A789" s="965"/>
      <c r="B789" s="965"/>
      <c r="C789" s="965"/>
      <c r="D789" s="965"/>
      <c r="E789" s="965"/>
      <c r="F789" s="965"/>
      <c r="G789" s="965"/>
      <c r="H789" s="965"/>
      <c r="I789" s="965"/>
      <c r="J789" s="965"/>
      <c r="K789" s="965"/>
      <c r="L789" s="965"/>
      <c r="M789" s="965"/>
      <c r="N789" s="965"/>
      <c r="O789" s="965"/>
      <c r="P789" s="965"/>
      <c r="Q789" s="965"/>
      <c r="R789" s="965"/>
      <c r="S789" s="965"/>
      <c r="T789" s="965"/>
      <c r="U789" s="965"/>
      <c r="V789" s="965"/>
      <c r="W789" s="965"/>
      <c r="X789" s="965"/>
      <c r="Y789" s="965"/>
      <c r="Z789" s="965"/>
    </row>
    <row r="790">
      <c r="A790" s="965"/>
      <c r="B790" s="965"/>
      <c r="C790" s="965"/>
      <c r="D790" s="965"/>
      <c r="E790" s="965"/>
      <c r="F790" s="965"/>
      <c r="G790" s="965"/>
      <c r="H790" s="965"/>
      <c r="I790" s="965"/>
      <c r="J790" s="965"/>
      <c r="K790" s="965"/>
      <c r="L790" s="965"/>
      <c r="M790" s="965"/>
      <c r="N790" s="965"/>
      <c r="O790" s="965"/>
      <c r="P790" s="965"/>
      <c r="Q790" s="965"/>
      <c r="R790" s="965"/>
      <c r="S790" s="965"/>
      <c r="T790" s="965"/>
      <c r="U790" s="965"/>
      <c r="V790" s="965"/>
      <c r="W790" s="965"/>
      <c r="X790" s="965"/>
      <c r="Y790" s="965"/>
      <c r="Z790" s="965"/>
    </row>
    <row r="791">
      <c r="A791" s="965"/>
      <c r="B791" s="965"/>
      <c r="C791" s="965"/>
      <c r="D791" s="965"/>
      <c r="E791" s="965"/>
      <c r="F791" s="965"/>
      <c r="G791" s="965"/>
      <c r="H791" s="965"/>
      <c r="I791" s="965"/>
      <c r="J791" s="965"/>
      <c r="K791" s="965"/>
      <c r="L791" s="965"/>
      <c r="M791" s="965"/>
      <c r="N791" s="965"/>
      <c r="O791" s="965"/>
      <c r="P791" s="965"/>
      <c r="Q791" s="965"/>
      <c r="R791" s="965"/>
      <c r="S791" s="965"/>
      <c r="T791" s="965"/>
      <c r="U791" s="965"/>
      <c r="V791" s="965"/>
      <c r="W791" s="965"/>
      <c r="X791" s="965"/>
      <c r="Y791" s="965"/>
      <c r="Z791" s="965"/>
    </row>
    <row r="792">
      <c r="A792" s="965"/>
      <c r="B792" s="965"/>
      <c r="C792" s="965"/>
      <c r="D792" s="965"/>
      <c r="E792" s="965"/>
      <c r="F792" s="965"/>
      <c r="G792" s="965"/>
      <c r="H792" s="965"/>
      <c r="I792" s="965"/>
      <c r="J792" s="965"/>
      <c r="K792" s="965"/>
      <c r="L792" s="965"/>
      <c r="M792" s="965"/>
      <c r="N792" s="965"/>
      <c r="O792" s="965"/>
      <c r="P792" s="965"/>
      <c r="Q792" s="965"/>
      <c r="R792" s="965"/>
      <c r="S792" s="965"/>
      <c r="T792" s="965"/>
      <c r="U792" s="965"/>
      <c r="V792" s="965"/>
      <c r="W792" s="965"/>
      <c r="X792" s="965"/>
      <c r="Y792" s="965"/>
      <c r="Z792" s="965"/>
    </row>
    <row r="793">
      <c r="A793" s="965"/>
      <c r="B793" s="965"/>
      <c r="C793" s="965"/>
      <c r="D793" s="965"/>
      <c r="E793" s="965"/>
      <c r="F793" s="965"/>
      <c r="G793" s="965"/>
      <c r="H793" s="965"/>
      <c r="I793" s="965"/>
      <c r="J793" s="965"/>
      <c r="K793" s="965"/>
      <c r="L793" s="965"/>
      <c r="M793" s="965"/>
      <c r="N793" s="965"/>
      <c r="O793" s="965"/>
      <c r="P793" s="965"/>
      <c r="Q793" s="965"/>
      <c r="R793" s="965"/>
      <c r="S793" s="965"/>
      <c r="T793" s="965"/>
      <c r="U793" s="965"/>
      <c r="V793" s="965"/>
      <c r="W793" s="965"/>
      <c r="X793" s="965"/>
      <c r="Y793" s="965"/>
      <c r="Z793" s="965"/>
    </row>
    <row r="794">
      <c r="A794" s="965"/>
      <c r="B794" s="965"/>
      <c r="C794" s="965"/>
      <c r="D794" s="965"/>
      <c r="E794" s="965"/>
      <c r="F794" s="965"/>
      <c r="G794" s="965"/>
      <c r="H794" s="965"/>
      <c r="I794" s="965"/>
      <c r="J794" s="965"/>
      <c r="K794" s="965"/>
      <c r="L794" s="965"/>
      <c r="M794" s="965"/>
      <c r="N794" s="965"/>
      <c r="O794" s="965"/>
      <c r="P794" s="965"/>
      <c r="Q794" s="965"/>
      <c r="R794" s="965"/>
      <c r="S794" s="965"/>
      <c r="T794" s="965"/>
      <c r="U794" s="965"/>
      <c r="V794" s="965"/>
      <c r="W794" s="965"/>
      <c r="X794" s="965"/>
      <c r="Y794" s="965"/>
      <c r="Z794" s="965"/>
    </row>
    <row r="795">
      <c r="A795" s="965"/>
      <c r="B795" s="965"/>
      <c r="C795" s="965"/>
      <c r="D795" s="965"/>
      <c r="E795" s="965"/>
      <c r="F795" s="965"/>
      <c r="G795" s="965"/>
      <c r="H795" s="965"/>
      <c r="I795" s="965"/>
      <c r="J795" s="965"/>
      <c r="K795" s="965"/>
      <c r="L795" s="965"/>
      <c r="M795" s="965"/>
      <c r="N795" s="965"/>
      <c r="O795" s="965"/>
      <c r="P795" s="965"/>
      <c r="Q795" s="965"/>
      <c r="R795" s="965"/>
      <c r="S795" s="965"/>
      <c r="T795" s="965"/>
      <c r="U795" s="965"/>
      <c r="V795" s="965"/>
      <c r="W795" s="965"/>
      <c r="X795" s="965"/>
      <c r="Y795" s="965"/>
      <c r="Z795" s="965"/>
    </row>
    <row r="796">
      <c r="A796" s="965"/>
      <c r="B796" s="965"/>
      <c r="C796" s="965"/>
      <c r="D796" s="965"/>
      <c r="E796" s="965"/>
      <c r="F796" s="965"/>
      <c r="G796" s="965"/>
      <c r="H796" s="965"/>
      <c r="I796" s="965"/>
      <c r="J796" s="965"/>
      <c r="K796" s="965"/>
      <c r="L796" s="965"/>
      <c r="M796" s="965"/>
      <c r="N796" s="965"/>
      <c r="O796" s="965"/>
      <c r="P796" s="965"/>
      <c r="Q796" s="965"/>
      <c r="R796" s="965"/>
      <c r="S796" s="965"/>
      <c r="T796" s="965"/>
      <c r="U796" s="965"/>
      <c r="V796" s="965"/>
      <c r="W796" s="965"/>
      <c r="X796" s="965"/>
      <c r="Y796" s="965"/>
      <c r="Z796" s="965"/>
    </row>
    <row r="797">
      <c r="A797" s="965"/>
      <c r="B797" s="965"/>
      <c r="C797" s="965"/>
      <c r="D797" s="965"/>
      <c r="E797" s="965"/>
      <c r="F797" s="965"/>
      <c r="G797" s="965"/>
      <c r="H797" s="965"/>
      <c r="I797" s="965"/>
      <c r="J797" s="965"/>
      <c r="K797" s="965"/>
      <c r="L797" s="965"/>
      <c r="M797" s="965"/>
      <c r="N797" s="965"/>
      <c r="O797" s="965"/>
      <c r="P797" s="965"/>
      <c r="Q797" s="965"/>
      <c r="R797" s="965"/>
      <c r="S797" s="965"/>
      <c r="T797" s="965"/>
      <c r="U797" s="965"/>
      <c r="V797" s="965"/>
      <c r="W797" s="965"/>
      <c r="X797" s="965"/>
      <c r="Y797" s="965"/>
      <c r="Z797" s="965"/>
    </row>
    <row r="798">
      <c r="A798" s="965"/>
      <c r="B798" s="965"/>
      <c r="C798" s="965"/>
      <c r="D798" s="965"/>
      <c r="E798" s="965"/>
      <c r="F798" s="965"/>
      <c r="G798" s="965"/>
      <c r="H798" s="965"/>
      <c r="I798" s="965"/>
      <c r="J798" s="965"/>
      <c r="K798" s="965"/>
      <c r="L798" s="965"/>
      <c r="M798" s="965"/>
      <c r="N798" s="965"/>
      <c r="O798" s="965"/>
      <c r="P798" s="965"/>
      <c r="Q798" s="965"/>
      <c r="R798" s="965"/>
      <c r="S798" s="965"/>
      <c r="T798" s="965"/>
      <c r="U798" s="965"/>
      <c r="V798" s="965"/>
      <c r="W798" s="965"/>
      <c r="X798" s="965"/>
      <c r="Y798" s="965"/>
      <c r="Z798" s="965"/>
    </row>
    <row r="799">
      <c r="A799" s="965"/>
      <c r="B799" s="965"/>
      <c r="C799" s="965"/>
      <c r="D799" s="965"/>
      <c r="E799" s="965"/>
      <c r="F799" s="965"/>
      <c r="G799" s="965"/>
      <c r="H799" s="965"/>
      <c r="I799" s="965"/>
      <c r="J799" s="965"/>
      <c r="K799" s="965"/>
      <c r="L799" s="965"/>
      <c r="M799" s="965"/>
      <c r="N799" s="965"/>
      <c r="O799" s="965"/>
      <c r="P799" s="965"/>
      <c r="Q799" s="965"/>
      <c r="R799" s="965"/>
      <c r="S799" s="965"/>
      <c r="T799" s="965"/>
      <c r="U799" s="965"/>
      <c r="V799" s="965"/>
      <c r="W799" s="965"/>
      <c r="X799" s="965"/>
      <c r="Y799" s="965"/>
      <c r="Z799" s="965"/>
    </row>
    <row r="800">
      <c r="A800" s="965"/>
      <c r="B800" s="965"/>
      <c r="C800" s="965"/>
      <c r="D800" s="965"/>
      <c r="E800" s="965"/>
      <c r="F800" s="965"/>
      <c r="G800" s="965"/>
      <c r="H800" s="965"/>
      <c r="I800" s="965"/>
      <c r="J800" s="965"/>
      <c r="K800" s="965"/>
      <c r="L800" s="965"/>
      <c r="M800" s="965"/>
      <c r="N800" s="965"/>
      <c r="O800" s="965"/>
      <c r="P800" s="965"/>
      <c r="Q800" s="965"/>
      <c r="R800" s="965"/>
      <c r="S800" s="965"/>
      <c r="T800" s="965"/>
      <c r="U800" s="965"/>
      <c r="V800" s="965"/>
      <c r="W800" s="965"/>
      <c r="X800" s="965"/>
      <c r="Y800" s="965"/>
      <c r="Z800" s="965"/>
    </row>
    <row r="801">
      <c r="A801" s="965"/>
      <c r="B801" s="965"/>
      <c r="C801" s="965"/>
      <c r="D801" s="965"/>
      <c r="E801" s="965"/>
      <c r="F801" s="965"/>
      <c r="G801" s="965"/>
      <c r="H801" s="965"/>
      <c r="I801" s="965"/>
      <c r="J801" s="965"/>
      <c r="K801" s="965"/>
      <c r="L801" s="965"/>
      <c r="M801" s="965"/>
      <c r="N801" s="965"/>
      <c r="O801" s="965"/>
      <c r="P801" s="965"/>
      <c r="Q801" s="965"/>
      <c r="R801" s="965"/>
      <c r="S801" s="965"/>
      <c r="T801" s="965"/>
      <c r="U801" s="965"/>
      <c r="V801" s="965"/>
      <c r="W801" s="965"/>
      <c r="X801" s="965"/>
      <c r="Y801" s="965"/>
      <c r="Z801" s="965"/>
    </row>
    <row r="802">
      <c r="A802" s="965"/>
      <c r="B802" s="965"/>
      <c r="C802" s="965"/>
      <c r="D802" s="965"/>
      <c r="E802" s="965"/>
      <c r="F802" s="965"/>
      <c r="G802" s="965"/>
      <c r="H802" s="965"/>
      <c r="I802" s="965"/>
      <c r="J802" s="965"/>
      <c r="K802" s="965"/>
      <c r="L802" s="965"/>
      <c r="M802" s="965"/>
      <c r="N802" s="965"/>
      <c r="O802" s="965"/>
      <c r="P802" s="965"/>
      <c r="Q802" s="965"/>
      <c r="R802" s="965"/>
      <c r="S802" s="965"/>
      <c r="T802" s="965"/>
      <c r="U802" s="965"/>
      <c r="V802" s="965"/>
      <c r="W802" s="965"/>
      <c r="X802" s="965"/>
      <c r="Y802" s="965"/>
      <c r="Z802" s="965"/>
    </row>
    <row r="803">
      <c r="A803" s="965"/>
      <c r="B803" s="965"/>
      <c r="C803" s="965"/>
      <c r="D803" s="965"/>
      <c r="E803" s="965"/>
      <c r="F803" s="965"/>
      <c r="G803" s="965"/>
      <c r="H803" s="965"/>
      <c r="I803" s="965"/>
      <c r="J803" s="965"/>
      <c r="K803" s="965"/>
      <c r="L803" s="965"/>
      <c r="M803" s="965"/>
      <c r="N803" s="965"/>
      <c r="O803" s="965"/>
      <c r="P803" s="965"/>
      <c r="Q803" s="965"/>
      <c r="R803" s="965"/>
      <c r="S803" s="965"/>
      <c r="T803" s="965"/>
      <c r="U803" s="965"/>
      <c r="V803" s="965"/>
      <c r="W803" s="965"/>
      <c r="X803" s="965"/>
      <c r="Y803" s="965"/>
      <c r="Z803" s="965"/>
    </row>
    <row r="804">
      <c r="A804" s="965"/>
      <c r="B804" s="965"/>
      <c r="C804" s="965"/>
      <c r="D804" s="965"/>
      <c r="E804" s="965"/>
      <c r="F804" s="965"/>
      <c r="G804" s="965"/>
      <c r="H804" s="965"/>
      <c r="I804" s="965"/>
      <c r="J804" s="965"/>
      <c r="K804" s="965"/>
      <c r="L804" s="965"/>
      <c r="M804" s="965"/>
      <c r="N804" s="965"/>
      <c r="O804" s="965"/>
      <c r="P804" s="965"/>
      <c r="Q804" s="965"/>
      <c r="R804" s="965"/>
      <c r="S804" s="965"/>
      <c r="T804" s="965"/>
      <c r="U804" s="965"/>
      <c r="V804" s="965"/>
      <c r="W804" s="965"/>
      <c r="X804" s="965"/>
      <c r="Y804" s="965"/>
      <c r="Z804" s="965"/>
    </row>
    <row r="805">
      <c r="A805" s="965"/>
      <c r="B805" s="965"/>
      <c r="C805" s="965"/>
      <c r="D805" s="965"/>
      <c r="E805" s="965"/>
      <c r="F805" s="965"/>
      <c r="G805" s="965"/>
      <c r="H805" s="965"/>
      <c r="I805" s="965"/>
      <c r="J805" s="965"/>
      <c r="K805" s="965"/>
      <c r="L805" s="965"/>
      <c r="M805" s="965"/>
      <c r="N805" s="965"/>
      <c r="O805" s="965"/>
      <c r="P805" s="965"/>
      <c r="Q805" s="965"/>
      <c r="R805" s="965"/>
      <c r="S805" s="965"/>
      <c r="T805" s="965"/>
      <c r="U805" s="965"/>
      <c r="V805" s="965"/>
      <c r="W805" s="965"/>
      <c r="X805" s="965"/>
      <c r="Y805" s="965"/>
      <c r="Z805" s="965"/>
    </row>
    <row r="806">
      <c r="A806" s="965"/>
      <c r="B806" s="965"/>
      <c r="C806" s="965"/>
      <c r="D806" s="965"/>
      <c r="E806" s="965"/>
      <c r="F806" s="965"/>
      <c r="G806" s="965"/>
      <c r="H806" s="965"/>
      <c r="I806" s="965"/>
      <c r="J806" s="965"/>
      <c r="K806" s="965"/>
      <c r="L806" s="965"/>
      <c r="M806" s="965"/>
      <c r="N806" s="965"/>
      <c r="O806" s="965"/>
      <c r="P806" s="965"/>
      <c r="Q806" s="965"/>
      <c r="R806" s="965"/>
      <c r="S806" s="965"/>
      <c r="T806" s="965"/>
      <c r="U806" s="965"/>
      <c r="V806" s="965"/>
      <c r="W806" s="965"/>
      <c r="X806" s="965"/>
      <c r="Y806" s="965"/>
      <c r="Z806" s="965"/>
    </row>
    <row r="807">
      <c r="A807" s="965"/>
      <c r="B807" s="965"/>
      <c r="C807" s="965"/>
      <c r="D807" s="965"/>
      <c r="E807" s="965"/>
      <c r="F807" s="965"/>
      <c r="G807" s="965"/>
      <c r="H807" s="965"/>
      <c r="I807" s="965"/>
      <c r="J807" s="965"/>
      <c r="K807" s="965"/>
      <c r="L807" s="965"/>
      <c r="M807" s="965"/>
      <c r="N807" s="965"/>
      <c r="O807" s="965"/>
      <c r="P807" s="965"/>
      <c r="Q807" s="965"/>
      <c r="R807" s="965"/>
      <c r="S807" s="965"/>
      <c r="T807" s="965"/>
      <c r="U807" s="965"/>
      <c r="V807" s="965"/>
      <c r="W807" s="965"/>
      <c r="X807" s="965"/>
      <c r="Y807" s="965"/>
      <c r="Z807" s="965"/>
    </row>
    <row r="808">
      <c r="A808" s="965"/>
      <c r="B808" s="965"/>
      <c r="C808" s="965"/>
      <c r="D808" s="965"/>
      <c r="E808" s="965"/>
      <c r="F808" s="965"/>
      <c r="G808" s="965"/>
      <c r="H808" s="965"/>
      <c r="I808" s="965"/>
      <c r="J808" s="965"/>
      <c r="K808" s="965"/>
      <c r="L808" s="965"/>
      <c r="M808" s="965"/>
      <c r="N808" s="965"/>
      <c r="O808" s="965"/>
      <c r="P808" s="965"/>
      <c r="Q808" s="965"/>
      <c r="R808" s="965"/>
      <c r="S808" s="965"/>
      <c r="T808" s="965"/>
      <c r="U808" s="965"/>
      <c r="V808" s="965"/>
      <c r="W808" s="965"/>
      <c r="X808" s="965"/>
      <c r="Y808" s="965"/>
      <c r="Z808" s="965"/>
    </row>
    <row r="809">
      <c r="A809" s="965"/>
      <c r="B809" s="965"/>
      <c r="C809" s="965"/>
      <c r="D809" s="965"/>
      <c r="E809" s="965"/>
      <c r="F809" s="965"/>
      <c r="G809" s="965"/>
      <c r="H809" s="965"/>
      <c r="I809" s="965"/>
      <c r="J809" s="965"/>
      <c r="K809" s="965"/>
      <c r="L809" s="965"/>
      <c r="M809" s="965"/>
      <c r="N809" s="965"/>
      <c r="O809" s="965"/>
      <c r="P809" s="965"/>
      <c r="Q809" s="965"/>
      <c r="R809" s="965"/>
      <c r="S809" s="965"/>
      <c r="T809" s="965"/>
      <c r="U809" s="965"/>
      <c r="V809" s="965"/>
      <c r="W809" s="965"/>
      <c r="X809" s="965"/>
      <c r="Y809" s="965"/>
      <c r="Z809" s="965"/>
    </row>
    <row r="810">
      <c r="A810" s="965"/>
      <c r="B810" s="965"/>
      <c r="C810" s="965"/>
      <c r="D810" s="965"/>
      <c r="E810" s="965"/>
      <c r="F810" s="965"/>
      <c r="G810" s="965"/>
      <c r="H810" s="965"/>
      <c r="I810" s="965"/>
      <c r="J810" s="965"/>
      <c r="K810" s="965"/>
      <c r="L810" s="965"/>
      <c r="M810" s="965"/>
      <c r="N810" s="965"/>
      <c r="O810" s="965"/>
      <c r="P810" s="965"/>
      <c r="Q810" s="965"/>
      <c r="R810" s="965"/>
      <c r="S810" s="965"/>
      <c r="T810" s="965"/>
      <c r="U810" s="965"/>
      <c r="V810" s="965"/>
      <c r="W810" s="965"/>
      <c r="X810" s="965"/>
      <c r="Y810" s="965"/>
      <c r="Z810" s="965"/>
    </row>
    <row r="811">
      <c r="A811" s="965"/>
      <c r="B811" s="965"/>
      <c r="C811" s="965"/>
      <c r="D811" s="965"/>
      <c r="E811" s="965"/>
      <c r="F811" s="965"/>
      <c r="G811" s="965"/>
      <c r="H811" s="965"/>
      <c r="I811" s="965"/>
      <c r="J811" s="965"/>
      <c r="K811" s="965"/>
      <c r="L811" s="965"/>
      <c r="M811" s="965"/>
      <c r="N811" s="965"/>
      <c r="O811" s="965"/>
      <c r="P811" s="965"/>
      <c r="Q811" s="965"/>
      <c r="R811" s="965"/>
      <c r="S811" s="965"/>
      <c r="T811" s="965"/>
      <c r="U811" s="965"/>
      <c r="V811" s="965"/>
      <c r="W811" s="965"/>
      <c r="X811" s="965"/>
      <c r="Y811" s="965"/>
      <c r="Z811" s="965"/>
    </row>
    <row r="812">
      <c r="A812" s="965"/>
      <c r="B812" s="965"/>
      <c r="C812" s="965"/>
      <c r="D812" s="965"/>
      <c r="E812" s="965"/>
      <c r="F812" s="965"/>
      <c r="G812" s="965"/>
      <c r="H812" s="965"/>
      <c r="I812" s="965"/>
      <c r="J812" s="965"/>
      <c r="K812" s="965"/>
      <c r="L812" s="965"/>
      <c r="M812" s="965"/>
      <c r="N812" s="965"/>
      <c r="O812" s="965"/>
      <c r="P812" s="965"/>
      <c r="Q812" s="965"/>
      <c r="R812" s="965"/>
      <c r="S812" s="965"/>
      <c r="T812" s="965"/>
      <c r="U812" s="965"/>
      <c r="V812" s="965"/>
      <c r="W812" s="965"/>
      <c r="X812" s="965"/>
      <c r="Y812" s="965"/>
      <c r="Z812" s="965"/>
    </row>
    <row r="813">
      <c r="A813" s="965"/>
      <c r="B813" s="965"/>
      <c r="C813" s="965"/>
      <c r="D813" s="965"/>
      <c r="E813" s="965"/>
      <c r="F813" s="965"/>
      <c r="G813" s="965"/>
      <c r="H813" s="965"/>
      <c r="I813" s="965"/>
      <c r="J813" s="965"/>
      <c r="K813" s="965"/>
      <c r="L813" s="965"/>
      <c r="M813" s="965"/>
      <c r="N813" s="965"/>
      <c r="O813" s="965"/>
      <c r="P813" s="965"/>
      <c r="Q813" s="965"/>
      <c r="R813" s="965"/>
      <c r="S813" s="965"/>
      <c r="T813" s="965"/>
      <c r="U813" s="965"/>
      <c r="V813" s="965"/>
      <c r="W813" s="965"/>
      <c r="X813" s="965"/>
      <c r="Y813" s="965"/>
      <c r="Z813" s="965"/>
    </row>
    <row r="814">
      <c r="A814" s="965"/>
      <c r="B814" s="965"/>
      <c r="C814" s="965"/>
      <c r="D814" s="965"/>
      <c r="E814" s="965"/>
      <c r="F814" s="965"/>
      <c r="G814" s="965"/>
      <c r="H814" s="965"/>
      <c r="I814" s="965"/>
      <c r="J814" s="965"/>
      <c r="K814" s="965"/>
      <c r="L814" s="965"/>
      <c r="M814" s="965"/>
      <c r="N814" s="965"/>
      <c r="O814" s="965"/>
      <c r="P814" s="965"/>
      <c r="Q814" s="965"/>
      <c r="R814" s="965"/>
      <c r="S814" s="965"/>
      <c r="T814" s="965"/>
      <c r="U814" s="965"/>
      <c r="V814" s="965"/>
      <c r="W814" s="965"/>
      <c r="X814" s="965"/>
      <c r="Y814" s="965"/>
      <c r="Z814" s="965"/>
    </row>
    <row r="815">
      <c r="A815" s="965"/>
      <c r="B815" s="965"/>
      <c r="C815" s="965"/>
      <c r="D815" s="965"/>
      <c r="E815" s="965"/>
      <c r="F815" s="965"/>
      <c r="G815" s="965"/>
      <c r="H815" s="965"/>
      <c r="I815" s="965"/>
      <c r="J815" s="965"/>
      <c r="K815" s="965"/>
      <c r="L815" s="965"/>
      <c r="M815" s="965"/>
      <c r="N815" s="965"/>
      <c r="O815" s="965"/>
      <c r="P815" s="965"/>
      <c r="Q815" s="965"/>
      <c r="R815" s="965"/>
      <c r="S815" s="965"/>
      <c r="T815" s="965"/>
      <c r="U815" s="965"/>
      <c r="V815" s="965"/>
      <c r="W815" s="965"/>
      <c r="X815" s="965"/>
      <c r="Y815" s="965"/>
      <c r="Z815" s="965"/>
    </row>
    <row r="816">
      <c r="A816" s="965"/>
      <c r="B816" s="965"/>
      <c r="C816" s="965"/>
      <c r="D816" s="965"/>
      <c r="E816" s="965"/>
      <c r="F816" s="965"/>
      <c r="G816" s="965"/>
      <c r="H816" s="965"/>
      <c r="I816" s="965"/>
      <c r="J816" s="965"/>
      <c r="K816" s="965"/>
      <c r="L816" s="965"/>
      <c r="M816" s="965"/>
      <c r="N816" s="965"/>
      <c r="O816" s="965"/>
      <c r="P816" s="965"/>
      <c r="Q816" s="965"/>
      <c r="R816" s="965"/>
      <c r="S816" s="965"/>
      <c r="T816" s="965"/>
      <c r="U816" s="965"/>
      <c r="V816" s="965"/>
      <c r="W816" s="965"/>
      <c r="X816" s="965"/>
      <c r="Y816" s="965"/>
      <c r="Z816" s="965"/>
    </row>
    <row r="817">
      <c r="A817" s="965"/>
      <c r="B817" s="965"/>
      <c r="C817" s="965"/>
      <c r="D817" s="965"/>
      <c r="E817" s="965"/>
      <c r="F817" s="965"/>
      <c r="G817" s="965"/>
      <c r="H817" s="965"/>
      <c r="I817" s="965"/>
      <c r="J817" s="965"/>
      <c r="K817" s="965"/>
      <c r="L817" s="965"/>
      <c r="M817" s="965"/>
      <c r="N817" s="965"/>
      <c r="O817" s="965"/>
      <c r="P817" s="965"/>
      <c r="Q817" s="965"/>
      <c r="R817" s="965"/>
      <c r="S817" s="965"/>
      <c r="T817" s="965"/>
      <c r="U817" s="965"/>
      <c r="V817" s="965"/>
      <c r="W817" s="965"/>
      <c r="X817" s="965"/>
      <c r="Y817" s="965"/>
      <c r="Z817" s="965"/>
    </row>
    <row r="818">
      <c r="A818" s="965"/>
      <c r="B818" s="965"/>
      <c r="C818" s="965"/>
      <c r="D818" s="965"/>
      <c r="E818" s="965"/>
      <c r="F818" s="965"/>
      <c r="G818" s="965"/>
      <c r="H818" s="965"/>
      <c r="I818" s="965"/>
      <c r="J818" s="965"/>
      <c r="K818" s="965"/>
      <c r="L818" s="965"/>
      <c r="M818" s="965"/>
      <c r="N818" s="965"/>
      <c r="O818" s="965"/>
      <c r="P818" s="965"/>
      <c r="Q818" s="965"/>
      <c r="R818" s="965"/>
      <c r="S818" s="965"/>
      <c r="T818" s="965"/>
      <c r="U818" s="965"/>
      <c r="V818" s="965"/>
      <c r="W818" s="965"/>
      <c r="X818" s="965"/>
      <c r="Y818" s="965"/>
      <c r="Z818" s="965"/>
    </row>
    <row r="819">
      <c r="A819" s="965"/>
      <c r="B819" s="965"/>
      <c r="C819" s="965"/>
      <c r="D819" s="965"/>
      <c r="E819" s="965"/>
      <c r="F819" s="965"/>
      <c r="G819" s="965"/>
      <c r="H819" s="965"/>
      <c r="I819" s="965"/>
      <c r="J819" s="965"/>
      <c r="K819" s="965"/>
      <c r="L819" s="965"/>
      <c r="M819" s="965"/>
      <c r="N819" s="965"/>
      <c r="O819" s="965"/>
      <c r="P819" s="965"/>
      <c r="Q819" s="965"/>
      <c r="R819" s="965"/>
      <c r="S819" s="965"/>
      <c r="T819" s="965"/>
      <c r="U819" s="965"/>
      <c r="V819" s="965"/>
      <c r="W819" s="965"/>
      <c r="X819" s="965"/>
      <c r="Y819" s="965"/>
      <c r="Z819" s="965"/>
    </row>
    <row r="820">
      <c r="A820" s="965"/>
      <c r="B820" s="965"/>
      <c r="C820" s="965"/>
      <c r="D820" s="965"/>
      <c r="E820" s="965"/>
      <c r="F820" s="965"/>
      <c r="G820" s="965"/>
      <c r="H820" s="965"/>
      <c r="I820" s="965"/>
      <c r="J820" s="965"/>
      <c r="K820" s="965"/>
      <c r="L820" s="965"/>
      <c r="M820" s="965"/>
      <c r="N820" s="965"/>
      <c r="O820" s="965"/>
      <c r="P820" s="965"/>
      <c r="Q820" s="965"/>
      <c r="R820" s="965"/>
      <c r="S820" s="965"/>
      <c r="T820" s="965"/>
      <c r="U820" s="965"/>
      <c r="V820" s="965"/>
      <c r="W820" s="965"/>
      <c r="X820" s="965"/>
      <c r="Y820" s="965"/>
      <c r="Z820" s="965"/>
    </row>
    <row r="821">
      <c r="A821" s="965"/>
      <c r="B821" s="965"/>
      <c r="C821" s="965"/>
      <c r="D821" s="965"/>
      <c r="E821" s="965"/>
      <c r="F821" s="965"/>
      <c r="G821" s="965"/>
      <c r="H821" s="965"/>
      <c r="I821" s="965"/>
      <c r="J821" s="965"/>
      <c r="K821" s="965"/>
      <c r="L821" s="965"/>
      <c r="M821" s="965"/>
      <c r="N821" s="965"/>
      <c r="O821" s="965"/>
      <c r="P821" s="965"/>
      <c r="Q821" s="965"/>
      <c r="R821" s="965"/>
      <c r="S821" s="965"/>
      <c r="T821" s="965"/>
      <c r="U821" s="965"/>
      <c r="V821" s="965"/>
      <c r="W821" s="965"/>
      <c r="X821" s="965"/>
      <c r="Y821" s="965"/>
      <c r="Z821" s="965"/>
    </row>
    <row r="822">
      <c r="A822" s="965"/>
      <c r="B822" s="965"/>
      <c r="C822" s="965"/>
      <c r="D822" s="965"/>
      <c r="E822" s="965"/>
      <c r="F822" s="965"/>
      <c r="G822" s="965"/>
      <c r="H822" s="965"/>
      <c r="I822" s="965"/>
      <c r="J822" s="965"/>
      <c r="K822" s="965"/>
      <c r="L822" s="965"/>
      <c r="M822" s="965"/>
      <c r="N822" s="965"/>
      <c r="O822" s="965"/>
      <c r="P822" s="965"/>
      <c r="Q822" s="965"/>
      <c r="R822" s="965"/>
      <c r="S822" s="965"/>
      <c r="T822" s="965"/>
      <c r="U822" s="965"/>
      <c r="V822" s="965"/>
      <c r="W822" s="965"/>
      <c r="X822" s="965"/>
      <c r="Y822" s="965"/>
      <c r="Z822" s="965"/>
    </row>
    <row r="823">
      <c r="A823" s="965"/>
      <c r="B823" s="965"/>
      <c r="C823" s="965"/>
      <c r="D823" s="965"/>
      <c r="E823" s="965"/>
      <c r="F823" s="965"/>
      <c r="G823" s="965"/>
      <c r="H823" s="965"/>
      <c r="I823" s="965"/>
      <c r="J823" s="965"/>
      <c r="K823" s="965"/>
      <c r="L823" s="965"/>
      <c r="M823" s="965"/>
      <c r="N823" s="965"/>
      <c r="O823" s="965"/>
      <c r="P823" s="965"/>
      <c r="Q823" s="965"/>
      <c r="R823" s="965"/>
      <c r="S823" s="965"/>
      <c r="T823" s="965"/>
      <c r="U823" s="965"/>
      <c r="V823" s="965"/>
      <c r="W823" s="965"/>
      <c r="X823" s="965"/>
      <c r="Y823" s="965"/>
      <c r="Z823" s="965"/>
    </row>
    <row r="824">
      <c r="A824" s="965"/>
      <c r="B824" s="965"/>
      <c r="C824" s="965"/>
      <c r="D824" s="965"/>
      <c r="E824" s="965"/>
      <c r="F824" s="965"/>
      <c r="G824" s="965"/>
      <c r="H824" s="965"/>
      <c r="I824" s="965"/>
      <c r="J824" s="965"/>
      <c r="K824" s="965"/>
      <c r="L824" s="965"/>
      <c r="M824" s="965"/>
      <c r="N824" s="965"/>
      <c r="O824" s="965"/>
      <c r="P824" s="965"/>
      <c r="Q824" s="965"/>
      <c r="R824" s="965"/>
      <c r="S824" s="965"/>
      <c r="T824" s="965"/>
      <c r="U824" s="965"/>
      <c r="V824" s="965"/>
      <c r="W824" s="965"/>
      <c r="X824" s="965"/>
      <c r="Y824" s="965"/>
      <c r="Z824" s="965"/>
    </row>
    <row r="825">
      <c r="A825" s="965"/>
      <c r="B825" s="965"/>
      <c r="C825" s="965"/>
      <c r="D825" s="965"/>
      <c r="E825" s="965"/>
      <c r="F825" s="965"/>
      <c r="G825" s="965"/>
      <c r="H825" s="965"/>
      <c r="I825" s="965"/>
      <c r="J825" s="965"/>
      <c r="K825" s="965"/>
      <c r="L825" s="965"/>
      <c r="M825" s="965"/>
      <c r="N825" s="965"/>
      <c r="O825" s="965"/>
      <c r="P825" s="965"/>
      <c r="Q825" s="965"/>
      <c r="R825" s="965"/>
      <c r="S825" s="965"/>
      <c r="T825" s="965"/>
      <c r="U825" s="965"/>
      <c r="V825" s="965"/>
      <c r="W825" s="965"/>
      <c r="X825" s="965"/>
      <c r="Y825" s="965"/>
      <c r="Z825" s="965"/>
    </row>
    <row r="826">
      <c r="A826" s="965"/>
      <c r="B826" s="965"/>
      <c r="C826" s="965"/>
      <c r="D826" s="965"/>
      <c r="E826" s="965"/>
      <c r="F826" s="965"/>
      <c r="G826" s="965"/>
      <c r="H826" s="965"/>
      <c r="I826" s="965"/>
      <c r="J826" s="965"/>
      <c r="K826" s="965"/>
      <c r="L826" s="965"/>
      <c r="M826" s="965"/>
      <c r="N826" s="965"/>
      <c r="O826" s="965"/>
      <c r="P826" s="965"/>
      <c r="Q826" s="965"/>
      <c r="R826" s="965"/>
      <c r="S826" s="965"/>
      <c r="T826" s="965"/>
      <c r="U826" s="965"/>
      <c r="V826" s="965"/>
      <c r="W826" s="965"/>
      <c r="X826" s="965"/>
      <c r="Y826" s="965"/>
      <c r="Z826" s="965"/>
    </row>
    <row r="827">
      <c r="A827" s="965"/>
      <c r="B827" s="965"/>
      <c r="C827" s="965"/>
      <c r="D827" s="965"/>
      <c r="E827" s="965"/>
      <c r="F827" s="965"/>
      <c r="G827" s="965"/>
      <c r="H827" s="965"/>
      <c r="I827" s="965"/>
      <c r="J827" s="965"/>
      <c r="K827" s="965"/>
      <c r="L827" s="965"/>
      <c r="M827" s="965"/>
      <c r="N827" s="965"/>
      <c r="O827" s="965"/>
      <c r="P827" s="965"/>
      <c r="Q827" s="965"/>
      <c r="R827" s="965"/>
      <c r="S827" s="965"/>
      <c r="T827" s="965"/>
      <c r="U827" s="965"/>
      <c r="V827" s="965"/>
      <c r="W827" s="965"/>
      <c r="X827" s="965"/>
      <c r="Y827" s="965"/>
      <c r="Z827" s="965"/>
    </row>
    <row r="828">
      <c r="A828" s="965"/>
      <c r="B828" s="965"/>
      <c r="C828" s="965"/>
      <c r="D828" s="965"/>
      <c r="E828" s="965"/>
      <c r="F828" s="965"/>
      <c r="G828" s="965"/>
      <c r="H828" s="965"/>
      <c r="I828" s="965"/>
      <c r="J828" s="965"/>
      <c r="K828" s="965"/>
      <c r="L828" s="965"/>
      <c r="M828" s="965"/>
      <c r="N828" s="965"/>
      <c r="O828" s="965"/>
      <c r="P828" s="965"/>
      <c r="Q828" s="965"/>
      <c r="R828" s="965"/>
      <c r="S828" s="965"/>
      <c r="T828" s="965"/>
      <c r="U828" s="965"/>
      <c r="V828" s="965"/>
      <c r="W828" s="965"/>
      <c r="X828" s="965"/>
      <c r="Y828" s="965"/>
      <c r="Z828" s="965"/>
    </row>
    <row r="829">
      <c r="A829" s="965"/>
      <c r="B829" s="965"/>
      <c r="C829" s="965"/>
      <c r="D829" s="965"/>
      <c r="E829" s="965"/>
      <c r="F829" s="965"/>
      <c r="G829" s="965"/>
      <c r="H829" s="965"/>
      <c r="I829" s="965"/>
      <c r="J829" s="965"/>
      <c r="K829" s="965"/>
      <c r="L829" s="965"/>
      <c r="M829" s="965"/>
      <c r="N829" s="965"/>
      <c r="O829" s="965"/>
      <c r="P829" s="965"/>
      <c r="Q829" s="965"/>
      <c r="R829" s="965"/>
      <c r="S829" s="965"/>
      <c r="T829" s="965"/>
      <c r="U829" s="965"/>
      <c r="V829" s="965"/>
      <c r="W829" s="965"/>
      <c r="X829" s="965"/>
      <c r="Y829" s="965"/>
      <c r="Z829" s="965"/>
    </row>
    <row r="830">
      <c r="A830" s="965"/>
      <c r="B830" s="965"/>
      <c r="C830" s="965"/>
      <c r="D830" s="965"/>
      <c r="E830" s="965"/>
      <c r="F830" s="965"/>
      <c r="G830" s="965"/>
      <c r="H830" s="965"/>
      <c r="I830" s="965"/>
      <c r="J830" s="965"/>
      <c r="K830" s="965"/>
      <c r="L830" s="965"/>
      <c r="M830" s="965"/>
      <c r="N830" s="965"/>
      <c r="O830" s="965"/>
      <c r="P830" s="965"/>
      <c r="Q830" s="965"/>
      <c r="R830" s="965"/>
      <c r="S830" s="965"/>
      <c r="T830" s="965"/>
      <c r="U830" s="965"/>
      <c r="V830" s="965"/>
      <c r="W830" s="965"/>
      <c r="X830" s="965"/>
      <c r="Y830" s="965"/>
      <c r="Z830" s="965"/>
    </row>
    <row r="831">
      <c r="A831" s="965"/>
      <c r="B831" s="965"/>
      <c r="C831" s="965"/>
      <c r="D831" s="965"/>
      <c r="E831" s="965"/>
      <c r="F831" s="965"/>
      <c r="G831" s="965"/>
      <c r="H831" s="965"/>
      <c r="I831" s="965"/>
      <c r="J831" s="965"/>
      <c r="K831" s="965"/>
      <c r="L831" s="965"/>
      <c r="M831" s="965"/>
      <c r="N831" s="965"/>
      <c r="O831" s="965"/>
      <c r="P831" s="965"/>
      <c r="Q831" s="965"/>
      <c r="R831" s="965"/>
      <c r="S831" s="965"/>
      <c r="T831" s="965"/>
      <c r="U831" s="965"/>
      <c r="V831" s="965"/>
      <c r="W831" s="965"/>
      <c r="X831" s="965"/>
      <c r="Y831" s="965"/>
      <c r="Z831" s="965"/>
    </row>
    <row r="832">
      <c r="A832" s="965"/>
      <c r="B832" s="965"/>
      <c r="C832" s="965"/>
      <c r="D832" s="965"/>
      <c r="E832" s="965"/>
      <c r="F832" s="965"/>
      <c r="G832" s="965"/>
      <c r="H832" s="965"/>
      <c r="I832" s="965"/>
      <c r="J832" s="965"/>
      <c r="K832" s="965"/>
      <c r="L832" s="965"/>
      <c r="M832" s="965"/>
      <c r="N832" s="965"/>
      <c r="O832" s="965"/>
      <c r="P832" s="965"/>
      <c r="Q832" s="965"/>
      <c r="R832" s="965"/>
      <c r="S832" s="965"/>
      <c r="T832" s="965"/>
      <c r="U832" s="965"/>
      <c r="V832" s="965"/>
      <c r="W832" s="965"/>
      <c r="X832" s="965"/>
      <c r="Y832" s="965"/>
      <c r="Z832" s="965"/>
    </row>
    <row r="833">
      <c r="A833" s="965"/>
      <c r="B833" s="965"/>
      <c r="C833" s="965"/>
      <c r="D833" s="965"/>
      <c r="E833" s="965"/>
      <c r="F833" s="965"/>
      <c r="G833" s="965"/>
      <c r="H833" s="965"/>
      <c r="I833" s="965"/>
      <c r="J833" s="965"/>
      <c r="K833" s="965"/>
      <c r="L833" s="965"/>
      <c r="M833" s="965"/>
      <c r="N833" s="965"/>
      <c r="O833" s="965"/>
      <c r="P833" s="965"/>
      <c r="Q833" s="965"/>
      <c r="R833" s="965"/>
      <c r="S833" s="965"/>
      <c r="T833" s="965"/>
      <c r="U833" s="965"/>
      <c r="V833" s="965"/>
      <c r="W833" s="965"/>
      <c r="X833" s="965"/>
      <c r="Y833" s="965"/>
      <c r="Z833" s="965"/>
    </row>
    <row r="834">
      <c r="A834" s="965"/>
      <c r="B834" s="965"/>
      <c r="C834" s="965"/>
      <c r="D834" s="965"/>
      <c r="E834" s="965"/>
      <c r="F834" s="965"/>
      <c r="G834" s="965"/>
      <c r="H834" s="965"/>
      <c r="I834" s="965"/>
      <c r="J834" s="965"/>
      <c r="K834" s="965"/>
      <c r="L834" s="965"/>
      <c r="M834" s="965"/>
      <c r="N834" s="965"/>
      <c r="O834" s="965"/>
      <c r="P834" s="965"/>
      <c r="Q834" s="965"/>
      <c r="R834" s="965"/>
      <c r="S834" s="965"/>
      <c r="T834" s="965"/>
      <c r="U834" s="965"/>
      <c r="V834" s="965"/>
      <c r="W834" s="965"/>
      <c r="X834" s="965"/>
      <c r="Y834" s="965"/>
      <c r="Z834" s="965"/>
    </row>
    <row r="835">
      <c r="A835" s="965"/>
      <c r="B835" s="965"/>
      <c r="C835" s="965"/>
      <c r="D835" s="965"/>
      <c r="E835" s="965"/>
      <c r="F835" s="965"/>
      <c r="G835" s="965"/>
      <c r="H835" s="965"/>
      <c r="I835" s="965"/>
      <c r="J835" s="965"/>
      <c r="K835" s="965"/>
      <c r="L835" s="965"/>
      <c r="M835" s="965"/>
      <c r="N835" s="965"/>
      <c r="O835" s="965"/>
      <c r="P835" s="965"/>
      <c r="Q835" s="965"/>
      <c r="R835" s="965"/>
      <c r="S835" s="965"/>
      <c r="T835" s="965"/>
      <c r="U835" s="965"/>
      <c r="V835" s="965"/>
      <c r="W835" s="965"/>
      <c r="X835" s="965"/>
      <c r="Y835" s="965"/>
      <c r="Z835" s="965"/>
    </row>
    <row r="836">
      <c r="A836" s="965"/>
      <c r="B836" s="965"/>
      <c r="C836" s="965"/>
      <c r="D836" s="965"/>
      <c r="E836" s="965"/>
      <c r="F836" s="965"/>
      <c r="G836" s="965"/>
      <c r="H836" s="965"/>
      <c r="I836" s="965"/>
      <c r="J836" s="965"/>
      <c r="K836" s="965"/>
      <c r="L836" s="965"/>
      <c r="M836" s="965"/>
      <c r="N836" s="965"/>
      <c r="O836" s="965"/>
      <c r="P836" s="965"/>
      <c r="Q836" s="965"/>
      <c r="R836" s="965"/>
      <c r="S836" s="965"/>
      <c r="T836" s="965"/>
      <c r="U836" s="965"/>
      <c r="V836" s="965"/>
      <c r="W836" s="965"/>
      <c r="X836" s="965"/>
      <c r="Y836" s="965"/>
      <c r="Z836" s="965"/>
    </row>
    <row r="837">
      <c r="A837" s="965"/>
      <c r="B837" s="965"/>
      <c r="C837" s="965"/>
      <c r="D837" s="965"/>
      <c r="E837" s="965"/>
      <c r="F837" s="965"/>
      <c r="G837" s="965"/>
      <c r="H837" s="965"/>
      <c r="I837" s="965"/>
      <c r="J837" s="965"/>
      <c r="K837" s="965"/>
      <c r="L837" s="965"/>
      <c r="M837" s="965"/>
      <c r="N837" s="965"/>
      <c r="O837" s="965"/>
      <c r="P837" s="965"/>
      <c r="Q837" s="965"/>
      <c r="R837" s="965"/>
      <c r="S837" s="965"/>
      <c r="T837" s="965"/>
      <c r="U837" s="965"/>
      <c r="V837" s="965"/>
      <c r="W837" s="965"/>
      <c r="X837" s="965"/>
      <c r="Y837" s="965"/>
      <c r="Z837" s="965"/>
    </row>
    <row r="838">
      <c r="A838" s="965"/>
      <c r="B838" s="965"/>
      <c r="C838" s="965"/>
      <c r="D838" s="965"/>
      <c r="E838" s="965"/>
      <c r="F838" s="965"/>
      <c r="G838" s="965"/>
      <c r="H838" s="965"/>
      <c r="I838" s="965"/>
      <c r="J838" s="965"/>
      <c r="K838" s="965"/>
      <c r="L838" s="965"/>
      <c r="M838" s="965"/>
      <c r="N838" s="965"/>
      <c r="O838" s="965"/>
      <c r="P838" s="965"/>
      <c r="Q838" s="965"/>
      <c r="R838" s="965"/>
      <c r="S838" s="965"/>
      <c r="T838" s="965"/>
      <c r="U838" s="965"/>
      <c r="V838" s="965"/>
      <c r="W838" s="965"/>
      <c r="X838" s="965"/>
      <c r="Y838" s="965"/>
      <c r="Z838" s="965"/>
    </row>
    <row r="839">
      <c r="A839" s="965"/>
      <c r="B839" s="965"/>
      <c r="C839" s="965"/>
      <c r="D839" s="965"/>
      <c r="E839" s="965"/>
      <c r="F839" s="965"/>
      <c r="G839" s="965"/>
      <c r="H839" s="965"/>
      <c r="I839" s="965"/>
      <c r="J839" s="965"/>
      <c r="K839" s="965"/>
      <c r="L839" s="965"/>
      <c r="M839" s="965"/>
      <c r="N839" s="965"/>
      <c r="O839" s="965"/>
      <c r="P839" s="965"/>
      <c r="Q839" s="965"/>
      <c r="R839" s="965"/>
      <c r="S839" s="965"/>
      <c r="T839" s="965"/>
      <c r="U839" s="965"/>
      <c r="V839" s="965"/>
      <c r="W839" s="965"/>
      <c r="X839" s="965"/>
      <c r="Y839" s="965"/>
      <c r="Z839" s="965"/>
    </row>
    <row r="840">
      <c r="A840" s="965"/>
      <c r="B840" s="965"/>
      <c r="C840" s="965"/>
      <c r="D840" s="965"/>
      <c r="E840" s="965"/>
      <c r="F840" s="965"/>
      <c r="G840" s="965"/>
      <c r="H840" s="965"/>
      <c r="I840" s="965"/>
      <c r="J840" s="965"/>
      <c r="K840" s="965"/>
      <c r="L840" s="965"/>
      <c r="M840" s="965"/>
      <c r="N840" s="965"/>
      <c r="O840" s="965"/>
      <c r="P840" s="965"/>
      <c r="Q840" s="965"/>
      <c r="R840" s="965"/>
      <c r="S840" s="965"/>
      <c r="T840" s="965"/>
      <c r="U840" s="965"/>
      <c r="V840" s="965"/>
      <c r="W840" s="965"/>
      <c r="X840" s="965"/>
      <c r="Y840" s="965"/>
      <c r="Z840" s="965"/>
    </row>
    <row r="841">
      <c r="A841" s="965"/>
      <c r="B841" s="965"/>
      <c r="C841" s="965"/>
      <c r="D841" s="965"/>
      <c r="E841" s="965"/>
      <c r="F841" s="965"/>
      <c r="G841" s="965"/>
      <c r="H841" s="965"/>
      <c r="I841" s="965"/>
      <c r="J841" s="965"/>
      <c r="K841" s="965"/>
      <c r="L841" s="965"/>
      <c r="M841" s="965"/>
      <c r="N841" s="965"/>
      <c r="O841" s="965"/>
      <c r="P841" s="965"/>
      <c r="Q841" s="965"/>
      <c r="R841" s="965"/>
      <c r="S841" s="965"/>
      <c r="T841" s="965"/>
      <c r="U841" s="965"/>
      <c r="V841" s="965"/>
      <c r="W841" s="965"/>
      <c r="X841" s="965"/>
      <c r="Y841" s="965"/>
      <c r="Z841" s="965"/>
    </row>
    <row r="842">
      <c r="A842" s="965"/>
      <c r="B842" s="965"/>
      <c r="C842" s="965"/>
      <c r="D842" s="965"/>
      <c r="E842" s="965"/>
      <c r="F842" s="965"/>
      <c r="G842" s="965"/>
      <c r="H842" s="965"/>
      <c r="I842" s="965"/>
      <c r="J842" s="965"/>
      <c r="K842" s="965"/>
      <c r="L842" s="965"/>
      <c r="M842" s="965"/>
      <c r="N842" s="965"/>
      <c r="O842" s="965"/>
      <c r="P842" s="965"/>
      <c r="Q842" s="965"/>
      <c r="R842" s="965"/>
      <c r="S842" s="965"/>
      <c r="T842" s="965"/>
      <c r="U842" s="965"/>
      <c r="V842" s="965"/>
      <c r="W842" s="965"/>
      <c r="X842" s="965"/>
      <c r="Y842" s="965"/>
      <c r="Z842" s="965"/>
    </row>
    <row r="843">
      <c r="A843" s="965"/>
      <c r="B843" s="965"/>
      <c r="C843" s="965"/>
      <c r="D843" s="965"/>
      <c r="E843" s="965"/>
      <c r="F843" s="965"/>
      <c r="G843" s="965"/>
      <c r="H843" s="965"/>
      <c r="I843" s="965"/>
      <c r="J843" s="965"/>
      <c r="K843" s="965"/>
      <c r="L843" s="965"/>
      <c r="M843" s="965"/>
      <c r="N843" s="965"/>
      <c r="O843" s="965"/>
      <c r="P843" s="965"/>
      <c r="Q843" s="965"/>
      <c r="R843" s="965"/>
      <c r="S843" s="965"/>
      <c r="T843" s="965"/>
      <c r="U843" s="965"/>
      <c r="V843" s="965"/>
      <c r="W843" s="965"/>
      <c r="X843" s="965"/>
      <c r="Y843" s="965"/>
      <c r="Z843" s="965"/>
    </row>
    <row r="844">
      <c r="A844" s="965"/>
      <c r="B844" s="965"/>
      <c r="C844" s="965"/>
      <c r="D844" s="965"/>
      <c r="E844" s="965"/>
      <c r="F844" s="965"/>
      <c r="G844" s="965"/>
      <c r="H844" s="965"/>
      <c r="I844" s="965"/>
      <c r="J844" s="965"/>
      <c r="K844" s="965"/>
      <c r="L844" s="965"/>
      <c r="M844" s="965"/>
      <c r="N844" s="965"/>
      <c r="O844" s="965"/>
      <c r="P844" s="965"/>
      <c r="Q844" s="965"/>
      <c r="R844" s="965"/>
      <c r="S844" s="965"/>
      <c r="T844" s="965"/>
      <c r="U844" s="965"/>
      <c r="V844" s="965"/>
      <c r="W844" s="965"/>
      <c r="X844" s="965"/>
      <c r="Y844" s="965"/>
      <c r="Z844" s="965"/>
    </row>
    <row r="845">
      <c r="A845" s="965"/>
      <c r="B845" s="965"/>
      <c r="C845" s="965"/>
      <c r="D845" s="965"/>
      <c r="E845" s="965"/>
      <c r="F845" s="965"/>
      <c r="G845" s="965"/>
      <c r="H845" s="965"/>
      <c r="I845" s="965"/>
      <c r="J845" s="965"/>
      <c r="K845" s="965"/>
      <c r="L845" s="965"/>
      <c r="M845" s="965"/>
      <c r="N845" s="965"/>
      <c r="O845" s="965"/>
      <c r="P845" s="965"/>
      <c r="Q845" s="965"/>
      <c r="R845" s="965"/>
      <c r="S845" s="965"/>
      <c r="T845" s="965"/>
      <c r="U845" s="965"/>
      <c r="V845" s="965"/>
      <c r="W845" s="965"/>
      <c r="X845" s="965"/>
      <c r="Y845" s="965"/>
      <c r="Z845" s="965"/>
    </row>
    <row r="846">
      <c r="A846" s="965"/>
      <c r="B846" s="965"/>
      <c r="C846" s="965"/>
      <c r="D846" s="965"/>
      <c r="E846" s="965"/>
      <c r="F846" s="965"/>
      <c r="G846" s="965"/>
      <c r="H846" s="965"/>
      <c r="I846" s="965"/>
      <c r="J846" s="965"/>
      <c r="K846" s="965"/>
      <c r="L846" s="965"/>
      <c r="M846" s="965"/>
      <c r="N846" s="965"/>
      <c r="O846" s="965"/>
      <c r="P846" s="965"/>
      <c r="Q846" s="965"/>
      <c r="R846" s="965"/>
      <c r="S846" s="965"/>
      <c r="T846" s="965"/>
      <c r="U846" s="965"/>
      <c r="V846" s="965"/>
      <c r="W846" s="965"/>
      <c r="X846" s="965"/>
      <c r="Y846" s="965"/>
      <c r="Z846" s="965"/>
    </row>
    <row r="847">
      <c r="A847" s="965"/>
      <c r="B847" s="965"/>
      <c r="C847" s="965"/>
      <c r="D847" s="965"/>
      <c r="E847" s="965"/>
      <c r="F847" s="965"/>
      <c r="G847" s="965"/>
      <c r="H847" s="965"/>
      <c r="I847" s="965"/>
      <c r="J847" s="965"/>
      <c r="K847" s="965"/>
      <c r="L847" s="965"/>
      <c r="M847" s="965"/>
      <c r="N847" s="965"/>
      <c r="O847" s="965"/>
      <c r="P847" s="965"/>
      <c r="Q847" s="965"/>
      <c r="R847" s="965"/>
      <c r="S847" s="965"/>
      <c r="T847" s="965"/>
      <c r="U847" s="965"/>
      <c r="V847" s="965"/>
      <c r="W847" s="965"/>
      <c r="X847" s="965"/>
      <c r="Y847" s="965"/>
      <c r="Z847" s="965"/>
    </row>
    <row r="848">
      <c r="A848" s="965"/>
      <c r="B848" s="965"/>
      <c r="C848" s="965"/>
      <c r="D848" s="965"/>
      <c r="E848" s="965"/>
      <c r="F848" s="965"/>
      <c r="G848" s="965"/>
      <c r="H848" s="965"/>
      <c r="I848" s="965"/>
      <c r="J848" s="965"/>
      <c r="K848" s="965"/>
      <c r="L848" s="965"/>
      <c r="M848" s="965"/>
      <c r="N848" s="965"/>
      <c r="O848" s="965"/>
      <c r="P848" s="965"/>
      <c r="Q848" s="965"/>
      <c r="R848" s="965"/>
      <c r="S848" s="965"/>
      <c r="T848" s="965"/>
      <c r="U848" s="965"/>
      <c r="V848" s="965"/>
      <c r="W848" s="965"/>
      <c r="X848" s="965"/>
      <c r="Y848" s="965"/>
      <c r="Z848" s="965"/>
    </row>
    <row r="849">
      <c r="A849" s="965"/>
      <c r="B849" s="965"/>
      <c r="C849" s="965"/>
      <c r="D849" s="965"/>
      <c r="E849" s="965"/>
      <c r="F849" s="965"/>
      <c r="G849" s="965"/>
      <c r="H849" s="965"/>
      <c r="I849" s="965"/>
      <c r="J849" s="965"/>
      <c r="K849" s="965"/>
      <c r="L849" s="965"/>
      <c r="M849" s="965"/>
      <c r="N849" s="965"/>
      <c r="O849" s="965"/>
      <c r="P849" s="965"/>
      <c r="Q849" s="965"/>
      <c r="R849" s="965"/>
      <c r="S849" s="965"/>
      <c r="T849" s="965"/>
      <c r="U849" s="965"/>
      <c r="V849" s="965"/>
      <c r="W849" s="965"/>
      <c r="X849" s="965"/>
      <c r="Y849" s="965"/>
      <c r="Z849" s="965"/>
    </row>
    <row r="850">
      <c r="A850" s="965"/>
      <c r="B850" s="965"/>
      <c r="C850" s="965"/>
      <c r="D850" s="965"/>
      <c r="E850" s="965"/>
      <c r="F850" s="965"/>
      <c r="G850" s="965"/>
      <c r="H850" s="965"/>
      <c r="I850" s="965"/>
      <c r="J850" s="965"/>
      <c r="K850" s="965"/>
      <c r="L850" s="965"/>
      <c r="M850" s="965"/>
      <c r="N850" s="965"/>
      <c r="O850" s="965"/>
      <c r="P850" s="965"/>
      <c r="Q850" s="965"/>
      <c r="R850" s="965"/>
      <c r="S850" s="965"/>
      <c r="T850" s="965"/>
      <c r="U850" s="965"/>
      <c r="V850" s="965"/>
      <c r="W850" s="965"/>
      <c r="X850" s="965"/>
      <c r="Y850" s="965"/>
      <c r="Z850" s="965"/>
    </row>
    <row r="851">
      <c r="A851" s="965"/>
      <c r="B851" s="965"/>
      <c r="C851" s="965"/>
      <c r="D851" s="965"/>
      <c r="E851" s="965"/>
      <c r="F851" s="965"/>
      <c r="G851" s="965"/>
      <c r="H851" s="965"/>
      <c r="I851" s="965"/>
      <c r="J851" s="965"/>
      <c r="K851" s="965"/>
      <c r="L851" s="965"/>
      <c r="M851" s="965"/>
      <c r="N851" s="965"/>
      <c r="O851" s="965"/>
      <c r="P851" s="965"/>
      <c r="Q851" s="965"/>
      <c r="R851" s="965"/>
      <c r="S851" s="965"/>
      <c r="T851" s="965"/>
      <c r="U851" s="965"/>
      <c r="V851" s="965"/>
      <c r="W851" s="965"/>
      <c r="X851" s="965"/>
      <c r="Y851" s="965"/>
      <c r="Z851" s="965"/>
    </row>
    <row r="852">
      <c r="A852" s="965"/>
      <c r="B852" s="965"/>
      <c r="C852" s="965"/>
      <c r="D852" s="965"/>
      <c r="E852" s="965"/>
      <c r="F852" s="965"/>
      <c r="G852" s="965"/>
      <c r="H852" s="965"/>
      <c r="I852" s="965"/>
      <c r="J852" s="965"/>
      <c r="K852" s="965"/>
      <c r="L852" s="965"/>
      <c r="M852" s="965"/>
      <c r="N852" s="965"/>
      <c r="O852" s="965"/>
      <c r="P852" s="965"/>
      <c r="Q852" s="965"/>
      <c r="R852" s="965"/>
      <c r="S852" s="965"/>
      <c r="T852" s="965"/>
      <c r="U852" s="965"/>
      <c r="V852" s="965"/>
      <c r="W852" s="965"/>
      <c r="X852" s="965"/>
      <c r="Y852" s="965"/>
      <c r="Z852" s="965"/>
    </row>
    <row r="853">
      <c r="A853" s="965"/>
      <c r="B853" s="965"/>
      <c r="C853" s="965"/>
      <c r="D853" s="965"/>
      <c r="E853" s="965"/>
      <c r="F853" s="965"/>
      <c r="G853" s="965"/>
      <c r="H853" s="965"/>
      <c r="I853" s="965"/>
      <c r="J853" s="965"/>
      <c r="K853" s="965"/>
      <c r="L853" s="965"/>
      <c r="M853" s="965"/>
      <c r="N853" s="965"/>
      <c r="O853" s="965"/>
      <c r="P853" s="965"/>
      <c r="Q853" s="965"/>
      <c r="R853" s="965"/>
      <c r="S853" s="965"/>
      <c r="T853" s="965"/>
      <c r="U853" s="965"/>
      <c r="V853" s="965"/>
      <c r="W853" s="965"/>
      <c r="X853" s="965"/>
      <c r="Y853" s="965"/>
      <c r="Z853" s="965"/>
    </row>
    <row r="854">
      <c r="A854" s="965"/>
      <c r="B854" s="965"/>
      <c r="C854" s="965"/>
      <c r="D854" s="965"/>
      <c r="E854" s="965"/>
      <c r="F854" s="965"/>
      <c r="G854" s="965"/>
      <c r="H854" s="965"/>
      <c r="I854" s="965"/>
      <c r="J854" s="965"/>
      <c r="K854" s="965"/>
      <c r="L854" s="965"/>
      <c r="M854" s="965"/>
      <c r="N854" s="965"/>
      <c r="O854" s="965"/>
      <c r="P854" s="965"/>
      <c r="Q854" s="965"/>
      <c r="R854" s="965"/>
      <c r="S854" s="965"/>
      <c r="T854" s="965"/>
      <c r="U854" s="965"/>
      <c r="V854" s="965"/>
      <c r="W854" s="965"/>
      <c r="X854" s="965"/>
      <c r="Y854" s="965"/>
      <c r="Z854" s="965"/>
    </row>
    <row r="855">
      <c r="A855" s="965"/>
      <c r="B855" s="965"/>
      <c r="C855" s="965"/>
      <c r="D855" s="965"/>
      <c r="E855" s="965"/>
      <c r="F855" s="965"/>
      <c r="G855" s="965"/>
      <c r="H855" s="965"/>
      <c r="I855" s="965"/>
      <c r="J855" s="965"/>
      <c r="K855" s="965"/>
      <c r="L855" s="965"/>
      <c r="M855" s="965"/>
      <c r="N855" s="965"/>
      <c r="O855" s="965"/>
      <c r="P855" s="965"/>
      <c r="Q855" s="965"/>
      <c r="R855" s="965"/>
      <c r="S855" s="965"/>
      <c r="T855" s="965"/>
      <c r="U855" s="965"/>
      <c r="V855" s="965"/>
      <c r="W855" s="965"/>
      <c r="X855" s="965"/>
      <c r="Y855" s="965"/>
      <c r="Z855" s="965"/>
    </row>
    <row r="856">
      <c r="A856" s="965"/>
      <c r="B856" s="965"/>
      <c r="C856" s="965"/>
      <c r="D856" s="965"/>
      <c r="E856" s="965"/>
      <c r="F856" s="965"/>
      <c r="G856" s="965"/>
      <c r="H856" s="965"/>
      <c r="I856" s="965"/>
      <c r="J856" s="965"/>
      <c r="K856" s="965"/>
      <c r="L856" s="965"/>
      <c r="M856" s="965"/>
      <c r="N856" s="965"/>
      <c r="O856" s="965"/>
      <c r="P856" s="965"/>
      <c r="Q856" s="965"/>
      <c r="R856" s="965"/>
      <c r="S856" s="965"/>
      <c r="T856" s="965"/>
      <c r="U856" s="965"/>
      <c r="V856" s="965"/>
      <c r="W856" s="965"/>
      <c r="X856" s="965"/>
      <c r="Y856" s="965"/>
      <c r="Z856" s="965"/>
    </row>
    <row r="857">
      <c r="A857" s="965"/>
      <c r="B857" s="965"/>
      <c r="C857" s="965"/>
      <c r="D857" s="965"/>
      <c r="E857" s="965"/>
      <c r="F857" s="965"/>
      <c r="G857" s="965"/>
      <c r="H857" s="965"/>
      <c r="I857" s="965"/>
      <c r="J857" s="965"/>
      <c r="K857" s="965"/>
      <c r="L857" s="965"/>
      <c r="M857" s="965"/>
      <c r="N857" s="965"/>
      <c r="O857" s="965"/>
      <c r="P857" s="965"/>
      <c r="Q857" s="965"/>
      <c r="R857" s="965"/>
      <c r="S857" s="965"/>
      <c r="T857" s="965"/>
      <c r="U857" s="965"/>
      <c r="V857" s="965"/>
      <c r="W857" s="965"/>
      <c r="X857" s="965"/>
      <c r="Y857" s="965"/>
      <c r="Z857" s="965"/>
    </row>
    <row r="858">
      <c r="A858" s="965"/>
      <c r="B858" s="965"/>
      <c r="C858" s="965"/>
      <c r="D858" s="965"/>
      <c r="E858" s="965"/>
      <c r="F858" s="965"/>
      <c r="G858" s="965"/>
      <c r="H858" s="965"/>
      <c r="I858" s="965"/>
      <c r="J858" s="965"/>
      <c r="K858" s="965"/>
      <c r="L858" s="965"/>
      <c r="M858" s="965"/>
      <c r="N858" s="965"/>
      <c r="O858" s="965"/>
      <c r="P858" s="965"/>
      <c r="Q858" s="965"/>
      <c r="R858" s="965"/>
      <c r="S858" s="965"/>
      <c r="T858" s="965"/>
      <c r="U858" s="965"/>
      <c r="V858" s="965"/>
      <c r="W858" s="965"/>
      <c r="X858" s="965"/>
      <c r="Y858" s="965"/>
      <c r="Z858" s="965"/>
    </row>
    <row r="859">
      <c r="A859" s="965"/>
      <c r="B859" s="965"/>
      <c r="C859" s="965"/>
      <c r="D859" s="965"/>
      <c r="E859" s="965"/>
      <c r="F859" s="965"/>
      <c r="G859" s="965"/>
      <c r="H859" s="965"/>
      <c r="I859" s="965"/>
      <c r="J859" s="965"/>
      <c r="K859" s="965"/>
      <c r="L859" s="965"/>
      <c r="M859" s="965"/>
      <c r="N859" s="965"/>
      <c r="O859" s="965"/>
      <c r="P859" s="965"/>
      <c r="Q859" s="965"/>
      <c r="R859" s="965"/>
      <c r="S859" s="965"/>
      <c r="T859" s="965"/>
      <c r="U859" s="965"/>
      <c r="V859" s="965"/>
      <c r="W859" s="965"/>
      <c r="X859" s="965"/>
      <c r="Y859" s="965"/>
      <c r="Z859" s="965"/>
    </row>
    <row r="860">
      <c r="A860" s="965"/>
      <c r="B860" s="965"/>
      <c r="C860" s="965"/>
      <c r="D860" s="965"/>
      <c r="E860" s="965"/>
      <c r="F860" s="965"/>
      <c r="G860" s="965"/>
      <c r="H860" s="965"/>
      <c r="I860" s="965"/>
      <c r="J860" s="965"/>
      <c r="K860" s="965"/>
      <c r="L860" s="965"/>
      <c r="M860" s="965"/>
      <c r="N860" s="965"/>
      <c r="O860" s="965"/>
      <c r="P860" s="965"/>
      <c r="Q860" s="965"/>
      <c r="R860" s="965"/>
      <c r="S860" s="965"/>
      <c r="T860" s="965"/>
      <c r="U860" s="965"/>
      <c r="V860" s="965"/>
      <c r="W860" s="965"/>
      <c r="X860" s="965"/>
      <c r="Y860" s="965"/>
      <c r="Z860" s="965"/>
    </row>
    <row r="861">
      <c r="A861" s="965"/>
      <c r="B861" s="965"/>
      <c r="C861" s="965"/>
      <c r="D861" s="965"/>
      <c r="E861" s="965"/>
      <c r="F861" s="965"/>
      <c r="G861" s="965"/>
      <c r="H861" s="965"/>
      <c r="I861" s="965"/>
      <c r="J861" s="965"/>
      <c r="K861" s="965"/>
      <c r="L861" s="965"/>
      <c r="M861" s="965"/>
      <c r="N861" s="965"/>
      <c r="O861" s="965"/>
      <c r="P861" s="965"/>
      <c r="Q861" s="965"/>
      <c r="R861" s="965"/>
      <c r="S861" s="965"/>
      <c r="T861" s="965"/>
      <c r="U861" s="965"/>
      <c r="V861" s="965"/>
      <c r="W861" s="965"/>
      <c r="X861" s="965"/>
      <c r="Y861" s="965"/>
      <c r="Z861" s="965"/>
    </row>
    <row r="862">
      <c r="A862" s="965"/>
      <c r="B862" s="965"/>
      <c r="C862" s="965"/>
      <c r="D862" s="965"/>
      <c r="E862" s="965"/>
      <c r="F862" s="965"/>
      <c r="G862" s="965"/>
      <c r="H862" s="965"/>
      <c r="I862" s="965"/>
      <c r="J862" s="965"/>
      <c r="K862" s="965"/>
      <c r="L862" s="965"/>
      <c r="M862" s="965"/>
      <c r="N862" s="965"/>
      <c r="O862" s="965"/>
      <c r="P862" s="965"/>
      <c r="Q862" s="965"/>
      <c r="R862" s="965"/>
      <c r="S862" s="965"/>
      <c r="T862" s="965"/>
      <c r="U862" s="965"/>
      <c r="V862" s="965"/>
      <c r="W862" s="965"/>
      <c r="X862" s="965"/>
      <c r="Y862" s="965"/>
      <c r="Z862" s="965"/>
    </row>
    <row r="863">
      <c r="A863" s="965"/>
      <c r="B863" s="965"/>
      <c r="C863" s="965"/>
      <c r="D863" s="965"/>
      <c r="E863" s="965"/>
      <c r="F863" s="965"/>
      <c r="G863" s="965"/>
      <c r="H863" s="965"/>
      <c r="I863" s="965"/>
      <c r="J863" s="965"/>
      <c r="K863" s="965"/>
      <c r="L863" s="965"/>
      <c r="M863" s="965"/>
      <c r="N863" s="965"/>
      <c r="O863" s="965"/>
      <c r="P863" s="965"/>
      <c r="Q863" s="965"/>
      <c r="R863" s="965"/>
      <c r="S863" s="965"/>
      <c r="T863" s="965"/>
      <c r="U863" s="965"/>
      <c r="V863" s="965"/>
      <c r="W863" s="965"/>
      <c r="X863" s="965"/>
      <c r="Y863" s="965"/>
      <c r="Z863" s="965"/>
    </row>
    <row r="864">
      <c r="A864" s="965"/>
      <c r="B864" s="965"/>
      <c r="C864" s="965"/>
      <c r="D864" s="965"/>
      <c r="E864" s="965"/>
      <c r="F864" s="965"/>
      <c r="G864" s="965"/>
      <c r="H864" s="965"/>
      <c r="I864" s="965"/>
      <c r="J864" s="965"/>
      <c r="K864" s="965"/>
      <c r="L864" s="965"/>
      <c r="M864" s="965"/>
      <c r="N864" s="965"/>
      <c r="O864" s="965"/>
      <c r="P864" s="965"/>
      <c r="Q864" s="965"/>
      <c r="R864" s="965"/>
      <c r="S864" s="965"/>
      <c r="T864" s="965"/>
      <c r="U864" s="965"/>
      <c r="V864" s="965"/>
      <c r="W864" s="965"/>
      <c r="X864" s="965"/>
      <c r="Y864" s="965"/>
      <c r="Z864" s="965"/>
    </row>
    <row r="865">
      <c r="A865" s="965"/>
      <c r="B865" s="965"/>
      <c r="C865" s="965"/>
      <c r="D865" s="965"/>
      <c r="E865" s="965"/>
      <c r="F865" s="965"/>
      <c r="G865" s="965"/>
      <c r="H865" s="965"/>
      <c r="I865" s="965"/>
      <c r="J865" s="965"/>
      <c r="K865" s="965"/>
      <c r="L865" s="965"/>
      <c r="M865" s="965"/>
      <c r="N865" s="965"/>
      <c r="O865" s="965"/>
      <c r="P865" s="965"/>
      <c r="Q865" s="965"/>
      <c r="R865" s="965"/>
      <c r="S865" s="965"/>
      <c r="T865" s="965"/>
      <c r="U865" s="965"/>
      <c r="V865" s="965"/>
      <c r="W865" s="965"/>
      <c r="X865" s="965"/>
      <c r="Y865" s="965"/>
      <c r="Z865" s="965"/>
    </row>
    <row r="866">
      <c r="A866" s="965"/>
      <c r="B866" s="965"/>
      <c r="C866" s="965"/>
      <c r="D866" s="965"/>
      <c r="E866" s="965"/>
      <c r="F866" s="965"/>
      <c r="G866" s="965"/>
      <c r="H866" s="965"/>
      <c r="I866" s="965"/>
      <c r="J866" s="965"/>
      <c r="K866" s="965"/>
      <c r="L866" s="965"/>
      <c r="M866" s="965"/>
      <c r="N866" s="965"/>
      <c r="O866" s="965"/>
      <c r="P866" s="965"/>
      <c r="Q866" s="965"/>
      <c r="R866" s="965"/>
      <c r="S866" s="965"/>
      <c r="T866" s="965"/>
      <c r="U866" s="965"/>
      <c r="V866" s="965"/>
      <c r="W866" s="965"/>
      <c r="X866" s="965"/>
      <c r="Y866" s="965"/>
      <c r="Z866" s="965"/>
    </row>
    <row r="867">
      <c r="A867" s="965"/>
      <c r="B867" s="965"/>
      <c r="C867" s="965"/>
      <c r="D867" s="965"/>
      <c r="E867" s="965"/>
      <c r="F867" s="965"/>
      <c r="G867" s="965"/>
      <c r="H867" s="965"/>
      <c r="I867" s="965"/>
      <c r="J867" s="965"/>
      <c r="K867" s="965"/>
      <c r="L867" s="965"/>
      <c r="M867" s="965"/>
      <c r="N867" s="965"/>
      <c r="O867" s="965"/>
      <c r="P867" s="965"/>
      <c r="Q867" s="965"/>
      <c r="R867" s="965"/>
      <c r="S867" s="965"/>
      <c r="T867" s="965"/>
      <c r="U867" s="965"/>
      <c r="V867" s="965"/>
      <c r="W867" s="965"/>
      <c r="X867" s="965"/>
      <c r="Y867" s="965"/>
      <c r="Z867" s="965"/>
    </row>
    <row r="868">
      <c r="A868" s="965"/>
      <c r="B868" s="965"/>
      <c r="C868" s="965"/>
      <c r="D868" s="965"/>
      <c r="E868" s="965"/>
      <c r="F868" s="965"/>
      <c r="G868" s="965"/>
      <c r="H868" s="965"/>
      <c r="I868" s="965"/>
      <c r="J868" s="965"/>
      <c r="K868" s="965"/>
      <c r="L868" s="965"/>
      <c r="M868" s="965"/>
      <c r="N868" s="965"/>
      <c r="O868" s="965"/>
      <c r="P868" s="965"/>
      <c r="Q868" s="965"/>
      <c r="R868" s="965"/>
      <c r="S868" s="965"/>
      <c r="T868" s="965"/>
      <c r="U868" s="965"/>
      <c r="V868" s="965"/>
      <c r="W868" s="965"/>
      <c r="X868" s="965"/>
      <c r="Y868" s="965"/>
      <c r="Z868" s="965"/>
    </row>
    <row r="869">
      <c r="A869" s="965"/>
      <c r="B869" s="965"/>
      <c r="C869" s="965"/>
      <c r="D869" s="965"/>
      <c r="E869" s="965"/>
      <c r="F869" s="965"/>
      <c r="G869" s="965"/>
      <c r="H869" s="965"/>
      <c r="I869" s="965"/>
      <c r="J869" s="965"/>
      <c r="K869" s="965"/>
      <c r="L869" s="965"/>
      <c r="M869" s="965"/>
      <c r="N869" s="965"/>
      <c r="O869" s="965"/>
      <c r="P869" s="965"/>
      <c r="Q869" s="965"/>
      <c r="R869" s="965"/>
      <c r="S869" s="965"/>
      <c r="T869" s="965"/>
      <c r="U869" s="965"/>
      <c r="V869" s="965"/>
      <c r="W869" s="965"/>
      <c r="X869" s="965"/>
      <c r="Y869" s="965"/>
      <c r="Z869" s="965"/>
    </row>
    <row r="870">
      <c r="A870" s="965"/>
      <c r="B870" s="965"/>
      <c r="C870" s="965"/>
      <c r="D870" s="965"/>
      <c r="E870" s="965"/>
      <c r="F870" s="965"/>
      <c r="G870" s="965"/>
      <c r="H870" s="965"/>
      <c r="I870" s="965"/>
      <c r="J870" s="965"/>
      <c r="K870" s="965"/>
      <c r="L870" s="965"/>
      <c r="M870" s="965"/>
      <c r="N870" s="965"/>
      <c r="O870" s="965"/>
      <c r="P870" s="965"/>
      <c r="Q870" s="965"/>
      <c r="R870" s="965"/>
      <c r="S870" s="965"/>
      <c r="T870" s="965"/>
      <c r="U870" s="965"/>
      <c r="V870" s="965"/>
      <c r="W870" s="965"/>
      <c r="X870" s="965"/>
      <c r="Y870" s="965"/>
      <c r="Z870" s="965"/>
    </row>
    <row r="871">
      <c r="A871" s="965"/>
      <c r="B871" s="965"/>
      <c r="C871" s="965"/>
      <c r="D871" s="965"/>
      <c r="E871" s="965"/>
      <c r="F871" s="965"/>
      <c r="G871" s="965"/>
      <c r="H871" s="965"/>
      <c r="I871" s="965"/>
      <c r="J871" s="965"/>
      <c r="K871" s="965"/>
      <c r="L871" s="965"/>
      <c r="M871" s="965"/>
      <c r="N871" s="965"/>
      <c r="O871" s="965"/>
      <c r="P871" s="965"/>
      <c r="Q871" s="965"/>
      <c r="R871" s="965"/>
      <c r="S871" s="965"/>
      <c r="T871" s="965"/>
      <c r="U871" s="965"/>
      <c r="V871" s="965"/>
      <c r="W871" s="965"/>
      <c r="X871" s="965"/>
      <c r="Y871" s="965"/>
      <c r="Z871" s="965"/>
    </row>
    <row r="872">
      <c r="A872" s="965"/>
      <c r="B872" s="965"/>
      <c r="C872" s="965"/>
      <c r="D872" s="965"/>
      <c r="E872" s="965"/>
      <c r="F872" s="965"/>
      <c r="G872" s="965"/>
      <c r="H872" s="965"/>
      <c r="I872" s="965"/>
      <c r="J872" s="965"/>
      <c r="K872" s="965"/>
      <c r="L872" s="965"/>
      <c r="M872" s="965"/>
      <c r="N872" s="965"/>
      <c r="O872" s="965"/>
      <c r="P872" s="965"/>
      <c r="Q872" s="965"/>
      <c r="R872" s="965"/>
      <c r="S872" s="965"/>
      <c r="T872" s="965"/>
      <c r="U872" s="965"/>
      <c r="V872" s="965"/>
      <c r="W872" s="965"/>
      <c r="X872" s="965"/>
      <c r="Y872" s="965"/>
      <c r="Z872" s="965"/>
    </row>
    <row r="873">
      <c r="A873" s="965"/>
      <c r="B873" s="965"/>
      <c r="C873" s="965"/>
      <c r="D873" s="965"/>
      <c r="E873" s="965"/>
      <c r="F873" s="965"/>
      <c r="G873" s="965"/>
      <c r="H873" s="965"/>
      <c r="I873" s="965"/>
      <c r="J873" s="965"/>
      <c r="K873" s="965"/>
      <c r="L873" s="965"/>
      <c r="M873" s="965"/>
      <c r="N873" s="965"/>
      <c r="O873" s="965"/>
      <c r="P873" s="965"/>
      <c r="Q873" s="965"/>
      <c r="R873" s="965"/>
      <c r="S873" s="965"/>
      <c r="T873" s="965"/>
      <c r="U873" s="965"/>
      <c r="V873" s="965"/>
      <c r="W873" s="965"/>
      <c r="X873" s="965"/>
      <c r="Y873" s="965"/>
      <c r="Z873" s="965"/>
    </row>
    <row r="874">
      <c r="A874" s="965"/>
      <c r="B874" s="965"/>
      <c r="C874" s="965"/>
      <c r="D874" s="965"/>
      <c r="E874" s="965"/>
      <c r="F874" s="965"/>
      <c r="G874" s="965"/>
      <c r="H874" s="965"/>
      <c r="I874" s="965"/>
      <c r="J874" s="965"/>
      <c r="K874" s="965"/>
      <c r="L874" s="965"/>
      <c r="M874" s="965"/>
      <c r="N874" s="965"/>
      <c r="O874" s="965"/>
      <c r="P874" s="965"/>
      <c r="Q874" s="965"/>
      <c r="R874" s="965"/>
      <c r="S874" s="965"/>
      <c r="T874" s="965"/>
      <c r="U874" s="965"/>
      <c r="V874" s="965"/>
      <c r="W874" s="965"/>
      <c r="X874" s="965"/>
      <c r="Y874" s="965"/>
      <c r="Z874" s="965"/>
    </row>
    <row r="875">
      <c r="A875" s="965"/>
      <c r="B875" s="965"/>
      <c r="C875" s="965"/>
      <c r="D875" s="965"/>
      <c r="E875" s="965"/>
      <c r="F875" s="965"/>
      <c r="G875" s="965"/>
      <c r="H875" s="965"/>
      <c r="I875" s="965"/>
      <c r="J875" s="965"/>
      <c r="K875" s="965"/>
      <c r="L875" s="965"/>
      <c r="M875" s="965"/>
      <c r="N875" s="965"/>
      <c r="O875" s="965"/>
      <c r="P875" s="965"/>
      <c r="Q875" s="965"/>
      <c r="R875" s="965"/>
      <c r="S875" s="965"/>
      <c r="T875" s="965"/>
      <c r="U875" s="965"/>
      <c r="V875" s="965"/>
      <c r="W875" s="965"/>
      <c r="X875" s="965"/>
      <c r="Y875" s="965"/>
      <c r="Z875" s="965"/>
    </row>
    <row r="876">
      <c r="A876" s="965"/>
      <c r="B876" s="965"/>
      <c r="C876" s="965"/>
      <c r="D876" s="965"/>
      <c r="E876" s="965"/>
      <c r="F876" s="965"/>
      <c r="G876" s="965"/>
      <c r="H876" s="965"/>
      <c r="I876" s="965"/>
      <c r="J876" s="965"/>
      <c r="K876" s="965"/>
      <c r="L876" s="965"/>
      <c r="M876" s="965"/>
      <c r="N876" s="965"/>
      <c r="O876" s="965"/>
      <c r="P876" s="965"/>
      <c r="Q876" s="965"/>
      <c r="R876" s="965"/>
      <c r="S876" s="965"/>
      <c r="T876" s="965"/>
      <c r="U876" s="965"/>
      <c r="V876" s="965"/>
      <c r="W876" s="965"/>
      <c r="X876" s="965"/>
      <c r="Y876" s="965"/>
      <c r="Z876" s="965"/>
    </row>
    <row r="877">
      <c r="A877" s="965"/>
      <c r="B877" s="965"/>
      <c r="C877" s="965"/>
      <c r="D877" s="965"/>
      <c r="E877" s="965"/>
      <c r="F877" s="965"/>
      <c r="G877" s="965"/>
      <c r="H877" s="965"/>
      <c r="I877" s="965"/>
      <c r="J877" s="965"/>
      <c r="K877" s="965"/>
      <c r="L877" s="965"/>
      <c r="M877" s="965"/>
      <c r="N877" s="965"/>
      <c r="O877" s="965"/>
      <c r="P877" s="965"/>
      <c r="Q877" s="965"/>
      <c r="R877" s="965"/>
      <c r="S877" s="965"/>
      <c r="T877" s="965"/>
      <c r="U877" s="965"/>
      <c r="V877" s="965"/>
      <c r="W877" s="965"/>
      <c r="X877" s="965"/>
      <c r="Y877" s="965"/>
      <c r="Z877" s="965"/>
    </row>
    <row r="878">
      <c r="A878" s="965"/>
      <c r="B878" s="965"/>
      <c r="C878" s="965"/>
      <c r="D878" s="965"/>
      <c r="E878" s="965"/>
      <c r="F878" s="965"/>
      <c r="G878" s="965"/>
      <c r="H878" s="965"/>
      <c r="I878" s="965"/>
      <c r="J878" s="965"/>
      <c r="K878" s="965"/>
      <c r="L878" s="965"/>
      <c r="M878" s="965"/>
      <c r="N878" s="965"/>
      <c r="O878" s="965"/>
      <c r="P878" s="965"/>
      <c r="Q878" s="965"/>
      <c r="R878" s="965"/>
      <c r="S878" s="965"/>
      <c r="T878" s="965"/>
      <c r="U878" s="965"/>
      <c r="V878" s="965"/>
      <c r="W878" s="965"/>
      <c r="X878" s="965"/>
      <c r="Y878" s="965"/>
      <c r="Z878" s="965"/>
    </row>
    <row r="879">
      <c r="A879" s="965"/>
      <c r="B879" s="965"/>
      <c r="C879" s="965"/>
      <c r="D879" s="965"/>
      <c r="E879" s="965"/>
      <c r="F879" s="965"/>
      <c r="G879" s="965"/>
      <c r="H879" s="965"/>
      <c r="I879" s="965"/>
      <c r="J879" s="965"/>
      <c r="K879" s="965"/>
      <c r="L879" s="965"/>
      <c r="M879" s="965"/>
      <c r="N879" s="965"/>
      <c r="O879" s="965"/>
      <c r="P879" s="965"/>
      <c r="Q879" s="965"/>
      <c r="R879" s="965"/>
      <c r="S879" s="965"/>
      <c r="T879" s="965"/>
      <c r="U879" s="965"/>
      <c r="V879" s="965"/>
      <c r="W879" s="965"/>
      <c r="X879" s="965"/>
      <c r="Y879" s="965"/>
      <c r="Z879" s="965"/>
    </row>
    <row r="880">
      <c r="A880" s="965"/>
      <c r="B880" s="965"/>
      <c r="C880" s="965"/>
      <c r="D880" s="965"/>
      <c r="E880" s="965"/>
      <c r="F880" s="965"/>
      <c r="G880" s="965"/>
      <c r="H880" s="965"/>
      <c r="I880" s="965"/>
      <c r="J880" s="965"/>
      <c r="K880" s="965"/>
      <c r="L880" s="965"/>
      <c r="M880" s="965"/>
      <c r="N880" s="965"/>
      <c r="O880" s="965"/>
      <c r="P880" s="965"/>
      <c r="Q880" s="965"/>
      <c r="R880" s="965"/>
      <c r="S880" s="965"/>
      <c r="T880" s="965"/>
      <c r="U880" s="965"/>
      <c r="V880" s="965"/>
      <c r="W880" s="965"/>
      <c r="X880" s="965"/>
      <c r="Y880" s="965"/>
      <c r="Z880" s="965"/>
    </row>
    <row r="881">
      <c r="A881" s="965"/>
      <c r="B881" s="965"/>
      <c r="C881" s="965"/>
      <c r="D881" s="965"/>
      <c r="E881" s="965"/>
      <c r="F881" s="965"/>
      <c r="G881" s="965"/>
      <c r="H881" s="965"/>
      <c r="I881" s="965"/>
      <c r="J881" s="965"/>
      <c r="K881" s="965"/>
      <c r="L881" s="965"/>
      <c r="M881" s="965"/>
      <c r="N881" s="965"/>
      <c r="O881" s="965"/>
      <c r="P881" s="965"/>
      <c r="Q881" s="965"/>
      <c r="R881" s="965"/>
      <c r="S881" s="965"/>
      <c r="T881" s="965"/>
      <c r="U881" s="965"/>
      <c r="V881" s="965"/>
      <c r="W881" s="965"/>
      <c r="X881" s="965"/>
      <c r="Y881" s="965"/>
      <c r="Z881" s="965"/>
    </row>
    <row r="882">
      <c r="A882" s="965"/>
      <c r="B882" s="965"/>
      <c r="C882" s="965"/>
      <c r="D882" s="965"/>
      <c r="E882" s="965"/>
      <c r="F882" s="965"/>
      <c r="G882" s="965"/>
      <c r="H882" s="965"/>
      <c r="I882" s="965"/>
      <c r="J882" s="965"/>
      <c r="K882" s="965"/>
      <c r="L882" s="965"/>
      <c r="M882" s="965"/>
      <c r="N882" s="965"/>
      <c r="O882" s="965"/>
      <c r="P882" s="965"/>
      <c r="Q882" s="965"/>
      <c r="R882" s="965"/>
      <c r="S882" s="965"/>
      <c r="T882" s="965"/>
      <c r="U882" s="965"/>
      <c r="V882" s="965"/>
      <c r="W882" s="965"/>
      <c r="X882" s="965"/>
      <c r="Y882" s="965"/>
      <c r="Z882" s="965"/>
    </row>
    <row r="883">
      <c r="A883" s="965"/>
      <c r="B883" s="965"/>
      <c r="C883" s="965"/>
      <c r="D883" s="965"/>
      <c r="E883" s="965"/>
      <c r="F883" s="965"/>
      <c r="G883" s="965"/>
      <c r="H883" s="965"/>
      <c r="I883" s="965"/>
      <c r="J883" s="965"/>
      <c r="K883" s="965"/>
      <c r="L883" s="965"/>
      <c r="M883" s="965"/>
      <c r="N883" s="965"/>
      <c r="O883" s="965"/>
      <c r="P883" s="965"/>
      <c r="Q883" s="965"/>
      <c r="R883" s="965"/>
      <c r="S883" s="965"/>
      <c r="T883" s="965"/>
      <c r="U883" s="965"/>
      <c r="V883" s="965"/>
      <c r="W883" s="965"/>
      <c r="X883" s="965"/>
      <c r="Y883" s="965"/>
      <c r="Z883" s="965"/>
    </row>
    <row r="884">
      <c r="A884" s="965"/>
      <c r="B884" s="965"/>
      <c r="C884" s="965"/>
      <c r="D884" s="965"/>
      <c r="E884" s="965"/>
      <c r="F884" s="965"/>
      <c r="G884" s="965"/>
      <c r="H884" s="965"/>
      <c r="I884" s="965"/>
      <c r="J884" s="965"/>
      <c r="K884" s="965"/>
      <c r="L884" s="965"/>
      <c r="M884" s="965"/>
      <c r="N884" s="965"/>
      <c r="O884" s="965"/>
      <c r="P884" s="965"/>
      <c r="Q884" s="965"/>
      <c r="R884" s="965"/>
      <c r="S884" s="965"/>
      <c r="T884" s="965"/>
      <c r="U884" s="965"/>
      <c r="V884" s="965"/>
      <c r="W884" s="965"/>
      <c r="X884" s="965"/>
      <c r="Y884" s="965"/>
      <c r="Z884" s="965"/>
    </row>
    <row r="885">
      <c r="A885" s="965"/>
      <c r="B885" s="965"/>
      <c r="C885" s="965"/>
      <c r="D885" s="965"/>
      <c r="E885" s="965"/>
      <c r="F885" s="965"/>
      <c r="G885" s="965"/>
      <c r="H885" s="965"/>
      <c r="I885" s="965"/>
      <c r="J885" s="965"/>
      <c r="K885" s="965"/>
      <c r="L885" s="965"/>
      <c r="M885" s="965"/>
      <c r="N885" s="965"/>
      <c r="O885" s="965"/>
      <c r="P885" s="965"/>
      <c r="Q885" s="965"/>
      <c r="R885" s="965"/>
      <c r="S885" s="965"/>
      <c r="T885" s="965"/>
      <c r="U885" s="965"/>
      <c r="V885" s="965"/>
      <c r="W885" s="965"/>
      <c r="X885" s="965"/>
      <c r="Y885" s="965"/>
      <c r="Z885" s="965"/>
    </row>
    <row r="886">
      <c r="A886" s="965"/>
      <c r="B886" s="965"/>
      <c r="C886" s="965"/>
      <c r="D886" s="965"/>
      <c r="E886" s="965"/>
      <c r="F886" s="965"/>
      <c r="G886" s="965"/>
      <c r="H886" s="965"/>
      <c r="I886" s="965"/>
      <c r="J886" s="965"/>
      <c r="K886" s="965"/>
      <c r="L886" s="965"/>
      <c r="M886" s="965"/>
      <c r="N886" s="965"/>
      <c r="O886" s="965"/>
      <c r="P886" s="965"/>
      <c r="Q886" s="965"/>
      <c r="R886" s="965"/>
      <c r="S886" s="965"/>
      <c r="T886" s="965"/>
      <c r="U886" s="965"/>
      <c r="V886" s="965"/>
      <c r="W886" s="965"/>
      <c r="X886" s="965"/>
      <c r="Y886" s="965"/>
      <c r="Z886" s="965"/>
    </row>
    <row r="887">
      <c r="A887" s="965"/>
      <c r="B887" s="965"/>
      <c r="C887" s="965"/>
      <c r="D887" s="965"/>
      <c r="E887" s="965"/>
      <c r="F887" s="965"/>
      <c r="G887" s="965"/>
      <c r="H887" s="965"/>
      <c r="I887" s="965"/>
      <c r="J887" s="965"/>
      <c r="K887" s="965"/>
      <c r="L887" s="965"/>
      <c r="M887" s="965"/>
      <c r="N887" s="965"/>
      <c r="O887" s="965"/>
      <c r="P887" s="965"/>
      <c r="Q887" s="965"/>
      <c r="R887" s="965"/>
      <c r="S887" s="965"/>
      <c r="T887" s="965"/>
      <c r="U887" s="965"/>
      <c r="V887" s="965"/>
      <c r="W887" s="965"/>
      <c r="X887" s="965"/>
      <c r="Y887" s="965"/>
      <c r="Z887" s="965"/>
    </row>
    <row r="888">
      <c r="A888" s="965"/>
      <c r="B888" s="965"/>
      <c r="C888" s="965"/>
      <c r="D888" s="965"/>
      <c r="E888" s="965"/>
      <c r="F888" s="965"/>
      <c r="G888" s="965"/>
      <c r="H888" s="965"/>
      <c r="I888" s="965"/>
      <c r="J888" s="965"/>
      <c r="K888" s="965"/>
      <c r="L888" s="965"/>
      <c r="M888" s="965"/>
      <c r="N888" s="965"/>
      <c r="O888" s="965"/>
      <c r="P888" s="965"/>
      <c r="Q888" s="965"/>
      <c r="R888" s="965"/>
      <c r="S888" s="965"/>
      <c r="T888" s="965"/>
      <c r="U888" s="965"/>
      <c r="V888" s="965"/>
      <c r="W888" s="965"/>
      <c r="X888" s="965"/>
      <c r="Y888" s="965"/>
      <c r="Z888" s="965"/>
    </row>
    <row r="889">
      <c r="A889" s="965"/>
      <c r="B889" s="965"/>
      <c r="C889" s="965"/>
      <c r="D889" s="965"/>
      <c r="E889" s="965"/>
      <c r="F889" s="965"/>
      <c r="G889" s="965"/>
      <c r="H889" s="965"/>
      <c r="I889" s="965"/>
      <c r="J889" s="965"/>
      <c r="K889" s="965"/>
      <c r="L889" s="965"/>
      <c r="M889" s="965"/>
      <c r="N889" s="965"/>
      <c r="O889" s="965"/>
      <c r="P889" s="965"/>
      <c r="Q889" s="965"/>
      <c r="R889" s="965"/>
      <c r="S889" s="965"/>
      <c r="T889" s="965"/>
      <c r="U889" s="965"/>
      <c r="V889" s="965"/>
      <c r="W889" s="965"/>
      <c r="X889" s="965"/>
      <c r="Y889" s="965"/>
      <c r="Z889" s="965"/>
    </row>
    <row r="890">
      <c r="A890" s="965"/>
      <c r="B890" s="965"/>
      <c r="C890" s="965"/>
      <c r="D890" s="965"/>
      <c r="E890" s="965"/>
      <c r="F890" s="965"/>
      <c r="G890" s="965"/>
      <c r="H890" s="965"/>
      <c r="I890" s="965"/>
      <c r="J890" s="965"/>
      <c r="K890" s="965"/>
      <c r="L890" s="965"/>
      <c r="M890" s="965"/>
      <c r="N890" s="965"/>
      <c r="O890" s="965"/>
      <c r="P890" s="965"/>
      <c r="Q890" s="965"/>
      <c r="R890" s="965"/>
      <c r="S890" s="965"/>
      <c r="T890" s="965"/>
      <c r="U890" s="965"/>
      <c r="V890" s="965"/>
      <c r="W890" s="965"/>
      <c r="X890" s="965"/>
      <c r="Y890" s="965"/>
      <c r="Z890" s="965"/>
    </row>
    <row r="891">
      <c r="A891" s="965"/>
      <c r="B891" s="965"/>
      <c r="C891" s="965"/>
      <c r="D891" s="965"/>
      <c r="E891" s="965"/>
      <c r="F891" s="965"/>
      <c r="G891" s="965"/>
      <c r="H891" s="965"/>
      <c r="I891" s="965"/>
      <c r="J891" s="965"/>
      <c r="K891" s="965"/>
      <c r="L891" s="965"/>
      <c r="M891" s="965"/>
      <c r="N891" s="965"/>
      <c r="O891" s="965"/>
      <c r="P891" s="965"/>
      <c r="Q891" s="965"/>
      <c r="R891" s="965"/>
      <c r="S891" s="965"/>
      <c r="T891" s="965"/>
      <c r="U891" s="965"/>
      <c r="V891" s="965"/>
      <c r="W891" s="965"/>
      <c r="X891" s="965"/>
      <c r="Y891" s="965"/>
      <c r="Z891" s="965"/>
    </row>
    <row r="892">
      <c r="A892" s="965"/>
      <c r="B892" s="965"/>
      <c r="C892" s="965"/>
      <c r="D892" s="965"/>
      <c r="E892" s="965"/>
      <c r="F892" s="965"/>
      <c r="G892" s="965"/>
      <c r="H892" s="965"/>
      <c r="I892" s="965"/>
      <c r="J892" s="965"/>
      <c r="K892" s="965"/>
      <c r="L892" s="965"/>
      <c r="M892" s="965"/>
      <c r="N892" s="965"/>
      <c r="O892" s="965"/>
      <c r="P892" s="965"/>
      <c r="Q892" s="965"/>
      <c r="R892" s="965"/>
      <c r="S892" s="965"/>
      <c r="T892" s="965"/>
      <c r="U892" s="965"/>
      <c r="V892" s="965"/>
      <c r="W892" s="965"/>
      <c r="X892" s="965"/>
      <c r="Y892" s="965"/>
      <c r="Z892" s="965"/>
    </row>
    <row r="893">
      <c r="A893" s="965"/>
      <c r="B893" s="965"/>
      <c r="C893" s="965"/>
      <c r="D893" s="965"/>
      <c r="E893" s="965"/>
      <c r="F893" s="965"/>
      <c r="G893" s="965"/>
      <c r="H893" s="965"/>
      <c r="I893" s="965"/>
      <c r="J893" s="965"/>
      <c r="K893" s="965"/>
      <c r="L893" s="965"/>
      <c r="M893" s="965"/>
      <c r="N893" s="965"/>
      <c r="O893" s="965"/>
      <c r="P893" s="965"/>
      <c r="Q893" s="965"/>
      <c r="R893" s="965"/>
      <c r="S893" s="965"/>
      <c r="T893" s="965"/>
      <c r="U893" s="965"/>
      <c r="V893" s="965"/>
      <c r="W893" s="965"/>
      <c r="X893" s="965"/>
      <c r="Y893" s="965"/>
      <c r="Z893" s="965"/>
    </row>
    <row r="894">
      <c r="A894" s="965"/>
      <c r="B894" s="965"/>
      <c r="C894" s="965"/>
      <c r="D894" s="965"/>
      <c r="E894" s="965"/>
      <c r="F894" s="965"/>
      <c r="G894" s="965"/>
      <c r="H894" s="965"/>
      <c r="I894" s="965"/>
      <c r="J894" s="965"/>
      <c r="K894" s="965"/>
      <c r="L894" s="965"/>
      <c r="M894" s="965"/>
      <c r="N894" s="965"/>
      <c r="O894" s="965"/>
      <c r="P894" s="965"/>
      <c r="Q894" s="965"/>
      <c r="R894" s="965"/>
      <c r="S894" s="965"/>
      <c r="T894" s="965"/>
      <c r="U894" s="965"/>
      <c r="V894" s="965"/>
      <c r="W894" s="965"/>
      <c r="X894" s="965"/>
      <c r="Y894" s="965"/>
      <c r="Z894" s="965"/>
    </row>
    <row r="895">
      <c r="A895" s="965"/>
      <c r="B895" s="965"/>
      <c r="C895" s="965"/>
      <c r="D895" s="965"/>
      <c r="E895" s="965"/>
      <c r="F895" s="965"/>
      <c r="G895" s="965"/>
      <c r="H895" s="965"/>
      <c r="I895" s="965"/>
      <c r="J895" s="965"/>
      <c r="K895" s="965"/>
      <c r="L895" s="965"/>
      <c r="M895" s="965"/>
      <c r="N895" s="965"/>
      <c r="O895" s="965"/>
      <c r="P895" s="965"/>
      <c r="Q895" s="965"/>
      <c r="R895" s="965"/>
      <c r="S895" s="965"/>
      <c r="T895" s="965"/>
      <c r="U895" s="965"/>
      <c r="V895" s="965"/>
      <c r="W895" s="965"/>
      <c r="X895" s="965"/>
      <c r="Y895" s="965"/>
      <c r="Z895" s="965"/>
    </row>
    <row r="896">
      <c r="A896" s="965"/>
      <c r="B896" s="965"/>
      <c r="C896" s="965"/>
      <c r="D896" s="965"/>
      <c r="E896" s="965"/>
      <c r="F896" s="965"/>
      <c r="G896" s="965"/>
      <c r="H896" s="965"/>
      <c r="I896" s="965"/>
      <c r="J896" s="965"/>
      <c r="K896" s="965"/>
      <c r="L896" s="965"/>
      <c r="M896" s="965"/>
      <c r="N896" s="965"/>
      <c r="O896" s="965"/>
      <c r="P896" s="965"/>
      <c r="Q896" s="965"/>
      <c r="R896" s="965"/>
      <c r="S896" s="965"/>
      <c r="T896" s="965"/>
      <c r="U896" s="965"/>
      <c r="V896" s="965"/>
      <c r="W896" s="965"/>
      <c r="X896" s="965"/>
      <c r="Y896" s="965"/>
      <c r="Z896" s="965"/>
    </row>
    <row r="897">
      <c r="A897" s="965"/>
      <c r="B897" s="965"/>
      <c r="C897" s="965"/>
      <c r="D897" s="965"/>
      <c r="E897" s="965"/>
      <c r="F897" s="965"/>
      <c r="G897" s="965"/>
      <c r="H897" s="965"/>
      <c r="I897" s="965"/>
      <c r="J897" s="965"/>
      <c r="K897" s="965"/>
      <c r="L897" s="965"/>
      <c r="M897" s="965"/>
      <c r="N897" s="965"/>
      <c r="O897" s="965"/>
      <c r="P897" s="965"/>
      <c r="Q897" s="965"/>
      <c r="R897" s="965"/>
      <c r="S897" s="965"/>
      <c r="T897" s="965"/>
      <c r="U897" s="965"/>
      <c r="V897" s="965"/>
      <c r="W897" s="965"/>
      <c r="X897" s="965"/>
      <c r="Y897" s="965"/>
      <c r="Z897" s="965"/>
    </row>
    <row r="898">
      <c r="A898" s="965"/>
      <c r="B898" s="965"/>
      <c r="C898" s="965"/>
      <c r="D898" s="965"/>
      <c r="E898" s="965"/>
      <c r="F898" s="965"/>
      <c r="G898" s="965"/>
      <c r="H898" s="965"/>
      <c r="I898" s="965"/>
      <c r="J898" s="965"/>
      <c r="K898" s="965"/>
      <c r="L898" s="965"/>
      <c r="M898" s="965"/>
      <c r="N898" s="965"/>
      <c r="O898" s="965"/>
      <c r="P898" s="965"/>
      <c r="Q898" s="965"/>
      <c r="R898" s="965"/>
      <c r="S898" s="965"/>
      <c r="T898" s="965"/>
      <c r="U898" s="965"/>
      <c r="V898" s="965"/>
      <c r="W898" s="965"/>
      <c r="X898" s="965"/>
      <c r="Y898" s="965"/>
      <c r="Z898" s="965"/>
    </row>
    <row r="899">
      <c r="A899" s="965"/>
      <c r="B899" s="965"/>
      <c r="C899" s="965"/>
      <c r="D899" s="965"/>
      <c r="E899" s="965"/>
      <c r="F899" s="965"/>
      <c r="G899" s="965"/>
      <c r="H899" s="965"/>
      <c r="I899" s="965"/>
      <c r="J899" s="965"/>
      <c r="K899" s="965"/>
      <c r="L899" s="965"/>
      <c r="M899" s="965"/>
      <c r="N899" s="965"/>
      <c r="O899" s="965"/>
      <c r="P899" s="965"/>
      <c r="Q899" s="965"/>
      <c r="R899" s="965"/>
      <c r="S899" s="965"/>
      <c r="T899" s="965"/>
      <c r="U899" s="965"/>
      <c r="V899" s="965"/>
      <c r="W899" s="965"/>
      <c r="X899" s="965"/>
      <c r="Y899" s="965"/>
      <c r="Z899" s="965"/>
    </row>
    <row r="900">
      <c r="A900" s="965"/>
      <c r="B900" s="965"/>
      <c r="C900" s="965"/>
      <c r="D900" s="965"/>
      <c r="E900" s="965"/>
      <c r="F900" s="965"/>
      <c r="G900" s="965"/>
      <c r="H900" s="965"/>
      <c r="I900" s="965"/>
      <c r="J900" s="965"/>
      <c r="K900" s="965"/>
      <c r="L900" s="965"/>
      <c r="M900" s="965"/>
      <c r="N900" s="965"/>
      <c r="O900" s="965"/>
      <c r="P900" s="965"/>
      <c r="Q900" s="965"/>
      <c r="R900" s="965"/>
      <c r="S900" s="965"/>
      <c r="T900" s="965"/>
      <c r="U900" s="965"/>
      <c r="V900" s="965"/>
      <c r="W900" s="965"/>
      <c r="X900" s="965"/>
      <c r="Y900" s="965"/>
      <c r="Z900" s="965"/>
    </row>
    <row r="901">
      <c r="A901" s="965"/>
      <c r="B901" s="965"/>
      <c r="C901" s="965"/>
      <c r="D901" s="965"/>
      <c r="E901" s="965"/>
      <c r="F901" s="965"/>
      <c r="G901" s="965"/>
      <c r="H901" s="965"/>
      <c r="I901" s="965"/>
      <c r="J901" s="965"/>
      <c r="K901" s="965"/>
      <c r="L901" s="965"/>
      <c r="M901" s="965"/>
      <c r="N901" s="965"/>
      <c r="O901" s="965"/>
      <c r="P901" s="965"/>
      <c r="Q901" s="965"/>
      <c r="R901" s="965"/>
      <c r="S901" s="965"/>
      <c r="T901" s="965"/>
      <c r="U901" s="965"/>
      <c r="V901" s="965"/>
      <c r="W901" s="965"/>
      <c r="X901" s="965"/>
      <c r="Y901" s="965"/>
      <c r="Z901" s="965"/>
    </row>
    <row r="902">
      <c r="A902" s="965"/>
      <c r="B902" s="965"/>
      <c r="C902" s="965"/>
      <c r="D902" s="965"/>
      <c r="E902" s="965"/>
      <c r="F902" s="965"/>
      <c r="G902" s="965"/>
      <c r="H902" s="965"/>
      <c r="I902" s="965"/>
      <c r="J902" s="965"/>
      <c r="K902" s="965"/>
      <c r="L902" s="965"/>
      <c r="M902" s="965"/>
      <c r="N902" s="965"/>
      <c r="O902" s="965"/>
      <c r="P902" s="965"/>
      <c r="Q902" s="965"/>
      <c r="R902" s="965"/>
      <c r="S902" s="965"/>
      <c r="T902" s="965"/>
      <c r="U902" s="965"/>
      <c r="V902" s="965"/>
      <c r="W902" s="965"/>
      <c r="X902" s="965"/>
      <c r="Y902" s="965"/>
      <c r="Z902" s="965"/>
    </row>
    <row r="903">
      <c r="A903" s="965"/>
      <c r="B903" s="965"/>
      <c r="C903" s="965"/>
      <c r="D903" s="965"/>
      <c r="E903" s="965"/>
      <c r="F903" s="965"/>
      <c r="G903" s="965"/>
      <c r="H903" s="965"/>
      <c r="I903" s="965"/>
      <c r="J903" s="965"/>
      <c r="K903" s="965"/>
      <c r="L903" s="965"/>
      <c r="M903" s="965"/>
      <c r="N903" s="965"/>
      <c r="O903" s="965"/>
      <c r="P903" s="965"/>
      <c r="Q903" s="965"/>
      <c r="R903" s="965"/>
      <c r="S903" s="965"/>
      <c r="T903" s="965"/>
      <c r="U903" s="965"/>
      <c r="V903" s="965"/>
      <c r="W903" s="965"/>
      <c r="X903" s="965"/>
      <c r="Y903" s="965"/>
      <c r="Z903" s="965"/>
    </row>
    <row r="904">
      <c r="A904" s="965"/>
      <c r="B904" s="965"/>
      <c r="C904" s="965"/>
      <c r="D904" s="965"/>
      <c r="E904" s="965"/>
      <c r="F904" s="965"/>
      <c r="G904" s="965"/>
      <c r="H904" s="965"/>
      <c r="I904" s="965"/>
      <c r="J904" s="965"/>
      <c r="K904" s="965"/>
      <c r="L904" s="965"/>
      <c r="M904" s="965"/>
      <c r="N904" s="965"/>
      <c r="O904" s="965"/>
      <c r="P904" s="965"/>
      <c r="Q904" s="965"/>
      <c r="R904" s="965"/>
      <c r="S904" s="965"/>
      <c r="T904" s="965"/>
      <c r="U904" s="965"/>
      <c r="V904" s="965"/>
      <c r="W904" s="965"/>
      <c r="X904" s="965"/>
      <c r="Y904" s="965"/>
      <c r="Z904" s="965"/>
    </row>
    <row r="905">
      <c r="A905" s="965"/>
      <c r="B905" s="965"/>
      <c r="C905" s="965"/>
      <c r="D905" s="965"/>
      <c r="E905" s="965"/>
      <c r="F905" s="965"/>
      <c r="G905" s="965"/>
      <c r="H905" s="965"/>
      <c r="I905" s="965"/>
      <c r="J905" s="965"/>
      <c r="K905" s="965"/>
      <c r="L905" s="965"/>
      <c r="M905" s="965"/>
      <c r="N905" s="965"/>
      <c r="O905" s="965"/>
      <c r="P905" s="965"/>
      <c r="Q905" s="965"/>
      <c r="R905" s="965"/>
      <c r="S905" s="965"/>
      <c r="T905" s="965"/>
      <c r="U905" s="965"/>
      <c r="V905" s="965"/>
      <c r="W905" s="965"/>
      <c r="X905" s="965"/>
      <c r="Y905" s="965"/>
      <c r="Z905" s="965"/>
    </row>
    <row r="906">
      <c r="A906" s="965"/>
      <c r="B906" s="965"/>
      <c r="C906" s="965"/>
      <c r="D906" s="965"/>
      <c r="E906" s="965"/>
      <c r="F906" s="965"/>
      <c r="G906" s="965"/>
      <c r="H906" s="965"/>
      <c r="I906" s="965"/>
      <c r="J906" s="965"/>
      <c r="K906" s="965"/>
      <c r="L906" s="965"/>
      <c r="M906" s="965"/>
      <c r="N906" s="965"/>
      <c r="O906" s="965"/>
      <c r="P906" s="965"/>
      <c r="Q906" s="965"/>
      <c r="R906" s="965"/>
      <c r="S906" s="965"/>
      <c r="T906" s="965"/>
      <c r="U906" s="965"/>
      <c r="V906" s="965"/>
      <c r="W906" s="965"/>
      <c r="X906" s="965"/>
      <c r="Y906" s="965"/>
      <c r="Z906" s="965"/>
    </row>
    <row r="907">
      <c r="A907" s="965"/>
      <c r="B907" s="965"/>
      <c r="C907" s="965"/>
      <c r="D907" s="965"/>
      <c r="E907" s="965"/>
      <c r="F907" s="965"/>
      <c r="G907" s="965"/>
      <c r="H907" s="965"/>
      <c r="I907" s="965"/>
      <c r="J907" s="965"/>
      <c r="K907" s="965"/>
      <c r="L907" s="965"/>
      <c r="M907" s="965"/>
      <c r="N907" s="965"/>
      <c r="O907" s="965"/>
      <c r="P907" s="965"/>
      <c r="Q907" s="965"/>
      <c r="R907" s="965"/>
      <c r="S907" s="965"/>
      <c r="T907" s="965"/>
      <c r="U907" s="965"/>
      <c r="V907" s="965"/>
      <c r="W907" s="965"/>
      <c r="X907" s="965"/>
      <c r="Y907" s="965"/>
      <c r="Z907" s="965"/>
    </row>
    <row r="908">
      <c r="A908" s="965"/>
      <c r="B908" s="965"/>
      <c r="C908" s="965"/>
      <c r="D908" s="965"/>
      <c r="E908" s="965"/>
      <c r="F908" s="965"/>
      <c r="G908" s="965"/>
      <c r="H908" s="965"/>
      <c r="I908" s="965"/>
      <c r="J908" s="965"/>
      <c r="K908" s="965"/>
      <c r="L908" s="965"/>
      <c r="M908" s="965"/>
      <c r="N908" s="965"/>
      <c r="O908" s="965"/>
      <c r="P908" s="965"/>
      <c r="Q908" s="965"/>
      <c r="R908" s="965"/>
      <c r="S908" s="965"/>
      <c r="T908" s="965"/>
      <c r="U908" s="965"/>
      <c r="V908" s="965"/>
      <c r="W908" s="965"/>
      <c r="X908" s="965"/>
      <c r="Y908" s="965"/>
      <c r="Z908" s="965"/>
    </row>
    <row r="909">
      <c r="A909" s="965"/>
      <c r="B909" s="965"/>
      <c r="C909" s="965"/>
      <c r="D909" s="965"/>
      <c r="E909" s="965"/>
      <c r="F909" s="965"/>
      <c r="G909" s="965"/>
      <c r="H909" s="965"/>
      <c r="I909" s="965"/>
      <c r="J909" s="965"/>
      <c r="K909" s="965"/>
      <c r="L909" s="965"/>
      <c r="M909" s="965"/>
      <c r="N909" s="965"/>
      <c r="O909" s="965"/>
      <c r="P909" s="965"/>
      <c r="Q909" s="965"/>
      <c r="R909" s="965"/>
      <c r="S909" s="965"/>
      <c r="T909" s="965"/>
      <c r="U909" s="965"/>
      <c r="V909" s="965"/>
      <c r="W909" s="965"/>
      <c r="X909" s="965"/>
      <c r="Y909" s="965"/>
      <c r="Z909" s="965"/>
    </row>
    <row r="910">
      <c r="A910" s="965"/>
      <c r="B910" s="965"/>
      <c r="C910" s="965"/>
      <c r="D910" s="965"/>
      <c r="E910" s="965"/>
      <c r="F910" s="965"/>
      <c r="G910" s="965"/>
      <c r="H910" s="965"/>
      <c r="I910" s="965"/>
      <c r="J910" s="965"/>
      <c r="K910" s="965"/>
      <c r="L910" s="965"/>
      <c r="M910" s="965"/>
      <c r="N910" s="965"/>
      <c r="O910" s="965"/>
      <c r="P910" s="965"/>
      <c r="Q910" s="965"/>
      <c r="R910" s="965"/>
      <c r="S910" s="965"/>
      <c r="T910" s="965"/>
      <c r="U910" s="965"/>
      <c r="V910" s="965"/>
      <c r="W910" s="965"/>
      <c r="X910" s="965"/>
      <c r="Y910" s="965"/>
      <c r="Z910" s="965"/>
    </row>
    <row r="911">
      <c r="A911" s="965"/>
      <c r="B911" s="965"/>
      <c r="C911" s="965"/>
      <c r="D911" s="965"/>
      <c r="E911" s="965"/>
      <c r="F911" s="965"/>
      <c r="G911" s="965"/>
      <c r="H911" s="965"/>
      <c r="I911" s="965"/>
      <c r="J911" s="965"/>
      <c r="K911" s="965"/>
      <c r="L911" s="965"/>
      <c r="M911" s="965"/>
      <c r="N911" s="965"/>
      <c r="O911" s="965"/>
      <c r="P911" s="965"/>
      <c r="Q911" s="965"/>
      <c r="R911" s="965"/>
      <c r="S911" s="965"/>
      <c r="T911" s="965"/>
      <c r="U911" s="965"/>
      <c r="V911" s="965"/>
      <c r="W911" s="965"/>
      <c r="X911" s="965"/>
      <c r="Y911" s="965"/>
      <c r="Z911" s="965"/>
    </row>
    <row r="912">
      <c r="A912" s="965"/>
      <c r="B912" s="965"/>
      <c r="C912" s="965"/>
      <c r="D912" s="965"/>
      <c r="E912" s="965"/>
      <c r="F912" s="965"/>
      <c r="G912" s="965"/>
      <c r="H912" s="965"/>
      <c r="I912" s="965"/>
      <c r="J912" s="965"/>
      <c r="K912" s="965"/>
      <c r="L912" s="965"/>
      <c r="M912" s="965"/>
      <c r="N912" s="965"/>
      <c r="O912" s="965"/>
      <c r="P912" s="965"/>
      <c r="Q912" s="965"/>
      <c r="R912" s="965"/>
      <c r="S912" s="965"/>
      <c r="T912" s="965"/>
      <c r="U912" s="965"/>
      <c r="V912" s="965"/>
      <c r="W912" s="965"/>
      <c r="X912" s="965"/>
      <c r="Y912" s="965"/>
      <c r="Z912" s="965"/>
    </row>
    <row r="913">
      <c r="A913" s="965"/>
      <c r="B913" s="965"/>
      <c r="C913" s="965"/>
      <c r="D913" s="965"/>
      <c r="E913" s="965"/>
      <c r="F913" s="965"/>
      <c r="G913" s="965"/>
      <c r="H913" s="965"/>
      <c r="I913" s="965"/>
      <c r="J913" s="965"/>
      <c r="K913" s="965"/>
      <c r="L913" s="965"/>
      <c r="M913" s="965"/>
      <c r="N913" s="965"/>
      <c r="O913" s="965"/>
      <c r="P913" s="965"/>
      <c r="Q913" s="965"/>
      <c r="R913" s="965"/>
      <c r="S913" s="965"/>
      <c r="T913" s="965"/>
      <c r="U913" s="965"/>
      <c r="V913" s="965"/>
      <c r="W913" s="965"/>
      <c r="X913" s="965"/>
      <c r="Y913" s="965"/>
      <c r="Z913" s="965"/>
    </row>
    <row r="914">
      <c r="A914" s="965"/>
      <c r="B914" s="965"/>
      <c r="C914" s="965"/>
      <c r="D914" s="965"/>
      <c r="E914" s="965"/>
      <c r="F914" s="965"/>
      <c r="G914" s="965"/>
      <c r="H914" s="965"/>
      <c r="I914" s="965"/>
      <c r="J914" s="965"/>
      <c r="K914" s="965"/>
      <c r="L914" s="965"/>
      <c r="M914" s="965"/>
      <c r="N914" s="965"/>
      <c r="O914" s="965"/>
      <c r="P914" s="965"/>
      <c r="Q914" s="965"/>
      <c r="R914" s="965"/>
      <c r="S914" s="965"/>
      <c r="T914" s="965"/>
      <c r="U914" s="965"/>
      <c r="V914" s="965"/>
      <c r="W914" s="965"/>
      <c r="X914" s="965"/>
      <c r="Y914" s="965"/>
      <c r="Z914" s="965"/>
    </row>
    <row r="915">
      <c r="A915" s="965"/>
      <c r="B915" s="965"/>
      <c r="C915" s="965"/>
      <c r="D915" s="965"/>
      <c r="E915" s="965"/>
      <c r="F915" s="965"/>
      <c r="G915" s="965"/>
      <c r="H915" s="965"/>
      <c r="I915" s="965"/>
      <c r="J915" s="965"/>
      <c r="K915" s="965"/>
      <c r="L915" s="965"/>
      <c r="M915" s="965"/>
      <c r="N915" s="965"/>
      <c r="O915" s="965"/>
      <c r="P915" s="965"/>
      <c r="Q915" s="965"/>
      <c r="R915" s="965"/>
      <c r="S915" s="965"/>
      <c r="T915" s="965"/>
      <c r="U915" s="965"/>
      <c r="V915" s="965"/>
      <c r="W915" s="965"/>
      <c r="X915" s="965"/>
      <c r="Y915" s="965"/>
      <c r="Z915" s="965"/>
    </row>
    <row r="916">
      <c r="A916" s="965"/>
      <c r="B916" s="965"/>
      <c r="C916" s="965"/>
      <c r="D916" s="965"/>
      <c r="E916" s="965"/>
      <c r="F916" s="965"/>
      <c r="G916" s="965"/>
      <c r="H916" s="965"/>
      <c r="I916" s="965"/>
      <c r="J916" s="965"/>
      <c r="K916" s="965"/>
      <c r="L916" s="965"/>
      <c r="M916" s="965"/>
      <c r="N916" s="965"/>
      <c r="O916" s="965"/>
      <c r="P916" s="965"/>
      <c r="Q916" s="965"/>
      <c r="R916" s="965"/>
      <c r="S916" s="965"/>
      <c r="T916" s="965"/>
      <c r="U916" s="965"/>
      <c r="V916" s="965"/>
      <c r="W916" s="965"/>
      <c r="X916" s="965"/>
      <c r="Y916" s="965"/>
      <c r="Z916" s="965"/>
    </row>
    <row r="917">
      <c r="A917" s="965"/>
      <c r="B917" s="965"/>
      <c r="C917" s="965"/>
      <c r="D917" s="965"/>
      <c r="E917" s="965"/>
      <c r="F917" s="965"/>
      <c r="G917" s="965"/>
      <c r="H917" s="965"/>
      <c r="I917" s="965"/>
      <c r="J917" s="965"/>
      <c r="K917" s="965"/>
      <c r="L917" s="965"/>
      <c r="M917" s="965"/>
      <c r="N917" s="965"/>
      <c r="O917" s="965"/>
      <c r="P917" s="965"/>
      <c r="Q917" s="965"/>
      <c r="R917" s="965"/>
      <c r="S917" s="965"/>
      <c r="T917" s="965"/>
      <c r="U917" s="965"/>
      <c r="V917" s="965"/>
      <c r="W917" s="965"/>
      <c r="X917" s="965"/>
      <c r="Y917" s="965"/>
      <c r="Z917" s="965"/>
    </row>
    <row r="918">
      <c r="A918" s="965"/>
      <c r="B918" s="965"/>
      <c r="C918" s="965"/>
      <c r="D918" s="965"/>
      <c r="E918" s="965"/>
      <c r="F918" s="965"/>
      <c r="G918" s="965"/>
      <c r="H918" s="965"/>
      <c r="I918" s="965"/>
      <c r="J918" s="965"/>
      <c r="K918" s="965"/>
      <c r="L918" s="965"/>
      <c r="M918" s="965"/>
      <c r="N918" s="965"/>
      <c r="O918" s="965"/>
      <c r="P918" s="965"/>
      <c r="Q918" s="965"/>
      <c r="R918" s="965"/>
      <c r="S918" s="965"/>
      <c r="T918" s="965"/>
      <c r="U918" s="965"/>
      <c r="V918" s="965"/>
      <c r="W918" s="965"/>
      <c r="X918" s="965"/>
      <c r="Y918" s="965"/>
      <c r="Z918" s="965"/>
    </row>
    <row r="919">
      <c r="A919" s="965"/>
      <c r="B919" s="965"/>
      <c r="C919" s="965"/>
      <c r="D919" s="965"/>
      <c r="E919" s="965"/>
      <c r="F919" s="965"/>
      <c r="G919" s="965"/>
      <c r="H919" s="965"/>
      <c r="I919" s="965"/>
      <c r="J919" s="965"/>
      <c r="K919" s="965"/>
      <c r="L919" s="965"/>
      <c r="M919" s="965"/>
      <c r="N919" s="965"/>
      <c r="O919" s="965"/>
      <c r="P919" s="965"/>
      <c r="Q919" s="965"/>
      <c r="R919" s="965"/>
      <c r="S919" s="965"/>
      <c r="T919" s="965"/>
      <c r="U919" s="965"/>
      <c r="V919" s="965"/>
      <c r="W919" s="965"/>
      <c r="X919" s="965"/>
      <c r="Y919" s="965"/>
      <c r="Z919" s="965"/>
    </row>
    <row r="920">
      <c r="A920" s="965"/>
      <c r="B920" s="965"/>
      <c r="C920" s="965"/>
      <c r="D920" s="965"/>
      <c r="E920" s="965"/>
      <c r="F920" s="965"/>
      <c r="G920" s="965"/>
      <c r="H920" s="965"/>
      <c r="I920" s="965"/>
      <c r="J920" s="965"/>
      <c r="K920" s="965"/>
      <c r="L920" s="965"/>
      <c r="M920" s="965"/>
      <c r="N920" s="965"/>
      <c r="O920" s="965"/>
      <c r="P920" s="965"/>
      <c r="Q920" s="965"/>
      <c r="R920" s="965"/>
      <c r="S920" s="965"/>
      <c r="T920" s="965"/>
      <c r="U920" s="965"/>
      <c r="V920" s="965"/>
      <c r="W920" s="965"/>
      <c r="X920" s="965"/>
      <c r="Y920" s="965"/>
      <c r="Z920" s="965"/>
    </row>
    <row r="921">
      <c r="A921" s="965"/>
      <c r="B921" s="965"/>
      <c r="C921" s="965"/>
      <c r="D921" s="965"/>
      <c r="E921" s="965"/>
      <c r="F921" s="965"/>
      <c r="G921" s="965"/>
      <c r="H921" s="965"/>
      <c r="I921" s="965"/>
      <c r="J921" s="965"/>
      <c r="K921" s="965"/>
      <c r="L921" s="965"/>
      <c r="M921" s="965"/>
      <c r="N921" s="965"/>
      <c r="O921" s="965"/>
      <c r="P921" s="965"/>
      <c r="Q921" s="965"/>
      <c r="R921" s="965"/>
      <c r="S921" s="965"/>
      <c r="T921" s="965"/>
      <c r="U921" s="965"/>
      <c r="V921" s="965"/>
      <c r="W921" s="965"/>
      <c r="X921" s="965"/>
      <c r="Y921" s="965"/>
      <c r="Z921" s="965"/>
    </row>
    <row r="922">
      <c r="A922" s="965"/>
      <c r="B922" s="965"/>
      <c r="C922" s="965"/>
      <c r="D922" s="965"/>
      <c r="E922" s="965"/>
      <c r="F922" s="965"/>
      <c r="G922" s="965"/>
      <c r="H922" s="965"/>
      <c r="I922" s="965"/>
      <c r="J922" s="965"/>
      <c r="K922" s="965"/>
      <c r="L922" s="965"/>
      <c r="M922" s="965"/>
      <c r="N922" s="965"/>
      <c r="O922" s="965"/>
      <c r="P922" s="965"/>
      <c r="Q922" s="965"/>
      <c r="R922" s="965"/>
      <c r="S922" s="965"/>
      <c r="T922" s="965"/>
      <c r="U922" s="965"/>
      <c r="V922" s="965"/>
      <c r="W922" s="965"/>
      <c r="X922" s="965"/>
      <c r="Y922" s="965"/>
      <c r="Z922" s="965"/>
    </row>
    <row r="923">
      <c r="A923" s="965"/>
      <c r="B923" s="965"/>
      <c r="C923" s="965"/>
      <c r="D923" s="965"/>
      <c r="E923" s="965"/>
      <c r="F923" s="965"/>
      <c r="G923" s="965"/>
      <c r="H923" s="965"/>
      <c r="I923" s="965"/>
      <c r="J923" s="965"/>
      <c r="K923" s="965"/>
      <c r="L923" s="965"/>
      <c r="M923" s="965"/>
      <c r="N923" s="965"/>
      <c r="O923" s="965"/>
      <c r="P923" s="965"/>
      <c r="Q923" s="965"/>
      <c r="R923" s="965"/>
      <c r="S923" s="965"/>
      <c r="T923" s="965"/>
      <c r="U923" s="965"/>
      <c r="V923" s="965"/>
      <c r="W923" s="965"/>
      <c r="X923" s="965"/>
      <c r="Y923" s="965"/>
      <c r="Z923" s="965"/>
    </row>
    <row r="924">
      <c r="A924" s="965"/>
      <c r="B924" s="965"/>
      <c r="C924" s="965"/>
      <c r="D924" s="965"/>
      <c r="E924" s="965"/>
      <c r="F924" s="965"/>
      <c r="G924" s="965"/>
      <c r="H924" s="965"/>
      <c r="I924" s="965"/>
      <c r="J924" s="965"/>
      <c r="K924" s="965"/>
      <c r="L924" s="965"/>
      <c r="M924" s="965"/>
      <c r="N924" s="965"/>
      <c r="O924" s="965"/>
      <c r="P924" s="965"/>
      <c r="Q924" s="965"/>
      <c r="R924" s="965"/>
      <c r="S924" s="965"/>
      <c r="T924" s="965"/>
      <c r="U924" s="965"/>
      <c r="V924" s="965"/>
      <c r="W924" s="965"/>
      <c r="X924" s="965"/>
      <c r="Y924" s="965"/>
      <c r="Z924" s="965"/>
    </row>
    <row r="925">
      <c r="A925" s="965"/>
      <c r="B925" s="965"/>
      <c r="C925" s="965"/>
      <c r="D925" s="965"/>
      <c r="E925" s="965"/>
      <c r="F925" s="965"/>
      <c r="G925" s="965"/>
      <c r="H925" s="965"/>
      <c r="I925" s="965"/>
      <c r="J925" s="965"/>
      <c r="K925" s="965"/>
      <c r="L925" s="965"/>
      <c r="M925" s="965"/>
      <c r="N925" s="965"/>
      <c r="O925" s="965"/>
      <c r="P925" s="965"/>
      <c r="Q925" s="965"/>
      <c r="R925" s="965"/>
      <c r="S925" s="965"/>
      <c r="T925" s="965"/>
      <c r="U925" s="965"/>
      <c r="V925" s="965"/>
      <c r="W925" s="965"/>
      <c r="X925" s="965"/>
      <c r="Y925" s="965"/>
      <c r="Z925" s="965"/>
    </row>
    <row r="926">
      <c r="A926" s="965"/>
      <c r="B926" s="965"/>
      <c r="C926" s="965"/>
      <c r="D926" s="965"/>
      <c r="E926" s="965"/>
      <c r="F926" s="965"/>
      <c r="G926" s="965"/>
      <c r="H926" s="965"/>
      <c r="I926" s="965"/>
      <c r="J926" s="965"/>
      <c r="K926" s="965"/>
      <c r="L926" s="965"/>
      <c r="M926" s="965"/>
      <c r="N926" s="965"/>
      <c r="O926" s="965"/>
      <c r="P926" s="965"/>
      <c r="Q926" s="965"/>
      <c r="R926" s="965"/>
      <c r="S926" s="965"/>
      <c r="T926" s="965"/>
      <c r="U926" s="965"/>
      <c r="V926" s="965"/>
      <c r="W926" s="965"/>
      <c r="X926" s="965"/>
      <c r="Y926" s="965"/>
      <c r="Z926" s="965"/>
    </row>
    <row r="927">
      <c r="A927" s="965"/>
      <c r="B927" s="965"/>
      <c r="C927" s="965"/>
      <c r="D927" s="965"/>
      <c r="E927" s="965"/>
      <c r="F927" s="965"/>
      <c r="G927" s="965"/>
      <c r="H927" s="965"/>
      <c r="I927" s="965"/>
      <c r="J927" s="965"/>
      <c r="K927" s="965"/>
      <c r="L927" s="965"/>
      <c r="M927" s="965"/>
      <c r="N927" s="965"/>
      <c r="O927" s="965"/>
      <c r="P927" s="965"/>
      <c r="Q927" s="965"/>
      <c r="R927" s="965"/>
      <c r="S927" s="965"/>
      <c r="T927" s="965"/>
      <c r="U927" s="965"/>
      <c r="V927" s="965"/>
      <c r="W927" s="965"/>
      <c r="X927" s="965"/>
      <c r="Y927" s="965"/>
      <c r="Z927" s="965"/>
    </row>
    <row r="928">
      <c r="A928" s="965"/>
      <c r="B928" s="965"/>
      <c r="C928" s="965"/>
      <c r="D928" s="965"/>
      <c r="E928" s="965"/>
      <c r="F928" s="965"/>
      <c r="G928" s="965"/>
      <c r="H928" s="965"/>
      <c r="I928" s="965"/>
      <c r="J928" s="965"/>
      <c r="K928" s="965"/>
      <c r="L928" s="965"/>
      <c r="M928" s="965"/>
      <c r="N928" s="965"/>
      <c r="O928" s="965"/>
      <c r="P928" s="965"/>
      <c r="Q928" s="965"/>
      <c r="R928" s="965"/>
      <c r="S928" s="965"/>
      <c r="T928" s="965"/>
      <c r="U928" s="965"/>
      <c r="V928" s="965"/>
      <c r="W928" s="965"/>
      <c r="X928" s="965"/>
      <c r="Y928" s="965"/>
      <c r="Z928" s="965"/>
    </row>
    <row r="929">
      <c r="A929" s="965"/>
      <c r="B929" s="965"/>
      <c r="C929" s="965"/>
      <c r="D929" s="965"/>
      <c r="E929" s="965"/>
      <c r="F929" s="965"/>
      <c r="G929" s="965"/>
      <c r="H929" s="965"/>
      <c r="I929" s="965"/>
      <c r="J929" s="965"/>
      <c r="K929" s="965"/>
      <c r="L929" s="965"/>
      <c r="M929" s="965"/>
      <c r="N929" s="965"/>
      <c r="O929" s="965"/>
      <c r="P929" s="965"/>
      <c r="Q929" s="965"/>
      <c r="R929" s="965"/>
      <c r="S929" s="965"/>
      <c r="T929" s="965"/>
      <c r="U929" s="965"/>
      <c r="V929" s="965"/>
      <c r="W929" s="965"/>
      <c r="X929" s="965"/>
      <c r="Y929" s="965"/>
      <c r="Z929" s="965"/>
    </row>
  </sheetData>
  <mergeCells count="1">
    <mergeCell ref="B4:E4"/>
  </mergeCells>
  <hyperlinks>
    <hyperlink r:id="rId2" ref="A21"/>
  </hyperlinks>
  <drawing r:id="rId3"/>
  <legacy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7" max="7" width="19.86"/>
  </cols>
  <sheetData>
    <row r="1">
      <c r="A1" s="949" t="s">
        <v>858</v>
      </c>
      <c r="B1" s="1017"/>
      <c r="C1" s="1018"/>
      <c r="D1" s="1018"/>
      <c r="E1" s="1018"/>
      <c r="F1" s="1018"/>
      <c r="G1" s="1018"/>
      <c r="H1" s="1018"/>
      <c r="I1" s="951"/>
      <c r="J1" s="970"/>
      <c r="K1" s="970"/>
      <c r="L1" s="970"/>
      <c r="M1" s="970"/>
      <c r="N1" s="970"/>
      <c r="O1" s="970"/>
      <c r="P1" s="970"/>
      <c r="Q1" s="970"/>
      <c r="R1" s="970"/>
      <c r="S1" s="970"/>
      <c r="T1" s="970"/>
      <c r="U1" s="970"/>
      <c r="V1" s="970"/>
      <c r="W1" s="970"/>
      <c r="X1" s="970"/>
      <c r="Y1" s="970"/>
      <c r="Z1" s="970"/>
    </row>
    <row r="2">
      <c r="A2" s="1026" t="s">
        <v>808</v>
      </c>
      <c r="B2" s="1027"/>
      <c r="C2" s="1027"/>
      <c r="D2" s="1027"/>
      <c r="E2" s="1027"/>
      <c r="F2" s="1027"/>
      <c r="G2" s="1027"/>
      <c r="H2" s="1027"/>
      <c r="I2" s="1027"/>
      <c r="J2" s="1027"/>
      <c r="K2" s="1027"/>
      <c r="L2" s="1027"/>
      <c r="M2" s="1027"/>
      <c r="N2" s="1027"/>
      <c r="O2" s="1027"/>
      <c r="P2" s="1027"/>
      <c r="Q2" s="1027"/>
      <c r="R2" s="1027"/>
      <c r="S2" s="1027"/>
      <c r="T2" s="1027"/>
      <c r="U2" s="1027"/>
      <c r="V2" s="1027"/>
      <c r="W2" s="1027"/>
      <c r="X2" s="1027"/>
      <c r="Y2" s="1027"/>
      <c r="Z2" s="1027"/>
    </row>
    <row r="3">
      <c r="A3" s="1013"/>
      <c r="B3" s="1028" t="s">
        <v>809</v>
      </c>
      <c r="F3" s="1013"/>
      <c r="G3" s="1013"/>
      <c r="H3" s="1013"/>
      <c r="I3" s="1013"/>
      <c r="J3" s="1013"/>
      <c r="K3" s="1013"/>
      <c r="L3" s="1013"/>
      <c r="M3" s="1013"/>
      <c r="N3" s="1013"/>
      <c r="O3" s="1013"/>
      <c r="P3" s="1013"/>
      <c r="Q3" s="1013"/>
      <c r="R3" s="1013"/>
      <c r="S3" s="1013"/>
      <c r="T3" s="1013"/>
      <c r="U3" s="1013"/>
      <c r="V3" s="1013"/>
      <c r="W3" s="1013"/>
      <c r="X3" s="1013"/>
      <c r="Y3" s="1013"/>
      <c r="Z3" s="1013"/>
    </row>
    <row r="4">
      <c r="A4" s="1013"/>
      <c r="B4" s="1029">
        <v>2021.0</v>
      </c>
      <c r="C4" s="1029">
        <v>2022.0</v>
      </c>
      <c r="D4" s="1029">
        <v>2023.0</v>
      </c>
      <c r="E4" s="1029" t="s">
        <v>63</v>
      </c>
      <c r="F4" s="1013"/>
      <c r="G4" s="1013"/>
      <c r="H4" s="1013"/>
      <c r="I4" s="1013"/>
      <c r="J4" s="1013"/>
      <c r="K4" s="1013"/>
      <c r="L4" s="1013"/>
      <c r="M4" s="1013"/>
      <c r="N4" s="1013"/>
      <c r="O4" s="1013"/>
      <c r="P4" s="1013"/>
      <c r="Q4" s="1013"/>
      <c r="R4" s="1013"/>
      <c r="S4" s="1013"/>
      <c r="T4" s="1013"/>
      <c r="U4" s="1013"/>
      <c r="V4" s="1013"/>
      <c r="W4" s="1013"/>
      <c r="X4" s="1013"/>
      <c r="Y4" s="1013"/>
      <c r="Z4" s="1013"/>
    </row>
    <row r="5">
      <c r="A5" s="1030" t="s">
        <v>811</v>
      </c>
      <c r="B5" s="1031">
        <f t="shared" ref="B5:E5" si="1">sum(B10:B15)</f>
        <v>2.6540488</v>
      </c>
      <c r="C5" s="1031">
        <f t="shared" si="1"/>
        <v>4.125317</v>
      </c>
      <c r="D5" s="1031">
        <f t="shared" si="1"/>
        <v>5.914777</v>
      </c>
      <c r="E5" s="1031">
        <f t="shared" si="1"/>
        <v>12.6941428</v>
      </c>
      <c r="F5" s="1013"/>
      <c r="G5" s="1013"/>
      <c r="H5" s="1013"/>
      <c r="I5" s="1013"/>
      <c r="J5" s="1013"/>
      <c r="K5" s="1013"/>
      <c r="L5" s="1013"/>
      <c r="M5" s="1013"/>
      <c r="N5" s="1013"/>
      <c r="O5" s="1013"/>
      <c r="P5" s="1013"/>
      <c r="Q5" s="1013"/>
      <c r="R5" s="1013"/>
      <c r="S5" s="1013"/>
      <c r="T5" s="1013"/>
      <c r="U5" s="1013"/>
      <c r="V5" s="1013"/>
      <c r="W5" s="1013"/>
      <c r="X5" s="1013"/>
      <c r="Y5" s="1013"/>
      <c r="Z5" s="1013"/>
    </row>
    <row r="6">
      <c r="A6" s="1013"/>
      <c r="B6" s="1029"/>
      <c r="C6" s="1029"/>
      <c r="D6" s="1029"/>
      <c r="E6" s="1029"/>
      <c r="F6" s="1013"/>
      <c r="G6" s="1013"/>
      <c r="H6" s="1013"/>
      <c r="I6" s="1013"/>
      <c r="J6" s="1013"/>
      <c r="K6" s="1013"/>
      <c r="L6" s="1013"/>
      <c r="M6" s="1013"/>
      <c r="N6" s="1013"/>
      <c r="O6" s="1013"/>
      <c r="P6" s="1013"/>
      <c r="Q6" s="1013"/>
      <c r="R6" s="1013"/>
      <c r="S6" s="1013"/>
      <c r="T6" s="1013"/>
      <c r="U6" s="1013"/>
      <c r="V6" s="1013"/>
      <c r="W6" s="1013"/>
      <c r="X6" s="1013"/>
      <c r="Y6" s="1013"/>
      <c r="Z6" s="1013"/>
    </row>
    <row r="7">
      <c r="A7" s="1032" t="s">
        <v>812</v>
      </c>
      <c r="B7" s="1027"/>
      <c r="C7" s="1027"/>
      <c r="D7" s="1027"/>
      <c r="E7" s="1027"/>
      <c r="F7" s="1027"/>
      <c r="G7" s="1027"/>
      <c r="H7" s="1027"/>
      <c r="I7" s="1027"/>
      <c r="J7" s="1027"/>
      <c r="K7" s="1027"/>
      <c r="L7" s="1027"/>
      <c r="M7" s="1027"/>
      <c r="N7" s="1027"/>
      <c r="O7" s="1027"/>
      <c r="P7" s="1027"/>
      <c r="Q7" s="1027"/>
      <c r="R7" s="1027"/>
      <c r="S7" s="1027"/>
      <c r="T7" s="1027"/>
      <c r="U7" s="1027"/>
      <c r="V7" s="1027"/>
      <c r="W7" s="1027"/>
      <c r="X7" s="1027"/>
      <c r="Y7" s="1027"/>
      <c r="Z7" s="1027"/>
    </row>
    <row r="8">
      <c r="A8" s="1013"/>
      <c r="B8" s="1028" t="s">
        <v>809</v>
      </c>
      <c r="F8" s="1013"/>
      <c r="G8" s="1013"/>
      <c r="H8" s="1013"/>
      <c r="I8" s="1013"/>
      <c r="J8" s="1013"/>
      <c r="K8" s="1013"/>
      <c r="L8" s="1013"/>
      <c r="M8" s="1013"/>
      <c r="N8" s="1013"/>
      <c r="O8" s="1013"/>
      <c r="P8" s="1013"/>
      <c r="Q8" s="1013"/>
      <c r="R8" s="1013"/>
      <c r="S8" s="1013"/>
      <c r="T8" s="1013"/>
      <c r="U8" s="1013"/>
      <c r="V8" s="1013"/>
      <c r="W8" s="1013"/>
      <c r="X8" s="1013"/>
      <c r="Y8" s="1013"/>
      <c r="Z8" s="1013"/>
    </row>
    <row r="9">
      <c r="A9" s="1030" t="s">
        <v>814</v>
      </c>
      <c r="B9" s="1029">
        <v>2021.0</v>
      </c>
      <c r="C9" s="1029">
        <v>2022.0</v>
      </c>
      <c r="D9" s="1029">
        <v>2023.0</v>
      </c>
      <c r="E9" s="1029" t="s">
        <v>63</v>
      </c>
      <c r="F9" s="1013"/>
      <c r="G9" s="1033" t="s">
        <v>815</v>
      </c>
      <c r="H9" s="1028" t="s">
        <v>65</v>
      </c>
      <c r="I9" s="1013"/>
      <c r="J9" s="1013"/>
      <c r="K9" s="1013"/>
      <c r="L9" s="1013"/>
      <c r="M9" s="1013"/>
      <c r="N9" s="1013"/>
      <c r="O9" s="1013"/>
      <c r="P9" s="1013"/>
      <c r="Q9" s="1013"/>
      <c r="R9" s="1013"/>
      <c r="S9" s="1013"/>
      <c r="T9" s="1013"/>
      <c r="U9" s="1013"/>
      <c r="V9" s="1013"/>
      <c r="W9" s="1013"/>
      <c r="X9" s="1013"/>
      <c r="Y9" s="1013"/>
      <c r="Z9" s="1013"/>
    </row>
    <row r="10">
      <c r="A10" s="1013" t="s">
        <v>859</v>
      </c>
      <c r="B10" s="1031">
        <v>0.0</v>
      </c>
      <c r="C10" s="1031">
        <v>1.016646</v>
      </c>
      <c r="D10" s="1031">
        <v>1.016646</v>
      </c>
      <c r="E10" s="1031">
        <f t="shared" ref="E10:E15" si="2">SUM(B10:D10)</f>
        <v>2.033292</v>
      </c>
      <c r="F10" s="1013"/>
      <c r="G10" s="1034">
        <v>7.0</v>
      </c>
      <c r="H10" s="1034" t="s">
        <v>823</v>
      </c>
      <c r="I10" s="1013"/>
      <c r="J10" s="1013"/>
      <c r="K10" s="1013"/>
      <c r="L10" s="1013"/>
      <c r="M10" s="1013"/>
      <c r="N10" s="1013"/>
      <c r="O10" s="1013"/>
      <c r="P10" s="1013"/>
      <c r="Q10" s="1013"/>
      <c r="R10" s="1013"/>
      <c r="S10" s="1013"/>
      <c r="T10" s="1013"/>
      <c r="U10" s="1013"/>
      <c r="V10" s="1013"/>
      <c r="W10" s="1013"/>
      <c r="X10" s="1013"/>
      <c r="Y10" s="1013"/>
      <c r="Z10" s="1013"/>
    </row>
    <row r="11">
      <c r="A11" s="1013" t="s">
        <v>860</v>
      </c>
      <c r="B11" s="1031">
        <v>0.0</v>
      </c>
      <c r="C11" s="1031">
        <v>0.769566</v>
      </c>
      <c r="D11" s="1031">
        <v>0.769566</v>
      </c>
      <c r="E11" s="1031">
        <f t="shared" si="2"/>
        <v>1.539132</v>
      </c>
      <c r="F11" s="1013"/>
      <c r="G11" s="1034">
        <v>7.0</v>
      </c>
      <c r="H11" s="1034" t="s">
        <v>823</v>
      </c>
      <c r="I11" s="1013"/>
      <c r="J11" s="1013"/>
      <c r="K11" s="1013"/>
      <c r="L11" s="1013"/>
      <c r="M11" s="1013"/>
      <c r="N11" s="1013"/>
      <c r="O11" s="1013"/>
      <c r="P11" s="1013"/>
      <c r="Q11" s="1013"/>
      <c r="R11" s="1013"/>
      <c r="S11" s="1013"/>
      <c r="T11" s="1013"/>
      <c r="U11" s="1013"/>
      <c r="V11" s="1013"/>
      <c r="W11" s="1013"/>
      <c r="X11" s="1013"/>
      <c r="Y11" s="1013"/>
      <c r="Z11" s="1013"/>
    </row>
    <row r="12">
      <c r="A12" s="1013" t="s">
        <v>861</v>
      </c>
      <c r="B12" s="1031">
        <v>0.0</v>
      </c>
      <c r="C12" s="1031">
        <v>0.0</v>
      </c>
      <c r="D12" s="1031">
        <v>1.008915</v>
      </c>
      <c r="E12" s="1031">
        <f t="shared" si="2"/>
        <v>1.008915</v>
      </c>
      <c r="F12" s="1013"/>
      <c r="G12" s="1034">
        <v>7.0</v>
      </c>
      <c r="H12" s="1034" t="s">
        <v>823</v>
      </c>
      <c r="I12" s="1013"/>
      <c r="J12" s="1013"/>
      <c r="K12" s="1013"/>
      <c r="L12" s="1013"/>
      <c r="M12" s="1013"/>
      <c r="N12" s="1013"/>
      <c r="O12" s="1013"/>
      <c r="P12" s="1013"/>
      <c r="Q12" s="1013"/>
      <c r="R12" s="1013"/>
      <c r="S12" s="1013"/>
      <c r="T12" s="1013"/>
      <c r="U12" s="1013"/>
      <c r="V12" s="1013"/>
      <c r="W12" s="1013"/>
      <c r="X12" s="1013"/>
      <c r="Y12" s="1013"/>
      <c r="Z12" s="1013"/>
    </row>
    <row r="13">
      <c r="A13" s="1013" t="s">
        <v>862</v>
      </c>
      <c r="B13" s="1031">
        <v>0.0</v>
      </c>
      <c r="C13" s="1031">
        <v>0.0</v>
      </c>
      <c r="D13" s="1031">
        <v>0.780545</v>
      </c>
      <c r="E13" s="1031">
        <f t="shared" si="2"/>
        <v>0.780545</v>
      </c>
      <c r="F13" s="1013"/>
      <c r="G13" s="1034">
        <v>7.0</v>
      </c>
      <c r="H13" s="1034" t="s">
        <v>823</v>
      </c>
      <c r="I13" s="1013"/>
      <c r="J13" s="1013"/>
      <c r="K13" s="1013"/>
      <c r="L13" s="1013"/>
      <c r="M13" s="1013"/>
      <c r="N13" s="1013"/>
      <c r="O13" s="1013"/>
      <c r="P13" s="1013"/>
      <c r="Q13" s="1013"/>
      <c r="R13" s="1013"/>
      <c r="S13" s="1013"/>
      <c r="T13" s="1013"/>
      <c r="U13" s="1013"/>
      <c r="V13" s="1013"/>
      <c r="W13" s="1013"/>
      <c r="X13" s="1013"/>
      <c r="Y13" s="1013"/>
      <c r="Z13" s="1013"/>
    </row>
    <row r="14">
      <c r="A14" s="1013" t="s">
        <v>73</v>
      </c>
      <c r="B14" s="1031">
        <v>1.2961316100000002</v>
      </c>
      <c r="C14" s="1031">
        <v>1.125</v>
      </c>
      <c r="D14" s="1031">
        <v>1.125</v>
      </c>
      <c r="E14" s="1031">
        <f t="shared" si="2"/>
        <v>3.54613161</v>
      </c>
      <c r="F14" s="1013"/>
      <c r="G14" s="1034">
        <v>7.0</v>
      </c>
      <c r="H14" s="1034" t="s">
        <v>823</v>
      </c>
      <c r="I14" s="1013"/>
      <c r="J14" s="1013"/>
      <c r="K14" s="1013"/>
      <c r="L14" s="1013"/>
      <c r="M14" s="1013"/>
      <c r="N14" s="1013"/>
      <c r="O14" s="1013"/>
      <c r="P14" s="1013"/>
      <c r="Q14" s="1013"/>
      <c r="R14" s="1013"/>
      <c r="S14" s="1013"/>
      <c r="T14" s="1013"/>
      <c r="U14" s="1013"/>
      <c r="V14" s="1013"/>
      <c r="W14" s="1013"/>
      <c r="X14" s="1013"/>
      <c r="Y14" s="1013"/>
      <c r="Z14" s="1013"/>
    </row>
    <row r="15">
      <c r="A15" s="1013" t="s">
        <v>68</v>
      </c>
      <c r="B15" s="1031">
        <v>1.35791719</v>
      </c>
      <c r="C15" s="1031">
        <v>1.214105</v>
      </c>
      <c r="D15" s="1031">
        <v>1.214105</v>
      </c>
      <c r="E15" s="1031">
        <f t="shared" si="2"/>
        <v>3.78612719</v>
      </c>
      <c r="F15" s="1013"/>
      <c r="G15" s="1034">
        <v>9.0</v>
      </c>
      <c r="H15" s="1034" t="s">
        <v>823</v>
      </c>
      <c r="I15" s="1013"/>
      <c r="J15" s="1013"/>
      <c r="K15" s="1013"/>
      <c r="L15" s="1013"/>
      <c r="M15" s="1013"/>
      <c r="N15" s="1013"/>
      <c r="O15" s="1013"/>
      <c r="P15" s="1013"/>
      <c r="Q15" s="1013"/>
      <c r="R15" s="1013"/>
      <c r="S15" s="1013"/>
      <c r="T15" s="1013"/>
      <c r="U15" s="1013"/>
      <c r="V15" s="1013"/>
      <c r="W15" s="1013"/>
      <c r="X15" s="1013"/>
      <c r="Y15" s="1013"/>
      <c r="Z15" s="1013"/>
    </row>
    <row r="16">
      <c r="A16" s="965"/>
      <c r="B16" s="965"/>
      <c r="C16" s="965"/>
      <c r="D16" s="965"/>
      <c r="E16" s="965"/>
      <c r="F16" s="965"/>
      <c r="G16" s="965"/>
      <c r="H16" s="965"/>
      <c r="I16" s="965"/>
      <c r="J16" s="965"/>
      <c r="K16" s="965"/>
      <c r="L16" s="965"/>
      <c r="M16" s="965"/>
      <c r="N16" s="965"/>
      <c r="O16" s="965"/>
      <c r="P16" s="965"/>
      <c r="Q16" s="965"/>
      <c r="R16" s="965"/>
      <c r="S16" s="965"/>
      <c r="T16" s="965"/>
      <c r="U16" s="965"/>
      <c r="V16" s="965"/>
      <c r="W16" s="965"/>
      <c r="X16" s="965"/>
      <c r="Y16" s="965"/>
      <c r="Z16" s="965"/>
    </row>
    <row r="17">
      <c r="A17" s="966" t="s">
        <v>818</v>
      </c>
      <c r="B17" s="965"/>
      <c r="C17" s="965"/>
      <c r="D17" s="965"/>
      <c r="E17" s="965"/>
      <c r="F17" s="965"/>
      <c r="G17" s="965"/>
      <c r="H17" s="965"/>
      <c r="I17" s="965"/>
      <c r="J17" s="965"/>
      <c r="K17" s="965"/>
      <c r="L17" s="965"/>
      <c r="M17" s="965"/>
      <c r="N17" s="965"/>
      <c r="O17" s="965"/>
      <c r="P17" s="965"/>
      <c r="Q17" s="965"/>
      <c r="R17" s="965"/>
      <c r="S17" s="965"/>
      <c r="T17" s="965"/>
      <c r="U17" s="965"/>
      <c r="V17" s="965"/>
      <c r="W17" s="965"/>
      <c r="X17" s="965"/>
      <c r="Y17" s="965"/>
      <c r="Z17" s="965"/>
    </row>
    <row r="18">
      <c r="A18" s="967" t="s">
        <v>863</v>
      </c>
      <c r="B18" s="965"/>
      <c r="C18" s="965"/>
      <c r="D18" s="965"/>
      <c r="E18" s="965"/>
      <c r="F18" s="965"/>
      <c r="G18" s="965"/>
      <c r="H18" s="965"/>
      <c r="I18" s="965"/>
      <c r="J18" s="965"/>
      <c r="K18" s="965"/>
      <c r="L18" s="965"/>
      <c r="M18" s="965"/>
      <c r="N18" s="965"/>
      <c r="O18" s="965"/>
      <c r="P18" s="965"/>
      <c r="Q18" s="965"/>
      <c r="R18" s="965"/>
      <c r="S18" s="965"/>
      <c r="T18" s="965"/>
      <c r="U18" s="965"/>
      <c r="V18" s="965"/>
      <c r="W18" s="965"/>
      <c r="X18" s="965"/>
      <c r="Y18" s="965"/>
      <c r="Z18" s="965"/>
    </row>
    <row r="19">
      <c r="A19" s="965"/>
      <c r="B19" s="965"/>
      <c r="C19" s="965"/>
      <c r="D19" s="965"/>
      <c r="E19" s="965"/>
      <c r="F19" s="965"/>
      <c r="G19" s="965"/>
      <c r="H19" s="965"/>
      <c r="I19" s="965"/>
      <c r="J19" s="965"/>
      <c r="K19" s="965"/>
      <c r="L19" s="965"/>
      <c r="M19" s="965"/>
      <c r="N19" s="965"/>
      <c r="O19" s="965"/>
      <c r="P19" s="965"/>
      <c r="Q19" s="965"/>
      <c r="R19" s="965"/>
      <c r="S19" s="965"/>
      <c r="T19" s="965"/>
      <c r="U19" s="965"/>
      <c r="V19" s="965"/>
      <c r="W19" s="965"/>
      <c r="X19" s="965"/>
      <c r="Y19" s="965"/>
      <c r="Z19" s="965"/>
    </row>
    <row r="20">
      <c r="A20" s="965"/>
      <c r="B20" s="965"/>
      <c r="C20" s="965"/>
      <c r="D20" s="965"/>
      <c r="E20" s="965"/>
      <c r="F20" s="965"/>
      <c r="G20" s="965"/>
      <c r="H20" s="965"/>
      <c r="I20" s="965"/>
      <c r="J20" s="965"/>
      <c r="K20" s="965"/>
      <c r="L20" s="965"/>
      <c r="M20" s="965"/>
      <c r="N20" s="965"/>
      <c r="O20" s="965"/>
      <c r="P20" s="965"/>
      <c r="Q20" s="965"/>
      <c r="R20" s="965"/>
      <c r="S20" s="965"/>
      <c r="T20" s="965"/>
      <c r="U20" s="965"/>
      <c r="V20" s="965"/>
      <c r="W20" s="965"/>
      <c r="X20" s="965"/>
      <c r="Y20" s="965"/>
      <c r="Z20" s="965"/>
    </row>
    <row r="21">
      <c r="B21" s="985"/>
      <c r="C21" s="985"/>
      <c r="D21" s="985"/>
      <c r="E21" s="985"/>
    </row>
    <row r="22">
      <c r="B22" s="987"/>
      <c r="C22" s="987"/>
      <c r="D22" s="987"/>
      <c r="E22" s="987"/>
    </row>
    <row r="23">
      <c r="A23" s="965"/>
      <c r="B23" s="992"/>
      <c r="C23" s="992"/>
      <c r="D23" s="992"/>
      <c r="E23" s="992"/>
    </row>
    <row r="26">
      <c r="A26" s="981"/>
    </row>
    <row r="27">
      <c r="B27" s="994"/>
    </row>
    <row r="28">
      <c r="B28" s="987"/>
      <c r="C28" s="987"/>
      <c r="D28" s="987"/>
      <c r="E28" s="987"/>
    </row>
    <row r="29">
      <c r="A29" s="965"/>
      <c r="B29" s="992"/>
      <c r="C29" s="992"/>
      <c r="D29" s="992"/>
      <c r="E29" s="992"/>
    </row>
  </sheetData>
  <mergeCells count="3">
    <mergeCell ref="B3:E3"/>
    <mergeCell ref="B8:E8"/>
    <mergeCell ref="B27:E27"/>
  </mergeCells>
  <hyperlinks>
    <hyperlink r:id="rId1" ref="A18"/>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7" max="7" width="19.86"/>
  </cols>
  <sheetData>
    <row r="1">
      <c r="A1" s="949" t="s">
        <v>864</v>
      </c>
      <c r="B1" s="1017"/>
      <c r="C1" s="1018"/>
      <c r="D1" s="1018"/>
      <c r="E1" s="1018"/>
      <c r="F1" s="1018"/>
      <c r="G1" s="1018"/>
      <c r="H1" s="1018"/>
      <c r="I1" s="951"/>
      <c r="J1" s="970"/>
      <c r="K1" s="970"/>
      <c r="L1" s="970"/>
      <c r="M1" s="970"/>
      <c r="N1" s="970"/>
      <c r="O1" s="970"/>
      <c r="P1" s="970"/>
      <c r="Q1" s="970"/>
      <c r="R1" s="970"/>
      <c r="S1" s="970"/>
      <c r="T1" s="970"/>
      <c r="U1" s="970"/>
      <c r="V1" s="970"/>
      <c r="W1" s="970"/>
      <c r="X1" s="970"/>
      <c r="Y1" s="970"/>
      <c r="Z1" s="970"/>
    </row>
    <row r="2">
      <c r="A2" s="1026" t="s">
        <v>808</v>
      </c>
      <c r="B2" s="1027"/>
      <c r="C2" s="1027"/>
      <c r="D2" s="1027"/>
      <c r="E2" s="1027"/>
      <c r="F2" s="1027"/>
      <c r="G2" s="1027"/>
      <c r="H2" s="1027"/>
      <c r="I2" s="1027"/>
      <c r="J2" s="1027"/>
      <c r="K2" s="1027"/>
      <c r="L2" s="1027"/>
      <c r="M2" s="1027"/>
      <c r="N2" s="1027"/>
      <c r="O2" s="1027"/>
      <c r="P2" s="1027"/>
      <c r="Q2" s="1027"/>
      <c r="R2" s="1027"/>
      <c r="S2" s="1027"/>
      <c r="T2" s="1027"/>
      <c r="U2" s="1027"/>
      <c r="V2" s="1027"/>
      <c r="W2" s="1027"/>
      <c r="X2" s="1027"/>
      <c r="Y2" s="1027"/>
      <c r="Z2" s="1027"/>
    </row>
    <row r="3">
      <c r="A3" s="1013"/>
      <c r="B3" s="1028" t="s">
        <v>809</v>
      </c>
      <c r="F3" s="1013"/>
      <c r="G3" s="1013"/>
      <c r="H3" s="1013"/>
      <c r="I3" s="1013"/>
      <c r="J3" s="1013"/>
      <c r="K3" s="1013"/>
      <c r="L3" s="1013"/>
      <c r="M3" s="1013"/>
      <c r="N3" s="1013"/>
      <c r="O3" s="1013"/>
      <c r="P3" s="1013"/>
      <c r="Q3" s="1013"/>
      <c r="R3" s="1013"/>
      <c r="S3" s="1013"/>
      <c r="T3" s="1013"/>
      <c r="U3" s="1013"/>
      <c r="V3" s="1013"/>
      <c r="W3" s="1013"/>
      <c r="X3" s="1013"/>
      <c r="Y3" s="1013"/>
      <c r="Z3" s="1013"/>
    </row>
    <row r="4">
      <c r="A4" s="1013"/>
      <c r="B4" s="1029">
        <v>2021.0</v>
      </c>
      <c r="C4" s="1029">
        <v>2022.0</v>
      </c>
      <c r="D4" s="1029">
        <v>2023.0</v>
      </c>
      <c r="E4" s="1029" t="s">
        <v>63</v>
      </c>
      <c r="F4" s="1013"/>
      <c r="G4" s="1013"/>
      <c r="H4" s="1013"/>
      <c r="I4" s="1013"/>
      <c r="J4" s="1013"/>
      <c r="K4" s="1013"/>
      <c r="L4" s="1013"/>
      <c r="M4" s="1013"/>
      <c r="N4" s="1013"/>
      <c r="O4" s="1013"/>
      <c r="P4" s="1013"/>
      <c r="Q4" s="1013"/>
      <c r="R4" s="1013"/>
      <c r="S4" s="1013"/>
      <c r="T4" s="1013"/>
      <c r="U4" s="1013"/>
      <c r="V4" s="1013"/>
      <c r="W4" s="1013"/>
      <c r="X4" s="1013"/>
      <c r="Y4" s="1013"/>
      <c r="Z4" s="1013"/>
    </row>
    <row r="5">
      <c r="A5" s="1030" t="s">
        <v>811</v>
      </c>
      <c r="B5" s="1035">
        <f t="shared" ref="B5:E5" si="1">SUM(B10:B979)</f>
        <v>0</v>
      </c>
      <c r="C5" s="1035">
        <f t="shared" si="1"/>
        <v>7.898436376</v>
      </c>
      <c r="D5" s="1035">
        <f t="shared" si="1"/>
        <v>8.324401883</v>
      </c>
      <c r="E5" s="1035">
        <f t="shared" si="1"/>
        <v>16.22283826</v>
      </c>
      <c r="F5" s="1013"/>
      <c r="G5" s="1013"/>
      <c r="H5" s="1013"/>
      <c r="I5" s="1013"/>
      <c r="J5" s="1013"/>
      <c r="K5" s="1013"/>
      <c r="L5" s="1013"/>
      <c r="M5" s="1013"/>
      <c r="N5" s="1013"/>
      <c r="O5" s="1013"/>
      <c r="P5" s="1013"/>
      <c r="Q5" s="1013"/>
      <c r="R5" s="1013"/>
      <c r="S5" s="1013"/>
      <c r="T5" s="1013"/>
      <c r="U5" s="1013"/>
      <c r="V5" s="1013"/>
      <c r="W5" s="1013"/>
      <c r="X5" s="1013"/>
      <c r="Y5" s="1013"/>
      <c r="Z5" s="1013"/>
    </row>
    <row r="6">
      <c r="A6" s="1013"/>
      <c r="B6" s="1029"/>
      <c r="C6" s="1029"/>
      <c r="D6" s="1029"/>
      <c r="E6" s="1029"/>
      <c r="F6" s="1013"/>
      <c r="G6" s="1013"/>
      <c r="H6" s="1013"/>
      <c r="I6" s="1013"/>
      <c r="J6" s="1013"/>
      <c r="K6" s="1013"/>
      <c r="L6" s="1013"/>
      <c r="M6" s="1013"/>
      <c r="N6" s="1013"/>
      <c r="O6" s="1013"/>
      <c r="P6" s="1013"/>
      <c r="Q6" s="1013"/>
      <c r="R6" s="1013"/>
      <c r="S6" s="1013"/>
      <c r="T6" s="1013"/>
      <c r="U6" s="1013"/>
      <c r="V6" s="1013"/>
      <c r="W6" s="1013"/>
      <c r="X6" s="1013"/>
      <c r="Y6" s="1013"/>
      <c r="Z6" s="1013"/>
    </row>
    <row r="7">
      <c r="A7" s="1032" t="s">
        <v>812</v>
      </c>
      <c r="B7" s="1027"/>
      <c r="C7" s="1027"/>
      <c r="D7" s="1027"/>
      <c r="E7" s="1027"/>
      <c r="F7" s="1027"/>
      <c r="G7" s="1027"/>
      <c r="H7" s="1027"/>
      <c r="I7" s="1027"/>
      <c r="J7" s="1027"/>
      <c r="K7" s="1027"/>
      <c r="L7" s="1027"/>
      <c r="M7" s="1027"/>
      <c r="N7" s="1027"/>
      <c r="O7" s="1027"/>
      <c r="P7" s="1027"/>
      <c r="Q7" s="1027"/>
      <c r="R7" s="1027"/>
      <c r="S7" s="1027"/>
      <c r="T7" s="1027"/>
      <c r="U7" s="1027"/>
      <c r="V7" s="1027"/>
      <c r="W7" s="1027"/>
      <c r="X7" s="1027"/>
      <c r="Y7" s="1027"/>
      <c r="Z7" s="1027"/>
    </row>
    <row r="8">
      <c r="A8" s="1013"/>
      <c r="B8" s="1028" t="s">
        <v>809</v>
      </c>
      <c r="F8" s="1013"/>
      <c r="G8" s="1033" t="s">
        <v>815</v>
      </c>
      <c r="H8" s="1013"/>
      <c r="I8" s="1013"/>
      <c r="J8" s="1013"/>
      <c r="K8" s="1013"/>
      <c r="L8" s="1013"/>
      <c r="M8" s="1013"/>
      <c r="N8" s="1013"/>
      <c r="O8" s="1013"/>
      <c r="P8" s="1013"/>
      <c r="Q8" s="1013"/>
      <c r="R8" s="1013"/>
      <c r="S8" s="1013"/>
      <c r="T8" s="1013"/>
      <c r="U8" s="1013"/>
      <c r="V8" s="1013"/>
      <c r="W8" s="1013"/>
      <c r="X8" s="1013"/>
      <c r="Y8" s="1013"/>
      <c r="Z8" s="1013"/>
    </row>
    <row r="9">
      <c r="A9" s="1030" t="s">
        <v>814</v>
      </c>
      <c r="B9" s="1029">
        <v>2021.0</v>
      </c>
      <c r="C9" s="1029">
        <v>2022.0</v>
      </c>
      <c r="D9" s="1029">
        <v>2023.0</v>
      </c>
      <c r="E9" s="1029" t="s">
        <v>63</v>
      </c>
      <c r="F9" s="1013"/>
      <c r="H9" s="1028" t="s">
        <v>65</v>
      </c>
      <c r="I9" s="1013"/>
      <c r="J9" s="1013"/>
      <c r="K9" s="1013"/>
      <c r="L9" s="1013"/>
      <c r="M9" s="1013"/>
      <c r="N9" s="1013"/>
      <c r="O9" s="1013"/>
      <c r="P9" s="1013"/>
      <c r="Q9" s="1013"/>
      <c r="R9" s="1013"/>
      <c r="S9" s="1013"/>
      <c r="T9" s="1013"/>
      <c r="U9" s="1013"/>
      <c r="V9" s="1013"/>
      <c r="W9" s="1013"/>
      <c r="X9" s="1013"/>
      <c r="Y9" s="1013"/>
      <c r="Z9" s="1013"/>
    </row>
    <row r="10">
      <c r="A10" s="1013" t="s">
        <v>83</v>
      </c>
      <c r="B10" s="963">
        <v>0.0</v>
      </c>
      <c r="C10" s="963">
        <v>7.898436375714285</v>
      </c>
      <c r="D10" s="963">
        <v>8.324401882857144</v>
      </c>
      <c r="E10" s="963">
        <f>sum(B10:D10)</f>
        <v>16.22283826</v>
      </c>
      <c r="F10" s="1013"/>
      <c r="G10" s="1034" t="s">
        <v>865</v>
      </c>
      <c r="H10" s="1034" t="s">
        <v>823</v>
      </c>
      <c r="I10" s="1013"/>
      <c r="J10" s="1013"/>
      <c r="K10" s="1013"/>
      <c r="L10" s="1013"/>
      <c r="M10" s="1013"/>
      <c r="N10" s="1013"/>
      <c r="O10" s="1013"/>
      <c r="P10" s="1013"/>
      <c r="Q10" s="1013"/>
      <c r="R10" s="1013"/>
      <c r="S10" s="1013"/>
      <c r="T10" s="1013"/>
      <c r="U10" s="1013"/>
      <c r="V10" s="1013"/>
      <c r="W10" s="1013"/>
      <c r="X10" s="1013"/>
      <c r="Y10" s="1013"/>
      <c r="Z10" s="1013"/>
    </row>
    <row r="11">
      <c r="A11" s="1013"/>
      <c r="B11" s="1031"/>
      <c r="C11" s="1031"/>
      <c r="D11" s="1031"/>
      <c r="E11" s="1031"/>
      <c r="F11" s="1013"/>
      <c r="G11" s="1034"/>
      <c r="H11" s="1034"/>
      <c r="I11" s="1013"/>
      <c r="J11" s="1013"/>
      <c r="K11" s="1013"/>
      <c r="L11" s="1013"/>
      <c r="M11" s="1013"/>
      <c r="N11" s="1013"/>
      <c r="O11" s="1013"/>
      <c r="P11" s="1013"/>
      <c r="Q11" s="1013"/>
      <c r="R11" s="1013"/>
      <c r="S11" s="1013"/>
      <c r="T11" s="1013"/>
      <c r="U11" s="1013"/>
      <c r="V11" s="1013"/>
      <c r="W11" s="1013"/>
      <c r="X11" s="1013"/>
      <c r="Y11" s="1013"/>
      <c r="Z11" s="1013"/>
    </row>
    <row r="12">
      <c r="A12" s="1013"/>
      <c r="B12" s="1031"/>
      <c r="C12" s="1031"/>
      <c r="D12" s="1031"/>
      <c r="E12" s="1031"/>
      <c r="F12" s="1013"/>
      <c r="G12" s="1034"/>
      <c r="H12" s="1034"/>
      <c r="I12" s="1013"/>
      <c r="J12" s="1013"/>
      <c r="K12" s="1013"/>
      <c r="L12" s="1013"/>
      <c r="M12" s="1013"/>
      <c r="N12" s="1013"/>
      <c r="O12" s="1013"/>
      <c r="P12" s="1013"/>
      <c r="Q12" s="1013"/>
      <c r="R12" s="1013"/>
      <c r="S12" s="1013"/>
      <c r="T12" s="1013"/>
      <c r="U12" s="1013"/>
      <c r="V12" s="1013"/>
      <c r="W12" s="1013"/>
      <c r="X12" s="1013"/>
      <c r="Y12" s="1013"/>
      <c r="Z12" s="1013"/>
    </row>
    <row r="13">
      <c r="A13" s="1036" t="s">
        <v>818</v>
      </c>
      <c r="B13" s="1031"/>
      <c r="C13" s="1031"/>
      <c r="D13" s="1031"/>
      <c r="E13" s="1031"/>
      <c r="F13" s="1013"/>
      <c r="G13" s="1034"/>
      <c r="H13" s="1034"/>
      <c r="I13" s="1013"/>
      <c r="J13" s="1013"/>
      <c r="K13" s="1013"/>
      <c r="L13" s="1013"/>
      <c r="M13" s="1013"/>
      <c r="N13" s="1013"/>
      <c r="O13" s="1013"/>
      <c r="P13" s="1013"/>
      <c r="Q13" s="1013"/>
      <c r="R13" s="1013"/>
      <c r="S13" s="1013"/>
      <c r="T13" s="1013"/>
      <c r="U13" s="1013"/>
      <c r="V13" s="1013"/>
      <c r="W13" s="1013"/>
      <c r="X13" s="1013"/>
      <c r="Y13" s="1013"/>
      <c r="Z13" s="1013"/>
    </row>
    <row r="14">
      <c r="A14" s="5" t="s">
        <v>866</v>
      </c>
      <c r="B14" s="1031"/>
      <c r="C14" s="1031"/>
      <c r="D14" s="1031"/>
      <c r="E14" s="1031"/>
      <c r="F14" s="1013"/>
      <c r="G14" s="1034"/>
      <c r="H14" s="1034"/>
      <c r="I14" s="1013"/>
      <c r="J14" s="1013"/>
      <c r="K14" s="1013"/>
      <c r="L14" s="1013"/>
      <c r="M14" s="1013"/>
      <c r="N14" s="1013"/>
      <c r="O14" s="1013"/>
      <c r="P14" s="1013"/>
      <c r="Q14" s="1013"/>
      <c r="R14" s="1013"/>
      <c r="S14" s="1013"/>
      <c r="T14" s="1013"/>
      <c r="U14" s="1013"/>
      <c r="V14" s="1013"/>
      <c r="W14" s="1013"/>
      <c r="X14" s="1013"/>
      <c r="Y14" s="1013"/>
      <c r="Z14" s="1013"/>
    </row>
    <row r="15">
      <c r="A15" s="1013"/>
      <c r="B15" s="1031"/>
      <c r="C15" s="1031"/>
      <c r="D15" s="1031"/>
      <c r="E15" s="1031"/>
      <c r="F15" s="1013"/>
      <c r="G15" s="1034"/>
      <c r="H15" s="1034"/>
      <c r="I15" s="1013"/>
      <c r="J15" s="1013"/>
      <c r="K15" s="1013"/>
      <c r="L15" s="1013"/>
      <c r="M15" s="1013"/>
      <c r="N15" s="1013"/>
      <c r="O15" s="1013"/>
      <c r="P15" s="1013"/>
      <c r="Q15" s="1013"/>
      <c r="R15" s="1013"/>
      <c r="S15" s="1013"/>
      <c r="T15" s="1013"/>
      <c r="U15" s="1013"/>
      <c r="V15" s="1013"/>
      <c r="W15" s="1013"/>
      <c r="X15" s="1013"/>
      <c r="Y15" s="1013"/>
      <c r="Z15" s="1013"/>
    </row>
    <row r="16">
      <c r="A16" s="1013"/>
      <c r="B16" s="1031"/>
      <c r="C16" s="1031"/>
      <c r="D16" s="1031"/>
      <c r="E16" s="1031"/>
      <c r="F16" s="1013"/>
      <c r="G16" s="1034"/>
      <c r="H16" s="1034"/>
      <c r="I16" s="1013"/>
      <c r="J16" s="1013"/>
      <c r="K16" s="1013"/>
      <c r="L16" s="1013"/>
      <c r="M16" s="1013"/>
      <c r="N16" s="1013"/>
      <c r="O16" s="1013"/>
      <c r="P16" s="1013"/>
      <c r="Q16" s="1013"/>
      <c r="R16" s="1013"/>
      <c r="S16" s="1013"/>
      <c r="T16" s="1013"/>
      <c r="U16" s="1013"/>
      <c r="V16" s="1013"/>
      <c r="W16" s="1013"/>
      <c r="X16" s="1013"/>
      <c r="Y16" s="1013"/>
      <c r="Z16" s="1013"/>
    </row>
    <row r="17">
      <c r="A17" s="965"/>
      <c r="B17" s="965"/>
      <c r="C17" s="965"/>
      <c r="D17" s="965"/>
      <c r="E17" s="965"/>
      <c r="F17" s="965"/>
      <c r="G17" s="965"/>
      <c r="H17" s="965"/>
      <c r="I17" s="965"/>
      <c r="J17" s="965"/>
      <c r="K17" s="965"/>
      <c r="L17" s="965"/>
      <c r="M17" s="965"/>
      <c r="N17" s="965"/>
      <c r="O17" s="965"/>
      <c r="P17" s="965"/>
      <c r="Q17" s="965"/>
      <c r="R17" s="965"/>
      <c r="S17" s="965"/>
      <c r="T17" s="965"/>
      <c r="U17" s="965"/>
      <c r="V17" s="965"/>
      <c r="W17" s="965"/>
      <c r="X17" s="965"/>
      <c r="Y17" s="965"/>
      <c r="Z17" s="965"/>
    </row>
    <row r="18">
      <c r="A18" s="966"/>
      <c r="B18" s="965"/>
      <c r="C18" s="965"/>
      <c r="D18" s="965"/>
      <c r="E18" s="965"/>
      <c r="F18" s="965"/>
      <c r="G18" s="965"/>
      <c r="H18" s="965"/>
      <c r="I18" s="965"/>
      <c r="J18" s="965"/>
      <c r="K18" s="965"/>
      <c r="L18" s="965"/>
      <c r="M18" s="965"/>
      <c r="N18" s="965"/>
      <c r="O18" s="965"/>
      <c r="P18" s="965"/>
      <c r="Q18" s="965"/>
      <c r="R18" s="965"/>
      <c r="S18" s="965"/>
      <c r="T18" s="965"/>
      <c r="U18" s="965"/>
      <c r="V18" s="965"/>
      <c r="W18" s="965"/>
      <c r="X18" s="965"/>
      <c r="Y18" s="965"/>
      <c r="Z18" s="965"/>
    </row>
    <row r="19">
      <c r="A19" s="967"/>
      <c r="B19" s="965"/>
      <c r="C19" s="965"/>
      <c r="D19" s="965"/>
      <c r="E19" s="965"/>
      <c r="F19" s="965"/>
      <c r="G19" s="965"/>
      <c r="H19" s="965"/>
      <c r="I19" s="965"/>
      <c r="J19" s="965"/>
      <c r="K19" s="965"/>
      <c r="L19" s="965"/>
      <c r="M19" s="965"/>
      <c r="N19" s="965"/>
      <c r="O19" s="965"/>
      <c r="P19" s="965"/>
      <c r="Q19" s="965"/>
      <c r="R19" s="965"/>
      <c r="S19" s="965"/>
      <c r="T19" s="965"/>
      <c r="U19" s="965"/>
      <c r="V19" s="965"/>
      <c r="W19" s="965"/>
      <c r="X19" s="965"/>
      <c r="Y19" s="965"/>
      <c r="Z19" s="965"/>
    </row>
    <row r="20">
      <c r="A20" s="965"/>
      <c r="B20" s="965"/>
      <c r="C20" s="965"/>
      <c r="D20" s="965"/>
      <c r="E20" s="965"/>
      <c r="F20" s="965"/>
      <c r="G20" s="965"/>
      <c r="H20" s="965"/>
      <c r="I20" s="965"/>
      <c r="J20" s="965"/>
      <c r="K20" s="965"/>
      <c r="L20" s="965"/>
      <c r="M20" s="965"/>
      <c r="N20" s="965"/>
      <c r="O20" s="965"/>
      <c r="P20" s="965"/>
      <c r="Q20" s="965"/>
      <c r="R20" s="965"/>
      <c r="S20" s="965"/>
      <c r="T20" s="965"/>
      <c r="U20" s="965"/>
      <c r="V20" s="965"/>
      <c r="W20" s="965"/>
      <c r="X20" s="965"/>
      <c r="Y20" s="965"/>
      <c r="Z20" s="965"/>
    </row>
    <row r="21">
      <c r="A21" s="965"/>
      <c r="B21" s="965"/>
      <c r="C21" s="965"/>
      <c r="D21" s="965"/>
      <c r="E21" s="965"/>
      <c r="F21" s="965"/>
      <c r="G21" s="965"/>
      <c r="H21" s="965"/>
      <c r="I21" s="965"/>
      <c r="J21" s="965"/>
      <c r="K21" s="965"/>
      <c r="L21" s="965"/>
      <c r="M21" s="965"/>
      <c r="N21" s="965"/>
      <c r="O21" s="965"/>
      <c r="P21" s="965"/>
      <c r="Q21" s="965"/>
      <c r="R21" s="965"/>
      <c r="S21" s="965"/>
      <c r="T21" s="965"/>
      <c r="U21" s="965"/>
      <c r="V21" s="965"/>
      <c r="W21" s="965"/>
      <c r="X21" s="965"/>
      <c r="Y21" s="965"/>
      <c r="Z21" s="965"/>
    </row>
    <row r="22">
      <c r="B22" s="985"/>
      <c r="C22" s="985"/>
      <c r="D22" s="985"/>
      <c r="E22" s="985"/>
    </row>
    <row r="23">
      <c r="B23" s="987"/>
      <c r="C23" s="987"/>
      <c r="D23" s="987"/>
      <c r="E23" s="987"/>
    </row>
    <row r="24">
      <c r="A24" s="965"/>
      <c r="B24" s="992"/>
      <c r="C24" s="992"/>
      <c r="D24" s="992"/>
      <c r="E24" s="992"/>
    </row>
    <row r="27">
      <c r="A27" s="981"/>
    </row>
    <row r="28">
      <c r="B28" s="994"/>
    </row>
    <row r="29">
      <c r="B29" s="987"/>
      <c r="C29" s="987"/>
      <c r="D29" s="987"/>
      <c r="E29" s="987"/>
    </row>
    <row r="30">
      <c r="A30" s="965"/>
      <c r="B30" s="992"/>
      <c r="C30" s="992"/>
      <c r="D30" s="992"/>
      <c r="E30" s="992"/>
    </row>
  </sheetData>
  <mergeCells count="4">
    <mergeCell ref="B3:E3"/>
    <mergeCell ref="B8:E8"/>
    <mergeCell ref="G8:G9"/>
    <mergeCell ref="B28:E28"/>
  </mergeCells>
  <hyperlinks>
    <hyperlink r:id="rId1" ref="A14"/>
  </hyperlinks>
  <drawing r:id="rId2"/>
</worksheet>
</file>