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rosights\6. Product\04. New Features\11. Cursor for XLS\Demo Features\Supporting Documents\"/>
    </mc:Choice>
  </mc:AlternateContent>
  <xr:revisionPtr revIDLastSave="0" documentId="13_ncr:1_{1F6405F7-0428-4CD7-BE7A-4D2F1814FF20}" xr6:coauthVersionLast="47" xr6:coauthVersionMax="47" xr10:uidLastSave="{00000000-0000-0000-0000-000000000000}"/>
  <bookViews>
    <workbookView xWindow="28680" yWindow="-120" windowWidth="29040" windowHeight="15720" xr2:uid="{77E11216-7E61-4501-B0C3-B19887AD52A1}"/>
    <workbookView xWindow="28680" yWindow="-120" windowWidth="29040" windowHeight="15720" activeTab="1" xr2:uid="{30396A42-6057-4AF2-9ECD-CEC9C94EA4AA}"/>
  </bookViews>
  <sheets>
    <sheet name="Broken" sheetId="2" r:id="rId1"/>
    <sheet name="Fixed" sheetId="8" r:id="rId2"/>
  </sheets>
  <definedNames>
    <definedName name="base">Broken!$E$15</definedName>
    <definedName name="case">Broken!$D$4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42312.4312731481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tmebitda">Broken!$C$84</definedName>
    <definedName name="rent">Broken!$E$14</definedName>
    <definedName name="revshare">Broken!$E$16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5" i="8" l="1"/>
  <c r="C256" i="8" s="1"/>
  <c r="C257" i="8" s="1"/>
  <c r="C258" i="8" s="1"/>
  <c r="E253" i="8"/>
  <c r="F253" i="8" s="1"/>
  <c r="G253" i="8" s="1"/>
  <c r="H253" i="8" s="1"/>
  <c r="B241" i="8"/>
  <c r="B242" i="8" s="1"/>
  <c r="B243" i="8" s="1"/>
  <c r="B244" i="8" s="1"/>
  <c r="B245" i="8" s="1"/>
  <c r="H226" i="8"/>
  <c r="G226" i="8"/>
  <c r="F226" i="8"/>
  <c r="E226" i="8"/>
  <c r="D226" i="8"/>
  <c r="D225" i="8"/>
  <c r="E225" i="8" s="1"/>
  <c r="F225" i="8" s="1"/>
  <c r="G225" i="8" s="1"/>
  <c r="H225" i="8" s="1"/>
  <c r="D214" i="8"/>
  <c r="E214" i="8" s="1"/>
  <c r="F214" i="8" s="1"/>
  <c r="G214" i="8" s="1"/>
  <c r="H214" i="8" s="1"/>
  <c r="H182" i="8"/>
  <c r="G182" i="8"/>
  <c r="F182" i="8"/>
  <c r="E182" i="8"/>
  <c r="D182" i="8"/>
  <c r="H177" i="8"/>
  <c r="G177" i="8"/>
  <c r="F177" i="8"/>
  <c r="E177" i="8"/>
  <c r="D177" i="8"/>
  <c r="D175" i="8"/>
  <c r="E175" i="8" s="1"/>
  <c r="F175" i="8" s="1"/>
  <c r="G175" i="8" s="1"/>
  <c r="H175" i="8" s="1"/>
  <c r="C169" i="8"/>
  <c r="C168" i="8"/>
  <c r="D164" i="8"/>
  <c r="E164" i="8" s="1"/>
  <c r="F164" i="8" s="1"/>
  <c r="G164" i="8" s="1"/>
  <c r="H164" i="8" s="1"/>
  <c r="D125" i="8"/>
  <c r="E125" i="8" s="1"/>
  <c r="F125" i="8" s="1"/>
  <c r="G125" i="8" s="1"/>
  <c r="H125" i="8" s="1"/>
  <c r="H114" i="8"/>
  <c r="C144" i="8" s="1"/>
  <c r="D144" i="8" s="1"/>
  <c r="E144" i="8" s="1"/>
  <c r="F144" i="8" s="1"/>
  <c r="G144" i="8" s="1"/>
  <c r="H144" i="8" s="1"/>
  <c r="F114" i="8"/>
  <c r="H110" i="8"/>
  <c r="H107" i="8"/>
  <c r="C138" i="8" s="1"/>
  <c r="H106" i="8"/>
  <c r="C137" i="8" s="1"/>
  <c r="G103" i="8"/>
  <c r="H102" i="8"/>
  <c r="C133" i="8" s="1"/>
  <c r="H99" i="8"/>
  <c r="C130" i="8" s="1"/>
  <c r="H98" i="8"/>
  <c r="C128" i="8" s="1"/>
  <c r="H97" i="8"/>
  <c r="C127" i="8" s="1"/>
  <c r="H88" i="8"/>
  <c r="G88" i="8"/>
  <c r="F88" i="8"/>
  <c r="E88" i="8"/>
  <c r="C88" i="8"/>
  <c r="C79" i="8"/>
  <c r="G74" i="8"/>
  <c r="F73" i="8"/>
  <c r="D73" i="8"/>
  <c r="C71" i="8"/>
  <c r="C81" i="8" s="1"/>
  <c r="H70" i="8"/>
  <c r="C69" i="8"/>
  <c r="E68" i="8"/>
  <c r="F68" i="8" s="1"/>
  <c r="G68" i="8" s="1"/>
  <c r="H68" i="8" s="1"/>
  <c r="D68" i="8"/>
  <c r="F62" i="8"/>
  <c r="C126" i="8" s="1"/>
  <c r="C183" i="8" s="1"/>
  <c r="D176" i="8" s="1"/>
  <c r="F61" i="8"/>
  <c r="F60" i="8"/>
  <c r="G110" i="8" s="1"/>
  <c r="D59" i="8"/>
  <c r="D54" i="8"/>
  <c r="D53" i="8"/>
  <c r="E53" i="8" s="1"/>
  <c r="F53" i="8" s="1"/>
  <c r="G53" i="8" s="1"/>
  <c r="H53" i="8" s="1"/>
  <c r="D51" i="8"/>
  <c r="C51" i="8"/>
  <c r="D50" i="8"/>
  <c r="D49" i="8"/>
  <c r="G112" i="8" s="1"/>
  <c r="H112" i="8" s="1"/>
  <c r="C142" i="8" s="1"/>
  <c r="D48" i="8"/>
  <c r="D41" i="8"/>
  <c r="D36" i="8"/>
  <c r="E19" i="8"/>
  <c r="E18" i="8"/>
  <c r="E17" i="8"/>
  <c r="H169" i="8" s="1"/>
  <c r="E16" i="8"/>
  <c r="E15" i="8"/>
  <c r="E14" i="8"/>
  <c r="E12" i="8"/>
  <c r="G78" i="8" s="1"/>
  <c r="E10" i="8"/>
  <c r="F74" i="8" s="1"/>
  <c r="E9" i="8"/>
  <c r="C73" i="8" s="1"/>
  <c r="C75" i="8" s="1"/>
  <c r="E8" i="8"/>
  <c r="G70" i="8" s="1"/>
  <c r="C80" i="8" l="1"/>
  <c r="C82" i="8" s="1"/>
  <c r="C84" i="8" s="1"/>
  <c r="C158" i="8"/>
  <c r="D158" i="8" s="1"/>
  <c r="C85" i="8"/>
  <c r="C166" i="8" s="1"/>
  <c r="C129" i="8"/>
  <c r="F78" i="8"/>
  <c r="E78" i="8"/>
  <c r="D78" i="8"/>
  <c r="C78" i="8"/>
  <c r="C77" i="8" s="1"/>
  <c r="C76" i="8" s="1"/>
  <c r="H78" i="8"/>
  <c r="D60" i="8"/>
  <c r="C190" i="8" s="1"/>
  <c r="D188" i="8" s="1"/>
  <c r="G113" i="8"/>
  <c r="H113" i="8" s="1"/>
  <c r="C143" i="8" s="1"/>
  <c r="D62" i="8"/>
  <c r="C210" i="8" s="1"/>
  <c r="D209" i="8" s="1"/>
  <c r="D210" i="8" s="1"/>
  <c r="D192" i="8"/>
  <c r="D205" i="8"/>
  <c r="E54" i="8"/>
  <c r="C155" i="8"/>
  <c r="D155" i="8" s="1"/>
  <c r="C159" i="8"/>
  <c r="D159" i="8" s="1"/>
  <c r="D61" i="8"/>
  <c r="C203" i="8" s="1"/>
  <c r="D199" i="8" s="1"/>
  <c r="E73" i="8"/>
  <c r="H74" i="8"/>
  <c r="G111" i="8"/>
  <c r="H111" i="8" s="1"/>
  <c r="C141" i="8" s="1"/>
  <c r="D169" i="8"/>
  <c r="G73" i="8"/>
  <c r="D79" i="8"/>
  <c r="D70" i="8"/>
  <c r="D71" i="8" s="1"/>
  <c r="H73" i="8"/>
  <c r="G169" i="8"/>
  <c r="E70" i="8"/>
  <c r="E169" i="8" s="1"/>
  <c r="D74" i="8"/>
  <c r="F70" i="8"/>
  <c r="F169" i="8" s="1"/>
  <c r="E74" i="8"/>
  <c r="H100" i="8"/>
  <c r="C131" i="8" s="1"/>
  <c r="H108" i="8"/>
  <c r="C139" i="8" s="1"/>
  <c r="C170" i="8"/>
  <c r="C156" i="8" l="1"/>
  <c r="D156" i="8" s="1"/>
  <c r="C157" i="8"/>
  <c r="D157" i="8" s="1"/>
  <c r="D35" i="8"/>
  <c r="D200" i="8"/>
  <c r="D201" i="8"/>
  <c r="D219" i="8" s="1"/>
  <c r="D167" i="8" s="1"/>
  <c r="D129" i="8"/>
  <c r="E159" i="8"/>
  <c r="C151" i="8"/>
  <c r="E209" i="8"/>
  <c r="E210" i="8" s="1"/>
  <c r="D143" i="8"/>
  <c r="E158" i="8"/>
  <c r="D81" i="8"/>
  <c r="E71" i="8"/>
  <c r="D170" i="8"/>
  <c r="E155" i="8"/>
  <c r="E192" i="8"/>
  <c r="E205" i="8"/>
  <c r="F54" i="8"/>
  <c r="D69" i="8"/>
  <c r="H115" i="8"/>
  <c r="C145" i="8" s="1"/>
  <c r="F159" i="8" l="1"/>
  <c r="F192" i="8"/>
  <c r="F205" i="8"/>
  <c r="G54" i="8"/>
  <c r="E129" i="8"/>
  <c r="D86" i="8" s="1"/>
  <c r="D37" i="8"/>
  <c r="D38" i="8" s="1"/>
  <c r="F155" i="8"/>
  <c r="F209" i="8"/>
  <c r="F210" i="8" s="1"/>
  <c r="E143" i="8"/>
  <c r="E69" i="8"/>
  <c r="D75" i="8"/>
  <c r="D179" i="8"/>
  <c r="F71" i="8"/>
  <c r="E170" i="8"/>
  <c r="E81" i="8"/>
  <c r="E79" i="8"/>
  <c r="F158" i="8"/>
  <c r="C86" i="8"/>
  <c r="C87" i="8" s="1"/>
  <c r="E157" i="8"/>
  <c r="E156" i="8"/>
  <c r="F69" i="8" l="1"/>
  <c r="E75" i="8"/>
  <c r="F156" i="8"/>
  <c r="G71" i="8"/>
  <c r="F81" i="8"/>
  <c r="F79" i="8"/>
  <c r="F170" i="8"/>
  <c r="F157" i="8"/>
  <c r="F143" i="8"/>
  <c r="G209" i="8"/>
  <c r="G210" i="8" s="1"/>
  <c r="C89" i="8"/>
  <c r="C90" i="8" s="1"/>
  <c r="C165" i="8" s="1"/>
  <c r="C171" i="8" s="1"/>
  <c r="G155" i="8"/>
  <c r="F129" i="8"/>
  <c r="E86" i="8"/>
  <c r="G205" i="8"/>
  <c r="H54" i="8"/>
  <c r="G192" i="8"/>
  <c r="F59" i="8"/>
  <c r="F65" i="8" s="1"/>
  <c r="D40" i="8"/>
  <c r="D42" i="8" s="1"/>
  <c r="F103" i="8" s="1"/>
  <c r="H103" i="8" s="1"/>
  <c r="G158" i="8"/>
  <c r="G159" i="8"/>
  <c r="D85" i="8"/>
  <c r="D80" i="8"/>
  <c r="D82" i="8" s="1"/>
  <c r="D77" i="8"/>
  <c r="D76" i="8" s="1"/>
  <c r="D138" i="8"/>
  <c r="D130" i="8"/>
  <c r="D127" i="8"/>
  <c r="D64" i="8" l="1"/>
  <c r="D63" i="8"/>
  <c r="D137" i="8"/>
  <c r="D139" i="8" s="1"/>
  <c r="D128" i="8"/>
  <c r="H209" i="8"/>
  <c r="G143" i="8"/>
  <c r="H71" i="8"/>
  <c r="G170" i="8"/>
  <c r="G81" i="8"/>
  <c r="G79" i="8"/>
  <c r="H205" i="8"/>
  <c r="H192" i="8"/>
  <c r="H159" i="8"/>
  <c r="H158" i="8"/>
  <c r="G129" i="8"/>
  <c r="F86" i="8" s="1"/>
  <c r="G157" i="8"/>
  <c r="G156" i="8"/>
  <c r="D84" i="8"/>
  <c r="D166" i="8"/>
  <c r="D133" i="8"/>
  <c r="C134" i="8"/>
  <c r="D134" i="8" s="1"/>
  <c r="E134" i="8" s="1"/>
  <c r="F134" i="8" s="1"/>
  <c r="G134" i="8" s="1"/>
  <c r="H134" i="8" s="1"/>
  <c r="H104" i="8"/>
  <c r="E85" i="8"/>
  <c r="E166" i="8" s="1"/>
  <c r="E80" i="8"/>
  <c r="E82" i="8" s="1"/>
  <c r="E77" i="8"/>
  <c r="E76" i="8" s="1"/>
  <c r="E138" i="8"/>
  <c r="E130" i="8"/>
  <c r="E127" i="8"/>
  <c r="H155" i="8"/>
  <c r="G69" i="8"/>
  <c r="F75" i="8"/>
  <c r="D240" i="8" l="1"/>
  <c r="D65" i="8"/>
  <c r="G240" i="8"/>
  <c r="E240" i="8"/>
  <c r="F240" i="8"/>
  <c r="H240" i="8"/>
  <c r="E128" i="8"/>
  <c r="E137" i="8"/>
  <c r="E139" i="8" s="1"/>
  <c r="H156" i="8"/>
  <c r="E133" i="8"/>
  <c r="D135" i="8"/>
  <c r="H157" i="8"/>
  <c r="F85" i="8"/>
  <c r="F166" i="8" s="1"/>
  <c r="F80" i="8"/>
  <c r="F82" i="8" s="1"/>
  <c r="F77" i="8"/>
  <c r="F76" i="8" s="1"/>
  <c r="F127" i="8"/>
  <c r="F130" i="8"/>
  <c r="F138" i="8"/>
  <c r="H69" i="8"/>
  <c r="H75" i="8" s="1"/>
  <c r="G75" i="8"/>
  <c r="E84" i="8"/>
  <c r="D227" i="8"/>
  <c r="D228" i="8" s="1"/>
  <c r="D87" i="8"/>
  <c r="C135" i="8"/>
  <c r="H117" i="8"/>
  <c r="H81" i="8"/>
  <c r="H170" i="8"/>
  <c r="H79" i="8"/>
  <c r="H129" i="8"/>
  <c r="H86" i="8" s="1"/>
  <c r="G86" i="8"/>
  <c r="H130" i="8"/>
  <c r="H127" i="8"/>
  <c r="F137" i="8" l="1"/>
  <c r="F139" i="8" s="1"/>
  <c r="F128" i="8"/>
  <c r="F84" i="8"/>
  <c r="H82" i="8"/>
  <c r="H84" i="8" s="1"/>
  <c r="H85" i="8"/>
  <c r="H166" i="8" s="1"/>
  <c r="H76" i="8"/>
  <c r="H137" i="8" s="1"/>
  <c r="H139" i="8" s="1"/>
  <c r="H80" i="8"/>
  <c r="H77" i="8"/>
  <c r="H138" i="8"/>
  <c r="G85" i="8"/>
  <c r="G166" i="8" s="1"/>
  <c r="G77" i="8"/>
  <c r="G76" i="8" s="1"/>
  <c r="G80" i="8"/>
  <c r="G82" i="8" s="1"/>
  <c r="G138" i="8"/>
  <c r="G127" i="8"/>
  <c r="G130" i="8"/>
  <c r="C147" i="8"/>
  <c r="H119" i="8"/>
  <c r="C149" i="8" s="1"/>
  <c r="D89" i="8"/>
  <c r="D90" i="8" s="1"/>
  <c r="D165" i="8" s="1"/>
  <c r="E135" i="8"/>
  <c r="F133" i="8"/>
  <c r="E227" i="8"/>
  <c r="E228" i="8" s="1"/>
  <c r="E87" i="8"/>
  <c r="G128" i="8" l="1"/>
  <c r="G137" i="8"/>
  <c r="G139" i="8" s="1"/>
  <c r="H210" i="8"/>
  <c r="H143" i="8" s="1"/>
  <c r="H227" i="8"/>
  <c r="H228" i="8" s="1"/>
  <c r="H87" i="8"/>
  <c r="E89" i="8"/>
  <c r="E90" i="8" s="1"/>
  <c r="E165" i="8" s="1"/>
  <c r="H128" i="8"/>
  <c r="F87" i="8"/>
  <c r="F227" i="8"/>
  <c r="F228" i="8" s="1"/>
  <c r="F135" i="8"/>
  <c r="G133" i="8"/>
  <c r="G84" i="8"/>
  <c r="G135" i="8" l="1"/>
  <c r="H133" i="8"/>
  <c r="H135" i="8" s="1"/>
  <c r="H89" i="8"/>
  <c r="H90" i="8" s="1"/>
  <c r="H165" i="8" s="1"/>
  <c r="F90" i="8"/>
  <c r="F165" i="8" s="1"/>
  <c r="F89" i="8"/>
  <c r="G227" i="8"/>
  <c r="G228" i="8" s="1"/>
  <c r="G87" i="8"/>
  <c r="G89" i="8" l="1"/>
  <c r="G90" i="8" s="1"/>
  <c r="G165" i="8" s="1"/>
  <c r="E87" i="2" l="1"/>
  <c r="E86" i="2"/>
  <c r="F86" i="2"/>
  <c r="G86" i="2"/>
  <c r="H86" i="2"/>
  <c r="F87" i="2"/>
  <c r="G87" i="2"/>
  <c r="H87" i="2"/>
  <c r="D126" i="2" l="1"/>
  <c r="E18" i="2" l="1"/>
  <c r="E17" i="2"/>
  <c r="D36" i="2"/>
  <c r="C88" i="2"/>
  <c r="E9" i="2"/>
  <c r="H73" i="2" s="1"/>
  <c r="E19" i="2"/>
  <c r="E16" i="2"/>
  <c r="E15" i="2"/>
  <c r="E14" i="2"/>
  <c r="E12" i="2"/>
  <c r="H78" i="2" s="1"/>
  <c r="E10" i="2"/>
  <c r="F74" i="2" s="1"/>
  <c r="E8" i="2"/>
  <c r="E253" i="2"/>
  <c r="F253" i="2" s="1"/>
  <c r="G253" i="2" s="1"/>
  <c r="H253" i="2" s="1"/>
  <c r="C255" i="2"/>
  <c r="C256" i="2" s="1"/>
  <c r="C257" i="2" s="1"/>
  <c r="C258" i="2" s="1"/>
  <c r="B241" i="2"/>
  <c r="B242" i="2" s="1"/>
  <c r="B243" i="2" s="1"/>
  <c r="B244" i="2" s="1"/>
  <c r="B245" i="2" s="1"/>
  <c r="H226" i="2"/>
  <c r="G226" i="2"/>
  <c r="F226" i="2"/>
  <c r="E226" i="2"/>
  <c r="D226" i="2"/>
  <c r="D225" i="2"/>
  <c r="E225" i="2" s="1"/>
  <c r="F225" i="2" s="1"/>
  <c r="G225" i="2" s="1"/>
  <c r="H225" i="2" s="1"/>
  <c r="C169" i="2" l="1"/>
  <c r="C73" i="2"/>
  <c r="E73" i="2"/>
  <c r="D73" i="2"/>
  <c r="F73" i="2"/>
  <c r="G73" i="2"/>
  <c r="H74" i="2"/>
  <c r="D74" i="2"/>
  <c r="G74" i="2"/>
  <c r="C78" i="2"/>
  <c r="D78" i="2"/>
  <c r="E78" i="2"/>
  <c r="F78" i="2"/>
  <c r="E74" i="2"/>
  <c r="G78" i="2"/>
  <c r="D214" i="2" l="1"/>
  <c r="E214" i="2" s="1"/>
  <c r="F214" i="2" s="1"/>
  <c r="G214" i="2" s="1"/>
  <c r="H214" i="2" s="1"/>
  <c r="F62" i="2" l="1"/>
  <c r="C126" i="2" s="1"/>
  <c r="E182" i="2"/>
  <c r="F182" i="2"/>
  <c r="G182" i="2"/>
  <c r="H182" i="2"/>
  <c r="D182" i="2"/>
  <c r="E177" i="2" l="1"/>
  <c r="F177" i="2"/>
  <c r="G177" i="2"/>
  <c r="H177" i="2"/>
  <c r="D177" i="2"/>
  <c r="D175" i="2" l="1"/>
  <c r="E175" i="2" s="1"/>
  <c r="F175" i="2" s="1"/>
  <c r="G175" i="2" s="1"/>
  <c r="H175" i="2" s="1"/>
  <c r="C168" i="2"/>
  <c r="D164" i="2"/>
  <c r="E164" i="2" s="1"/>
  <c r="F164" i="2" s="1"/>
  <c r="G164" i="2" s="1"/>
  <c r="H164" i="2" s="1"/>
  <c r="F61" i="2" l="1"/>
  <c r="F60" i="2"/>
  <c r="G110" i="2" s="1"/>
  <c r="H110" i="2" s="1"/>
  <c r="D59" i="2"/>
  <c r="D54" i="2"/>
  <c r="D205" i="2" s="1"/>
  <c r="D53" i="2"/>
  <c r="E53" i="2" s="1"/>
  <c r="F53" i="2" s="1"/>
  <c r="G53" i="2" s="1"/>
  <c r="H53" i="2" s="1"/>
  <c r="C129" i="2" l="1"/>
  <c r="E54" i="2"/>
  <c r="E205" i="2" s="1"/>
  <c r="D192" i="2"/>
  <c r="C183" i="2"/>
  <c r="D176" i="2" s="1"/>
  <c r="D125" i="2"/>
  <c r="E125" i="2" s="1"/>
  <c r="F125" i="2" s="1"/>
  <c r="G125" i="2" s="1"/>
  <c r="H125" i="2" s="1"/>
  <c r="D41" i="2"/>
  <c r="H107" i="2"/>
  <c r="C138" i="2" s="1"/>
  <c r="H106" i="2"/>
  <c r="F114" i="2"/>
  <c r="H114" i="2" s="1"/>
  <c r="C144" i="2" s="1"/>
  <c r="D144" i="2" s="1"/>
  <c r="E144" i="2" s="1"/>
  <c r="F144" i="2" s="1"/>
  <c r="G144" i="2" s="1"/>
  <c r="H144" i="2" s="1"/>
  <c r="G103" i="2"/>
  <c r="H102" i="2"/>
  <c r="C133" i="2" s="1"/>
  <c r="H99" i="2"/>
  <c r="C130" i="2" s="1"/>
  <c r="H98" i="2"/>
  <c r="C128" i="2" s="1"/>
  <c r="H97" i="2"/>
  <c r="C127" i="2" s="1"/>
  <c r="D129" i="2" l="1"/>
  <c r="C86" i="2" s="1"/>
  <c r="F54" i="2"/>
  <c r="F205" i="2" s="1"/>
  <c r="E192" i="2"/>
  <c r="H108" i="2"/>
  <c r="C139" i="2" s="1"/>
  <c r="C137" i="2"/>
  <c r="H100" i="2"/>
  <c r="C131" i="2" s="1"/>
  <c r="C71" i="2"/>
  <c r="C69" i="2"/>
  <c r="D68" i="2"/>
  <c r="E68" i="2" s="1"/>
  <c r="F68" i="2" s="1"/>
  <c r="G68" i="2" s="1"/>
  <c r="H68" i="2" s="1"/>
  <c r="C51" i="2"/>
  <c r="C79" i="2" l="1"/>
  <c r="C170" i="2"/>
  <c r="C81" i="2"/>
  <c r="E129" i="2"/>
  <c r="G54" i="2"/>
  <c r="G205" i="2" s="1"/>
  <c r="F192" i="2"/>
  <c r="C151" i="2"/>
  <c r="C75" i="2"/>
  <c r="C80" i="2" s="1"/>
  <c r="F129" i="2" l="1"/>
  <c r="D86" i="2"/>
  <c r="H54" i="2"/>
  <c r="G192" i="2"/>
  <c r="C77" i="2"/>
  <c r="C76" i="2" s="1"/>
  <c r="C159" i="2"/>
  <c r="D159" i="2" s="1"/>
  <c r="C158" i="2"/>
  <c r="D158" i="2" s="1"/>
  <c r="C155" i="2"/>
  <c r="D155" i="2" s="1"/>
  <c r="C85" i="2"/>
  <c r="C166" i="2" s="1"/>
  <c r="C82" i="2"/>
  <c r="C84" i="2" l="1"/>
  <c r="G129" i="2"/>
  <c r="H192" i="2"/>
  <c r="H205" i="2"/>
  <c r="E158" i="2"/>
  <c r="E155" i="2"/>
  <c r="E159" i="2"/>
  <c r="C157" i="2"/>
  <c r="D157" i="2" s="1"/>
  <c r="C156" i="2"/>
  <c r="D156" i="2" s="1"/>
  <c r="C87" i="2" l="1"/>
  <c r="C89" i="2" s="1"/>
  <c r="C90" i="2" s="1"/>
  <c r="C165" i="2" s="1"/>
  <c r="C171" i="2" s="1"/>
  <c r="D35" i="2"/>
  <c r="D50" i="2"/>
  <c r="D49" i="2"/>
  <c r="D48" i="2"/>
  <c r="H129" i="2"/>
  <c r="F159" i="2"/>
  <c r="F155" i="2"/>
  <c r="F158" i="2"/>
  <c r="E157" i="2"/>
  <c r="E156" i="2"/>
  <c r="D61" i="2" l="1"/>
  <c r="C203" i="2" s="1"/>
  <c r="D199" i="2" s="1"/>
  <c r="D200" i="2" s="1"/>
  <c r="D60" i="2"/>
  <c r="C190" i="2" s="1"/>
  <c r="D188" i="2" s="1"/>
  <c r="G159" i="2"/>
  <c r="G158" i="2"/>
  <c r="F156" i="2"/>
  <c r="F157" i="2"/>
  <c r="G155" i="2"/>
  <c r="D37" i="2"/>
  <c r="D38" i="2" s="1"/>
  <c r="D40" i="2" s="1"/>
  <c r="D42" i="2" s="1"/>
  <c r="F103" i="2" s="1"/>
  <c r="H103" i="2" s="1"/>
  <c r="H104" i="2" s="1"/>
  <c r="G111" i="2" l="1"/>
  <c r="H111" i="2" s="1"/>
  <c r="C141" i="2" s="1"/>
  <c r="G112" i="2"/>
  <c r="H112" i="2" s="1"/>
  <c r="C142" i="2" s="1"/>
  <c r="D51" i="2"/>
  <c r="D62" i="2"/>
  <c r="C210" i="2" s="1"/>
  <c r="D209" i="2" s="1"/>
  <c r="D210" i="2" s="1"/>
  <c r="E209" i="2" s="1"/>
  <c r="E210" i="2" s="1"/>
  <c r="G113" i="2"/>
  <c r="H113" i="2" s="1"/>
  <c r="C143" i="2" s="1"/>
  <c r="D201" i="2"/>
  <c r="D219" i="2" s="1"/>
  <c r="D167" i="2" s="1"/>
  <c r="D179" i="2"/>
  <c r="H155" i="2"/>
  <c r="H158" i="2"/>
  <c r="G156" i="2"/>
  <c r="G157" i="2"/>
  <c r="H159" i="2"/>
  <c r="F59" i="2"/>
  <c r="F65" i="2" s="1"/>
  <c r="C134" i="2"/>
  <c r="D134" i="2" s="1"/>
  <c r="C135" i="2"/>
  <c r="D64" i="2" l="1"/>
  <c r="D63" i="2"/>
  <c r="D65" i="2" s="1"/>
  <c r="D143" i="2"/>
  <c r="H115" i="2"/>
  <c r="C145" i="2" s="1"/>
  <c r="F209" i="2"/>
  <c r="F210" i="2" s="1"/>
  <c r="E143" i="2"/>
  <c r="H156" i="2"/>
  <c r="E134" i="2"/>
  <c r="H157" i="2"/>
  <c r="H240" i="2" l="1"/>
  <c r="F240" i="2"/>
  <c r="D240" i="2"/>
  <c r="E240" i="2"/>
  <c r="G240" i="2"/>
  <c r="H117" i="2"/>
  <c r="H119" i="2" s="1"/>
  <c r="C149" i="2" s="1"/>
  <c r="G209" i="2"/>
  <c r="G210" i="2" s="1"/>
  <c r="F143" i="2"/>
  <c r="F134" i="2"/>
  <c r="C147" i="2" l="1"/>
  <c r="H209" i="2"/>
  <c r="G143" i="2"/>
  <c r="G134" i="2"/>
  <c r="H134" i="2" l="1"/>
  <c r="G70" i="2" l="1"/>
  <c r="G169" i="2" s="1"/>
  <c r="F70" i="2"/>
  <c r="F169" i="2" s="1"/>
  <c r="H70" i="2"/>
  <c r="H169" i="2" s="1"/>
  <c r="E70" i="2"/>
  <c r="E169" i="2" s="1"/>
  <c r="D70" i="2"/>
  <c r="D169" i="2" s="1"/>
  <c r="D71" i="2" l="1"/>
  <c r="D69" i="2"/>
  <c r="D75" i="2" s="1"/>
  <c r="D170" i="2" l="1"/>
  <c r="D79" i="2"/>
  <c r="D85" i="2"/>
  <c r="D166" i="2" s="1"/>
  <c r="D80" i="2"/>
  <c r="D81" i="2"/>
  <c r="D82" i="2"/>
  <c r="E71" i="2"/>
  <c r="E170" i="2" s="1"/>
  <c r="E69" i="2"/>
  <c r="F69" i="2" s="1"/>
  <c r="D77" i="2"/>
  <c r="D76" i="2" s="1"/>
  <c r="D137" i="2" s="1"/>
  <c r="D130" i="2"/>
  <c r="D127" i="2"/>
  <c r="D138" i="2"/>
  <c r="D133" i="2" l="1"/>
  <c r="D135" i="2" s="1"/>
  <c r="E81" i="2"/>
  <c r="E79" i="2"/>
  <c r="F71" i="2"/>
  <c r="F170" i="2" s="1"/>
  <c r="D128" i="2"/>
  <c r="E75" i="2"/>
  <c r="D84" i="2"/>
  <c r="D227" i="2" s="1"/>
  <c r="D228" i="2" s="1"/>
  <c r="D139" i="2"/>
  <c r="G69" i="2"/>
  <c r="F75" i="2"/>
  <c r="F80" i="2" s="1"/>
  <c r="G71" i="2" l="1"/>
  <c r="G170" i="2" s="1"/>
  <c r="E138" i="2"/>
  <c r="E80" i="2"/>
  <c r="E82" i="2" s="1"/>
  <c r="G81" i="2"/>
  <c r="F81" i="2"/>
  <c r="F79" i="2"/>
  <c r="F82" i="2" s="1"/>
  <c r="E166" i="2"/>
  <c r="E127" i="2"/>
  <c r="E130" i="2"/>
  <c r="E77" i="2"/>
  <c r="E76" i="2" s="1"/>
  <c r="E128" i="2" s="1"/>
  <c r="D87" i="2"/>
  <c r="F166" i="2"/>
  <c r="F130" i="2"/>
  <c r="F127" i="2"/>
  <c r="F138" i="2"/>
  <c r="F77" i="2"/>
  <c r="F76" i="2" s="1"/>
  <c r="H71" i="2"/>
  <c r="H170" i="2" s="1"/>
  <c r="H69" i="2"/>
  <c r="H75" i="2" s="1"/>
  <c r="H80" i="2" s="1"/>
  <c r="G75" i="2"/>
  <c r="G80" i="2" s="1"/>
  <c r="G79" i="2" l="1"/>
  <c r="E133" i="2"/>
  <c r="F133" i="2" s="1"/>
  <c r="H81" i="2"/>
  <c r="H79" i="2"/>
  <c r="E137" i="2"/>
  <c r="E139" i="2" s="1"/>
  <c r="E227" i="2"/>
  <c r="E228" i="2" s="1"/>
  <c r="F137" i="2"/>
  <c r="F139" i="2" s="1"/>
  <c r="F128" i="2"/>
  <c r="H130" i="2"/>
  <c r="H127" i="2"/>
  <c r="H166" i="2"/>
  <c r="H77" i="2"/>
  <c r="H76" i="2" s="1"/>
  <c r="H138" i="2"/>
  <c r="G166" i="2"/>
  <c r="G127" i="2"/>
  <c r="G77" i="2"/>
  <c r="G76" i="2" s="1"/>
  <c r="G82" i="2"/>
  <c r="G138" i="2"/>
  <c r="G130" i="2"/>
  <c r="E135" i="2" l="1"/>
  <c r="F227" i="2"/>
  <c r="F228" i="2" s="1"/>
  <c r="H82" i="2"/>
  <c r="H128" i="2"/>
  <c r="H137" i="2"/>
  <c r="H139" i="2" s="1"/>
  <c r="G128" i="2"/>
  <c r="G137" i="2"/>
  <c r="G139" i="2" s="1"/>
  <c r="F135" i="2"/>
  <c r="G133" i="2"/>
  <c r="H227" i="2" l="1"/>
  <c r="H228" i="2" s="1"/>
  <c r="H231" i="2" s="1"/>
  <c r="H234" i="2" s="1"/>
  <c r="H210" i="2"/>
  <c r="H143" i="2" s="1"/>
  <c r="G227" i="2"/>
  <c r="G228" i="2" s="1"/>
  <c r="G231" i="2" s="1"/>
  <c r="H133" i="2"/>
  <c r="H135" i="2" s="1"/>
  <c r="G135" i="2"/>
  <c r="D131" i="2"/>
  <c r="D151" i="2" s="1"/>
  <c r="D152" i="2" s="1"/>
  <c r="D168" i="2" s="1"/>
  <c r="D229" i="2"/>
  <c r="E231" i="2"/>
  <c r="E233" i="2" s="1"/>
  <c r="F231" i="2"/>
  <c r="F232" i="2" s="1"/>
  <c r="G232" i="2" l="1"/>
  <c r="G234" i="2"/>
  <c r="G233" i="2"/>
  <c r="F233" i="2"/>
  <c r="F234" i="2"/>
  <c r="F243" i="2" s="1"/>
  <c r="F247" i="2" s="1"/>
  <c r="H245" i="2"/>
  <c r="H247" i="2" s="1"/>
  <c r="C253" i="2" s="1"/>
  <c r="H236" i="2"/>
  <c r="H232" i="2"/>
  <c r="E234" i="2"/>
  <c r="H233" i="2"/>
  <c r="E232" i="2"/>
  <c r="G236" i="2" l="1"/>
  <c r="G244" i="2"/>
  <c r="G247" i="2" s="1"/>
  <c r="F236" i="2"/>
  <c r="E242" i="2"/>
  <c r="E247" i="2" s="1"/>
  <c r="E236" i="2"/>
  <c r="D88" i="2"/>
  <c r="E88" i="2"/>
  <c r="F88" i="2"/>
  <c r="G88" i="2"/>
  <c r="H88" i="2"/>
  <c r="D89" i="2"/>
  <c r="E89" i="2"/>
  <c r="F89" i="2"/>
  <c r="G89" i="2"/>
  <c r="H89" i="2"/>
  <c r="D90" i="2"/>
  <c r="E90" i="2"/>
  <c r="F90" i="2"/>
  <c r="G90" i="2"/>
  <c r="H90" i="2"/>
  <c r="E126" i="2"/>
  <c r="F126" i="2"/>
  <c r="G126" i="2"/>
  <c r="H126" i="2"/>
  <c r="E131" i="2"/>
  <c r="F131" i="2"/>
  <c r="G131" i="2"/>
  <c r="H131" i="2"/>
  <c r="D141" i="2"/>
  <c r="E141" i="2"/>
  <c r="F141" i="2"/>
  <c r="G141" i="2"/>
  <c r="H141" i="2"/>
  <c r="D142" i="2"/>
  <c r="E142" i="2"/>
  <c r="F142" i="2"/>
  <c r="G142" i="2"/>
  <c r="H142" i="2"/>
  <c r="D145" i="2"/>
  <c r="E145" i="2"/>
  <c r="F145" i="2"/>
  <c r="G145" i="2"/>
  <c r="H145" i="2"/>
  <c r="D147" i="2"/>
  <c r="E147" i="2"/>
  <c r="F147" i="2"/>
  <c r="G147" i="2"/>
  <c r="H147" i="2"/>
  <c r="D149" i="2"/>
  <c r="E149" i="2"/>
  <c r="F149" i="2"/>
  <c r="G149" i="2"/>
  <c r="H149" i="2"/>
  <c r="E151" i="2"/>
  <c r="F151" i="2"/>
  <c r="G151" i="2"/>
  <c r="H151" i="2"/>
  <c r="E152" i="2"/>
  <c r="F152" i="2"/>
  <c r="G152" i="2"/>
  <c r="H152" i="2"/>
  <c r="D165" i="2"/>
  <c r="E165" i="2"/>
  <c r="F165" i="2"/>
  <c r="G165" i="2"/>
  <c r="H165" i="2"/>
  <c r="E167" i="2"/>
  <c r="F167" i="2"/>
  <c r="G167" i="2"/>
  <c r="H167" i="2"/>
  <c r="E168" i="2"/>
  <c r="F168" i="2"/>
  <c r="G168" i="2"/>
  <c r="H168" i="2"/>
  <c r="D171" i="2"/>
  <c r="E171" i="2"/>
  <c r="F171" i="2"/>
  <c r="G171" i="2"/>
  <c r="H171" i="2"/>
  <c r="E176" i="2"/>
  <c r="F176" i="2"/>
  <c r="G176" i="2"/>
  <c r="H176" i="2"/>
  <c r="D178" i="2"/>
  <c r="E178" i="2"/>
  <c r="F178" i="2"/>
  <c r="G178" i="2"/>
  <c r="H178" i="2"/>
  <c r="E179" i="2"/>
  <c r="F179" i="2"/>
  <c r="G179" i="2"/>
  <c r="H179" i="2"/>
  <c r="D180" i="2"/>
  <c r="E180" i="2"/>
  <c r="F180" i="2"/>
  <c r="G180" i="2"/>
  <c r="H180" i="2"/>
  <c r="D181" i="2"/>
  <c r="E181" i="2"/>
  <c r="F181" i="2"/>
  <c r="G181" i="2"/>
  <c r="H181" i="2"/>
  <c r="D183" i="2"/>
  <c r="E183" i="2"/>
  <c r="F183" i="2"/>
  <c r="G183" i="2"/>
  <c r="H183" i="2"/>
  <c r="D185" i="2"/>
  <c r="E185" i="2"/>
  <c r="F185" i="2"/>
  <c r="G185" i="2"/>
  <c r="H185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/>
  <c r="H190" i="2"/>
  <c r="D193" i="2"/>
  <c r="E193" i="2"/>
  <c r="F193" i="2"/>
  <c r="G193" i="2"/>
  <c r="H193" i="2"/>
  <c r="D194" i="2"/>
  <c r="E194" i="2"/>
  <c r="F194" i="2"/>
  <c r="G194" i="2"/>
  <c r="H194" i="2"/>
  <c r="D196" i="2"/>
  <c r="E196" i="2"/>
  <c r="F196" i="2"/>
  <c r="G196" i="2"/>
  <c r="H196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D202" i="2"/>
  <c r="E202" i="2"/>
  <c r="F202" i="2"/>
  <c r="G202" i="2"/>
  <c r="H202" i="2"/>
  <c r="D203" i="2"/>
  <c r="E203" i="2"/>
  <c r="F203" i="2"/>
  <c r="G203" i="2"/>
  <c r="H203" i="2"/>
  <c r="D206" i="2"/>
  <c r="E206" i="2"/>
  <c r="F206" i="2"/>
  <c r="G206" i="2"/>
  <c r="H206" i="2"/>
  <c r="D216" i="2"/>
  <c r="E216" i="2"/>
  <c r="F216" i="2"/>
  <c r="G216" i="2"/>
  <c r="H216" i="2"/>
  <c r="D217" i="2"/>
  <c r="E217" i="2"/>
  <c r="F217" i="2"/>
  <c r="G217" i="2"/>
  <c r="H217" i="2"/>
  <c r="E219" i="2"/>
  <c r="F219" i="2"/>
  <c r="G219" i="2"/>
  <c r="H219" i="2"/>
  <c r="D220" i="2"/>
  <c r="E220" i="2"/>
  <c r="F220" i="2"/>
  <c r="G220" i="2"/>
  <c r="H220" i="2"/>
  <c r="E229" i="2"/>
  <c r="F229" i="2"/>
  <c r="G229" i="2"/>
  <c r="H229" i="2"/>
  <c r="D230" i="2"/>
  <c r="E230" i="2"/>
  <c r="F230" i="2"/>
  <c r="G230" i="2"/>
  <c r="H230" i="2"/>
  <c r="D231" i="2"/>
  <c r="D232" i="2"/>
  <c r="D233" i="2"/>
  <c r="D234" i="2"/>
  <c r="D236" i="2"/>
  <c r="D241" i="2"/>
  <c r="D247" i="2"/>
  <c r="D126" i="8"/>
  <c r="E126" i="8"/>
  <c r="F126" i="8"/>
  <c r="G126" i="8"/>
  <c r="H126" i="8"/>
  <c r="D131" i="8"/>
  <c r="E131" i="8"/>
  <c r="F131" i="8"/>
  <c r="G131" i="8"/>
  <c r="H131" i="8"/>
  <c r="D141" i="8"/>
  <c r="E141" i="8"/>
  <c r="F141" i="8"/>
  <c r="G141" i="8"/>
  <c r="H141" i="8"/>
  <c r="D142" i="8"/>
  <c r="E142" i="8"/>
  <c r="F142" i="8"/>
  <c r="G142" i="8"/>
  <c r="H142" i="8"/>
  <c r="D145" i="8"/>
  <c r="E145" i="8"/>
  <c r="F145" i="8"/>
  <c r="G145" i="8"/>
  <c r="H145" i="8"/>
  <c r="D147" i="8"/>
  <c r="E147" i="8"/>
  <c r="F147" i="8"/>
  <c r="G147" i="8"/>
  <c r="H147" i="8"/>
  <c r="D149" i="8"/>
  <c r="E149" i="8"/>
  <c r="F149" i="8"/>
  <c r="G149" i="8"/>
  <c r="H149" i="8"/>
  <c r="D151" i="8"/>
  <c r="E151" i="8"/>
  <c r="F151" i="8"/>
  <c r="G151" i="8"/>
  <c r="H151" i="8"/>
  <c r="D152" i="8"/>
  <c r="E152" i="8"/>
  <c r="F152" i="8"/>
  <c r="G152" i="8"/>
  <c r="H152" i="8"/>
  <c r="E167" i="8"/>
  <c r="F167" i="8"/>
  <c r="G167" i="8"/>
  <c r="H167" i="8"/>
  <c r="D168" i="8"/>
  <c r="E168" i="8"/>
  <c r="F168" i="8"/>
  <c r="G168" i="8"/>
  <c r="H168" i="8"/>
  <c r="D171" i="8"/>
  <c r="E171" i="8"/>
  <c r="F171" i="8"/>
  <c r="G171" i="8"/>
  <c r="H171" i="8"/>
  <c r="E176" i="8"/>
  <c r="F176" i="8"/>
  <c r="G176" i="8"/>
  <c r="H176" i="8"/>
  <c r="D178" i="8"/>
  <c r="E178" i="8"/>
  <c r="F178" i="8"/>
  <c r="G178" i="8"/>
  <c r="H178" i="8"/>
  <c r="E179" i="8"/>
  <c r="F179" i="8"/>
  <c r="G179" i="8"/>
  <c r="H179" i="8"/>
  <c r="D180" i="8"/>
  <c r="E180" i="8"/>
  <c r="F180" i="8"/>
  <c r="G180" i="8"/>
  <c r="H180" i="8"/>
  <c r="D181" i="8"/>
  <c r="E181" i="8"/>
  <c r="F181" i="8"/>
  <c r="G181" i="8"/>
  <c r="H181" i="8"/>
  <c r="D183" i="8"/>
  <c r="E183" i="8"/>
  <c r="F183" i="8"/>
  <c r="G183" i="8"/>
  <c r="H183" i="8"/>
  <c r="D185" i="8"/>
  <c r="E185" i="8"/>
  <c r="F185" i="8"/>
  <c r="G185" i="8"/>
  <c r="H185" i="8"/>
  <c r="E188" i="8"/>
  <c r="F188" i="8"/>
  <c r="G188" i="8"/>
  <c r="H188" i="8"/>
  <c r="D189" i="8"/>
  <c r="E189" i="8"/>
  <c r="F189" i="8"/>
  <c r="G189" i="8"/>
  <c r="H189" i="8"/>
  <c r="D190" i="8"/>
  <c r="E190" i="8"/>
  <c r="F190" i="8"/>
  <c r="G190" i="8"/>
  <c r="H190" i="8"/>
  <c r="D193" i="8"/>
  <c r="E193" i="8"/>
  <c r="F193" i="8"/>
  <c r="G193" i="8"/>
  <c r="H193" i="8"/>
  <c r="D194" i="8"/>
  <c r="E194" i="8"/>
  <c r="F194" i="8"/>
  <c r="G194" i="8"/>
  <c r="H194" i="8"/>
  <c r="D196" i="8"/>
  <c r="E196" i="8"/>
  <c r="F196" i="8"/>
  <c r="G196" i="8"/>
  <c r="H196" i="8"/>
  <c r="E199" i="8"/>
  <c r="F199" i="8"/>
  <c r="G199" i="8"/>
  <c r="H199" i="8"/>
  <c r="E200" i="8"/>
  <c r="F200" i="8"/>
  <c r="G200" i="8"/>
  <c r="H200" i="8"/>
  <c r="E201" i="8"/>
  <c r="F201" i="8"/>
  <c r="G201" i="8"/>
  <c r="H201" i="8"/>
  <c r="D202" i="8"/>
  <c r="E202" i="8"/>
  <c r="F202" i="8"/>
  <c r="G202" i="8"/>
  <c r="H202" i="8"/>
  <c r="D203" i="8"/>
  <c r="E203" i="8"/>
  <c r="F203" i="8"/>
  <c r="G203" i="8"/>
  <c r="H203" i="8"/>
  <c r="D206" i="8"/>
  <c r="E206" i="8"/>
  <c r="F206" i="8"/>
  <c r="G206" i="8"/>
  <c r="H206" i="8"/>
  <c r="D216" i="8"/>
  <c r="E216" i="8"/>
  <c r="F216" i="8"/>
  <c r="G216" i="8"/>
  <c r="H216" i="8"/>
  <c r="D217" i="8"/>
  <c r="E217" i="8"/>
  <c r="F217" i="8"/>
  <c r="G217" i="8"/>
  <c r="H217" i="8"/>
  <c r="E219" i="8"/>
  <c r="F219" i="8"/>
  <c r="G219" i="8"/>
  <c r="H219" i="8"/>
  <c r="D229" i="8"/>
  <c r="E229" i="8"/>
  <c r="F229" i="8"/>
  <c r="G229" i="8"/>
  <c r="H229" i="8"/>
  <c r="D230" i="8"/>
  <c r="E230" i="8"/>
  <c r="F230" i="8"/>
  <c r="G230" i="8"/>
  <c r="H230" i="8"/>
  <c r="D231" i="8"/>
  <c r="E231" i="8"/>
  <c r="F231" i="8"/>
  <c r="G231" i="8"/>
  <c r="H231" i="8"/>
  <c r="D232" i="8"/>
  <c r="E232" i="8"/>
  <c r="F232" i="8"/>
  <c r="G232" i="8"/>
  <c r="H232" i="8"/>
  <c r="D233" i="8"/>
  <c r="E233" i="8"/>
  <c r="F233" i="8"/>
  <c r="G233" i="8"/>
  <c r="H233" i="8"/>
  <c r="D234" i="8"/>
  <c r="E234" i="8"/>
  <c r="F234" i="8"/>
  <c r="G234" i="8"/>
  <c r="H234" i="8"/>
  <c r="D236" i="8"/>
  <c r="E236" i="8"/>
  <c r="F236" i="8"/>
  <c r="G236" i="8"/>
  <c r="H236" i="8"/>
  <c r="D241" i="8"/>
  <c r="E242" i="8"/>
  <c r="F243" i="8"/>
  <c r="G244" i="8"/>
  <c r="H245" i="8"/>
  <c r="D247" i="8"/>
  <c r="E247" i="8"/>
  <c r="F247" i="8"/>
  <c r="G247" i="8"/>
  <c r="H247" i="8"/>
  <c r="C253" i="8"/>
</calcChain>
</file>

<file path=xl/sharedStrings.xml><?xml version="1.0" encoding="utf-8"?>
<sst xmlns="http://schemas.openxmlformats.org/spreadsheetml/2006/main" count="441" uniqueCount="160">
  <si>
    <t>AUV</t>
  </si>
  <si>
    <t>Income Statement</t>
  </si>
  <si>
    <t>Balance Sheet</t>
  </si>
  <si>
    <t>Cash</t>
  </si>
  <si>
    <t>AR</t>
  </si>
  <si>
    <t>Inventory</t>
  </si>
  <si>
    <t>Other Current Assets</t>
  </si>
  <si>
    <t>Total Current Assets</t>
  </si>
  <si>
    <t>PP&amp;E</t>
  </si>
  <si>
    <t>Goodwill</t>
  </si>
  <si>
    <t>Total Assets</t>
  </si>
  <si>
    <t>AP</t>
  </si>
  <si>
    <t>Other Current Liabilities</t>
  </si>
  <si>
    <t>Total Current Liabilities</t>
  </si>
  <si>
    <t>Long Term Liabilities</t>
  </si>
  <si>
    <t>Total Liabilities</t>
  </si>
  <si>
    <t>Shareholders' Equity</t>
  </si>
  <si>
    <t>Total Liabilities &amp; Equity</t>
  </si>
  <si>
    <t/>
  </si>
  <si>
    <t>x</t>
  </si>
  <si>
    <t>AUV / restaurant</t>
  </si>
  <si>
    <t>Opex</t>
  </si>
  <si>
    <t>Tax Rate</t>
  </si>
  <si>
    <t>Growth Capex</t>
  </si>
  <si>
    <t>Maint Capex</t>
  </si>
  <si>
    <t>Sources and Uses</t>
  </si>
  <si>
    <t>Financing</t>
  </si>
  <si>
    <t>Type of Debt</t>
  </si>
  <si>
    <t>(x) EBITDA</t>
  </si>
  <si>
    <t>Value</t>
  </si>
  <si>
    <t>Cash Interest</t>
  </si>
  <si>
    <t>Non-Cash Interest</t>
  </si>
  <si>
    <t>RCF</t>
  </si>
  <si>
    <t>Loan A</t>
  </si>
  <si>
    <t>Seller Note</t>
  </si>
  <si>
    <t>Total</t>
  </si>
  <si>
    <t>Number of Restaurants</t>
  </si>
  <si>
    <t>(+) New Restaurants</t>
  </si>
  <si>
    <t>Downside</t>
  </si>
  <si>
    <t>Base</t>
  </si>
  <si>
    <t>Upside</t>
  </si>
  <si>
    <t>(%) Growth</t>
  </si>
  <si>
    <t>Revenue</t>
  </si>
  <si>
    <t>Gross Profit</t>
  </si>
  <si>
    <t>(% Margin)</t>
  </si>
  <si>
    <t>Total restaurants</t>
  </si>
  <si>
    <t>Total Opex</t>
  </si>
  <si>
    <t>EBITDA</t>
  </si>
  <si>
    <t>Depreciation</t>
  </si>
  <si>
    <t>(-) Operating Expense</t>
  </si>
  <si>
    <t>(-) Management Fee</t>
  </si>
  <si>
    <t>(-) Annual Rent Expense</t>
  </si>
  <si>
    <t>(-) Depreciation</t>
  </si>
  <si>
    <t>EBIT</t>
  </si>
  <si>
    <t>(-) Net Interest Expense</t>
  </si>
  <si>
    <t>(-) Taxes</t>
  </si>
  <si>
    <t>Net Income</t>
  </si>
  <si>
    <t>Closing Balance Sheet</t>
  </si>
  <si>
    <t>Credit</t>
  </si>
  <si>
    <t>Debit</t>
  </si>
  <si>
    <t>Min Cash</t>
  </si>
  <si>
    <t>LTM EBITDA</t>
  </si>
  <si>
    <t>(x) Entry Multiple</t>
  </si>
  <si>
    <t>Total Enterprise Value</t>
  </si>
  <si>
    <t>Equity Value</t>
  </si>
  <si>
    <t>Entry Assumptions / Purchase Accounting</t>
  </si>
  <si>
    <t>Equity Purchase Price</t>
  </si>
  <si>
    <t>(-) Tangible Book Value</t>
  </si>
  <si>
    <t>New Goodwill Created</t>
  </si>
  <si>
    <t>Sources</t>
  </si>
  <si>
    <t>Uses</t>
  </si>
  <si>
    <t>Excess Cash</t>
  </si>
  <si>
    <t>Sponsor Equity</t>
  </si>
  <si>
    <t>Rollover Equity</t>
  </si>
  <si>
    <t>Financing Fees</t>
  </si>
  <si>
    <t>Additional Expenses</t>
  </si>
  <si>
    <t>(-) Cost of Goods Sold</t>
  </si>
  <si>
    <t>LIBOR</t>
  </si>
  <si>
    <t>Sponsor Ownership</t>
  </si>
  <si>
    <t>Working Capital Schedule</t>
  </si>
  <si>
    <t>A/R Days</t>
  </si>
  <si>
    <t>A/P Days</t>
  </si>
  <si>
    <t>Inventory Days</t>
  </si>
  <si>
    <t>Other Current Liabiliites</t>
  </si>
  <si>
    <t>Levered FCF Build</t>
  </si>
  <si>
    <t>(+) D&amp;A</t>
  </si>
  <si>
    <t>(+) Non-cash expenses</t>
  </si>
  <si>
    <t>(-) Change in NWC</t>
  </si>
  <si>
    <t>(-) Expansionary Capex</t>
  </si>
  <si>
    <t>(-) Maint. Capex</t>
  </si>
  <si>
    <t>Levered FCF</t>
  </si>
  <si>
    <t>Net Working Capital</t>
  </si>
  <si>
    <t>Change in NWC</t>
  </si>
  <si>
    <t>Debt Schedule</t>
  </si>
  <si>
    <t>Beginning cash</t>
  </si>
  <si>
    <t>(-) Min Cash</t>
  </si>
  <si>
    <t>(-) Mandatory Debt Payments</t>
  </si>
  <si>
    <t>(-) Revolver Drawdown / (paydown)</t>
  </si>
  <si>
    <t>(-) Optional Debt Payments</t>
  </si>
  <si>
    <t>(+) Minimum Cash Balance</t>
  </si>
  <si>
    <t>(+) LFCF</t>
  </si>
  <si>
    <t>Ending Cash Balance</t>
  </si>
  <si>
    <t>Cash available for revolver</t>
  </si>
  <si>
    <t>Revolver</t>
  </si>
  <si>
    <t>Beginning balance</t>
  </si>
  <si>
    <t>(+) Drawdown / paydown</t>
  </si>
  <si>
    <t>Ending Balance</t>
  </si>
  <si>
    <t>Average balance</t>
  </si>
  <si>
    <t>Interest expense</t>
  </si>
  <si>
    <t>Cash Available for Term Loan</t>
  </si>
  <si>
    <t>Term Loan</t>
  </si>
  <si>
    <t>(-) Mandatory Amort</t>
  </si>
  <si>
    <t>(-) Optional Pay down</t>
  </si>
  <si>
    <t>Term Loan A</t>
  </si>
  <si>
    <t>(+) PIK Interest</t>
  </si>
  <si>
    <t>Contingent Seller Note</t>
  </si>
  <si>
    <t>Beginning Balance</t>
  </si>
  <si>
    <t>Interest Schedule</t>
  </si>
  <si>
    <t>PIK Interest</t>
  </si>
  <si>
    <t>Interest rate</t>
  </si>
  <si>
    <t>Net Interest Expense</t>
  </si>
  <si>
    <t>Returns Profile</t>
  </si>
  <si>
    <t>Exit Multiple</t>
  </si>
  <si>
    <t>Management Options</t>
  </si>
  <si>
    <t>MOIC</t>
  </si>
  <si>
    <t>IRR</t>
  </si>
  <si>
    <t>Sensitivities</t>
  </si>
  <si>
    <t>(-) Financing Fee Amort</t>
  </si>
  <si>
    <t>Capitalized FF</t>
  </si>
  <si>
    <t>Amortization</t>
  </si>
  <si>
    <t>Tenor</t>
  </si>
  <si>
    <t>(-) Debt</t>
  </si>
  <si>
    <t>(+) Cash</t>
  </si>
  <si>
    <t>(-) Mgmt Rollover</t>
  </si>
  <si>
    <t>Entry Multiple</t>
  </si>
  <si>
    <t>Implied Enterprise Value</t>
  </si>
  <si>
    <t>(-) Mgmt Options</t>
  </si>
  <si>
    <t>Sponsor Value</t>
  </si>
  <si>
    <t>Initial Sponsor Investment</t>
  </si>
  <si>
    <t>Exit multiple</t>
  </si>
  <si>
    <t xml:space="preserve">IRR - Entry / Exit Multiple </t>
  </si>
  <si>
    <t>Operating</t>
  </si>
  <si>
    <t># New Restaurant Growth</t>
  </si>
  <si>
    <t>AUV % Growth</t>
  </si>
  <si>
    <t>% Gross Margin</t>
  </si>
  <si>
    <t>Rent Expense</t>
  </si>
  <si>
    <t>Owners Base Salary</t>
  </si>
  <si>
    <t>Owners Revenue Share</t>
  </si>
  <si>
    <t>Operating Expenses</t>
  </si>
  <si>
    <t>LBO Model</t>
  </si>
  <si>
    <t>Operating Case</t>
  </si>
  <si>
    <t>Operating Assumptions</t>
  </si>
  <si>
    <t>Entry / Exit</t>
  </si>
  <si>
    <t>Ongoing Assumptions</t>
  </si>
  <si>
    <t>Additional Transaction Fees</t>
  </si>
  <si>
    <t>Starting restaurants</t>
  </si>
  <si>
    <t>Entry Rollover</t>
  </si>
  <si>
    <t>Exit Rollover</t>
  </si>
  <si>
    <t>asdf</t>
  </si>
  <si>
    <t>DURING DEMO WILL DELETE THESE TWO ROWS, AND MODEL WILL REF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</si>
</sst>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5" formatCode="&quot;$&quot;#,##0_);\(&quot;$&quot;#,##0\)"/>
    <numFmt numFmtId="6" formatCode="&quot;$&quot;#,##0_);[Red]\(&quot;$&quot;#,##0\)"/>
    <numFmt numFmtId="164" formatCode="&quot;$&quot;#,##0.0_);\(&quot;$&quot;#,##0.0\);\–_);&quot;–&quot;_)"/>
    <numFmt numFmtId="165" formatCode="0.0\x_);\(0.0\x\);&quot;–&quot;_)"/>
    <numFmt numFmtId="166" formatCode="yyyy&quot;A&quot;"/>
    <numFmt numFmtId="167" formatCode="0.0%_);\(0.0%\);&quot;–&quot;_)"/>
    <numFmt numFmtId="168" formatCode="0.0%"/>
    <numFmt numFmtId="169" formatCode="&quot;L&quot;\ \+\ #"/>
    <numFmt numFmtId="170" formatCode="yyyy&quot;E&quot;"/>
    <numFmt numFmtId="171" formatCode="#,##0_);\(#,##0\);\–_);&quot;–&quot;_)"/>
    <numFmt numFmtId="172" formatCode="&quot;$&quot;#,##0.0_);\(&quot;$&quot;#,##0.0\)"/>
    <numFmt numFmtId="173" formatCode="0.0%\ &quot;of sales&quot;"/>
    <numFmt numFmtId="174" formatCode="yyyy&quot;PF&quot;"/>
    <numFmt numFmtId="175" formatCode="0.00%_);\(0.00%\);&quot;–&quot;_)"/>
    <numFmt numFmtId="176" formatCode="0\ &quot;years&quot;"/>
    <numFmt numFmtId="177" formatCode="0.0\ &quot;x&quot;"/>
    <numFmt numFmtId="178" formatCode="&quot;$&quot;0&quot;/rest.&quot;"/>
    <numFmt numFmtId="179" formatCode="&quot;$&quot;0&quot;/own.&quot;"/>
    <numFmt numFmtId="180" formatCode="&quot;$&quot;#,##0_);\(&quot;$&quot;#,##0\);\–_);&quot;–&quot;_)"/>
    <numFmt numFmtId="181" formatCode="0.0\x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theme="0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1"/>
      <color rgb="FF0000FF"/>
      <name val="Arial"/>
      <family val="2"/>
    </font>
    <font>
      <i/>
      <sz val="11"/>
      <color rgb="FF0000FF"/>
      <name val="Arial"/>
      <family val="2"/>
    </font>
    <font>
      <b/>
      <u/>
      <sz val="1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2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0" quotePrefix="1" applyFont="1"/>
    <xf numFmtId="0" fontId="4" fillId="0" borderId="0" xfId="0" applyFont="1"/>
    <xf numFmtId="0" fontId="1" fillId="0" borderId="0" xfId="1"/>
    <xf numFmtId="0" fontId="5" fillId="2" borderId="0" xfId="0" applyFont="1" applyFill="1"/>
    <xf numFmtId="0" fontId="5" fillId="0" borderId="0" xfId="0" applyFont="1"/>
    <xf numFmtId="165" fontId="6" fillId="0" borderId="3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71" fontId="6" fillId="0" borderId="3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indent="1"/>
    </xf>
    <xf numFmtId="0" fontId="4" fillId="0" borderId="4" xfId="0" applyFont="1" applyBorder="1"/>
    <xf numFmtId="0" fontId="5" fillId="2" borderId="5" xfId="0" applyFont="1" applyFill="1" applyBorder="1"/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  <xf numFmtId="176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176" fontId="4" fillId="0" borderId="0" xfId="0" applyNumberFormat="1" applyFont="1" applyAlignment="1">
      <alignment horizontal="center"/>
    </xf>
    <xf numFmtId="165" fontId="5" fillId="2" borderId="5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75" fontId="6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170" fontId="7" fillId="0" borderId="16" xfId="0" applyNumberFormat="1" applyFont="1" applyBorder="1" applyAlignment="1">
      <alignment horizontal="center"/>
    </xf>
    <xf numFmtId="17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8" fillId="0" borderId="0" xfId="0" applyFont="1"/>
    <xf numFmtId="0" fontId="8" fillId="2" borderId="15" xfId="0" applyFont="1" applyFill="1" applyBorder="1"/>
    <xf numFmtId="0" fontId="8" fillId="2" borderId="7" xfId="0" applyFont="1" applyFill="1" applyBorder="1"/>
    <xf numFmtId="177" fontId="8" fillId="2" borderId="7" xfId="0" applyNumberFormat="1" applyFont="1" applyFill="1" applyBorder="1" applyAlignment="1">
      <alignment horizontal="center" vertical="center"/>
    </xf>
    <xf numFmtId="177" fontId="8" fillId="2" borderId="17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170" fontId="7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67" fontId="8" fillId="2" borderId="7" xfId="0" applyNumberFormat="1" applyFont="1" applyFill="1" applyBorder="1" applyAlignment="1">
      <alignment horizontal="center" vertical="center"/>
    </xf>
    <xf numFmtId="167" fontId="11" fillId="0" borderId="0" xfId="0" applyNumberFormat="1" applyFont="1"/>
    <xf numFmtId="165" fontId="7" fillId="0" borderId="4" xfId="0" applyNumberFormat="1" applyFont="1" applyBorder="1" applyAlignment="1">
      <alignment horizontal="center"/>
    </xf>
    <xf numFmtId="165" fontId="7" fillId="0" borderId="1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80" fontId="4" fillId="0" borderId="0" xfId="0" applyNumberFormat="1" applyFont="1" applyAlignment="1">
      <alignment horizontal="right"/>
    </xf>
    <xf numFmtId="180" fontId="5" fillId="2" borderId="0" xfId="0" applyNumberFormat="1" applyFont="1" applyFill="1" applyAlignment="1">
      <alignment horizontal="right"/>
    </xf>
    <xf numFmtId="180" fontId="5" fillId="2" borderId="5" xfId="0" applyNumberFormat="1" applyFont="1" applyFill="1" applyBorder="1" applyAlignment="1">
      <alignment horizontal="right"/>
    </xf>
    <xf numFmtId="181" fontId="4" fillId="0" borderId="4" xfId="0" applyNumberFormat="1" applyFont="1" applyBorder="1" applyAlignment="1">
      <alignment horizontal="right"/>
    </xf>
    <xf numFmtId="0" fontId="6" fillId="0" borderId="1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173" fontId="6" fillId="0" borderId="3" xfId="1" applyNumberFormat="1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9" fontId="6" fillId="0" borderId="3" xfId="1" applyNumberFormat="1" applyFont="1" applyBorder="1" applyAlignment="1">
      <alignment horizontal="center"/>
    </xf>
    <xf numFmtId="0" fontId="13" fillId="0" borderId="0" xfId="1" applyFont="1"/>
    <xf numFmtId="165" fontId="4" fillId="0" borderId="0" xfId="1" applyNumberFormat="1" applyFont="1" applyAlignment="1">
      <alignment horizontal="center"/>
    </xf>
    <xf numFmtId="9" fontId="4" fillId="0" borderId="0" xfId="1" applyNumberFormat="1" applyFont="1" applyAlignment="1">
      <alignment horizontal="center"/>
    </xf>
    <xf numFmtId="178" fontId="4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166" fontId="6" fillId="0" borderId="6" xfId="1" applyNumberFormat="1" applyFont="1" applyBorder="1" applyAlignment="1">
      <alignment horizontal="center"/>
    </xf>
    <xf numFmtId="170" fontId="4" fillId="0" borderId="6" xfId="1" applyNumberFormat="1" applyFont="1" applyBorder="1" applyAlignment="1">
      <alignment horizontal="center"/>
    </xf>
    <xf numFmtId="171" fontId="4" fillId="0" borderId="0" xfId="1" applyNumberFormat="1" applyFont="1" applyAlignment="1">
      <alignment horizontal="center"/>
    </xf>
    <xf numFmtId="0" fontId="13" fillId="0" borderId="0" xfId="1" applyFont="1" applyAlignment="1">
      <alignment horizontal="left" indent="1"/>
    </xf>
    <xf numFmtId="171" fontId="13" fillId="0" borderId="0" xfId="1" applyNumberFormat="1" applyFont="1" applyAlignment="1">
      <alignment horizontal="center"/>
    </xf>
    <xf numFmtId="0" fontId="5" fillId="2" borderId="5" xfId="1" applyFont="1" applyFill="1" applyBorder="1"/>
    <xf numFmtId="0" fontId="16" fillId="0" borderId="0" xfId="1" applyFont="1"/>
    <xf numFmtId="0" fontId="4" fillId="2" borderId="8" xfId="1" applyFont="1" applyFill="1" applyBorder="1"/>
    <xf numFmtId="0" fontId="4" fillId="2" borderId="12" xfId="1" applyFont="1" applyFill="1" applyBorder="1"/>
    <xf numFmtId="0" fontId="5" fillId="2" borderId="8" xfId="1" applyFont="1" applyFill="1" applyBorder="1"/>
    <xf numFmtId="0" fontId="5" fillId="2" borderId="10" xfId="1" applyFont="1" applyFill="1" applyBorder="1"/>
    <xf numFmtId="0" fontId="5" fillId="2" borderId="12" xfId="1" applyFont="1" applyFill="1" applyBorder="1"/>
    <xf numFmtId="171" fontId="4" fillId="0" borderId="0" xfId="1" applyNumberFormat="1" applyFont="1"/>
    <xf numFmtId="171" fontId="13" fillId="0" borderId="0" xfId="1" applyNumberFormat="1" applyFont="1"/>
    <xf numFmtId="171" fontId="5" fillId="2" borderId="5" xfId="1" applyNumberFormat="1" applyFont="1" applyFill="1" applyBorder="1" applyAlignment="1">
      <alignment horizontal="center"/>
    </xf>
    <xf numFmtId="171" fontId="6" fillId="0" borderId="0" xfId="1" applyNumberFormat="1" applyFont="1" applyAlignment="1">
      <alignment horizontal="center"/>
    </xf>
    <xf numFmtId="171" fontId="5" fillId="2" borderId="5" xfId="1" applyNumberFormat="1" applyFont="1" applyFill="1" applyBorder="1"/>
    <xf numFmtId="171" fontId="14" fillId="2" borderId="5" xfId="1" applyNumberFormat="1" applyFont="1" applyFill="1" applyBorder="1" applyAlignment="1">
      <alignment horizontal="center"/>
    </xf>
    <xf numFmtId="171" fontId="4" fillId="0" borderId="4" xfId="1" applyNumberFormat="1" applyFont="1" applyBorder="1"/>
    <xf numFmtId="171" fontId="4" fillId="0" borderId="4" xfId="1" applyNumberFormat="1" applyFont="1" applyBorder="1" applyAlignment="1">
      <alignment horizontal="center"/>
    </xf>
    <xf numFmtId="171" fontId="4" fillId="2" borderId="5" xfId="1" applyNumberFormat="1" applyFont="1" applyFill="1" applyBorder="1" applyAlignment="1">
      <alignment horizontal="center"/>
    </xf>
    <xf numFmtId="171" fontId="4" fillId="2" borderId="9" xfId="1" applyNumberFormat="1" applyFont="1" applyFill="1" applyBorder="1" applyAlignment="1">
      <alignment horizontal="center"/>
    </xf>
    <xf numFmtId="171" fontId="4" fillId="2" borderId="4" xfId="1" applyNumberFormat="1" applyFont="1" applyFill="1" applyBorder="1"/>
    <xf numFmtId="171" fontId="4" fillId="2" borderId="4" xfId="1" applyNumberFormat="1" applyFont="1" applyFill="1" applyBorder="1" applyAlignment="1">
      <alignment horizontal="center"/>
    </xf>
    <xf numFmtId="171" fontId="4" fillId="2" borderId="13" xfId="1" applyNumberFormat="1" applyFont="1" applyFill="1" applyBorder="1" applyAlignment="1">
      <alignment horizontal="center"/>
    </xf>
    <xf numFmtId="171" fontId="4" fillId="2" borderId="0" xfId="1" applyNumberFormat="1" applyFont="1" applyFill="1" applyAlignment="1">
      <alignment horizontal="center"/>
    </xf>
    <xf numFmtId="171" fontId="4" fillId="2" borderId="11" xfId="1" applyNumberFormat="1" applyFont="1" applyFill="1" applyBorder="1" applyAlignment="1">
      <alignment horizontal="center"/>
    </xf>
    <xf numFmtId="171" fontId="5" fillId="0" borderId="0" xfId="1" applyNumberFormat="1" applyFont="1" applyAlignment="1">
      <alignment horizontal="center"/>
    </xf>
    <xf numFmtId="171" fontId="7" fillId="0" borderId="0" xfId="0" applyNumberFormat="1" applyFont="1"/>
    <xf numFmtId="171" fontId="7" fillId="0" borderId="0" xfId="0" applyNumberFormat="1" applyFont="1" applyAlignment="1">
      <alignment horizontal="center"/>
    </xf>
    <xf numFmtId="171" fontId="4" fillId="0" borderId="0" xfId="0" applyNumberFormat="1" applyFont="1" applyAlignment="1">
      <alignment horizontal="center"/>
    </xf>
    <xf numFmtId="174" fontId="6" fillId="0" borderId="0" xfId="0" applyNumberFormat="1" applyFont="1" applyAlignment="1">
      <alignment horizontal="left"/>
    </xf>
    <xf numFmtId="165" fontId="6" fillId="0" borderId="4" xfId="0" applyNumberFormat="1" applyFont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0" fontId="12" fillId="0" borderId="4" xfId="0" applyFont="1" applyBorder="1"/>
    <xf numFmtId="166" fontId="6" fillId="0" borderId="16" xfId="0" applyNumberFormat="1" applyFont="1" applyBorder="1" applyAlignment="1">
      <alignment horizontal="center"/>
    </xf>
    <xf numFmtId="5" fontId="4" fillId="0" borderId="0" xfId="0" applyNumberFormat="1" applyFont="1" applyAlignment="1">
      <alignment horizontal="right"/>
    </xf>
    <xf numFmtId="5" fontId="4" fillId="0" borderId="0" xfId="0" applyNumberFormat="1" applyFont="1"/>
    <xf numFmtId="181" fontId="7" fillId="0" borderId="0" xfId="0" applyNumberFormat="1" applyFont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165" fontId="6" fillId="0" borderId="18" xfId="1" applyNumberFormat="1" applyFont="1" applyBorder="1" applyAlignment="1">
      <alignment horizontal="center"/>
    </xf>
    <xf numFmtId="0" fontId="8" fillId="0" borderId="4" xfId="0" applyFont="1" applyBorder="1"/>
    <xf numFmtId="0" fontId="7" fillId="0" borderId="4" xfId="0" applyFont="1" applyBorder="1"/>
    <xf numFmtId="167" fontId="6" fillId="0" borderId="19" xfId="0" applyNumberFormat="1" applyFont="1" applyBorder="1" applyAlignment="1">
      <alignment horizontal="center"/>
    </xf>
    <xf numFmtId="5" fontId="4" fillId="0" borderId="0" xfId="0" applyNumberFormat="1" applyFont="1" applyAlignment="1">
      <alignment horizontal="center"/>
    </xf>
    <xf numFmtId="9" fontId="6" fillId="0" borderId="0" xfId="1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178" fontId="4" fillId="0" borderId="10" xfId="0" applyNumberFormat="1" applyFont="1" applyBorder="1" applyAlignment="1">
      <alignment horizontal="center"/>
    </xf>
    <xf numFmtId="178" fontId="4" fillId="0" borderId="12" xfId="0" applyNumberFormat="1" applyFont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8" fillId="0" borderId="10" xfId="0" applyFont="1" applyBorder="1"/>
    <xf numFmtId="0" fontId="7" fillId="0" borderId="11" xfId="0" applyFont="1" applyBorder="1"/>
    <xf numFmtId="0" fontId="7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6" fontId="7" fillId="0" borderId="10" xfId="0" applyNumberFormat="1" applyFont="1" applyBorder="1" applyAlignment="1">
      <alignment horizontal="center"/>
    </xf>
    <xf numFmtId="6" fontId="6" fillId="0" borderId="11" xfId="0" applyNumberFormat="1" applyFont="1" applyBorder="1" applyAlignment="1">
      <alignment horizontal="center"/>
    </xf>
    <xf numFmtId="168" fontId="7" fillId="0" borderId="10" xfId="0" applyNumberFormat="1" applyFont="1" applyBorder="1" applyAlignment="1">
      <alignment horizontal="center"/>
    </xf>
    <xf numFmtId="168" fontId="6" fillId="0" borderId="11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/>
    </xf>
    <xf numFmtId="179" fontId="4" fillId="0" borderId="10" xfId="0" applyNumberFormat="1" applyFont="1" applyBorder="1" applyAlignment="1">
      <alignment horizontal="center"/>
    </xf>
    <xf numFmtId="179" fontId="6" fillId="0" borderId="11" xfId="0" applyNumberFormat="1" applyFont="1" applyBorder="1" applyAlignment="1">
      <alignment horizontal="center"/>
    </xf>
    <xf numFmtId="168" fontId="13" fillId="0" borderId="10" xfId="0" applyNumberFormat="1" applyFont="1" applyBorder="1" applyAlignment="1">
      <alignment horizontal="center"/>
    </xf>
    <xf numFmtId="168" fontId="15" fillId="0" borderId="11" xfId="0" applyNumberFormat="1" applyFont="1" applyBorder="1" applyAlignment="1">
      <alignment horizontal="center"/>
    </xf>
    <xf numFmtId="178" fontId="6" fillId="0" borderId="13" xfId="0" applyNumberFormat="1" applyFont="1" applyBorder="1" applyAlignment="1">
      <alignment horizontal="center"/>
    </xf>
    <xf numFmtId="0" fontId="7" fillId="0" borderId="10" xfId="0" applyFont="1" applyBorder="1"/>
    <xf numFmtId="0" fontId="6" fillId="0" borderId="10" xfId="0" applyFont="1" applyBorder="1" applyAlignment="1">
      <alignment horizontal="center"/>
    </xf>
    <xf numFmtId="6" fontId="6" fillId="0" borderId="10" xfId="0" applyNumberFormat="1" applyFont="1" applyBorder="1" applyAlignment="1">
      <alignment horizontal="center"/>
    </xf>
    <xf numFmtId="168" fontId="6" fillId="0" borderId="10" xfId="0" applyNumberFormat="1" applyFont="1" applyBorder="1" applyAlignment="1">
      <alignment horizontal="center"/>
    </xf>
    <xf numFmtId="178" fontId="6" fillId="0" borderId="10" xfId="0" applyNumberFormat="1" applyFont="1" applyBorder="1" applyAlignment="1">
      <alignment horizontal="center"/>
    </xf>
    <xf numFmtId="179" fontId="6" fillId="0" borderId="10" xfId="0" applyNumberFormat="1" applyFont="1" applyBorder="1" applyAlignment="1">
      <alignment horizontal="center"/>
    </xf>
    <xf numFmtId="168" fontId="15" fillId="0" borderId="10" xfId="0" applyNumberFormat="1" applyFont="1" applyBorder="1" applyAlignment="1">
      <alignment horizontal="center"/>
    </xf>
    <xf numFmtId="178" fontId="6" fillId="0" borderId="12" xfId="0" applyNumberFormat="1" applyFont="1" applyBorder="1" applyAlignment="1">
      <alignment horizontal="center"/>
    </xf>
    <xf numFmtId="0" fontId="7" fillId="0" borderId="20" xfId="0" applyFont="1" applyBorder="1"/>
    <xf numFmtId="0" fontId="6" fillId="0" borderId="20" xfId="0" applyFont="1" applyBorder="1" applyAlignment="1">
      <alignment horizontal="center"/>
    </xf>
    <xf numFmtId="6" fontId="6" fillId="0" borderId="20" xfId="0" applyNumberFormat="1" applyFont="1" applyBorder="1" applyAlignment="1">
      <alignment horizontal="center"/>
    </xf>
    <xf numFmtId="168" fontId="6" fillId="0" borderId="20" xfId="0" applyNumberFormat="1" applyFont="1" applyBorder="1" applyAlignment="1">
      <alignment horizontal="center"/>
    </xf>
    <xf numFmtId="178" fontId="6" fillId="0" borderId="20" xfId="0" applyNumberFormat="1" applyFont="1" applyBorder="1" applyAlignment="1">
      <alignment horizontal="center"/>
    </xf>
    <xf numFmtId="179" fontId="6" fillId="0" borderId="20" xfId="0" applyNumberFormat="1" applyFont="1" applyBorder="1" applyAlignment="1">
      <alignment horizontal="center"/>
    </xf>
    <xf numFmtId="168" fontId="15" fillId="0" borderId="20" xfId="0" applyNumberFormat="1" applyFont="1" applyBorder="1" applyAlignment="1">
      <alignment horizontal="center"/>
    </xf>
    <xf numFmtId="178" fontId="6" fillId="0" borderId="19" xfId="0" applyNumberFormat="1" applyFont="1" applyBorder="1" applyAlignment="1">
      <alignment horizontal="center"/>
    </xf>
    <xf numFmtId="5" fontId="5" fillId="2" borderId="5" xfId="0" applyNumberFormat="1" applyFont="1" applyFill="1" applyBorder="1" applyAlignment="1">
      <alignment horizontal="right"/>
    </xf>
    <xf numFmtId="5" fontId="5" fillId="2" borderId="5" xfId="0" applyNumberFormat="1" applyFont="1" applyFill="1" applyBorder="1"/>
    <xf numFmtId="0" fontId="17" fillId="3" borderId="8" xfId="0" applyFont="1" applyFill="1" applyBorder="1" applyAlignment="1">
      <alignment horizontal="center" wrapText="1"/>
    </xf>
    <xf numFmtId="0" fontId="17" fillId="3" borderId="14" xfId="0" applyFont="1" applyFill="1" applyBorder="1" applyAlignment="1">
      <alignment horizontal="center" wrapText="1"/>
    </xf>
    <xf numFmtId="0" fontId="17" fillId="3" borderId="9" xfId="0" applyFont="1" applyFill="1" applyBorder="1" applyAlignment="1">
      <alignment horizontal="center" wrapText="1"/>
    </xf>
    <xf numFmtId="5" fontId="5" fillId="2" borderId="5" xfId="0" applyNumberFormat="1" applyFont="1" applyFill="1" applyBorder="1" applyAlignment="1">
      <alignment horizontal="center"/>
    </xf>
    <xf numFmtId="0" fontId="4" fillId="0" borderId="0" xfId="1" applyFont="1" applyAlignment="1">
      <alignment horizontal="left" indent="1"/>
    </xf>
    <xf numFmtId="167" fontId="7" fillId="2" borderId="0" xfId="0" applyNumberFormat="1" applyFont="1" applyFill="1" applyAlignment="1">
      <alignment horizontal="center"/>
    </xf>
    <xf numFmtId="171" fontId="5" fillId="4" borderId="5" xfId="1" applyNumberFormat="1" applyFont="1" applyFill="1" applyBorder="1" applyAlignment="1">
      <alignment horizontal="center"/>
    </xf>
    <xf numFmtId="171" fontId="4" fillId="4" borderId="0" xfId="1" applyNumberFormat="1" applyFont="1" applyFill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</cellXfs>
  <cellStyles count="2">
    <cellStyle name="Normal" xfId="0" builtinId="0"/>
    <cellStyle name="Normal 2" xfId="1" xr:uid="{842338C1-7922-416A-BF70-3034671D3196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E148-0CAA-466B-8D8E-063D0342429B}">
  <dimension ref="A1:X269"/>
  <sheetViews>
    <sheetView showGridLines="0" tabSelected="1" zoomScaleNormal="100" workbookViewId="0">
      <selection activeCell="D25" sqref="D25"/>
    </sheetView>
    <sheetView topLeftCell="A64" workbookViewId="1">
      <selection activeCell="E88" sqref="E88"/>
    </sheetView>
  </sheetViews>
  <sheetFormatPr defaultRowHeight="12.75" x14ac:dyDescent="0.2"/>
  <cols>
    <col min="1" max="1" width="2.7109375" style="5" customWidth="1"/>
    <col min="2" max="2" width="25.7109375" style="5" customWidth="1"/>
    <col min="3" max="4" width="15.7109375" style="5" customWidth="1"/>
    <col min="5" max="5" width="22.5703125" style="5" bestFit="1" customWidth="1"/>
    <col min="6" max="6" width="17.5703125" style="5" bestFit="1" customWidth="1"/>
    <col min="7" max="8" width="15.7109375" style="5" customWidth="1"/>
    <col min="9" max="9" width="28.42578125" style="5" bestFit="1" customWidth="1"/>
    <col min="10" max="10" width="16" style="5" bestFit="1" customWidth="1"/>
    <col min="11" max="11" width="13.85546875" style="5" bestFit="1" customWidth="1"/>
    <col min="12" max="12" width="11" style="5" bestFit="1" customWidth="1"/>
    <col min="13" max="13" width="14.42578125" style="5" bestFit="1" customWidth="1"/>
    <col min="14" max="14" width="9.140625" style="5"/>
    <col min="15" max="15" width="13.85546875" style="5" bestFit="1" customWidth="1"/>
    <col min="16" max="16" width="19.28515625" style="5" bestFit="1" customWidth="1"/>
    <col min="17" max="19" width="9.140625" style="5"/>
    <col min="20" max="20" width="15.140625" style="5" bestFit="1" customWidth="1"/>
    <col min="21" max="21" width="9.42578125" style="5" bestFit="1" customWidth="1"/>
    <col min="22" max="22" width="21.28515625" style="5" bestFit="1" customWidth="1"/>
    <col min="23" max="23" width="9.140625" style="5"/>
    <col min="24" max="24" width="9.85546875" style="5" bestFit="1" customWidth="1"/>
    <col min="25" max="16384" width="9.140625" style="5"/>
  </cols>
  <sheetData>
    <row r="1" spans="1:21" ht="14.25" x14ac:dyDescent="0.2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21" ht="18" x14ac:dyDescent="0.25">
      <c r="A2" s="3"/>
      <c r="B2" s="94" t="s">
        <v>149</v>
      </c>
      <c r="C2" s="15"/>
      <c r="D2" s="15"/>
      <c r="E2" s="15"/>
      <c r="F2" s="15"/>
      <c r="G2" s="15"/>
      <c r="H2" s="15"/>
      <c r="I2" s="4"/>
      <c r="J2" s="4"/>
      <c r="K2" s="4"/>
      <c r="L2" s="4"/>
      <c r="M2" s="4"/>
      <c r="N2" s="4"/>
    </row>
    <row r="3" spans="1:21" ht="14.25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21" ht="14.25" x14ac:dyDescent="0.2">
      <c r="A4" s="3"/>
      <c r="B4" s="4" t="s">
        <v>150</v>
      </c>
      <c r="C4" s="4"/>
      <c r="D4" s="49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50"/>
      <c r="P4" s="50"/>
      <c r="Q4" s="50"/>
      <c r="R4" s="50"/>
      <c r="S4" s="50"/>
      <c r="T4" s="50"/>
      <c r="U4" s="50"/>
    </row>
    <row r="5" spans="1:21" ht="14.25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0"/>
      <c r="P5" s="50"/>
      <c r="Q5" s="50"/>
      <c r="R5" s="50"/>
      <c r="S5" s="50"/>
      <c r="T5" s="50"/>
      <c r="U5" s="50"/>
    </row>
    <row r="6" spans="1:21" ht="15" x14ac:dyDescent="0.25">
      <c r="A6" s="4"/>
      <c r="B6" s="37"/>
      <c r="C6" s="13"/>
      <c r="D6" s="13"/>
      <c r="E6" s="109">
        <v>1</v>
      </c>
      <c r="F6" s="142" t="s">
        <v>38</v>
      </c>
      <c r="G6" s="143" t="s">
        <v>39</v>
      </c>
      <c r="H6" s="144" t="s">
        <v>40</v>
      </c>
      <c r="I6" s="4"/>
      <c r="J6" s="4"/>
      <c r="K6" s="4"/>
      <c r="L6" s="4"/>
      <c r="M6" s="4"/>
      <c r="N6" s="4"/>
      <c r="O6" s="50"/>
      <c r="P6" s="50"/>
      <c r="Q6" s="50"/>
      <c r="R6" s="50"/>
      <c r="S6" s="50"/>
      <c r="T6" s="50"/>
      <c r="U6" s="50"/>
    </row>
    <row r="7" spans="1:21" ht="15" x14ac:dyDescent="0.25">
      <c r="A7" s="4"/>
      <c r="B7" s="31" t="s">
        <v>141</v>
      </c>
      <c r="C7" s="13"/>
      <c r="D7" s="13"/>
      <c r="E7" s="110"/>
      <c r="F7" s="124"/>
      <c r="G7" s="132"/>
      <c r="H7" s="111"/>
      <c r="I7" s="4"/>
      <c r="J7" s="4"/>
      <c r="K7" s="4"/>
      <c r="L7" s="4"/>
      <c r="M7" s="4"/>
      <c r="N7" s="4"/>
      <c r="O7" s="50"/>
      <c r="P7" s="50"/>
      <c r="Q7" s="50"/>
      <c r="R7" s="50"/>
      <c r="S7" s="50"/>
      <c r="T7" s="50"/>
      <c r="U7" s="50"/>
    </row>
    <row r="8" spans="1:21" ht="14.25" x14ac:dyDescent="0.2">
      <c r="A8" s="4"/>
      <c r="B8" s="14" t="s">
        <v>142</v>
      </c>
      <c r="C8" s="13"/>
      <c r="D8" s="13"/>
      <c r="E8" s="112">
        <f>CHOOSE(case,F8,G8,H8)</f>
        <v>10</v>
      </c>
      <c r="F8" s="125">
        <v>2</v>
      </c>
      <c r="G8" s="133">
        <v>6</v>
      </c>
      <c r="H8" s="113">
        <v>10</v>
      </c>
      <c r="I8" s="4"/>
      <c r="J8" s="4"/>
      <c r="K8" s="4"/>
      <c r="L8" s="4"/>
      <c r="M8" s="4"/>
      <c r="N8" s="4"/>
      <c r="O8" s="50"/>
      <c r="P8" s="50"/>
      <c r="Q8" s="50"/>
      <c r="R8" s="50"/>
      <c r="S8" s="50"/>
      <c r="T8" s="50"/>
      <c r="U8" s="50"/>
    </row>
    <row r="9" spans="1:21" ht="14.25" x14ac:dyDescent="0.2">
      <c r="A9" s="4"/>
      <c r="B9" s="14" t="s">
        <v>20</v>
      </c>
      <c r="C9" s="13"/>
      <c r="D9" s="13"/>
      <c r="E9" s="114">
        <f>CHOOSE(case,F9,G9,H9)</f>
        <v>1500</v>
      </c>
      <c r="F9" s="126">
        <v>1500</v>
      </c>
      <c r="G9" s="134">
        <v>1500</v>
      </c>
      <c r="H9" s="115">
        <v>1500</v>
      </c>
      <c r="I9" s="4"/>
      <c r="J9" s="4"/>
      <c r="K9" s="4"/>
      <c r="L9" s="4"/>
      <c r="M9" s="4"/>
      <c r="N9" s="4"/>
      <c r="O9" s="50"/>
      <c r="P9" s="50"/>
      <c r="Q9" s="50"/>
      <c r="R9" s="50"/>
      <c r="S9" s="50"/>
      <c r="T9" s="50"/>
      <c r="U9" s="50"/>
    </row>
    <row r="10" spans="1:21" ht="14.25" x14ac:dyDescent="0.2">
      <c r="A10" s="4"/>
      <c r="B10" s="14" t="s">
        <v>143</v>
      </c>
      <c r="C10" s="13"/>
      <c r="D10" s="13"/>
      <c r="E10" s="116">
        <f>CHOOSE(case,F10,G10,H10)</f>
        <v>0</v>
      </c>
      <c r="F10" s="127">
        <v>0</v>
      </c>
      <c r="G10" s="135">
        <v>0</v>
      </c>
      <c r="H10" s="117">
        <v>0</v>
      </c>
      <c r="I10" s="4"/>
      <c r="J10" s="4"/>
      <c r="K10" s="4"/>
      <c r="L10" s="4"/>
      <c r="M10" s="4"/>
      <c r="N10" s="4"/>
      <c r="O10" s="50"/>
      <c r="P10" s="50"/>
      <c r="Q10" s="50"/>
      <c r="R10" s="50"/>
      <c r="S10" s="50"/>
      <c r="T10" s="50"/>
      <c r="U10" s="50"/>
    </row>
    <row r="11" spans="1:21" ht="14.25" x14ac:dyDescent="0.2">
      <c r="A11" s="4"/>
      <c r="B11" s="14"/>
      <c r="C11" s="13"/>
      <c r="D11" s="13"/>
      <c r="E11" s="116"/>
      <c r="F11" s="127"/>
      <c r="G11" s="135"/>
      <c r="H11" s="117"/>
      <c r="I11" s="4"/>
      <c r="J11" s="4"/>
      <c r="K11" s="4"/>
      <c r="L11" s="4"/>
      <c r="M11" s="4"/>
      <c r="N11" s="4"/>
      <c r="O11" s="50"/>
      <c r="P11" s="50"/>
      <c r="Q11" s="50"/>
      <c r="R11" s="50"/>
      <c r="S11" s="50"/>
      <c r="T11" s="50"/>
      <c r="U11" s="50"/>
    </row>
    <row r="12" spans="1:21" ht="14.25" x14ac:dyDescent="0.2">
      <c r="A12" s="4"/>
      <c r="B12" s="14" t="s">
        <v>144</v>
      </c>
      <c r="C12" s="13"/>
      <c r="D12" s="13"/>
      <c r="E12" s="116">
        <f>CHOOSE(case,F12,G12,H12)</f>
        <v>0.7</v>
      </c>
      <c r="F12" s="127">
        <v>0.7</v>
      </c>
      <c r="G12" s="135">
        <v>0.7</v>
      </c>
      <c r="H12" s="117">
        <v>0.7</v>
      </c>
      <c r="I12" s="4"/>
      <c r="J12" s="4"/>
      <c r="K12" s="4"/>
      <c r="L12" s="4"/>
      <c r="M12" s="4"/>
      <c r="N12" s="4"/>
      <c r="O12" s="50"/>
      <c r="P12" s="50"/>
      <c r="Q12" s="50"/>
      <c r="R12" s="50"/>
      <c r="S12" s="50"/>
      <c r="T12" s="50"/>
      <c r="U12" s="50"/>
    </row>
    <row r="13" spans="1:21" ht="14.25" x14ac:dyDescent="0.2">
      <c r="A13" s="4"/>
      <c r="B13" s="14"/>
      <c r="C13" s="13"/>
      <c r="D13" s="13"/>
      <c r="E13" s="116"/>
      <c r="F13" s="127"/>
      <c r="G13" s="135"/>
      <c r="H13" s="117"/>
      <c r="I13" s="4"/>
      <c r="J13" s="4"/>
      <c r="K13" s="4"/>
      <c r="L13" s="4"/>
      <c r="M13" s="4"/>
      <c r="N13" s="4"/>
      <c r="O13" s="50"/>
      <c r="P13" s="50"/>
      <c r="Q13" s="50"/>
      <c r="R13" s="50"/>
      <c r="S13" s="50"/>
      <c r="T13" s="50"/>
      <c r="U13" s="50"/>
    </row>
    <row r="14" spans="1:21" ht="14.25" x14ac:dyDescent="0.2">
      <c r="A14" s="4"/>
      <c r="B14" s="14" t="s">
        <v>145</v>
      </c>
      <c r="C14" s="13"/>
      <c r="D14" s="13"/>
      <c r="E14" s="107">
        <f t="shared" ref="E14:E19" si="0">CHOOSE(case,F14,G14,H14)</f>
        <v>75</v>
      </c>
      <c r="F14" s="128">
        <v>75</v>
      </c>
      <c r="G14" s="136">
        <v>75</v>
      </c>
      <c r="H14" s="118">
        <v>75</v>
      </c>
      <c r="I14" s="4"/>
      <c r="J14" s="4"/>
      <c r="K14" s="4"/>
      <c r="L14" s="4"/>
      <c r="M14" s="4"/>
      <c r="N14" s="4"/>
      <c r="O14" s="50"/>
      <c r="P14" s="50"/>
      <c r="Q14" s="50"/>
      <c r="R14" s="50"/>
      <c r="S14" s="50"/>
      <c r="T14" s="50"/>
      <c r="U14" s="50"/>
    </row>
    <row r="15" spans="1:21" ht="14.25" x14ac:dyDescent="0.2">
      <c r="A15" s="4"/>
      <c r="B15" s="14" t="s">
        <v>146</v>
      </c>
      <c r="C15" s="13"/>
      <c r="D15" s="13"/>
      <c r="E15" s="119">
        <f t="shared" si="0"/>
        <v>500</v>
      </c>
      <c r="F15" s="129">
        <v>500</v>
      </c>
      <c r="G15" s="137">
        <v>500</v>
      </c>
      <c r="H15" s="120">
        <v>500</v>
      </c>
      <c r="I15" s="4"/>
      <c r="J15" s="4"/>
      <c r="K15" s="4"/>
      <c r="L15" s="4"/>
      <c r="M15" s="4"/>
      <c r="N15" s="4"/>
      <c r="O15" s="50"/>
      <c r="P15" s="50"/>
      <c r="Q15" s="50"/>
      <c r="R15" s="50"/>
      <c r="S15" s="50"/>
      <c r="T15" s="50"/>
      <c r="U15" s="50"/>
    </row>
    <row r="16" spans="1:21" ht="14.25" x14ac:dyDescent="0.2">
      <c r="A16" s="4"/>
      <c r="B16" s="14" t="s">
        <v>147</v>
      </c>
      <c r="C16" s="13"/>
      <c r="D16" s="13"/>
      <c r="E16" s="121">
        <f t="shared" si="0"/>
        <v>5.0000000000000001E-3</v>
      </c>
      <c r="F16" s="130">
        <v>5.0000000000000001E-3</v>
      </c>
      <c r="G16" s="138">
        <v>5.0000000000000001E-3</v>
      </c>
      <c r="H16" s="122">
        <v>5.0000000000000001E-3</v>
      </c>
      <c r="I16" s="4"/>
      <c r="J16" s="4"/>
      <c r="K16" s="4"/>
      <c r="L16" s="4"/>
      <c r="M16" s="4"/>
      <c r="N16" s="4"/>
      <c r="O16" s="50"/>
      <c r="P16" s="50"/>
      <c r="Q16" s="50"/>
      <c r="R16" s="50"/>
      <c r="S16" s="50"/>
      <c r="T16" s="50"/>
      <c r="U16" s="50"/>
    </row>
    <row r="17" spans="1:24" ht="14.25" x14ac:dyDescent="0.2">
      <c r="A17" s="4"/>
      <c r="B17" s="14" t="s">
        <v>23</v>
      </c>
      <c r="C17" s="13"/>
      <c r="D17" s="13"/>
      <c r="E17" s="107">
        <f t="shared" si="0"/>
        <v>300</v>
      </c>
      <c r="F17" s="128">
        <v>300</v>
      </c>
      <c r="G17" s="136">
        <v>300</v>
      </c>
      <c r="H17" s="118">
        <v>300</v>
      </c>
      <c r="I17" s="4"/>
      <c r="J17" s="4"/>
      <c r="K17" s="4"/>
      <c r="L17" s="4"/>
      <c r="M17" s="4"/>
      <c r="N17" s="4"/>
      <c r="O17" s="50"/>
      <c r="P17" s="50"/>
      <c r="Q17" s="50"/>
      <c r="R17" s="50"/>
      <c r="S17" s="50"/>
      <c r="T17" s="50"/>
      <c r="U17" s="50"/>
    </row>
    <row r="18" spans="1:24" ht="14.25" x14ac:dyDescent="0.2">
      <c r="A18" s="4"/>
      <c r="B18" s="14" t="s">
        <v>24</v>
      </c>
      <c r="C18" s="13"/>
      <c r="D18" s="13"/>
      <c r="E18" s="107">
        <f t="shared" si="0"/>
        <v>10</v>
      </c>
      <c r="F18" s="128">
        <v>10</v>
      </c>
      <c r="G18" s="136">
        <v>10</v>
      </c>
      <c r="H18" s="118">
        <v>10</v>
      </c>
      <c r="I18" s="4"/>
      <c r="J18" s="4"/>
      <c r="K18" s="4"/>
      <c r="L18" s="4"/>
      <c r="M18" s="4"/>
      <c r="N18" s="4"/>
      <c r="O18" s="50"/>
      <c r="P18" s="50"/>
      <c r="Q18" s="50"/>
      <c r="R18" s="50"/>
      <c r="S18" s="50"/>
      <c r="T18" s="50"/>
      <c r="U18" s="50"/>
    </row>
    <row r="19" spans="1:24" ht="14.25" x14ac:dyDescent="0.2">
      <c r="A19" s="4"/>
      <c r="B19" s="14" t="s">
        <v>148</v>
      </c>
      <c r="C19" s="13"/>
      <c r="D19" s="13"/>
      <c r="E19" s="108">
        <f t="shared" si="0"/>
        <v>650</v>
      </c>
      <c r="F19" s="131">
        <v>650</v>
      </c>
      <c r="G19" s="139">
        <v>650</v>
      </c>
      <c r="H19" s="123">
        <v>650</v>
      </c>
      <c r="I19" s="4"/>
      <c r="J19" s="4"/>
      <c r="K19" s="4"/>
      <c r="L19" s="4"/>
      <c r="M19" s="4"/>
      <c r="N19" s="4"/>
      <c r="O19" s="50"/>
      <c r="P19" s="50"/>
      <c r="Q19" s="50"/>
      <c r="R19" s="50"/>
      <c r="S19" s="50"/>
      <c r="T19" s="50"/>
      <c r="U19" s="50"/>
    </row>
    <row r="20" spans="1:24" ht="14.25" x14ac:dyDescent="0.2">
      <c r="A20" s="4"/>
      <c r="B20" s="14"/>
      <c r="C20" s="13"/>
      <c r="D20" s="13"/>
      <c r="E20" s="58"/>
      <c r="F20" s="59"/>
      <c r="G20" s="59"/>
      <c r="H20" s="59"/>
      <c r="I20" s="4"/>
      <c r="J20" s="4"/>
      <c r="K20" s="4"/>
      <c r="L20" s="4"/>
      <c r="M20" s="4"/>
      <c r="N20" s="4"/>
      <c r="O20" s="50"/>
      <c r="P20" s="50"/>
      <c r="Q20" s="50"/>
      <c r="R20" s="50"/>
      <c r="S20" s="50"/>
      <c r="T20" s="50"/>
      <c r="U20" s="50"/>
    </row>
    <row r="21" spans="1:24" s="1" customFormat="1" ht="15" x14ac:dyDescent="0.25">
      <c r="A21" s="7" t="s">
        <v>19</v>
      </c>
      <c r="B21" s="17" t="s">
        <v>151</v>
      </c>
      <c r="C21" s="17"/>
      <c r="D21" s="17"/>
      <c r="E21" s="17"/>
      <c r="F21" s="17"/>
      <c r="G21" s="17"/>
      <c r="H21" s="17"/>
      <c r="I21" s="7"/>
      <c r="J21" s="7"/>
      <c r="K21" s="7"/>
      <c r="L21" s="7"/>
      <c r="M21" s="7"/>
      <c r="N21" s="7"/>
      <c r="O21" s="51"/>
      <c r="P21" s="51"/>
      <c r="Q21" s="51"/>
      <c r="R21" s="51"/>
      <c r="S21" s="51"/>
      <c r="T21" s="51"/>
      <c r="U21" s="51"/>
    </row>
    <row r="22" spans="1:24" s="1" customFormat="1" ht="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51"/>
      <c r="P22" s="51"/>
      <c r="Q22" s="51"/>
      <c r="R22" s="51"/>
      <c r="S22" s="51"/>
      <c r="T22" s="51"/>
      <c r="U22" s="51"/>
    </row>
    <row r="23" spans="1:24" ht="15" x14ac:dyDescent="0.25">
      <c r="A23" s="4"/>
      <c r="B23" s="101" t="s">
        <v>152</v>
      </c>
      <c r="C23" s="102"/>
      <c r="D23" s="102"/>
      <c r="E23"/>
      <c r="F23" s="101" t="s">
        <v>153</v>
      </c>
      <c r="G23" s="15"/>
      <c r="H23" s="15"/>
      <c r="I23" s="13"/>
      <c r="J23" s="13"/>
      <c r="K23" s="13"/>
      <c r="L23" s="4"/>
      <c r="M23" s="4"/>
      <c r="N23" s="13"/>
      <c r="O23" s="13"/>
      <c r="P23" s="13"/>
      <c r="Q23" s="50"/>
      <c r="R23" s="4"/>
      <c r="S23" s="4"/>
      <c r="T23" s="4"/>
      <c r="U23" s="50"/>
    </row>
    <row r="24" spans="1:24" ht="15" x14ac:dyDescent="0.25">
      <c r="A24" s="4"/>
      <c r="B24" s="4" t="s">
        <v>134</v>
      </c>
      <c r="C24" s="4"/>
      <c r="D24" s="100">
        <v>7</v>
      </c>
      <c r="E24"/>
      <c r="F24" s="4" t="s">
        <v>22</v>
      </c>
      <c r="G24" s="4"/>
      <c r="H24" s="103">
        <v>0.4</v>
      </c>
      <c r="I24" s="4"/>
      <c r="J24" s="4"/>
      <c r="K24" s="4"/>
      <c r="L24" s="4"/>
      <c r="M24" s="13"/>
      <c r="N24" s="13"/>
      <c r="O24" s="13"/>
      <c r="P24" s="4"/>
      <c r="Q24" s="4"/>
      <c r="R24" s="13"/>
      <c r="S24" s="13"/>
      <c r="T24" s="13"/>
      <c r="U24" s="50"/>
      <c r="V24" s="13"/>
      <c r="W24" s="13"/>
      <c r="X24" s="13"/>
    </row>
    <row r="25" spans="1:24" ht="15" x14ac:dyDescent="0.25">
      <c r="A25" s="4"/>
      <c r="B25" s="4" t="s">
        <v>122</v>
      </c>
      <c r="C25" s="4"/>
      <c r="D25" s="53">
        <v>7</v>
      </c>
      <c r="F25" s="4" t="s">
        <v>60</v>
      </c>
      <c r="G25" s="4"/>
      <c r="H25" s="10">
        <v>2000</v>
      </c>
      <c r="I25"/>
      <c r="J25"/>
      <c r="K25" s="4"/>
      <c r="L25" s="4"/>
      <c r="P25" s="4"/>
      <c r="Q25" s="4"/>
      <c r="R25" s="13"/>
      <c r="S25" s="13"/>
      <c r="T25" s="13"/>
      <c r="U25" s="50"/>
    </row>
    <row r="26" spans="1:24" ht="15" x14ac:dyDescent="0.25">
      <c r="A26" s="4"/>
      <c r="B26" s="4" t="s">
        <v>74</v>
      </c>
      <c r="C26" s="4"/>
      <c r="D26" s="10">
        <v>3000</v>
      </c>
      <c r="F26" s="4" t="s">
        <v>48</v>
      </c>
      <c r="G26" s="4"/>
      <c r="H26" s="52">
        <v>0.01</v>
      </c>
      <c r="I26" s="9"/>
      <c r="J26"/>
      <c r="K26" s="4"/>
      <c r="L26" s="4"/>
      <c r="P26" s="4"/>
      <c r="Q26" s="4"/>
      <c r="R26" s="13"/>
      <c r="S26" s="13"/>
      <c r="T26" s="13"/>
      <c r="U26" s="50"/>
    </row>
    <row r="27" spans="1:24" ht="14.25" x14ac:dyDescent="0.2">
      <c r="A27" s="4"/>
      <c r="B27" s="50" t="s">
        <v>154</v>
      </c>
      <c r="C27" s="50"/>
      <c r="D27" s="106">
        <v>2000</v>
      </c>
      <c r="E27" s="50"/>
      <c r="F27" s="4" t="s">
        <v>155</v>
      </c>
      <c r="G27" s="4"/>
      <c r="H27" s="11">
        <v>100</v>
      </c>
      <c r="I27" s="4"/>
      <c r="J27" s="4"/>
      <c r="K27" s="4"/>
      <c r="L27" s="4"/>
      <c r="P27" s="4"/>
      <c r="Q27" s="4"/>
      <c r="R27" s="4"/>
      <c r="S27" s="50"/>
      <c r="T27" s="50"/>
      <c r="U27" s="50"/>
    </row>
    <row r="28" spans="1:24" ht="15" x14ac:dyDescent="0.25">
      <c r="A28" s="4"/>
      <c r="B28" s="50" t="s">
        <v>78</v>
      </c>
      <c r="C28" s="50"/>
      <c r="D28" s="8">
        <v>1.5</v>
      </c>
      <c r="E28"/>
      <c r="F28" s="4" t="s">
        <v>21</v>
      </c>
      <c r="G28" s="4"/>
      <c r="H28" s="99">
        <v>70000</v>
      </c>
      <c r="I28" s="4"/>
      <c r="J28" s="4"/>
      <c r="K28" s="4"/>
      <c r="L28" s="4"/>
      <c r="P28" s="4"/>
      <c r="Q28" s="4"/>
      <c r="R28" s="4"/>
      <c r="S28" s="50"/>
      <c r="T28" s="50"/>
      <c r="U28" s="50"/>
    </row>
    <row r="29" spans="1:24" ht="15" x14ac:dyDescent="0.25">
      <c r="A29" s="4"/>
      <c r="B29" s="50" t="s">
        <v>156</v>
      </c>
      <c r="C29" s="50"/>
      <c r="D29" s="8">
        <v>0.5</v>
      </c>
      <c r="G29" s="4"/>
      <c r="H29"/>
      <c r="I29" s="4"/>
      <c r="J29"/>
      <c r="K29"/>
      <c r="L29"/>
      <c r="P29" s="4"/>
      <c r="Q29" s="4"/>
      <c r="R29" s="4"/>
      <c r="S29" s="50"/>
      <c r="T29" s="50"/>
      <c r="U29" s="50"/>
    </row>
    <row r="30" spans="1:24" ht="15" x14ac:dyDescent="0.25">
      <c r="A30" s="4"/>
      <c r="B30" s="50" t="s">
        <v>157</v>
      </c>
      <c r="C30" s="50"/>
      <c r="D30" s="54">
        <v>0.25</v>
      </c>
      <c r="E30" s="105"/>
      <c r="G30" s="4"/>
      <c r="H30"/>
      <c r="I30" s="4"/>
      <c r="J30"/>
      <c r="K30"/>
      <c r="L30"/>
      <c r="P30" s="4"/>
      <c r="Q30" s="4"/>
      <c r="R30" s="4"/>
      <c r="S30" s="50"/>
      <c r="T30" s="50"/>
      <c r="U30" s="50"/>
    </row>
    <row r="31" spans="1:24" ht="14.25" x14ac:dyDescent="0.2">
      <c r="A31" s="4"/>
      <c r="B31" s="50" t="s">
        <v>123</v>
      </c>
      <c r="C31" s="50"/>
      <c r="D31" s="12">
        <v>0.1</v>
      </c>
      <c r="I31" s="55"/>
      <c r="M31" s="4"/>
      <c r="N31" s="4"/>
      <c r="O31" s="56"/>
      <c r="P31" s="4"/>
      <c r="Q31" s="4"/>
      <c r="R31" s="4"/>
      <c r="S31" s="50"/>
      <c r="T31" s="50"/>
      <c r="U31" s="50"/>
    </row>
    <row r="32" spans="1:24" ht="14.25" x14ac:dyDescent="0.2">
      <c r="A32" s="4"/>
      <c r="E32" s="57"/>
      <c r="F32" s="59"/>
      <c r="G32" s="59"/>
      <c r="H32" s="59"/>
      <c r="I32" s="4"/>
      <c r="M32" s="4"/>
      <c r="N32" s="4"/>
      <c r="O32" s="50"/>
      <c r="P32" s="50"/>
      <c r="Q32" s="50"/>
      <c r="R32" s="50"/>
      <c r="S32" s="50"/>
      <c r="T32" s="50"/>
      <c r="U32" s="50"/>
    </row>
    <row r="33" spans="1:21" s="1" customFormat="1" ht="15" x14ac:dyDescent="0.25">
      <c r="A33" s="7" t="s">
        <v>19</v>
      </c>
      <c r="B33" s="17" t="s">
        <v>65</v>
      </c>
      <c r="C33" s="17"/>
      <c r="D33" s="17"/>
      <c r="E33" s="17"/>
      <c r="F33" s="17"/>
      <c r="G33" s="17"/>
      <c r="H33" s="17"/>
      <c r="I33" s="7"/>
      <c r="J33"/>
      <c r="K33"/>
      <c r="L33"/>
      <c r="M33" s="7"/>
      <c r="N33" s="7"/>
      <c r="O33" s="51"/>
      <c r="P33" s="51"/>
      <c r="Q33" s="51"/>
      <c r="R33" s="51"/>
      <c r="S33" s="51"/>
      <c r="T33" s="51"/>
      <c r="U33" s="51"/>
    </row>
    <row r="34" spans="1:21" s="1" customFormat="1" ht="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51"/>
      <c r="P34" s="51"/>
      <c r="Q34" s="51"/>
      <c r="R34" s="51"/>
      <c r="S34" s="51"/>
      <c r="T34" s="51"/>
      <c r="U34" s="51"/>
    </row>
    <row r="35" spans="1:21" ht="14.25" x14ac:dyDescent="0.2">
      <c r="A35" s="4"/>
      <c r="B35" s="4" t="s">
        <v>61</v>
      </c>
      <c r="C35" s="4"/>
      <c r="D35" s="45">
        <f>C84</f>
        <v>22500</v>
      </c>
      <c r="E35" s="4"/>
      <c r="F35" s="4"/>
      <c r="G35" s="50"/>
      <c r="H35" s="50"/>
      <c r="I35" s="50"/>
      <c r="J35" s="4"/>
      <c r="K35" s="4"/>
      <c r="L35" s="4"/>
      <c r="M35" s="4"/>
      <c r="N35" s="4"/>
      <c r="O35" s="50"/>
      <c r="P35" s="50"/>
      <c r="Q35" s="50"/>
      <c r="R35" s="50"/>
      <c r="S35" s="50"/>
      <c r="T35" s="50"/>
      <c r="U35" s="50"/>
    </row>
    <row r="36" spans="1:21" ht="14.25" x14ac:dyDescent="0.2">
      <c r="A36" s="4"/>
      <c r="B36" s="15" t="s">
        <v>62</v>
      </c>
      <c r="C36" s="15"/>
      <c r="D36" s="48">
        <f>D24</f>
        <v>7</v>
      </c>
      <c r="E36" s="4"/>
      <c r="F36" s="4"/>
      <c r="G36" s="50"/>
      <c r="H36" s="50"/>
      <c r="I36" s="50"/>
      <c r="J36" s="4"/>
      <c r="K36" s="4"/>
      <c r="L36" s="4"/>
      <c r="M36" s="4"/>
      <c r="N36" s="4"/>
      <c r="O36" s="50"/>
      <c r="P36" s="50"/>
      <c r="Q36" s="50"/>
      <c r="R36" s="50"/>
      <c r="S36" s="50"/>
      <c r="T36" s="50"/>
      <c r="U36" s="50"/>
    </row>
    <row r="37" spans="1:21" ht="15" x14ac:dyDescent="0.25">
      <c r="A37" s="4"/>
      <c r="B37" s="6" t="s">
        <v>63</v>
      </c>
      <c r="C37" s="6"/>
      <c r="D37" s="46">
        <f>D36*D35</f>
        <v>157500</v>
      </c>
      <c r="E37" s="4"/>
      <c r="F37" s="4"/>
      <c r="G37" s="50"/>
      <c r="H37" s="50"/>
      <c r="I37" s="50"/>
      <c r="J37" s="4"/>
      <c r="K37" s="4"/>
      <c r="L37" s="4"/>
      <c r="M37" s="4"/>
      <c r="N37" s="4"/>
      <c r="O37" s="50"/>
      <c r="P37" s="50"/>
      <c r="Q37" s="50"/>
      <c r="R37" s="50"/>
      <c r="S37" s="50"/>
      <c r="T37" s="50"/>
      <c r="U37" s="50"/>
    </row>
    <row r="38" spans="1:21" ht="14.25" x14ac:dyDescent="0.2">
      <c r="A38" s="4"/>
      <c r="B38" s="4" t="s">
        <v>64</v>
      </c>
      <c r="C38" s="4"/>
      <c r="D38" s="45">
        <f>SUM(D37:D37)</f>
        <v>157500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50"/>
      <c r="P38" s="50"/>
      <c r="Q38" s="50"/>
      <c r="R38" s="50"/>
      <c r="S38" s="50"/>
      <c r="T38" s="50"/>
      <c r="U38" s="50"/>
    </row>
    <row r="39" spans="1:21" ht="14.25" x14ac:dyDescent="0.2">
      <c r="A39" s="4"/>
      <c r="B39" s="4"/>
      <c r="C39" s="4"/>
      <c r="D39" s="45"/>
      <c r="E39" s="4"/>
      <c r="F39" s="4"/>
      <c r="G39" s="4"/>
      <c r="H39" s="4"/>
      <c r="I39" s="4"/>
      <c r="J39" s="4"/>
      <c r="K39" s="4"/>
      <c r="L39" s="4"/>
      <c r="M39" s="4"/>
      <c r="N39" s="4"/>
      <c r="O39" s="50"/>
      <c r="P39" s="50"/>
      <c r="Q39" s="50"/>
      <c r="R39" s="50"/>
      <c r="S39" s="50"/>
      <c r="T39" s="50"/>
      <c r="U39" s="50"/>
    </row>
    <row r="40" spans="1:21" ht="14.25" x14ac:dyDescent="0.2">
      <c r="A40" s="4"/>
      <c r="B40" s="4" t="s">
        <v>66</v>
      </c>
      <c r="C40" s="4"/>
      <c r="D40" s="45">
        <f>D38</f>
        <v>157500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50"/>
      <c r="P40" s="50"/>
      <c r="Q40" s="50"/>
      <c r="R40" s="50"/>
      <c r="S40" s="50"/>
      <c r="T40" s="50"/>
      <c r="U40" s="50"/>
    </row>
    <row r="41" spans="1:21" ht="14.25" x14ac:dyDescent="0.2">
      <c r="A41" s="4"/>
      <c r="B41" s="4" t="s">
        <v>67</v>
      </c>
      <c r="C41" s="4"/>
      <c r="D41" s="45">
        <f>-(E117-E103)</f>
        <v>-9230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50"/>
      <c r="P41" s="50"/>
      <c r="Q41" s="50"/>
      <c r="R41" s="50"/>
      <c r="S41" s="50"/>
      <c r="T41" s="50"/>
      <c r="U41" s="50"/>
    </row>
    <row r="42" spans="1:21" ht="15" x14ac:dyDescent="0.25">
      <c r="A42" s="4"/>
      <c r="B42" s="16" t="s">
        <v>68</v>
      </c>
      <c r="C42" s="16"/>
      <c r="D42" s="47">
        <f>SUM(D40:D41)</f>
        <v>148270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50"/>
      <c r="P42" s="50"/>
      <c r="Q42" s="50"/>
      <c r="R42" s="50"/>
      <c r="S42" s="50"/>
      <c r="T42" s="50"/>
      <c r="U42" s="50"/>
    </row>
    <row r="43" spans="1:21" ht="14.2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0"/>
      <c r="P43" s="50"/>
      <c r="Q43" s="50"/>
      <c r="R43" s="50"/>
      <c r="S43" s="50"/>
      <c r="T43" s="50"/>
      <c r="U43" s="50"/>
    </row>
    <row r="44" spans="1:21" ht="14.2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0"/>
      <c r="P44" s="50"/>
      <c r="Q44" s="50"/>
      <c r="R44" s="50"/>
      <c r="S44" s="50"/>
      <c r="T44" s="50"/>
      <c r="U44" s="50"/>
    </row>
    <row r="45" spans="1:21" s="1" customFormat="1" ht="15" x14ac:dyDescent="0.25">
      <c r="A45" s="7" t="s">
        <v>19</v>
      </c>
      <c r="B45" s="17" t="s">
        <v>26</v>
      </c>
      <c r="C45" s="17"/>
      <c r="D45" s="17"/>
      <c r="E45" s="17"/>
      <c r="F45" s="17"/>
      <c r="G45" s="17"/>
      <c r="H45" s="17"/>
      <c r="I45" s="7"/>
      <c r="J45" s="7"/>
      <c r="K45" s="7"/>
      <c r="L45" s="7"/>
      <c r="M45" s="7"/>
      <c r="N45" s="7"/>
      <c r="O45" s="51"/>
      <c r="P45" s="51"/>
      <c r="Q45" s="51"/>
      <c r="R45" s="51"/>
      <c r="S45" s="51"/>
      <c r="T45" s="51"/>
      <c r="U45" s="51"/>
    </row>
    <row r="46" spans="1:21" s="1" customFormat="1" ht="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51"/>
      <c r="P46" s="51"/>
      <c r="Q46" s="51"/>
      <c r="R46" s="51"/>
      <c r="S46" s="51"/>
      <c r="T46" s="51"/>
      <c r="U46" s="51"/>
    </row>
    <row r="47" spans="1:21" s="1" customFormat="1" ht="15" x14ac:dyDescent="0.25">
      <c r="A47" s="7"/>
      <c r="B47" s="17" t="s">
        <v>27</v>
      </c>
      <c r="C47" s="18" t="s">
        <v>28</v>
      </c>
      <c r="D47" s="18" t="s">
        <v>29</v>
      </c>
      <c r="E47" s="18" t="s">
        <v>30</v>
      </c>
      <c r="F47" s="18" t="s">
        <v>31</v>
      </c>
      <c r="G47" s="18" t="s">
        <v>129</v>
      </c>
      <c r="H47" s="18" t="s">
        <v>130</v>
      </c>
      <c r="I47" s="7"/>
      <c r="J47" s="7"/>
      <c r="K47" s="7"/>
      <c r="L47" s="7"/>
      <c r="M47" s="7"/>
      <c r="N47" s="7"/>
      <c r="O47" s="51"/>
      <c r="P47" s="51"/>
      <c r="Q47" s="51"/>
      <c r="R47" s="51"/>
      <c r="S47" s="51"/>
      <c r="T47" s="51"/>
      <c r="U47" s="51"/>
    </row>
    <row r="48" spans="1:21" ht="14.25" x14ac:dyDescent="0.2">
      <c r="A48" s="4"/>
      <c r="B48" s="4" t="s">
        <v>32</v>
      </c>
      <c r="C48" s="19">
        <v>1</v>
      </c>
      <c r="D48" s="104">
        <f>C48*ltmebitda</f>
        <v>22500</v>
      </c>
      <c r="E48" s="20">
        <v>400</v>
      </c>
      <c r="F48" s="9"/>
      <c r="G48" s="9"/>
      <c r="H48" s="21">
        <v>5</v>
      </c>
      <c r="I48" s="4"/>
      <c r="J48" s="4"/>
      <c r="K48" s="4"/>
      <c r="L48" s="4"/>
      <c r="M48" s="4"/>
      <c r="N48" s="4"/>
      <c r="O48" s="50"/>
      <c r="P48" s="50"/>
      <c r="Q48" s="50"/>
      <c r="R48" s="50"/>
      <c r="S48" s="50"/>
      <c r="T48" s="50"/>
      <c r="U48" s="50"/>
    </row>
    <row r="49" spans="1:21" ht="14.25" x14ac:dyDescent="0.2">
      <c r="A49" s="4"/>
      <c r="B49" s="4" t="s">
        <v>113</v>
      </c>
      <c r="C49" s="19">
        <v>2</v>
      </c>
      <c r="D49" s="104">
        <f>C49*ltmebitda</f>
        <v>45000</v>
      </c>
      <c r="E49" s="20">
        <v>700</v>
      </c>
      <c r="F49" s="22">
        <v>0.02</v>
      </c>
      <c r="G49" s="22">
        <v>0.01</v>
      </c>
      <c r="H49" s="21">
        <v>5</v>
      </c>
      <c r="I49" s="4"/>
      <c r="J49" s="4"/>
      <c r="K49" s="4"/>
      <c r="L49" s="4"/>
      <c r="M49" s="4"/>
      <c r="N49" s="4"/>
      <c r="O49" s="50"/>
      <c r="P49" s="50"/>
      <c r="Q49" s="50"/>
      <c r="R49" s="50"/>
      <c r="S49" s="50"/>
      <c r="T49" s="50"/>
      <c r="U49" s="50"/>
    </row>
    <row r="50" spans="1:21" ht="14.25" x14ac:dyDescent="0.2">
      <c r="A50" s="4"/>
      <c r="B50" s="4" t="s">
        <v>34</v>
      </c>
      <c r="C50" s="19">
        <v>0.5</v>
      </c>
      <c r="D50" s="104">
        <f>C50*ltmebitda</f>
        <v>11250</v>
      </c>
      <c r="E50" s="9"/>
      <c r="F50" s="9"/>
      <c r="G50" s="9"/>
      <c r="H50" s="23"/>
      <c r="I50" s="4"/>
      <c r="J50" s="4"/>
      <c r="K50" s="4"/>
      <c r="L50" s="4"/>
      <c r="M50" s="4"/>
      <c r="N50" s="4"/>
      <c r="O50" s="50"/>
      <c r="P50" s="50"/>
      <c r="Q50" s="50"/>
      <c r="R50" s="50"/>
      <c r="S50" s="50"/>
      <c r="T50" s="50"/>
      <c r="U50" s="50"/>
    </row>
    <row r="51" spans="1:21" s="1" customFormat="1" ht="15" x14ac:dyDescent="0.25">
      <c r="A51" s="7"/>
      <c r="B51" s="16" t="s">
        <v>35</v>
      </c>
      <c r="C51" s="24">
        <f>SUM(C48:C50)</f>
        <v>3.5</v>
      </c>
      <c r="D51" s="145">
        <f>SUM(D48:D50)</f>
        <v>78750</v>
      </c>
      <c r="E51" s="25"/>
      <c r="F51" s="25"/>
      <c r="G51" s="25"/>
      <c r="H51" s="25"/>
      <c r="I51" s="7"/>
      <c r="J51" s="7"/>
      <c r="K51" s="7"/>
      <c r="L51" s="7"/>
      <c r="M51" s="7"/>
      <c r="N51" s="7"/>
      <c r="O51" s="51"/>
      <c r="P51" s="51"/>
      <c r="Q51" s="51"/>
      <c r="R51" s="51"/>
      <c r="S51" s="51"/>
      <c r="T51" s="51"/>
      <c r="U51" s="51"/>
    </row>
    <row r="52" spans="1:21" ht="14.2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0"/>
      <c r="P52" s="50"/>
      <c r="Q52" s="50"/>
      <c r="R52" s="50"/>
      <c r="S52" s="50"/>
      <c r="T52" s="50"/>
      <c r="U52" s="50"/>
    </row>
    <row r="53" spans="1:21" ht="15" thickBot="1" x14ac:dyDescent="0.25">
      <c r="A53" s="4"/>
      <c r="B53" s="4"/>
      <c r="C53" s="60">
        <v>40908</v>
      </c>
      <c r="D53" s="61">
        <f>EOMONTH(C53,12)</f>
        <v>41274</v>
      </c>
      <c r="E53" s="61">
        <f t="shared" ref="E53:H53" si="1">EOMONTH(D53,12)</f>
        <v>41639</v>
      </c>
      <c r="F53" s="61">
        <f t="shared" si="1"/>
        <v>42004</v>
      </c>
      <c r="G53" s="61">
        <f t="shared" si="1"/>
        <v>42369</v>
      </c>
      <c r="H53" s="61">
        <f t="shared" si="1"/>
        <v>42735</v>
      </c>
      <c r="I53" s="4"/>
      <c r="J53" s="4"/>
      <c r="K53" s="4"/>
      <c r="L53" s="4"/>
      <c r="M53" s="4"/>
      <c r="N53" s="4"/>
      <c r="O53" s="50"/>
      <c r="P53" s="50"/>
      <c r="Q53" s="50"/>
      <c r="R53" s="50"/>
      <c r="S53" s="50"/>
      <c r="T53" s="50"/>
      <c r="U53" s="50"/>
    </row>
    <row r="54" spans="1:21" ht="14.25" x14ac:dyDescent="0.2">
      <c r="A54" s="4"/>
      <c r="B54" s="4" t="s">
        <v>77</v>
      </c>
      <c r="C54" s="26">
        <v>0.01</v>
      </c>
      <c r="D54" s="27">
        <f>C54+0.25%</f>
        <v>1.2500000000000001E-2</v>
      </c>
      <c r="E54" s="27">
        <f t="shared" ref="E54:H54" si="2">D54+0.25%</f>
        <v>1.5000000000000001E-2</v>
      </c>
      <c r="F54" s="27">
        <f t="shared" si="2"/>
        <v>1.7500000000000002E-2</v>
      </c>
      <c r="G54" s="27">
        <f t="shared" si="2"/>
        <v>0.02</v>
      </c>
      <c r="H54" s="27">
        <f t="shared" si="2"/>
        <v>2.2499999999999999E-2</v>
      </c>
      <c r="I54" s="4"/>
      <c r="J54" s="4"/>
      <c r="K54" s="4"/>
      <c r="L54" s="4"/>
      <c r="M54" s="4"/>
      <c r="N54" s="4"/>
      <c r="O54" s="50"/>
      <c r="P54" s="50"/>
      <c r="Q54" s="50"/>
      <c r="R54" s="50"/>
      <c r="S54" s="50"/>
      <c r="T54" s="50"/>
      <c r="U54" s="50"/>
    </row>
    <row r="55" spans="1:21" ht="14.2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0"/>
      <c r="P55" s="50"/>
      <c r="Q55" s="50"/>
      <c r="R55" s="50"/>
      <c r="S55" s="50"/>
      <c r="T55" s="50"/>
      <c r="U55" s="50"/>
    </row>
    <row r="56" spans="1:21" s="1" customFormat="1" ht="15" x14ac:dyDescent="0.25">
      <c r="A56" s="7" t="s">
        <v>19</v>
      </c>
      <c r="B56" s="17" t="s">
        <v>25</v>
      </c>
      <c r="C56" s="17"/>
      <c r="D56" s="17"/>
      <c r="E56" s="17"/>
      <c r="F56" s="17"/>
      <c r="G56" s="17"/>
      <c r="H56" s="17"/>
      <c r="I56" s="7"/>
      <c r="J56" s="7"/>
      <c r="K56" s="7"/>
      <c r="L56" s="7"/>
      <c r="M56" s="7"/>
      <c r="N56" s="7"/>
      <c r="O56" s="51"/>
      <c r="P56" s="51"/>
      <c r="Q56" s="51"/>
      <c r="R56" s="51"/>
      <c r="S56" s="51"/>
      <c r="T56" s="51"/>
      <c r="U56" s="51"/>
    </row>
    <row r="57" spans="1:21" ht="14.2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0"/>
      <c r="P57" s="50"/>
      <c r="Q57" s="50"/>
      <c r="R57" s="50"/>
      <c r="S57" s="50"/>
      <c r="T57" s="50"/>
      <c r="U57" s="50"/>
    </row>
    <row r="58" spans="1:21" s="1" customFormat="1" ht="15" x14ac:dyDescent="0.25">
      <c r="A58" s="7"/>
      <c r="B58" s="17" t="s">
        <v>69</v>
      </c>
      <c r="C58" s="17"/>
      <c r="D58" s="17"/>
      <c r="E58" s="17" t="s">
        <v>70</v>
      </c>
      <c r="F58" s="17"/>
      <c r="G58" s="7"/>
      <c r="H58" s="7"/>
      <c r="I58" s="7"/>
      <c r="J58" s="7"/>
      <c r="K58" s="7"/>
      <c r="L58" s="7"/>
      <c r="M58" s="7"/>
      <c r="N58" s="7"/>
      <c r="O58" s="51"/>
      <c r="P58" s="51"/>
      <c r="Q58" s="51"/>
      <c r="R58" s="51"/>
      <c r="S58" s="51"/>
      <c r="T58" s="51"/>
      <c r="U58" s="51"/>
    </row>
    <row r="59" spans="1:21" ht="14.25" x14ac:dyDescent="0.2">
      <c r="A59" s="4"/>
      <c r="B59" s="4" t="s">
        <v>71</v>
      </c>
      <c r="C59" s="4"/>
      <c r="D59" s="96">
        <f>IF(E96-H25&gt;0,E96-H25,0)</f>
        <v>0</v>
      </c>
      <c r="E59" s="4" t="s">
        <v>66</v>
      </c>
      <c r="F59" s="97">
        <f>D38</f>
        <v>157500</v>
      </c>
      <c r="G59" s="4"/>
      <c r="H59" s="4"/>
      <c r="I59" s="4"/>
      <c r="J59" s="4"/>
      <c r="K59" s="4"/>
      <c r="L59" s="4"/>
      <c r="M59" s="4"/>
      <c r="N59" s="4"/>
      <c r="O59" s="50"/>
      <c r="P59" s="50"/>
      <c r="Q59" s="50"/>
      <c r="R59" s="50"/>
      <c r="S59" s="50"/>
      <c r="T59" s="50"/>
      <c r="U59" s="50"/>
    </row>
    <row r="60" spans="1:21" ht="14.25" x14ac:dyDescent="0.2">
      <c r="A60" s="4"/>
      <c r="B60" s="4" t="s">
        <v>32</v>
      </c>
      <c r="C60" s="4"/>
      <c r="D60" s="96">
        <f>D48+SUM(F60:F62)</f>
        <v>29500</v>
      </c>
      <c r="E60" s="4" t="s">
        <v>74</v>
      </c>
      <c r="F60" s="97">
        <f>D26</f>
        <v>3000</v>
      </c>
      <c r="G60" s="4"/>
      <c r="H60" s="4"/>
      <c r="I60" s="4"/>
      <c r="J60" s="4"/>
      <c r="K60" s="4"/>
      <c r="L60" s="4"/>
      <c r="M60" s="4"/>
      <c r="N60" s="4"/>
      <c r="O60" s="50"/>
      <c r="P60" s="50"/>
      <c r="Q60" s="50"/>
      <c r="R60" s="50"/>
      <c r="S60" s="50"/>
      <c r="T60" s="50"/>
      <c r="U60" s="50"/>
    </row>
    <row r="61" spans="1:21" ht="14.25" x14ac:dyDescent="0.2">
      <c r="A61" s="4"/>
      <c r="B61" s="4" t="s">
        <v>113</v>
      </c>
      <c r="C61" s="4"/>
      <c r="D61" s="96">
        <f t="shared" ref="D61:D62" si="3">D49</f>
        <v>45000</v>
      </c>
      <c r="E61" s="4" t="s">
        <v>75</v>
      </c>
      <c r="F61" s="97">
        <f>D27</f>
        <v>2000</v>
      </c>
      <c r="G61" s="4"/>
      <c r="H61" s="4"/>
      <c r="I61" s="4"/>
      <c r="J61" s="4"/>
      <c r="K61" s="4"/>
      <c r="L61" s="4"/>
      <c r="M61" s="4"/>
      <c r="N61" s="4"/>
      <c r="O61" s="50"/>
      <c r="P61" s="50"/>
      <c r="Q61" s="50"/>
      <c r="R61" s="50"/>
      <c r="S61" s="50"/>
      <c r="T61" s="50"/>
      <c r="U61" s="50"/>
    </row>
    <row r="62" spans="1:21" ht="14.25" x14ac:dyDescent="0.2">
      <c r="A62" s="4"/>
      <c r="B62" s="4" t="s">
        <v>34</v>
      </c>
      <c r="C62" s="4"/>
      <c r="D62" s="96">
        <f t="shared" si="3"/>
        <v>11250</v>
      </c>
      <c r="E62" s="4" t="s">
        <v>60</v>
      </c>
      <c r="F62" s="97">
        <f>$H$25</f>
        <v>2000</v>
      </c>
      <c r="G62" s="4"/>
      <c r="H62" s="4"/>
      <c r="I62" s="4"/>
      <c r="J62" s="4"/>
      <c r="K62" s="4"/>
      <c r="L62" s="4"/>
      <c r="M62" s="4"/>
      <c r="N62" s="4"/>
      <c r="O62" s="50"/>
      <c r="P62" s="50"/>
      <c r="Q62" s="50"/>
      <c r="R62" s="50"/>
      <c r="S62" s="50"/>
      <c r="T62" s="50"/>
      <c r="U62" s="50"/>
    </row>
    <row r="63" spans="1:21" ht="14.25" x14ac:dyDescent="0.2">
      <c r="A63" s="4"/>
      <c r="B63" s="4" t="s">
        <v>72</v>
      </c>
      <c r="C63" s="4"/>
      <c r="D63" s="96">
        <f>D28/SUM($D$28:$D$29)*($F$65-SUM($D$59:$D$62))</f>
        <v>59062.5</v>
      </c>
      <c r="E63" s="4"/>
      <c r="F63" s="97"/>
      <c r="G63" s="4"/>
      <c r="H63" s="4"/>
      <c r="I63" s="4"/>
      <c r="J63" s="4"/>
      <c r="K63" s="4"/>
      <c r="L63" s="4"/>
      <c r="M63" s="4"/>
      <c r="N63" s="4"/>
      <c r="O63" s="50"/>
      <c r="P63" s="50"/>
      <c r="Q63" s="50"/>
      <c r="R63" s="50"/>
      <c r="S63" s="50"/>
      <c r="T63" s="50"/>
      <c r="U63" s="50"/>
    </row>
    <row r="64" spans="1:21" ht="14.25" x14ac:dyDescent="0.2">
      <c r="A64" s="4"/>
      <c r="B64" s="4" t="s">
        <v>73</v>
      </c>
      <c r="C64" s="4"/>
      <c r="D64" s="96">
        <f t="shared" ref="D64" si="4">D29/SUM($D$28:$D$29)*($F$65-SUM($D$59:$D$62))</f>
        <v>19687.5</v>
      </c>
      <c r="E64" s="4"/>
      <c r="F64" s="97"/>
      <c r="G64" s="4"/>
      <c r="H64" s="4"/>
      <c r="I64" s="4"/>
      <c r="J64" s="4"/>
      <c r="K64" s="4"/>
      <c r="L64" s="4"/>
      <c r="M64" s="4"/>
      <c r="N64" s="4"/>
      <c r="O64" s="50"/>
      <c r="P64" s="50"/>
      <c r="Q64" s="50"/>
      <c r="R64" s="50"/>
      <c r="S64" s="50"/>
      <c r="T64" s="50"/>
      <c r="U64" s="50"/>
    </row>
    <row r="65" spans="1:21" ht="15" x14ac:dyDescent="0.25">
      <c r="A65" s="4"/>
      <c r="B65" s="16" t="s">
        <v>35</v>
      </c>
      <c r="C65" s="16"/>
      <c r="D65" s="140">
        <f>SUM(D59:D64)</f>
        <v>164500</v>
      </c>
      <c r="E65" s="16" t="s">
        <v>35</v>
      </c>
      <c r="F65" s="141">
        <f>SUM(F59:F62)</f>
        <v>164500</v>
      </c>
      <c r="G65" s="4"/>
      <c r="H65" s="4"/>
      <c r="I65" s="4"/>
      <c r="J65" s="4"/>
      <c r="K65" s="4"/>
      <c r="L65" s="4"/>
      <c r="M65" s="4"/>
      <c r="N65" s="4"/>
      <c r="O65" s="50"/>
      <c r="P65" s="50"/>
      <c r="Q65" s="50"/>
      <c r="R65" s="50"/>
      <c r="S65" s="50"/>
      <c r="T65" s="50"/>
      <c r="U65" s="50"/>
    </row>
    <row r="66" spans="1:21" ht="14.2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0"/>
      <c r="P66" s="50"/>
      <c r="Q66" s="50"/>
      <c r="R66" s="50"/>
      <c r="S66" s="50"/>
      <c r="T66" s="50"/>
      <c r="U66" s="50"/>
    </row>
    <row r="67" spans="1:21" s="1" customFormat="1" ht="15" x14ac:dyDescent="0.25">
      <c r="A67" s="7" t="s">
        <v>19</v>
      </c>
      <c r="B67" s="17" t="s">
        <v>1</v>
      </c>
      <c r="C67" s="17"/>
      <c r="D67" s="17"/>
      <c r="E67" s="17"/>
      <c r="F67" s="17"/>
      <c r="G67" s="17"/>
      <c r="H67" s="17"/>
      <c r="I67" s="7"/>
      <c r="J67" s="7"/>
      <c r="K67" s="7"/>
      <c r="L67" s="7"/>
      <c r="M67" s="7"/>
      <c r="N67" s="7"/>
      <c r="O67" s="51"/>
      <c r="P67" s="51"/>
      <c r="Q67" s="51"/>
      <c r="R67" s="51"/>
      <c r="S67" s="51"/>
      <c r="T67" s="51"/>
      <c r="U67" s="51"/>
    </row>
    <row r="68" spans="1:21" ht="15" thickBot="1" x14ac:dyDescent="0.25">
      <c r="A68" s="50"/>
      <c r="B68" s="4"/>
      <c r="C68" s="60">
        <v>40908</v>
      </c>
      <c r="D68" s="61">
        <f>EOMONTH(C68,12)</f>
        <v>41274</v>
      </c>
      <c r="E68" s="61">
        <f t="shared" ref="E68:H68" si="5">EOMONTH(D68,12)</f>
        <v>41639</v>
      </c>
      <c r="F68" s="61">
        <f t="shared" si="5"/>
        <v>42004</v>
      </c>
      <c r="G68" s="61">
        <f t="shared" si="5"/>
        <v>42369</v>
      </c>
      <c r="H68" s="61">
        <f t="shared" si="5"/>
        <v>42735</v>
      </c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</row>
    <row r="69" spans="1:21" ht="14.25" x14ac:dyDescent="0.2">
      <c r="A69" s="50"/>
      <c r="B69" s="50" t="s">
        <v>36</v>
      </c>
      <c r="C69" s="62">
        <f>H27</f>
        <v>100</v>
      </c>
      <c r="D69" s="62">
        <f>C69+D70</f>
        <v>110</v>
      </c>
      <c r="E69" s="62">
        <f t="shared" ref="E69:H69" si="6">D69+E70</f>
        <v>120</v>
      </c>
      <c r="F69" s="62">
        <f t="shared" si="6"/>
        <v>130</v>
      </c>
      <c r="G69" s="62">
        <f t="shared" si="6"/>
        <v>140</v>
      </c>
      <c r="H69" s="62">
        <f t="shared" si="6"/>
        <v>150</v>
      </c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</row>
    <row r="70" spans="1:21" ht="14.25" x14ac:dyDescent="0.2">
      <c r="A70" s="50"/>
      <c r="B70" s="146" t="s">
        <v>37</v>
      </c>
      <c r="C70" s="62"/>
      <c r="D70" s="62">
        <f>$E$8</f>
        <v>10</v>
      </c>
      <c r="E70" s="62">
        <f>$E$8</f>
        <v>10</v>
      </c>
      <c r="F70" s="62">
        <f>$E$8</f>
        <v>10</v>
      </c>
      <c r="G70" s="62">
        <f>$E$8</f>
        <v>10</v>
      </c>
      <c r="H70" s="62">
        <f>$E$8</f>
        <v>10</v>
      </c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</row>
    <row r="71" spans="1:21" ht="14.25" x14ac:dyDescent="0.2">
      <c r="A71" s="50"/>
      <c r="B71" s="146" t="s">
        <v>45</v>
      </c>
      <c r="C71" s="62">
        <f>$H$27</f>
        <v>100</v>
      </c>
      <c r="D71" s="62">
        <f>C71+D70</f>
        <v>110</v>
      </c>
      <c r="E71" s="62">
        <f t="shared" ref="E71:H71" si="7">D71+E70</f>
        <v>120</v>
      </c>
      <c r="F71" s="62">
        <f t="shared" si="7"/>
        <v>130</v>
      </c>
      <c r="G71" s="62">
        <f t="shared" si="7"/>
        <v>140</v>
      </c>
      <c r="H71" s="62">
        <f t="shared" si="7"/>
        <v>150</v>
      </c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</row>
    <row r="72" spans="1:21" ht="14.25" x14ac:dyDescent="0.2">
      <c r="A72" s="50"/>
      <c r="B72" s="50"/>
      <c r="C72" s="72"/>
      <c r="D72" s="72"/>
      <c r="E72" s="72"/>
      <c r="F72" s="72"/>
      <c r="G72" s="72"/>
      <c r="H72" s="72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</row>
    <row r="73" spans="1:21" ht="14.25" x14ac:dyDescent="0.2">
      <c r="A73" s="50"/>
      <c r="B73" s="50" t="s">
        <v>0</v>
      </c>
      <c r="C73" s="62">
        <f>$E$9</f>
        <v>1500</v>
      </c>
      <c r="D73" s="62">
        <f t="shared" ref="D73:H73" si="8">$E$9</f>
        <v>1500</v>
      </c>
      <c r="E73" s="62">
        <f t="shared" si="8"/>
        <v>1500</v>
      </c>
      <c r="F73" s="62">
        <f t="shared" si="8"/>
        <v>1500</v>
      </c>
      <c r="G73" s="62">
        <f t="shared" si="8"/>
        <v>1500</v>
      </c>
      <c r="H73" s="62">
        <f t="shared" si="8"/>
        <v>1500</v>
      </c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</row>
    <row r="74" spans="1:21" s="2" customFormat="1" ht="14.25" x14ac:dyDescent="0.2">
      <c r="A74" s="55"/>
      <c r="B74" s="63" t="s">
        <v>41</v>
      </c>
      <c r="C74" s="73"/>
      <c r="D74" s="64">
        <f>$E$10</f>
        <v>0</v>
      </c>
      <c r="E74" s="64">
        <f>$E$10</f>
        <v>0</v>
      </c>
      <c r="F74" s="64">
        <f>$E$10</f>
        <v>0</v>
      </c>
      <c r="G74" s="64">
        <f>$E$10</f>
        <v>0</v>
      </c>
      <c r="H74" s="64">
        <f>$E$10</f>
        <v>0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 spans="1:21" ht="15" x14ac:dyDescent="0.25">
      <c r="A75" s="50"/>
      <c r="B75" s="65" t="s">
        <v>42</v>
      </c>
      <c r="C75" s="74">
        <f t="shared" ref="C75:H75" si="9">C73*C69</f>
        <v>150000</v>
      </c>
      <c r="D75" s="74">
        <f t="shared" si="9"/>
        <v>165000</v>
      </c>
      <c r="E75" s="74">
        <f t="shared" si="9"/>
        <v>180000</v>
      </c>
      <c r="F75" s="74">
        <f t="shared" si="9"/>
        <v>195000</v>
      </c>
      <c r="G75" s="74">
        <f t="shared" si="9"/>
        <v>210000</v>
      </c>
      <c r="H75" s="74">
        <f t="shared" si="9"/>
        <v>225000</v>
      </c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</row>
    <row r="76" spans="1:21" ht="14.25" x14ac:dyDescent="0.2">
      <c r="A76" s="50"/>
      <c r="B76" s="50" t="s">
        <v>76</v>
      </c>
      <c r="C76" s="62">
        <f t="shared" ref="C76:H76" si="10">IFERROR(-(C75-C77),"NA")</f>
        <v>-45000</v>
      </c>
      <c r="D76" s="62">
        <f t="shared" si="10"/>
        <v>-49500.000000000015</v>
      </c>
      <c r="E76" s="62">
        <f t="shared" si="10"/>
        <v>-54000.000000000015</v>
      </c>
      <c r="F76" s="62">
        <f t="shared" si="10"/>
        <v>-58500</v>
      </c>
      <c r="G76" s="62">
        <f t="shared" si="10"/>
        <v>-63000</v>
      </c>
      <c r="H76" s="62">
        <f t="shared" si="10"/>
        <v>-67500</v>
      </c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</row>
    <row r="77" spans="1:21" ht="15" x14ac:dyDescent="0.25">
      <c r="A77" s="50"/>
      <c r="B77" s="65" t="s">
        <v>43</v>
      </c>
      <c r="C77" s="74">
        <f t="shared" ref="C77:H77" si="11">C78*C75</f>
        <v>105000</v>
      </c>
      <c r="D77" s="74">
        <f t="shared" si="11"/>
        <v>115499.99999999999</v>
      </c>
      <c r="E77" s="74">
        <f t="shared" si="11"/>
        <v>125999.99999999999</v>
      </c>
      <c r="F77" s="74">
        <f t="shared" si="11"/>
        <v>136500</v>
      </c>
      <c r="G77" s="74">
        <f t="shared" si="11"/>
        <v>147000</v>
      </c>
      <c r="H77" s="74">
        <f t="shared" si="11"/>
        <v>157500</v>
      </c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spans="1:21" ht="14.25" x14ac:dyDescent="0.2">
      <c r="A78" s="50"/>
      <c r="B78" s="146" t="s">
        <v>44</v>
      </c>
      <c r="C78" s="57">
        <f t="shared" ref="C78:H78" si="12">$E$12</f>
        <v>0.7</v>
      </c>
      <c r="D78" s="57">
        <f t="shared" si="12"/>
        <v>0.7</v>
      </c>
      <c r="E78" s="57">
        <f t="shared" si="12"/>
        <v>0.7</v>
      </c>
      <c r="F78" s="57">
        <f t="shared" si="12"/>
        <v>0.7</v>
      </c>
      <c r="G78" s="57">
        <f t="shared" si="12"/>
        <v>0.7</v>
      </c>
      <c r="H78" s="57">
        <f t="shared" si="12"/>
        <v>0.7</v>
      </c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</row>
    <row r="79" spans="1:21" ht="14.25" x14ac:dyDescent="0.2">
      <c r="A79" s="50"/>
      <c r="B79" s="50" t="s">
        <v>49</v>
      </c>
      <c r="C79" s="62">
        <f>($H$28+$E$19*(C71-100))*-1</f>
        <v>-70000</v>
      </c>
      <c r="D79" s="62">
        <f t="shared" ref="D79:H79" si="13">($H$28+$E$19*(D71-100))*-1</f>
        <v>-76500</v>
      </c>
      <c r="E79" s="62">
        <f t="shared" si="13"/>
        <v>-83000</v>
      </c>
      <c r="F79" s="62">
        <f t="shared" si="13"/>
        <v>-89500</v>
      </c>
      <c r="G79" s="62">
        <f t="shared" si="13"/>
        <v>-96000</v>
      </c>
      <c r="H79" s="62">
        <f t="shared" si="13"/>
        <v>-102500</v>
      </c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</row>
    <row r="80" spans="1:21" ht="14.25" x14ac:dyDescent="0.2">
      <c r="A80" s="50"/>
      <c r="B80" s="50" t="s">
        <v>50</v>
      </c>
      <c r="C80" s="62">
        <f>($E$15+$E$16*C75)*-4</f>
        <v>-5000</v>
      </c>
      <c r="D80" s="62">
        <f t="shared" ref="D80:H80" si="14">($E$15+$E$16*D75)*-4</f>
        <v>-5300</v>
      </c>
      <c r="E80" s="62">
        <f t="shared" si="14"/>
        <v>-5600</v>
      </c>
      <c r="F80" s="62">
        <f t="shared" si="14"/>
        <v>-5900</v>
      </c>
      <c r="G80" s="62">
        <f t="shared" si="14"/>
        <v>-6200</v>
      </c>
      <c r="H80" s="62">
        <f t="shared" si="14"/>
        <v>-6500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</row>
    <row r="81" spans="1:21" ht="14.25" x14ac:dyDescent="0.2">
      <c r="A81" s="50"/>
      <c r="B81" s="50" t="s">
        <v>51</v>
      </c>
      <c r="C81" s="62">
        <f t="shared" ref="C81:H81" si="15">rent*-C71</f>
        <v>-7500</v>
      </c>
      <c r="D81" s="62">
        <f t="shared" si="15"/>
        <v>-8250</v>
      </c>
      <c r="E81" s="62">
        <f t="shared" si="15"/>
        <v>-9000</v>
      </c>
      <c r="F81" s="62">
        <f t="shared" si="15"/>
        <v>-9750</v>
      </c>
      <c r="G81" s="62">
        <f t="shared" si="15"/>
        <v>-10500</v>
      </c>
      <c r="H81" s="62">
        <f t="shared" si="15"/>
        <v>-11250</v>
      </c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</row>
    <row r="82" spans="1:21" ht="15" x14ac:dyDescent="0.25">
      <c r="A82" s="50"/>
      <c r="B82" s="65" t="s">
        <v>46</v>
      </c>
      <c r="C82" s="74">
        <f>SUM(C79:C81)</f>
        <v>-82500</v>
      </c>
      <c r="D82" s="74">
        <f t="shared" ref="D82:H82" si="16">SUM(D79:D81)</f>
        <v>-90050</v>
      </c>
      <c r="E82" s="74">
        <f t="shared" si="16"/>
        <v>-97600</v>
      </c>
      <c r="F82" s="74">
        <f t="shared" si="16"/>
        <v>-105150</v>
      </c>
      <c r="G82" s="74">
        <f t="shared" si="16"/>
        <v>-112700</v>
      </c>
      <c r="H82" s="74">
        <f t="shared" si="16"/>
        <v>-120250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</row>
    <row r="83" spans="1:21" ht="14.25" x14ac:dyDescent="0.2">
      <c r="A83" s="50"/>
      <c r="B83" s="50"/>
      <c r="C83" s="72"/>
      <c r="D83" s="72"/>
      <c r="E83" s="72"/>
      <c r="F83" s="72"/>
      <c r="G83" s="72"/>
      <c r="H83" s="72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</row>
    <row r="84" spans="1:21" ht="15" x14ac:dyDescent="0.25">
      <c r="A84" s="50"/>
      <c r="B84" s="65" t="s">
        <v>47</v>
      </c>
      <c r="C84" s="74">
        <f t="shared" ref="C84:D84" si="17">C82+C77</f>
        <v>22500</v>
      </c>
      <c r="D84" s="74">
        <f t="shared" si="17"/>
        <v>25449.999999999985</v>
      </c>
      <c r="E84" s="148" t="s">
        <v>158</v>
      </c>
      <c r="F84" s="148" t="s">
        <v>158</v>
      </c>
      <c r="G84" s="148" t="s">
        <v>158</v>
      </c>
      <c r="H84" s="148" t="s">
        <v>158</v>
      </c>
      <c r="I84" s="50"/>
      <c r="J84" s="51" t="s">
        <v>159</v>
      </c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</row>
    <row r="85" spans="1:21" ht="14.25" x14ac:dyDescent="0.2">
      <c r="A85" s="50"/>
      <c r="B85" s="50" t="s">
        <v>52</v>
      </c>
      <c r="C85" s="62">
        <f t="shared" ref="C85:D85" si="18">-$H$26*C75</f>
        <v>-1500</v>
      </c>
      <c r="D85" s="62">
        <f t="shared" si="18"/>
        <v>-1650</v>
      </c>
      <c r="E85" s="149" t="s">
        <v>158</v>
      </c>
      <c r="F85" s="149" t="s">
        <v>158</v>
      </c>
      <c r="G85" s="149" t="s">
        <v>158</v>
      </c>
      <c r="H85" s="149" t="s">
        <v>158</v>
      </c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</row>
    <row r="86" spans="1:21" ht="14.25" x14ac:dyDescent="0.2">
      <c r="A86" s="50"/>
      <c r="B86" s="50" t="s">
        <v>127</v>
      </c>
      <c r="C86" s="62">
        <f t="shared" ref="C86:H86" si="19">-(C129-D129)</f>
        <v>-600</v>
      </c>
      <c r="D86" s="62">
        <f t="shared" si="19"/>
        <v>-600</v>
      </c>
      <c r="E86" s="62">
        <f t="shared" si="19"/>
        <v>-600</v>
      </c>
      <c r="F86" s="62">
        <f t="shared" si="19"/>
        <v>-600</v>
      </c>
      <c r="G86" s="62">
        <f t="shared" si="19"/>
        <v>-600</v>
      </c>
      <c r="H86" s="62">
        <f t="shared" si="19"/>
        <v>0</v>
      </c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</row>
    <row r="87" spans="1:21" ht="15" x14ac:dyDescent="0.25">
      <c r="A87" s="50"/>
      <c r="B87" s="65" t="s">
        <v>53</v>
      </c>
      <c r="C87" s="74">
        <f>SUM(C84:C86)</f>
        <v>20400</v>
      </c>
      <c r="D87" s="74">
        <f t="shared" ref="D87:H87" si="20">SUM(D84:D86)</f>
        <v>23199.999999999985</v>
      </c>
      <c r="E87" s="74">
        <f t="shared" si="20"/>
        <v>-600</v>
      </c>
      <c r="F87" s="74">
        <f t="shared" si="20"/>
        <v>-600</v>
      </c>
      <c r="G87" s="74">
        <f t="shared" si="20"/>
        <v>-600</v>
      </c>
      <c r="H87" s="74">
        <f t="shared" si="20"/>
        <v>0</v>
      </c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</row>
    <row r="88" spans="1:21" ht="14.25" x14ac:dyDescent="0.2">
      <c r="A88" s="50"/>
      <c r="B88" s="50" t="s">
        <v>54</v>
      </c>
      <c r="C88" s="62">
        <f>C220</f>
        <v>0</v>
      </c>
      <c r="D88" s="62">
        <f t="shared" ref="D88:H88" ca="1" si="21">D220</f>
        <v>-6073.4226568453141</v>
      </c>
      <c r="E88" s="62" t="e">
        <f t="shared" ca="1" si="21"/>
        <v>#VALUE!</v>
      </c>
      <c r="F88" s="62" t="e">
        <f t="shared" ca="1" si="21"/>
        <v>#VALUE!</v>
      </c>
      <c r="G88" s="62" t="e">
        <f t="shared" ca="1" si="21"/>
        <v>#VALUE!</v>
      </c>
      <c r="H88" s="62" t="e">
        <f t="shared" ca="1" si="21"/>
        <v>#VALUE!</v>
      </c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</row>
    <row r="89" spans="1:21" ht="14.25" x14ac:dyDescent="0.2">
      <c r="A89" s="50"/>
      <c r="B89" s="50" t="s">
        <v>55</v>
      </c>
      <c r="C89" s="62">
        <f t="shared" ref="C89:H89" si="22">-$H$24*SUM(C88,C87)</f>
        <v>-8160</v>
      </c>
      <c r="D89" s="62">
        <f t="shared" ca="1" si="22"/>
        <v>-6850.630937261868</v>
      </c>
      <c r="E89" s="62" t="e">
        <f t="shared" ca="1" si="22"/>
        <v>#VALUE!</v>
      </c>
      <c r="F89" s="62" t="e">
        <f t="shared" ca="1" si="22"/>
        <v>#VALUE!</v>
      </c>
      <c r="G89" s="62" t="e">
        <f t="shared" ca="1" si="22"/>
        <v>#VALUE!</v>
      </c>
      <c r="H89" s="62" t="e">
        <f t="shared" ca="1" si="22"/>
        <v>#VALUE!</v>
      </c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</row>
    <row r="90" spans="1:21" ht="15" x14ac:dyDescent="0.25">
      <c r="A90" s="50"/>
      <c r="B90" s="65" t="s">
        <v>56</v>
      </c>
      <c r="C90" s="74">
        <f>SUM(C87:C89)</f>
        <v>12240</v>
      </c>
      <c r="D90" s="74">
        <f t="shared" ref="D90:H90" ca="1" si="23">SUM(D87:D89)</f>
        <v>10275.946405892802</v>
      </c>
      <c r="E90" s="74" t="e">
        <f t="shared" ca="1" si="23"/>
        <v>#VALUE!</v>
      </c>
      <c r="F90" s="74" t="e">
        <f t="shared" ca="1" si="23"/>
        <v>#VALUE!</v>
      </c>
      <c r="G90" s="74" t="e">
        <f t="shared" ca="1" si="23"/>
        <v>#VALUE!</v>
      </c>
      <c r="H90" s="74" t="e">
        <f t="shared" ca="1" si="23"/>
        <v>#VALUE!</v>
      </c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</row>
    <row r="91" spans="1:21" ht="14.25" x14ac:dyDescent="0.2">
      <c r="A91" s="50"/>
      <c r="B91" s="50"/>
      <c r="C91" s="72"/>
      <c r="D91" s="72"/>
      <c r="E91" s="72"/>
      <c r="F91" s="72"/>
      <c r="G91" s="72"/>
      <c r="H91" s="72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</row>
    <row r="92" spans="1:21" ht="14.25" x14ac:dyDescent="0.2">
      <c r="A92" s="50"/>
      <c r="B92" s="50"/>
      <c r="C92" s="72"/>
      <c r="D92" s="72"/>
      <c r="E92" s="72"/>
      <c r="F92" s="72"/>
      <c r="G92" s="72"/>
      <c r="H92" s="72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</row>
    <row r="93" spans="1:21" s="1" customFormat="1" ht="15" x14ac:dyDescent="0.25">
      <c r="A93" s="7" t="s">
        <v>19</v>
      </c>
      <c r="B93" s="17" t="s">
        <v>57</v>
      </c>
      <c r="C93" s="17"/>
      <c r="D93" s="17"/>
      <c r="E93" s="17"/>
      <c r="F93" s="17"/>
      <c r="G93" s="17"/>
      <c r="H93" s="17"/>
      <c r="I93" s="7"/>
      <c r="J93" s="7"/>
      <c r="K93" s="7"/>
      <c r="L93" s="7"/>
      <c r="M93" s="7"/>
      <c r="N93" s="7"/>
      <c r="O93" s="51"/>
      <c r="P93" s="51"/>
      <c r="Q93" s="51"/>
      <c r="R93" s="51"/>
      <c r="S93" s="51"/>
      <c r="T93" s="51"/>
      <c r="U93" s="51"/>
    </row>
    <row r="94" spans="1:21" ht="14.25" x14ac:dyDescent="0.2">
      <c r="A94" s="50"/>
      <c r="B94" s="50"/>
      <c r="C94" s="72"/>
      <c r="D94" s="72"/>
      <c r="E94" s="72"/>
      <c r="F94" s="72"/>
      <c r="G94" s="72"/>
      <c r="H94" s="72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</row>
    <row r="95" spans="1:21" ht="15.75" thickBot="1" x14ac:dyDescent="0.3">
      <c r="A95" s="50"/>
      <c r="B95" s="66" t="s">
        <v>2</v>
      </c>
      <c r="C95" s="72"/>
      <c r="D95" s="72"/>
      <c r="E95" s="95">
        <v>40908</v>
      </c>
      <c r="F95" s="95" t="s">
        <v>58</v>
      </c>
      <c r="G95" s="95" t="s">
        <v>59</v>
      </c>
      <c r="H95" s="95">
        <v>40908</v>
      </c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</row>
    <row r="96" spans="1:21" ht="15" thickTop="1" x14ac:dyDescent="0.2">
      <c r="A96" s="50"/>
      <c r="B96" s="50" t="s">
        <v>3</v>
      </c>
      <c r="C96" s="72"/>
      <c r="D96" s="72"/>
      <c r="E96" s="75">
        <v>1000</v>
      </c>
      <c r="F96" s="72"/>
      <c r="G96" s="72"/>
      <c r="H96" s="62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</row>
    <row r="97" spans="1:21" ht="14.25" x14ac:dyDescent="0.2">
      <c r="A97" s="50"/>
      <c r="B97" s="50" t="s">
        <v>4</v>
      </c>
      <c r="C97" s="72"/>
      <c r="D97" s="72"/>
      <c r="E97" s="75">
        <v>4500</v>
      </c>
      <c r="F97" s="72"/>
      <c r="G97" s="72"/>
      <c r="H97" s="62">
        <f>SUM(E97:G97)</f>
        <v>4500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</row>
    <row r="98" spans="1:21" ht="14.25" x14ac:dyDescent="0.2">
      <c r="A98" s="50"/>
      <c r="B98" s="50" t="s">
        <v>5</v>
      </c>
      <c r="C98" s="72"/>
      <c r="D98" s="72"/>
      <c r="E98" s="75">
        <v>500</v>
      </c>
      <c r="F98" s="72"/>
      <c r="G98" s="72"/>
      <c r="H98" s="62">
        <f t="shared" ref="H98:H99" si="24">SUM(E98:G98)</f>
        <v>500</v>
      </c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</row>
    <row r="99" spans="1:21" ht="14.25" x14ac:dyDescent="0.2">
      <c r="A99" s="50"/>
      <c r="B99" s="50" t="s">
        <v>6</v>
      </c>
      <c r="C99" s="72"/>
      <c r="D99" s="72"/>
      <c r="E99" s="75">
        <v>2250</v>
      </c>
      <c r="F99" s="72"/>
      <c r="G99" s="72"/>
      <c r="H99" s="62">
        <f t="shared" si="24"/>
        <v>2250</v>
      </c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</row>
    <row r="100" spans="1:21" ht="15" x14ac:dyDescent="0.25">
      <c r="A100" s="50"/>
      <c r="B100" s="65" t="s">
        <v>7</v>
      </c>
      <c r="C100" s="76"/>
      <c r="D100" s="76"/>
      <c r="E100" s="77">
        <v>8250</v>
      </c>
      <c r="F100" s="76"/>
      <c r="G100" s="76"/>
      <c r="H100" s="74">
        <f>SUM(H96:H99)</f>
        <v>7250</v>
      </c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</row>
    <row r="101" spans="1:21" ht="14.25" x14ac:dyDescent="0.2">
      <c r="A101" s="50"/>
      <c r="B101" s="50"/>
      <c r="C101" s="72"/>
      <c r="D101" s="72"/>
      <c r="E101" s="62"/>
      <c r="F101" s="72"/>
      <c r="G101" s="72"/>
      <c r="H101" s="62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</row>
    <row r="102" spans="1:21" ht="14.25" x14ac:dyDescent="0.2">
      <c r="A102" s="50"/>
      <c r="B102" s="50" t="s">
        <v>8</v>
      </c>
      <c r="C102" s="72"/>
      <c r="D102" s="72"/>
      <c r="E102" s="75">
        <v>10500</v>
      </c>
      <c r="F102" s="72"/>
      <c r="G102" s="72"/>
      <c r="H102" s="62">
        <f>SUM(E102:G102)</f>
        <v>10500</v>
      </c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</row>
    <row r="103" spans="1:21" ht="14.25" x14ac:dyDescent="0.2">
      <c r="A103" s="50"/>
      <c r="B103" s="50" t="s">
        <v>9</v>
      </c>
      <c r="C103" s="72"/>
      <c r="D103" s="72"/>
      <c r="E103" s="75">
        <v>70770</v>
      </c>
      <c r="F103" s="72">
        <f>D42</f>
        <v>148270</v>
      </c>
      <c r="G103" s="72">
        <f>-E103</f>
        <v>-70770</v>
      </c>
      <c r="H103" s="62">
        <f>SUM(E103:G103)</f>
        <v>148270</v>
      </c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</row>
    <row r="104" spans="1:21" ht="15" x14ac:dyDescent="0.25">
      <c r="A104" s="50"/>
      <c r="B104" s="65" t="s">
        <v>10</v>
      </c>
      <c r="C104" s="76"/>
      <c r="D104" s="76"/>
      <c r="E104" s="77">
        <v>89520</v>
      </c>
      <c r="F104" s="76"/>
      <c r="G104" s="76"/>
      <c r="H104" s="74">
        <f>SUM(H102:H103)</f>
        <v>158770</v>
      </c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</row>
    <row r="105" spans="1:21" ht="14.25" x14ac:dyDescent="0.2">
      <c r="A105" s="50"/>
      <c r="B105" s="50"/>
      <c r="C105" s="72"/>
      <c r="D105" s="72"/>
      <c r="E105" s="62"/>
      <c r="F105" s="72"/>
      <c r="G105" s="72"/>
      <c r="H105" s="62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</row>
    <row r="106" spans="1:21" ht="14.25" x14ac:dyDescent="0.2">
      <c r="A106" s="50"/>
      <c r="B106" s="50" t="s">
        <v>11</v>
      </c>
      <c r="C106" s="72"/>
      <c r="D106" s="72"/>
      <c r="E106" s="75">
        <v>4500</v>
      </c>
      <c r="F106" s="72"/>
      <c r="G106" s="72"/>
      <c r="H106" s="62">
        <f>SUM(E106:G106)</f>
        <v>4500</v>
      </c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</row>
    <row r="107" spans="1:21" ht="14.25" x14ac:dyDescent="0.2">
      <c r="A107" s="50"/>
      <c r="B107" s="50" t="s">
        <v>12</v>
      </c>
      <c r="C107" s="72"/>
      <c r="D107" s="72"/>
      <c r="E107" s="75">
        <v>4520</v>
      </c>
      <c r="F107" s="78"/>
      <c r="G107" s="78"/>
      <c r="H107" s="62">
        <f>SUM(E107:G107)</f>
        <v>4520</v>
      </c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</row>
    <row r="108" spans="1:21" ht="15" x14ac:dyDescent="0.25">
      <c r="A108" s="50"/>
      <c r="B108" s="65" t="s">
        <v>13</v>
      </c>
      <c r="C108" s="76"/>
      <c r="D108" s="76"/>
      <c r="E108" s="77">
        <v>9020</v>
      </c>
      <c r="F108" s="76"/>
      <c r="G108" s="76"/>
      <c r="H108" s="74">
        <f>SUM(H106:H107)</f>
        <v>9020</v>
      </c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</row>
    <row r="109" spans="1:21" ht="14.25" x14ac:dyDescent="0.2">
      <c r="A109" s="50"/>
      <c r="B109" s="50"/>
      <c r="C109" s="72"/>
      <c r="D109" s="72"/>
      <c r="E109" s="62"/>
      <c r="F109" s="72"/>
      <c r="G109" s="72"/>
      <c r="H109" s="62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</row>
    <row r="110" spans="1:21" ht="14.25" x14ac:dyDescent="0.2">
      <c r="A110" s="50"/>
      <c r="B110" s="50" t="s">
        <v>128</v>
      </c>
      <c r="C110" s="72"/>
      <c r="D110" s="72"/>
      <c r="E110" s="75">
        <v>0</v>
      </c>
      <c r="F110" s="62"/>
      <c r="G110" s="62">
        <f>F60</f>
        <v>3000</v>
      </c>
      <c r="H110" s="62">
        <f>SUM(E110:G110)</f>
        <v>3000</v>
      </c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</row>
    <row r="111" spans="1:21" ht="14.25" x14ac:dyDescent="0.2">
      <c r="A111" s="50"/>
      <c r="B111" s="4" t="s">
        <v>32</v>
      </c>
      <c r="C111" s="72"/>
      <c r="D111" s="72"/>
      <c r="E111" s="75">
        <v>0</v>
      </c>
      <c r="F111" s="62"/>
      <c r="G111" s="62">
        <f>D48</f>
        <v>22500</v>
      </c>
      <c r="H111" s="62">
        <f>SUM(E111:G111)</f>
        <v>22500</v>
      </c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</row>
    <row r="112" spans="1:21" ht="14.25" x14ac:dyDescent="0.2">
      <c r="A112" s="50"/>
      <c r="B112" s="4" t="s">
        <v>33</v>
      </c>
      <c r="C112" s="72"/>
      <c r="D112" s="72"/>
      <c r="E112" s="75">
        <v>0</v>
      </c>
      <c r="F112" s="62"/>
      <c r="G112" s="62">
        <f>D49</f>
        <v>45000</v>
      </c>
      <c r="H112" s="62">
        <f t="shared" ref="H112:H114" si="25">SUM(E112:G112)</f>
        <v>45000</v>
      </c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</row>
    <row r="113" spans="1:21" ht="14.25" x14ac:dyDescent="0.2">
      <c r="A113" s="50"/>
      <c r="B113" s="4" t="s">
        <v>34</v>
      </c>
      <c r="C113" s="72"/>
      <c r="D113" s="72"/>
      <c r="E113" s="75">
        <v>0</v>
      </c>
      <c r="F113" s="62"/>
      <c r="G113" s="62">
        <f>D50</f>
        <v>11250</v>
      </c>
      <c r="H113" s="62">
        <f t="shared" si="25"/>
        <v>11250</v>
      </c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</row>
    <row r="114" spans="1:21" ht="14.25" x14ac:dyDescent="0.2">
      <c r="A114" s="50"/>
      <c r="B114" s="50" t="s">
        <v>14</v>
      </c>
      <c r="C114" s="72"/>
      <c r="D114" s="72"/>
      <c r="E114" s="75">
        <v>500</v>
      </c>
      <c r="F114" s="79">
        <f>-E114</f>
        <v>-500</v>
      </c>
      <c r="G114" s="79"/>
      <c r="H114" s="62">
        <f t="shared" si="25"/>
        <v>0</v>
      </c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</row>
    <row r="115" spans="1:21" ht="15" x14ac:dyDescent="0.25">
      <c r="A115" s="50"/>
      <c r="B115" s="65" t="s">
        <v>15</v>
      </c>
      <c r="C115" s="76"/>
      <c r="D115" s="76"/>
      <c r="E115" s="77">
        <v>9520</v>
      </c>
      <c r="F115" s="76"/>
      <c r="G115" s="76"/>
      <c r="H115" s="74">
        <f>SUM(H110:H114,H108)</f>
        <v>90770</v>
      </c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</row>
    <row r="116" spans="1:21" ht="14.25" x14ac:dyDescent="0.2">
      <c r="A116" s="50"/>
      <c r="B116" s="50"/>
      <c r="C116" s="72"/>
      <c r="D116" s="72"/>
      <c r="E116" s="62"/>
      <c r="F116" s="72"/>
      <c r="G116" s="72"/>
      <c r="H116" s="62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</row>
    <row r="117" spans="1:21" ht="15" x14ac:dyDescent="0.25">
      <c r="A117" s="50"/>
      <c r="B117" s="65" t="s">
        <v>16</v>
      </c>
      <c r="C117" s="76"/>
      <c r="D117" s="76"/>
      <c r="E117" s="77">
        <v>80000</v>
      </c>
      <c r="F117" s="76"/>
      <c r="G117" s="76"/>
      <c r="H117" s="74">
        <f>H104-H115</f>
        <v>68000</v>
      </c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</row>
    <row r="118" spans="1:21" ht="14.25" x14ac:dyDescent="0.2">
      <c r="A118" s="50"/>
      <c r="B118" s="50"/>
      <c r="C118" s="72"/>
      <c r="D118" s="72"/>
      <c r="E118" s="62"/>
      <c r="F118" s="72"/>
      <c r="G118" s="72"/>
      <c r="H118" s="62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</row>
    <row r="119" spans="1:21" ht="15" x14ac:dyDescent="0.25">
      <c r="A119" s="50"/>
      <c r="B119" s="65" t="s">
        <v>17</v>
      </c>
      <c r="C119" s="76"/>
      <c r="D119" s="76"/>
      <c r="E119" s="77">
        <v>89520</v>
      </c>
      <c r="F119" s="76"/>
      <c r="G119" s="76"/>
      <c r="H119" s="74">
        <f>H117+H115</f>
        <v>158770</v>
      </c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</row>
    <row r="120" spans="1:21" ht="14.25" x14ac:dyDescent="0.2">
      <c r="A120" s="50"/>
      <c r="B120" s="50"/>
      <c r="C120" s="72"/>
      <c r="D120" s="72"/>
      <c r="E120" s="72"/>
      <c r="F120" s="72"/>
      <c r="G120" s="72"/>
      <c r="H120" s="72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</row>
    <row r="121" spans="1:21" ht="14.25" x14ac:dyDescent="0.2">
      <c r="A121" s="50"/>
      <c r="B121" s="50"/>
      <c r="C121" s="72"/>
      <c r="D121" s="72"/>
      <c r="E121" s="72"/>
      <c r="F121" s="72"/>
      <c r="G121" s="72"/>
      <c r="H121" s="72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</row>
    <row r="122" spans="1:21" ht="14.25" x14ac:dyDescent="0.2">
      <c r="A122" s="50"/>
      <c r="B122" s="50"/>
      <c r="C122" s="72"/>
      <c r="D122" s="72"/>
      <c r="E122" s="72"/>
      <c r="F122" s="72"/>
      <c r="G122" s="72"/>
      <c r="H122" s="72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</row>
    <row r="123" spans="1:21" s="1" customFormat="1" ht="15" x14ac:dyDescent="0.25">
      <c r="A123" s="7" t="s">
        <v>19</v>
      </c>
      <c r="B123" s="17" t="s">
        <v>2</v>
      </c>
      <c r="C123" s="17"/>
      <c r="D123" s="17"/>
      <c r="E123" s="17"/>
      <c r="F123" s="17"/>
      <c r="G123" s="17"/>
      <c r="H123" s="17"/>
      <c r="I123" s="7"/>
      <c r="J123" s="7"/>
      <c r="K123" s="7"/>
      <c r="L123" s="7"/>
      <c r="M123" s="7"/>
      <c r="N123" s="7"/>
      <c r="O123" s="51"/>
      <c r="P123" s="51"/>
      <c r="Q123" s="51"/>
      <c r="R123" s="51"/>
      <c r="S123" s="51"/>
      <c r="T123" s="51"/>
      <c r="U123" s="51"/>
    </row>
    <row r="124" spans="1:21" ht="14.25" x14ac:dyDescent="0.2">
      <c r="A124" s="50"/>
      <c r="B124" s="50"/>
      <c r="C124" s="72"/>
      <c r="D124" s="72"/>
      <c r="E124" s="72"/>
      <c r="F124" s="72"/>
      <c r="G124" s="72"/>
      <c r="H124" s="72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</row>
    <row r="125" spans="1:21" ht="15.75" thickBot="1" x14ac:dyDescent="0.3">
      <c r="A125" s="50"/>
      <c r="B125" s="66" t="s">
        <v>2</v>
      </c>
      <c r="C125" s="95">
        <v>40908</v>
      </c>
      <c r="D125" s="28">
        <f>EOMONTH(C125,12)</f>
        <v>41274</v>
      </c>
      <c r="E125" s="28">
        <f t="shared" ref="E125:H125" si="26">EOMONTH(D125,12)</f>
        <v>41639</v>
      </c>
      <c r="F125" s="28">
        <f t="shared" si="26"/>
        <v>42004</v>
      </c>
      <c r="G125" s="28">
        <f t="shared" si="26"/>
        <v>42369</v>
      </c>
      <c r="H125" s="28">
        <f t="shared" si="26"/>
        <v>42735</v>
      </c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</row>
    <row r="126" spans="1:21" ht="15" thickTop="1" x14ac:dyDescent="0.2">
      <c r="A126" s="50"/>
      <c r="B126" s="50" t="s">
        <v>3</v>
      </c>
      <c r="C126" s="62">
        <f>F62</f>
        <v>2000</v>
      </c>
      <c r="D126" s="62">
        <f>C183</f>
        <v>2000</v>
      </c>
      <c r="E126" s="62">
        <f t="shared" ref="E126:H126" ca="1" si="27">D183</f>
        <v>2000</v>
      </c>
      <c r="F126" s="62" t="e">
        <f t="shared" ca="1" si="27"/>
        <v>#VALUE!</v>
      </c>
      <c r="G126" s="62" t="e">
        <f t="shared" ca="1" si="27"/>
        <v>#VALUE!</v>
      </c>
      <c r="H126" s="62" t="e">
        <f t="shared" ca="1" si="27"/>
        <v>#VALUE!</v>
      </c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</row>
    <row r="127" spans="1:21" ht="14.25" x14ac:dyDescent="0.2">
      <c r="A127" s="50"/>
      <c r="B127" s="50" t="s">
        <v>4</v>
      </c>
      <c r="C127" s="62">
        <f>H97</f>
        <v>4500</v>
      </c>
      <c r="D127" s="62">
        <f>D155/365*D75</f>
        <v>4950</v>
      </c>
      <c r="E127" s="62">
        <f>E155/365*E75</f>
        <v>5400</v>
      </c>
      <c r="F127" s="62">
        <f>F155/365*F75</f>
        <v>5850</v>
      </c>
      <c r="G127" s="62">
        <f>G155/365*G75</f>
        <v>6300</v>
      </c>
      <c r="H127" s="62">
        <f>H155/365*H75</f>
        <v>6750</v>
      </c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</row>
    <row r="128" spans="1:21" ht="14.25" x14ac:dyDescent="0.2">
      <c r="A128" s="50"/>
      <c r="B128" s="50" t="s">
        <v>5</v>
      </c>
      <c r="C128" s="62">
        <f>H98</f>
        <v>500</v>
      </c>
      <c r="D128" s="62">
        <f>D157/365*-D76</f>
        <v>550.00000000000011</v>
      </c>
      <c r="E128" s="62">
        <f>E157/365*-E76</f>
        <v>600.00000000000011</v>
      </c>
      <c r="F128" s="62">
        <f>F157/365*-F76</f>
        <v>649.99999999999989</v>
      </c>
      <c r="G128" s="62">
        <f>G157/365*-G76</f>
        <v>699.99999999999989</v>
      </c>
      <c r="H128" s="62">
        <f>H157/365*-H76</f>
        <v>749.99999999999989</v>
      </c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</row>
    <row r="129" spans="1:21" ht="14.25" x14ac:dyDescent="0.2">
      <c r="A129" s="50"/>
      <c r="B129" s="50" t="s">
        <v>128</v>
      </c>
      <c r="C129" s="62">
        <f>H110</f>
        <v>3000</v>
      </c>
      <c r="D129" s="62">
        <f>C129-$C$129/$H$48</f>
        <v>2400</v>
      </c>
      <c r="E129" s="62">
        <f>D129-$C$129/$H$48</f>
        <v>1800</v>
      </c>
      <c r="F129" s="62">
        <f>E129-$C$129/$H$48</f>
        <v>1200</v>
      </c>
      <c r="G129" s="62">
        <f>F129-$C$129/$H$48</f>
        <v>600</v>
      </c>
      <c r="H129" s="62">
        <f>G129-$C$129/$H$48</f>
        <v>0</v>
      </c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</row>
    <row r="130" spans="1:21" ht="14.25" x14ac:dyDescent="0.2">
      <c r="A130" s="50"/>
      <c r="B130" s="50" t="s">
        <v>6</v>
      </c>
      <c r="C130" s="62">
        <f>H99</f>
        <v>2250</v>
      </c>
      <c r="D130" s="62">
        <f>D158*D75</f>
        <v>2475</v>
      </c>
      <c r="E130" s="62">
        <f>E158*E75</f>
        <v>2700</v>
      </c>
      <c r="F130" s="62">
        <f>F158*F75</f>
        <v>2925</v>
      </c>
      <c r="G130" s="62">
        <f>G158*G75</f>
        <v>3150</v>
      </c>
      <c r="H130" s="62">
        <f>H158*H75</f>
        <v>3375</v>
      </c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</row>
    <row r="131" spans="1:21" ht="15" x14ac:dyDescent="0.25">
      <c r="A131" s="50"/>
      <c r="B131" s="65" t="s">
        <v>7</v>
      </c>
      <c r="C131" s="74">
        <f>H100</f>
        <v>7250</v>
      </c>
      <c r="D131" s="74">
        <f>SUM(D126:D130)</f>
        <v>12375</v>
      </c>
      <c r="E131" s="74">
        <f t="shared" ref="E131:H131" ca="1" si="28">SUM(E126:E130)</f>
        <v>12500</v>
      </c>
      <c r="F131" s="74" t="e">
        <f t="shared" ca="1" si="28"/>
        <v>#VALUE!</v>
      </c>
      <c r="G131" s="74" t="e">
        <f t="shared" ca="1" si="28"/>
        <v>#VALUE!</v>
      </c>
      <c r="H131" s="74" t="e">
        <f t="shared" ca="1" si="28"/>
        <v>#VALUE!</v>
      </c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</row>
    <row r="132" spans="1:21" ht="14.25" x14ac:dyDescent="0.2">
      <c r="A132" s="50"/>
      <c r="B132" s="50"/>
      <c r="C132" s="62"/>
      <c r="D132" s="72"/>
      <c r="E132" s="72"/>
      <c r="F132" s="72"/>
      <c r="G132" s="72"/>
      <c r="H132" s="72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</row>
    <row r="133" spans="1:21" ht="14.25" x14ac:dyDescent="0.2">
      <c r="A133" s="50"/>
      <c r="B133" s="50" t="s">
        <v>8</v>
      </c>
      <c r="C133" s="62">
        <f>H102</f>
        <v>10500</v>
      </c>
      <c r="D133" s="62">
        <f>C133-D169+D85</f>
        <v>11850</v>
      </c>
      <c r="E133" s="62" t="e">
        <f>D133-E169+E85</f>
        <v>#VALUE!</v>
      </c>
      <c r="F133" s="62" t="e">
        <f>E133-F169+F85</f>
        <v>#VALUE!</v>
      </c>
      <c r="G133" s="62" t="e">
        <f>F133-G169+G85</f>
        <v>#VALUE!</v>
      </c>
      <c r="H133" s="62" t="e">
        <f>G133-H169+H85</f>
        <v>#VALUE!</v>
      </c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</row>
    <row r="134" spans="1:21" ht="14.25" x14ac:dyDescent="0.2">
      <c r="A134" s="50"/>
      <c r="B134" s="50" t="s">
        <v>9</v>
      </c>
      <c r="C134" s="62">
        <f>H103</f>
        <v>148270</v>
      </c>
      <c r="D134" s="62">
        <f>C134</f>
        <v>148270</v>
      </c>
      <c r="E134" s="62">
        <f t="shared" ref="E134:H134" si="29">D134</f>
        <v>148270</v>
      </c>
      <c r="F134" s="62">
        <f t="shared" si="29"/>
        <v>148270</v>
      </c>
      <c r="G134" s="62">
        <f t="shared" si="29"/>
        <v>148270</v>
      </c>
      <c r="H134" s="62">
        <f t="shared" si="29"/>
        <v>148270</v>
      </c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</row>
    <row r="135" spans="1:21" ht="15" x14ac:dyDescent="0.25">
      <c r="A135" s="50"/>
      <c r="B135" s="65" t="s">
        <v>10</v>
      </c>
      <c r="C135" s="74">
        <f>H104</f>
        <v>158770</v>
      </c>
      <c r="D135" s="74">
        <f>SUM(D133:D134)</f>
        <v>160120</v>
      </c>
      <c r="E135" s="74" t="e">
        <f t="shared" ref="E135:H135" si="30">SUM(E133:E134)</f>
        <v>#VALUE!</v>
      </c>
      <c r="F135" s="74" t="e">
        <f t="shared" si="30"/>
        <v>#VALUE!</v>
      </c>
      <c r="G135" s="74" t="e">
        <f t="shared" si="30"/>
        <v>#VALUE!</v>
      </c>
      <c r="H135" s="74" t="e">
        <f t="shared" si="30"/>
        <v>#VALUE!</v>
      </c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</row>
    <row r="136" spans="1:21" ht="14.25" x14ac:dyDescent="0.2">
      <c r="A136" s="50"/>
      <c r="B136" s="50"/>
      <c r="C136" s="62"/>
      <c r="D136" s="72"/>
      <c r="E136" s="72"/>
      <c r="F136" s="72"/>
      <c r="G136" s="72"/>
      <c r="H136" s="72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</row>
    <row r="137" spans="1:21" ht="14.25" x14ac:dyDescent="0.2">
      <c r="A137" s="50"/>
      <c r="B137" s="50" t="s">
        <v>11</v>
      </c>
      <c r="C137" s="62">
        <f>H106</f>
        <v>4500</v>
      </c>
      <c r="D137" s="62">
        <f>D156/365*-D76</f>
        <v>4950.0000000000018</v>
      </c>
      <c r="E137" s="62">
        <f>E156/365*-E76</f>
        <v>5400.0000000000018</v>
      </c>
      <c r="F137" s="62">
        <f>F156/365*-F76</f>
        <v>5850</v>
      </c>
      <c r="G137" s="62">
        <f>G156/365*-G76</f>
        <v>6300</v>
      </c>
      <c r="H137" s="62">
        <f>H156/365*-H76</f>
        <v>6750</v>
      </c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</row>
    <row r="138" spans="1:21" ht="14.25" x14ac:dyDescent="0.2">
      <c r="A138" s="50"/>
      <c r="B138" s="50" t="s">
        <v>12</v>
      </c>
      <c r="C138" s="62">
        <f>H107</f>
        <v>4520</v>
      </c>
      <c r="D138" s="62">
        <f>D159*D75</f>
        <v>4972</v>
      </c>
      <c r="E138" s="62">
        <f>E159*E75</f>
        <v>5424</v>
      </c>
      <c r="F138" s="62">
        <f>F159*F75</f>
        <v>5876</v>
      </c>
      <c r="G138" s="62">
        <f>G159*G75</f>
        <v>6328</v>
      </c>
      <c r="H138" s="62">
        <f>H159*H75</f>
        <v>6780</v>
      </c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</row>
    <row r="139" spans="1:21" ht="15" x14ac:dyDescent="0.25">
      <c r="A139" s="50"/>
      <c r="B139" s="65" t="s">
        <v>13</v>
      </c>
      <c r="C139" s="74">
        <f>H108</f>
        <v>9020</v>
      </c>
      <c r="D139" s="74">
        <f>SUM(D137:D138)</f>
        <v>9922.0000000000018</v>
      </c>
      <c r="E139" s="74">
        <f t="shared" ref="E139:H139" si="31">SUM(E137:E138)</f>
        <v>10824.000000000002</v>
      </c>
      <c r="F139" s="74">
        <f t="shared" si="31"/>
        <v>11726</v>
      </c>
      <c r="G139" s="74">
        <f t="shared" si="31"/>
        <v>12628</v>
      </c>
      <c r="H139" s="74">
        <f t="shared" si="31"/>
        <v>13530</v>
      </c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</row>
    <row r="140" spans="1:21" ht="14.25" x14ac:dyDescent="0.2">
      <c r="A140" s="50"/>
      <c r="B140" s="50"/>
      <c r="C140" s="62"/>
      <c r="D140" s="62"/>
      <c r="E140" s="62"/>
      <c r="F140" s="62"/>
      <c r="G140" s="62"/>
      <c r="H140" s="62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</row>
    <row r="141" spans="1:21" ht="14.25" x14ac:dyDescent="0.2">
      <c r="A141" s="50"/>
      <c r="B141" s="4" t="s">
        <v>32</v>
      </c>
      <c r="C141" s="62">
        <f>H111</f>
        <v>22500</v>
      </c>
      <c r="D141" s="62">
        <f ca="1">D190</f>
        <v>25447.053594107194</v>
      </c>
      <c r="E141" s="62" t="e">
        <f t="shared" ref="E141:H141" ca="1" si="32">E190</f>
        <v>#VALUE!</v>
      </c>
      <c r="F141" s="62" t="e">
        <f ca="1">F190</f>
        <v>#VALUE!</v>
      </c>
      <c r="G141" s="62" t="e">
        <f t="shared" ca="1" si="32"/>
        <v>#VALUE!</v>
      </c>
      <c r="H141" s="62" t="e">
        <f t="shared" ca="1" si="32"/>
        <v>#VALUE!</v>
      </c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</row>
    <row r="142" spans="1:21" ht="14.25" x14ac:dyDescent="0.2">
      <c r="A142" s="50"/>
      <c r="B142" s="4" t="s">
        <v>113</v>
      </c>
      <c r="C142" s="62">
        <f>H112</f>
        <v>45000</v>
      </c>
      <c r="D142" s="62">
        <f ca="1">D203</f>
        <v>45450</v>
      </c>
      <c r="E142" s="62" t="e">
        <f t="shared" ref="E142:H142" ca="1" si="33">E203</f>
        <v>#VALUE!</v>
      </c>
      <c r="F142" s="62" t="e">
        <f t="shared" ca="1" si="33"/>
        <v>#VALUE!</v>
      </c>
      <c r="G142" s="62" t="e">
        <f t="shared" ca="1" si="33"/>
        <v>#VALUE!</v>
      </c>
      <c r="H142" s="62" t="e">
        <f t="shared" ca="1" si="33"/>
        <v>#VALUE!</v>
      </c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</row>
    <row r="143" spans="1:21" ht="14.25" x14ac:dyDescent="0.2">
      <c r="A143" s="50"/>
      <c r="B143" s="4" t="s">
        <v>34</v>
      </c>
      <c r="C143" s="62">
        <f>H113</f>
        <v>11250</v>
      </c>
      <c r="D143" s="62">
        <f>D210</f>
        <v>11250</v>
      </c>
      <c r="E143" s="62">
        <f t="shared" ref="E143:H143" si="34">E210</f>
        <v>11250</v>
      </c>
      <c r="F143" s="62">
        <f t="shared" si="34"/>
        <v>11250</v>
      </c>
      <c r="G143" s="62">
        <f t="shared" si="34"/>
        <v>11250</v>
      </c>
      <c r="H143" s="62" t="e">
        <f t="shared" si="34"/>
        <v>#VALUE!</v>
      </c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</row>
    <row r="144" spans="1:21" ht="14.25" x14ac:dyDescent="0.2">
      <c r="A144" s="50"/>
      <c r="B144" s="50" t="s">
        <v>14</v>
      </c>
      <c r="C144" s="62">
        <f>H114</f>
        <v>0</v>
      </c>
      <c r="D144" s="62">
        <f>C144</f>
        <v>0</v>
      </c>
      <c r="E144" s="62">
        <f t="shared" ref="E144:H144" si="35">D144</f>
        <v>0</v>
      </c>
      <c r="F144" s="62">
        <f t="shared" si="35"/>
        <v>0</v>
      </c>
      <c r="G144" s="62">
        <f t="shared" si="35"/>
        <v>0</v>
      </c>
      <c r="H144" s="62">
        <f t="shared" si="35"/>
        <v>0</v>
      </c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</row>
    <row r="145" spans="1:21" ht="15" x14ac:dyDescent="0.25">
      <c r="A145" s="50"/>
      <c r="B145" s="65" t="s">
        <v>15</v>
      </c>
      <c r="C145" s="74">
        <f>H115</f>
        <v>90770</v>
      </c>
      <c r="D145" s="74">
        <f ca="1">SUM(D141:D144,D139)</f>
        <v>92069.053594107187</v>
      </c>
      <c r="E145" s="74" t="e">
        <f ca="1">SUM(E141:E144,E139)</f>
        <v>#VALUE!</v>
      </c>
      <c r="F145" s="74" t="e">
        <f ca="1">SUM(F141:F144,F139)</f>
        <v>#VALUE!</v>
      </c>
      <c r="G145" s="74" t="e">
        <f ca="1">SUM(G141:G144,G139)</f>
        <v>#VALUE!</v>
      </c>
      <c r="H145" s="74" t="e">
        <f ca="1">SUM(H141:H144,H139)</f>
        <v>#VALUE!</v>
      </c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</row>
    <row r="146" spans="1:21" ht="14.25" x14ac:dyDescent="0.2">
      <c r="A146" s="50"/>
      <c r="B146" s="50"/>
      <c r="C146" s="62"/>
      <c r="D146" s="62"/>
      <c r="E146" s="62"/>
      <c r="F146" s="62"/>
      <c r="G146" s="62"/>
      <c r="H146" s="62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</row>
    <row r="147" spans="1:21" ht="15" x14ac:dyDescent="0.25">
      <c r="A147" s="50"/>
      <c r="B147" s="65" t="s">
        <v>16</v>
      </c>
      <c r="C147" s="74">
        <f>H117</f>
        <v>68000</v>
      </c>
      <c r="D147" s="74">
        <f ca="1">D135-D145</f>
        <v>68050.946405892813</v>
      </c>
      <c r="E147" s="74" t="e">
        <f ca="1">E135-E145</f>
        <v>#VALUE!</v>
      </c>
      <c r="F147" s="74" t="e">
        <f ca="1">F135-F145</f>
        <v>#VALUE!</v>
      </c>
      <c r="G147" s="74" t="e">
        <f ca="1">G135-G145</f>
        <v>#VALUE!</v>
      </c>
      <c r="H147" s="74" t="e">
        <f ca="1">H135-H145</f>
        <v>#VALUE!</v>
      </c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</row>
    <row r="148" spans="1:21" ht="14.25" x14ac:dyDescent="0.2">
      <c r="A148" s="50"/>
      <c r="B148" s="50"/>
      <c r="C148" s="62"/>
      <c r="D148" s="62"/>
      <c r="E148" s="62"/>
      <c r="F148" s="62"/>
      <c r="G148" s="62"/>
      <c r="H148" s="62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</row>
    <row r="149" spans="1:21" ht="15" x14ac:dyDescent="0.25">
      <c r="A149" s="50"/>
      <c r="B149" s="65" t="s">
        <v>17</v>
      </c>
      <c r="C149" s="74">
        <f>H119</f>
        <v>158770</v>
      </c>
      <c r="D149" s="74">
        <f ca="1">SUM(D147,D145)</f>
        <v>160120</v>
      </c>
      <c r="E149" s="74" t="e">
        <f t="shared" ref="E149:H149" ca="1" si="36">SUM(E147,E145)</f>
        <v>#VALUE!</v>
      </c>
      <c r="F149" s="74" t="e">
        <f t="shared" ca="1" si="36"/>
        <v>#VALUE!</v>
      </c>
      <c r="G149" s="74" t="e">
        <f t="shared" ca="1" si="36"/>
        <v>#VALUE!</v>
      </c>
      <c r="H149" s="74" t="e">
        <f t="shared" ca="1" si="36"/>
        <v>#VALUE!</v>
      </c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</row>
    <row r="150" spans="1:21" ht="14.25" x14ac:dyDescent="0.2">
      <c r="A150" s="50"/>
      <c r="B150" s="50"/>
      <c r="C150" s="72"/>
      <c r="D150" s="72"/>
      <c r="E150" s="72"/>
      <c r="F150" s="72"/>
      <c r="G150" s="72"/>
      <c r="H150" s="72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</row>
    <row r="151" spans="1:21" ht="14.25" x14ac:dyDescent="0.2">
      <c r="A151" s="50"/>
      <c r="B151" s="67" t="s">
        <v>91</v>
      </c>
      <c r="C151" s="80">
        <f t="shared" ref="C151:H151" si="37">C131-C126-C139</f>
        <v>-3770</v>
      </c>
      <c r="D151" s="80">
        <f t="shared" si="37"/>
        <v>452.99999999999818</v>
      </c>
      <c r="E151" s="80">
        <f t="shared" ca="1" si="37"/>
        <v>-324.00000000000182</v>
      </c>
      <c r="F151" s="80" t="e">
        <f t="shared" ca="1" si="37"/>
        <v>#VALUE!</v>
      </c>
      <c r="G151" s="80" t="e">
        <f t="shared" ca="1" si="37"/>
        <v>#VALUE!</v>
      </c>
      <c r="H151" s="81" t="e">
        <f t="shared" ca="1" si="37"/>
        <v>#VALUE!</v>
      </c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</row>
    <row r="152" spans="1:21" ht="14.25" x14ac:dyDescent="0.2">
      <c r="A152" s="50"/>
      <c r="B152" s="68" t="s">
        <v>92</v>
      </c>
      <c r="C152" s="82"/>
      <c r="D152" s="83">
        <f>D151-C151</f>
        <v>4222.9999999999982</v>
      </c>
      <c r="E152" s="83">
        <f t="shared" ref="E152:H152" ca="1" si="38">E151-D151</f>
        <v>-777</v>
      </c>
      <c r="F152" s="83" t="e">
        <f t="shared" ca="1" si="38"/>
        <v>#VALUE!</v>
      </c>
      <c r="G152" s="83" t="e">
        <f t="shared" ca="1" si="38"/>
        <v>#VALUE!</v>
      </c>
      <c r="H152" s="84" t="e">
        <f t="shared" ca="1" si="38"/>
        <v>#VALUE!</v>
      </c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</row>
    <row r="153" spans="1:21" ht="14.25" x14ac:dyDescent="0.2">
      <c r="A153" s="50"/>
      <c r="B153" s="50"/>
      <c r="C153" s="72"/>
      <c r="D153" s="72"/>
      <c r="E153" s="72"/>
      <c r="F153" s="72"/>
      <c r="G153" s="72"/>
      <c r="H153" s="72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</row>
    <row r="154" spans="1:21" ht="15" x14ac:dyDescent="0.25">
      <c r="A154" s="50"/>
      <c r="B154" s="66" t="s">
        <v>79</v>
      </c>
      <c r="C154" s="72"/>
      <c r="D154" s="72"/>
      <c r="E154" s="72"/>
      <c r="F154" s="72"/>
      <c r="G154" s="72"/>
      <c r="H154" s="72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</row>
    <row r="155" spans="1:21" ht="15" x14ac:dyDescent="0.25">
      <c r="A155" s="50"/>
      <c r="B155" s="69" t="s">
        <v>80</v>
      </c>
      <c r="C155" s="80">
        <f>C127/C75*365</f>
        <v>10.95</v>
      </c>
      <c r="D155" s="80">
        <f>C155</f>
        <v>10.95</v>
      </c>
      <c r="E155" s="80">
        <f t="shared" ref="E155:H155" si="39">D155</f>
        <v>10.95</v>
      </c>
      <c r="F155" s="80">
        <f t="shared" si="39"/>
        <v>10.95</v>
      </c>
      <c r="G155" s="80">
        <f t="shared" si="39"/>
        <v>10.95</v>
      </c>
      <c r="H155" s="81">
        <f t="shared" si="39"/>
        <v>10.95</v>
      </c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</row>
    <row r="156" spans="1:21" ht="15" x14ac:dyDescent="0.25">
      <c r="A156" s="50"/>
      <c r="B156" s="70" t="s">
        <v>81</v>
      </c>
      <c r="C156" s="85">
        <f>C137/-C76*365</f>
        <v>36.5</v>
      </c>
      <c r="D156" s="85">
        <f t="shared" ref="D156:H159" si="40">C156</f>
        <v>36.5</v>
      </c>
      <c r="E156" s="85">
        <f t="shared" si="40"/>
        <v>36.5</v>
      </c>
      <c r="F156" s="85">
        <f t="shared" si="40"/>
        <v>36.5</v>
      </c>
      <c r="G156" s="85">
        <f t="shared" si="40"/>
        <v>36.5</v>
      </c>
      <c r="H156" s="86">
        <f t="shared" si="40"/>
        <v>36.5</v>
      </c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</row>
    <row r="157" spans="1:21" ht="15" x14ac:dyDescent="0.25">
      <c r="A157" s="50"/>
      <c r="B157" s="70" t="s">
        <v>82</v>
      </c>
      <c r="C157" s="85">
        <f>C128/-C76*365</f>
        <v>4.0555555555555554</v>
      </c>
      <c r="D157" s="85">
        <f t="shared" si="40"/>
        <v>4.0555555555555554</v>
      </c>
      <c r="E157" s="85">
        <f t="shared" si="40"/>
        <v>4.0555555555555554</v>
      </c>
      <c r="F157" s="85">
        <f t="shared" si="40"/>
        <v>4.0555555555555554</v>
      </c>
      <c r="G157" s="85">
        <f t="shared" si="40"/>
        <v>4.0555555555555554</v>
      </c>
      <c r="H157" s="86">
        <f t="shared" si="40"/>
        <v>4.0555555555555554</v>
      </c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</row>
    <row r="158" spans="1:21" ht="15" x14ac:dyDescent="0.25">
      <c r="A158" s="50"/>
      <c r="B158" s="70" t="s">
        <v>6</v>
      </c>
      <c r="C158" s="85">
        <f>C130/C75</f>
        <v>1.4999999999999999E-2</v>
      </c>
      <c r="D158" s="85">
        <f t="shared" si="40"/>
        <v>1.4999999999999999E-2</v>
      </c>
      <c r="E158" s="85">
        <f t="shared" si="40"/>
        <v>1.4999999999999999E-2</v>
      </c>
      <c r="F158" s="85">
        <f t="shared" si="40"/>
        <v>1.4999999999999999E-2</v>
      </c>
      <c r="G158" s="85">
        <f t="shared" si="40"/>
        <v>1.4999999999999999E-2</v>
      </c>
      <c r="H158" s="86">
        <f t="shared" si="40"/>
        <v>1.4999999999999999E-2</v>
      </c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</row>
    <row r="159" spans="1:21" ht="15" x14ac:dyDescent="0.25">
      <c r="A159" s="50"/>
      <c r="B159" s="71" t="s">
        <v>83</v>
      </c>
      <c r="C159" s="83">
        <f>C138/C75</f>
        <v>3.0133333333333335E-2</v>
      </c>
      <c r="D159" s="83">
        <f t="shared" si="40"/>
        <v>3.0133333333333335E-2</v>
      </c>
      <c r="E159" s="83">
        <f t="shared" si="40"/>
        <v>3.0133333333333335E-2</v>
      </c>
      <c r="F159" s="83">
        <f t="shared" si="40"/>
        <v>3.0133333333333335E-2</v>
      </c>
      <c r="G159" s="83">
        <f t="shared" si="40"/>
        <v>3.0133333333333335E-2</v>
      </c>
      <c r="H159" s="84">
        <f t="shared" si="40"/>
        <v>3.0133333333333335E-2</v>
      </c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</row>
    <row r="160" spans="1:21" ht="14.25" x14ac:dyDescent="0.2">
      <c r="A160" s="50"/>
      <c r="B160" s="50"/>
      <c r="C160" s="72"/>
      <c r="D160" s="72"/>
      <c r="E160" s="72"/>
      <c r="F160" s="72"/>
      <c r="G160" s="72"/>
      <c r="H160" s="72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</row>
    <row r="161" spans="1:21" ht="14.25" x14ac:dyDescent="0.2">
      <c r="A161" s="50"/>
      <c r="B161" s="50"/>
      <c r="C161" s="72"/>
      <c r="D161" s="72"/>
      <c r="E161" s="72"/>
      <c r="F161" s="72"/>
      <c r="G161" s="72"/>
      <c r="H161" s="72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</row>
    <row r="162" spans="1:21" s="1" customFormat="1" ht="15" x14ac:dyDescent="0.25">
      <c r="A162" s="7" t="s">
        <v>19</v>
      </c>
      <c r="B162" s="17" t="s">
        <v>84</v>
      </c>
      <c r="C162" s="17"/>
      <c r="D162" s="17"/>
      <c r="E162" s="17"/>
      <c r="F162" s="17"/>
      <c r="G162" s="17"/>
      <c r="H162" s="17"/>
      <c r="I162" s="7"/>
      <c r="J162" s="7"/>
      <c r="K162" s="7"/>
      <c r="L162" s="7"/>
      <c r="M162" s="7"/>
      <c r="N162" s="7"/>
      <c r="O162" s="51"/>
      <c r="P162" s="51"/>
      <c r="Q162" s="51"/>
      <c r="R162" s="51"/>
      <c r="S162" s="51"/>
      <c r="T162" s="51"/>
      <c r="U162" s="51"/>
    </row>
    <row r="163" spans="1:21" ht="14.25" x14ac:dyDescent="0.2">
      <c r="A163" s="50"/>
      <c r="B163" s="50"/>
      <c r="C163" s="72"/>
      <c r="D163" s="72"/>
      <c r="E163" s="72"/>
      <c r="F163" s="72"/>
      <c r="G163" s="72"/>
      <c r="H163" s="72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</row>
    <row r="164" spans="1:21" ht="15" thickBot="1" x14ac:dyDescent="0.25">
      <c r="A164" s="50"/>
      <c r="B164" s="50"/>
      <c r="C164" s="95">
        <v>40908</v>
      </c>
      <c r="D164" s="28">
        <f>EOMONTH(C164,12)</f>
        <v>41274</v>
      </c>
      <c r="E164" s="28">
        <f t="shared" ref="E164:H164" si="41">EOMONTH(D164,12)</f>
        <v>41639</v>
      </c>
      <c r="F164" s="28">
        <f t="shared" si="41"/>
        <v>42004</v>
      </c>
      <c r="G164" s="28">
        <f t="shared" si="41"/>
        <v>42369</v>
      </c>
      <c r="H164" s="28">
        <f t="shared" si="41"/>
        <v>42735</v>
      </c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</row>
    <row r="165" spans="1:21" ht="15" thickTop="1" x14ac:dyDescent="0.2">
      <c r="A165" s="50"/>
      <c r="B165" s="50" t="s">
        <v>56</v>
      </c>
      <c r="C165" s="62">
        <f t="shared" ref="C165:H165" si="42">C90</f>
        <v>12240</v>
      </c>
      <c r="D165" s="62">
        <f t="shared" ca="1" si="42"/>
        <v>10275.946405892802</v>
      </c>
      <c r="E165" s="62" t="e">
        <f t="shared" ca="1" si="42"/>
        <v>#VALUE!</v>
      </c>
      <c r="F165" s="62" t="e">
        <f t="shared" ca="1" si="42"/>
        <v>#VALUE!</v>
      </c>
      <c r="G165" s="62" t="e">
        <f t="shared" ca="1" si="42"/>
        <v>#VALUE!</v>
      </c>
      <c r="H165" s="62" t="e">
        <f t="shared" ca="1" si="42"/>
        <v>#VALUE!</v>
      </c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</row>
    <row r="166" spans="1:21" ht="14.25" x14ac:dyDescent="0.2">
      <c r="A166" s="50"/>
      <c r="B166" s="50" t="s">
        <v>85</v>
      </c>
      <c r="C166" s="62">
        <f t="shared" ref="C166:H166" si="43">-C85</f>
        <v>1500</v>
      </c>
      <c r="D166" s="62">
        <f t="shared" si="43"/>
        <v>1650</v>
      </c>
      <c r="E166" s="62" t="e">
        <f t="shared" si="43"/>
        <v>#VALUE!</v>
      </c>
      <c r="F166" s="62" t="e">
        <f t="shared" si="43"/>
        <v>#VALUE!</v>
      </c>
      <c r="G166" s="62" t="e">
        <f t="shared" si="43"/>
        <v>#VALUE!</v>
      </c>
      <c r="H166" s="62" t="e">
        <f t="shared" si="43"/>
        <v>#VALUE!</v>
      </c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</row>
    <row r="167" spans="1:21" ht="14.25" x14ac:dyDescent="0.2">
      <c r="A167" s="50"/>
      <c r="B167" s="50" t="s">
        <v>86</v>
      </c>
      <c r="C167" s="75">
        <v>0</v>
      </c>
      <c r="D167" s="62">
        <f>-D219</f>
        <v>900</v>
      </c>
      <c r="E167" s="62">
        <f t="shared" ref="E167:H167" ca="1" si="44">-E219</f>
        <v>909</v>
      </c>
      <c r="F167" s="62" t="e">
        <f t="shared" ca="1" si="44"/>
        <v>#VALUE!</v>
      </c>
      <c r="G167" s="62" t="e">
        <f t="shared" ca="1" si="44"/>
        <v>#VALUE!</v>
      </c>
      <c r="H167" s="62" t="e">
        <f t="shared" ca="1" si="44"/>
        <v>#VALUE!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</row>
    <row r="168" spans="1:21" ht="14.25" x14ac:dyDescent="0.2">
      <c r="A168" s="50"/>
      <c r="B168" s="50" t="s">
        <v>87</v>
      </c>
      <c r="C168" s="62">
        <f t="shared" ref="C168:H168" si="45">-C152</f>
        <v>0</v>
      </c>
      <c r="D168" s="62">
        <f t="shared" si="45"/>
        <v>-4222.9999999999982</v>
      </c>
      <c r="E168" s="62">
        <f t="shared" ca="1" si="45"/>
        <v>777</v>
      </c>
      <c r="F168" s="62" t="e">
        <f t="shared" ca="1" si="45"/>
        <v>#VALUE!</v>
      </c>
      <c r="G168" s="62" t="e">
        <f t="shared" ca="1" si="45"/>
        <v>#VALUE!</v>
      </c>
      <c r="H168" s="62" t="e">
        <f t="shared" ca="1" si="45"/>
        <v>#VALUE!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</row>
    <row r="169" spans="1:21" ht="14.25" x14ac:dyDescent="0.2">
      <c r="A169" s="50"/>
      <c r="B169" s="50" t="s">
        <v>88</v>
      </c>
      <c r="C169" s="62">
        <f>-$E$17*C70</f>
        <v>0</v>
      </c>
      <c r="D169" s="62">
        <f t="shared" ref="D169:H169" si="46">-$E$17*D70</f>
        <v>-3000</v>
      </c>
      <c r="E169" s="62">
        <f t="shared" si="46"/>
        <v>-3000</v>
      </c>
      <c r="F169" s="62">
        <f t="shared" si="46"/>
        <v>-3000</v>
      </c>
      <c r="G169" s="62">
        <f t="shared" si="46"/>
        <v>-3000</v>
      </c>
      <c r="H169" s="62">
        <f t="shared" si="46"/>
        <v>-3000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</row>
    <row r="170" spans="1:21" ht="14.25" x14ac:dyDescent="0.2">
      <c r="A170" s="50"/>
      <c r="B170" s="50" t="s">
        <v>89</v>
      </c>
      <c r="C170" s="62">
        <f>-$E$18*C71</f>
        <v>-1000</v>
      </c>
      <c r="D170" s="62">
        <f t="shared" ref="D170:H170" si="47">-$E$18*D71</f>
        <v>-1100</v>
      </c>
      <c r="E170" s="62">
        <f t="shared" si="47"/>
        <v>-1200</v>
      </c>
      <c r="F170" s="62">
        <f t="shared" si="47"/>
        <v>-1300</v>
      </c>
      <c r="G170" s="62">
        <f t="shared" si="47"/>
        <v>-1400</v>
      </c>
      <c r="H170" s="62">
        <f t="shared" si="47"/>
        <v>-1500</v>
      </c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</row>
    <row r="171" spans="1:21" ht="15" x14ac:dyDescent="0.25">
      <c r="A171" s="50"/>
      <c r="B171" s="65" t="s">
        <v>90</v>
      </c>
      <c r="C171" s="74">
        <f>SUM(C165:C170)</f>
        <v>12740</v>
      </c>
      <c r="D171" s="74">
        <f t="shared" ref="D171:H171" ca="1" si="48">SUM(D165:D170)</f>
        <v>4502.9464058928043</v>
      </c>
      <c r="E171" s="74" t="e">
        <f t="shared" ca="1" si="48"/>
        <v>#VALUE!</v>
      </c>
      <c r="F171" s="74" t="e">
        <f t="shared" ca="1" si="48"/>
        <v>#VALUE!</v>
      </c>
      <c r="G171" s="74" t="e">
        <f t="shared" ca="1" si="48"/>
        <v>#VALUE!</v>
      </c>
      <c r="H171" s="74" t="e">
        <f t="shared" ca="1" si="48"/>
        <v>#VALUE!</v>
      </c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</row>
    <row r="172" spans="1:21" ht="14.25" x14ac:dyDescent="0.2">
      <c r="A172" s="50"/>
      <c r="B172" s="50"/>
      <c r="C172" s="72"/>
      <c r="D172" s="72"/>
      <c r="E172" s="72"/>
      <c r="F172" s="72"/>
      <c r="G172" s="72"/>
      <c r="H172" s="72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</row>
    <row r="173" spans="1:21" s="1" customFormat="1" ht="15" x14ac:dyDescent="0.25">
      <c r="A173" s="7" t="s">
        <v>19</v>
      </c>
      <c r="B173" s="17" t="s">
        <v>93</v>
      </c>
      <c r="C173" s="17"/>
      <c r="D173" s="17"/>
      <c r="E173" s="17"/>
      <c r="F173" s="17"/>
      <c r="G173" s="17"/>
      <c r="H173" s="17"/>
      <c r="I173" s="7"/>
      <c r="J173" s="7"/>
      <c r="K173" s="7"/>
      <c r="L173" s="7"/>
      <c r="M173" s="7"/>
      <c r="N173" s="7"/>
      <c r="O173" s="51"/>
      <c r="P173" s="51"/>
      <c r="Q173" s="51"/>
      <c r="R173" s="51"/>
      <c r="S173" s="51"/>
      <c r="T173" s="51"/>
      <c r="U173" s="51"/>
    </row>
    <row r="174" spans="1:21" ht="14.25" x14ac:dyDescent="0.2">
      <c r="A174" s="50"/>
      <c r="B174" s="50"/>
      <c r="C174" s="72"/>
      <c r="D174" s="72"/>
      <c r="E174" s="72"/>
      <c r="F174" s="72"/>
      <c r="G174" s="72"/>
      <c r="H174" s="72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</row>
    <row r="175" spans="1:21" ht="15" thickBot="1" x14ac:dyDescent="0.25">
      <c r="A175" s="50"/>
      <c r="B175" s="50"/>
      <c r="C175" s="95">
        <v>40908</v>
      </c>
      <c r="D175" s="28">
        <f>EOMONTH(C175,12)</f>
        <v>41274</v>
      </c>
      <c r="E175" s="28">
        <f t="shared" ref="E175:H175" si="49">EOMONTH(D175,12)</f>
        <v>41639</v>
      </c>
      <c r="F175" s="28">
        <f t="shared" si="49"/>
        <v>42004</v>
      </c>
      <c r="G175" s="28">
        <f t="shared" si="49"/>
        <v>42369</v>
      </c>
      <c r="H175" s="28">
        <f t="shared" si="49"/>
        <v>42735</v>
      </c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</row>
    <row r="176" spans="1:21" ht="15" thickTop="1" x14ac:dyDescent="0.2">
      <c r="A176" s="50"/>
      <c r="B176" s="50" t="s">
        <v>94</v>
      </c>
      <c r="C176" s="72"/>
      <c r="D176" s="62">
        <f>C183</f>
        <v>2000</v>
      </c>
      <c r="E176" s="62">
        <f t="shared" ref="E176:H176" ca="1" si="50">D183</f>
        <v>2000</v>
      </c>
      <c r="F176" s="62" t="e">
        <f t="shared" ca="1" si="50"/>
        <v>#VALUE!</v>
      </c>
      <c r="G176" s="62" t="e">
        <f t="shared" ca="1" si="50"/>
        <v>#VALUE!</v>
      </c>
      <c r="H176" s="62" t="e">
        <f t="shared" ca="1" si="50"/>
        <v>#VALUE!</v>
      </c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</row>
    <row r="177" spans="1:21" ht="14.25" x14ac:dyDescent="0.2">
      <c r="A177" s="50"/>
      <c r="B177" s="50" t="s">
        <v>95</v>
      </c>
      <c r="C177" s="72"/>
      <c r="D177" s="62">
        <f>-$H$25</f>
        <v>-2000</v>
      </c>
      <c r="E177" s="62">
        <f>-$H$25</f>
        <v>-2000</v>
      </c>
      <c r="F177" s="62">
        <f>-$H$25</f>
        <v>-2000</v>
      </c>
      <c r="G177" s="62">
        <f>-$H$25</f>
        <v>-2000</v>
      </c>
      <c r="H177" s="62">
        <f>-$H$25</f>
        <v>-2000</v>
      </c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</row>
    <row r="178" spans="1:21" ht="14.25" x14ac:dyDescent="0.2">
      <c r="A178" s="50"/>
      <c r="B178" s="50" t="s">
        <v>100</v>
      </c>
      <c r="C178" s="72"/>
      <c r="D178" s="62">
        <f ca="1">D171</f>
        <v>4502.9464058928043</v>
      </c>
      <c r="E178" s="62" t="e">
        <f ca="1">E171</f>
        <v>#VALUE!</v>
      </c>
      <c r="F178" s="62" t="e">
        <f ca="1">F171</f>
        <v>#VALUE!</v>
      </c>
      <c r="G178" s="62" t="e">
        <f ca="1">G171</f>
        <v>#VALUE!</v>
      </c>
      <c r="H178" s="62" t="e">
        <f ca="1">H171</f>
        <v>#VALUE!</v>
      </c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</row>
    <row r="179" spans="1:21" ht="14.25" x14ac:dyDescent="0.2">
      <c r="A179" s="50"/>
      <c r="B179" s="50" t="s">
        <v>96</v>
      </c>
      <c r="C179" s="72"/>
      <c r="D179" s="62">
        <f>D200</f>
        <v>-450</v>
      </c>
      <c r="E179" s="62">
        <f t="shared" ref="E179:H179" ca="1" si="51">E200</f>
        <v>-450</v>
      </c>
      <c r="F179" s="62" t="str">
        <f t="shared" ca="1" si="51"/>
        <v>NA</v>
      </c>
      <c r="G179" s="62" t="str">
        <f t="shared" ca="1" si="51"/>
        <v>NA</v>
      </c>
      <c r="H179" s="62" t="str">
        <f t="shared" ca="1" si="51"/>
        <v>NA</v>
      </c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</row>
    <row r="180" spans="1:21" ht="14.25" x14ac:dyDescent="0.2">
      <c r="A180" s="50"/>
      <c r="B180" s="50" t="s">
        <v>97</v>
      </c>
      <c r="C180" s="72"/>
      <c r="D180" s="62">
        <f ca="1">D189</f>
        <v>-4052.9464058928043</v>
      </c>
      <c r="E180" s="62" t="e">
        <f t="shared" ref="E180:H180" ca="1" si="52">E189</f>
        <v>#VALUE!</v>
      </c>
      <c r="F180" s="62" t="e">
        <f t="shared" ca="1" si="52"/>
        <v>#VALUE!</v>
      </c>
      <c r="G180" s="62" t="e">
        <f t="shared" ca="1" si="52"/>
        <v>#VALUE!</v>
      </c>
      <c r="H180" s="62" t="e">
        <f t="shared" ca="1" si="52"/>
        <v>#VALUE!</v>
      </c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</row>
    <row r="181" spans="1:21" ht="14.25" x14ac:dyDescent="0.2">
      <c r="A181" s="50"/>
      <c r="B181" s="50" t="s">
        <v>98</v>
      </c>
      <c r="C181" s="72"/>
      <c r="D181" s="62">
        <f ca="1">D202</f>
        <v>0</v>
      </c>
      <c r="E181" s="62" t="e">
        <f t="shared" ref="E181:H181" ca="1" si="53">E202</f>
        <v>#VALUE!</v>
      </c>
      <c r="F181" s="62" t="e">
        <f t="shared" ca="1" si="53"/>
        <v>#VALUE!</v>
      </c>
      <c r="G181" s="62" t="e">
        <f t="shared" ca="1" si="53"/>
        <v>#VALUE!</v>
      </c>
      <c r="H181" s="62" t="e">
        <f t="shared" ca="1" si="53"/>
        <v>#VALUE!</v>
      </c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</row>
    <row r="182" spans="1:21" ht="14.25" x14ac:dyDescent="0.2">
      <c r="A182" s="50"/>
      <c r="B182" s="50" t="s">
        <v>99</v>
      </c>
      <c r="C182" s="72"/>
      <c r="D182" s="62">
        <f>$H$25</f>
        <v>2000</v>
      </c>
      <c r="E182" s="62">
        <f>$H$25</f>
        <v>2000</v>
      </c>
      <c r="F182" s="62">
        <f>$H$25</f>
        <v>2000</v>
      </c>
      <c r="G182" s="62">
        <f>$H$25</f>
        <v>2000</v>
      </c>
      <c r="H182" s="62">
        <f>$H$25</f>
        <v>2000</v>
      </c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</row>
    <row r="183" spans="1:21" ht="15" x14ac:dyDescent="0.25">
      <c r="A183" s="50"/>
      <c r="B183" s="65" t="s">
        <v>101</v>
      </c>
      <c r="C183" s="74">
        <f>C126</f>
        <v>2000</v>
      </c>
      <c r="D183" s="74">
        <f ca="1">SUM(D176:D182)</f>
        <v>2000</v>
      </c>
      <c r="E183" s="74" t="e">
        <f t="shared" ref="E183:H183" ca="1" si="54">SUM(E176:E182)</f>
        <v>#VALUE!</v>
      </c>
      <c r="F183" s="74" t="e">
        <f t="shared" ca="1" si="54"/>
        <v>#VALUE!</v>
      </c>
      <c r="G183" s="74" t="e">
        <f t="shared" ca="1" si="54"/>
        <v>#VALUE!</v>
      </c>
      <c r="H183" s="74" t="e">
        <f t="shared" ca="1" si="54"/>
        <v>#VALUE!</v>
      </c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</row>
    <row r="184" spans="1:21" ht="14.25" x14ac:dyDescent="0.2">
      <c r="A184" s="50"/>
      <c r="B184" s="50"/>
      <c r="C184" s="72"/>
      <c r="D184" s="72"/>
      <c r="E184" s="72"/>
      <c r="F184" s="72"/>
      <c r="G184" s="72"/>
      <c r="H184" s="72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</row>
    <row r="185" spans="1:21" ht="14.25" x14ac:dyDescent="0.2">
      <c r="A185" s="50"/>
      <c r="B185" s="50" t="s">
        <v>102</v>
      </c>
      <c r="C185" s="72"/>
      <c r="D185" s="62">
        <f ca="1">SUM(D176:D179)</f>
        <v>4052.9464058928043</v>
      </c>
      <c r="E185" s="62" t="e">
        <f t="shared" ref="E185:H185" ca="1" si="55">SUM(E176:E179)</f>
        <v>#VALUE!</v>
      </c>
      <c r="F185" s="62" t="e">
        <f t="shared" ca="1" si="55"/>
        <v>#VALUE!</v>
      </c>
      <c r="G185" s="62" t="e">
        <f t="shared" ca="1" si="55"/>
        <v>#VALUE!</v>
      </c>
      <c r="H185" s="62" t="e">
        <f t="shared" ca="1" si="55"/>
        <v>#VALUE!</v>
      </c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</row>
    <row r="186" spans="1:21" ht="14.25" x14ac:dyDescent="0.2">
      <c r="A186" s="50"/>
      <c r="B186" s="50"/>
      <c r="C186" s="72"/>
      <c r="D186" s="72"/>
      <c r="E186" s="72"/>
      <c r="F186" s="72"/>
      <c r="G186" s="72"/>
      <c r="H186" s="72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</row>
    <row r="187" spans="1:21" ht="15" x14ac:dyDescent="0.25">
      <c r="A187" s="50"/>
      <c r="B187" s="66" t="s">
        <v>103</v>
      </c>
      <c r="C187" s="72"/>
      <c r="D187" s="72"/>
      <c r="E187" s="72"/>
      <c r="F187" s="72"/>
      <c r="G187" s="72"/>
      <c r="H187" s="72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</row>
    <row r="188" spans="1:21" ht="14.25" x14ac:dyDescent="0.2">
      <c r="A188" s="50"/>
      <c r="B188" s="50" t="s">
        <v>104</v>
      </c>
      <c r="C188" s="72"/>
      <c r="D188" s="62">
        <f>C190</f>
        <v>29500</v>
      </c>
      <c r="E188" s="62">
        <f t="shared" ref="E188:H188" ca="1" si="56">D190</f>
        <v>25447.053594107194</v>
      </c>
      <c r="F188" s="62" t="e">
        <f t="shared" ca="1" si="56"/>
        <v>#VALUE!</v>
      </c>
      <c r="G188" s="62" t="e">
        <f t="shared" ca="1" si="56"/>
        <v>#VALUE!</v>
      </c>
      <c r="H188" s="62" t="e">
        <f t="shared" ca="1" si="56"/>
        <v>#VALUE!</v>
      </c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</row>
    <row r="189" spans="1:21" ht="14.25" x14ac:dyDescent="0.2">
      <c r="A189" s="50"/>
      <c r="B189" s="50" t="s">
        <v>105</v>
      </c>
      <c r="C189" s="72"/>
      <c r="D189" s="62">
        <f ca="1">-MIN(D188,D185)</f>
        <v>-4052.9464058928043</v>
      </c>
      <c r="E189" s="62" t="e">
        <f t="shared" ref="E189:H189" ca="1" si="57">-MIN(E188,E185)</f>
        <v>#VALUE!</v>
      </c>
      <c r="F189" s="62" t="e">
        <f t="shared" ca="1" si="57"/>
        <v>#VALUE!</v>
      </c>
      <c r="G189" s="62" t="e">
        <f t="shared" ca="1" si="57"/>
        <v>#VALUE!</v>
      </c>
      <c r="H189" s="62" t="e">
        <f t="shared" ca="1" si="57"/>
        <v>#VALUE!</v>
      </c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</row>
    <row r="190" spans="1:21" ht="15" x14ac:dyDescent="0.25">
      <c r="A190" s="50"/>
      <c r="B190" s="65" t="s">
        <v>106</v>
      </c>
      <c r="C190" s="74">
        <f>D60</f>
        <v>29500</v>
      </c>
      <c r="D190" s="74">
        <f ca="1">SUM(D188:D189)</f>
        <v>25447.053594107194</v>
      </c>
      <c r="E190" s="74" t="e">
        <f t="shared" ref="E190:H190" ca="1" si="58">SUM(E188:E189)</f>
        <v>#VALUE!</v>
      </c>
      <c r="F190" s="74" t="e">
        <f t="shared" ca="1" si="58"/>
        <v>#VALUE!</v>
      </c>
      <c r="G190" s="74" t="e">
        <f t="shared" ca="1" si="58"/>
        <v>#VALUE!</v>
      </c>
      <c r="H190" s="74" t="e">
        <f t="shared" ca="1" si="58"/>
        <v>#VALUE!</v>
      </c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</row>
    <row r="191" spans="1:21" ht="15" x14ac:dyDescent="0.25">
      <c r="A191" s="50"/>
      <c r="B191" s="51"/>
      <c r="C191" s="87"/>
      <c r="D191" s="87"/>
      <c r="E191" s="87"/>
      <c r="F191" s="87"/>
      <c r="G191" s="87"/>
      <c r="H191" s="87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</row>
    <row r="192" spans="1:21" ht="15" x14ac:dyDescent="0.25">
      <c r="A192" s="50"/>
      <c r="B192" s="50" t="s">
        <v>119</v>
      </c>
      <c r="C192" s="87"/>
      <c r="D192" s="62">
        <f>D54+$E$48/10000</f>
        <v>5.2500000000000005E-2</v>
      </c>
      <c r="E192" s="62">
        <f>E54+$E$48/10000</f>
        <v>5.5E-2</v>
      </c>
      <c r="F192" s="62">
        <f>F54+$E$48/10000</f>
        <v>5.7500000000000002E-2</v>
      </c>
      <c r="G192" s="62">
        <f>G54+$E$48/10000</f>
        <v>0.06</v>
      </c>
      <c r="H192" s="62">
        <f>H54+$E$48/10000</f>
        <v>6.25E-2</v>
      </c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</row>
    <row r="193" spans="1:21" ht="15" x14ac:dyDescent="0.25">
      <c r="A193" s="50"/>
      <c r="B193" s="50" t="s">
        <v>107</v>
      </c>
      <c r="C193" s="87"/>
      <c r="D193" s="62">
        <f ca="1">AVERAGE(D190,D188)</f>
        <v>27473.526797053597</v>
      </c>
      <c r="E193" s="62" t="e">
        <f t="shared" ref="E193:H193" ca="1" si="59">AVERAGE(E190,E188)</f>
        <v>#VALUE!</v>
      </c>
      <c r="F193" s="62" t="e">
        <f t="shared" ca="1" si="59"/>
        <v>#VALUE!</v>
      </c>
      <c r="G193" s="62" t="e">
        <f t="shared" ca="1" si="59"/>
        <v>#VALUE!</v>
      </c>
      <c r="H193" s="62" t="e">
        <f t="shared" ca="1" si="59"/>
        <v>#VALUE!</v>
      </c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</row>
    <row r="194" spans="1:21" ht="15" x14ac:dyDescent="0.25">
      <c r="A194" s="50"/>
      <c r="B194" s="50" t="s">
        <v>108</v>
      </c>
      <c r="C194" s="87"/>
      <c r="D194" s="62">
        <f ca="1">IFERROR(D192*-D193,"NA")</f>
        <v>-1442.3601568453139</v>
      </c>
      <c r="E194" s="62" t="str">
        <f ca="1">IFERROR(E192*-E193,"NA")</f>
        <v>NA</v>
      </c>
      <c r="F194" s="62" t="str">
        <f ca="1">IFERROR(F192*-F193,"NA")</f>
        <v>NA</v>
      </c>
      <c r="G194" s="62" t="str">
        <f ca="1">IFERROR(G192*-G193,"NA")</f>
        <v>NA</v>
      </c>
      <c r="H194" s="62" t="str">
        <f ca="1">IFERROR(H192*-H193,"NA")</f>
        <v>NA</v>
      </c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</row>
    <row r="195" spans="1:21" ht="14.25" x14ac:dyDescent="0.2">
      <c r="A195" s="50"/>
      <c r="B195" s="50"/>
      <c r="C195" s="72"/>
      <c r="D195" s="72"/>
      <c r="E195" s="72"/>
      <c r="F195" s="72"/>
      <c r="G195" s="72"/>
      <c r="H195" s="72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</row>
    <row r="196" spans="1:21" ht="14.25" x14ac:dyDescent="0.2">
      <c r="A196" s="50"/>
      <c r="B196" s="50" t="s">
        <v>109</v>
      </c>
      <c r="C196" s="72"/>
      <c r="D196" s="62">
        <f ca="1">SUM(D185,D189)</f>
        <v>0</v>
      </c>
      <c r="E196" s="62" t="e">
        <f t="shared" ref="E196:H196" ca="1" si="60">SUM(E185,E189)</f>
        <v>#VALUE!</v>
      </c>
      <c r="F196" s="62" t="e">
        <f t="shared" ca="1" si="60"/>
        <v>#VALUE!</v>
      </c>
      <c r="G196" s="62" t="e">
        <f t="shared" ca="1" si="60"/>
        <v>#VALUE!</v>
      </c>
      <c r="H196" s="62" t="e">
        <f t="shared" ca="1" si="60"/>
        <v>#VALUE!</v>
      </c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</row>
    <row r="197" spans="1:21" ht="14.25" x14ac:dyDescent="0.2">
      <c r="A197" s="50"/>
      <c r="B197" s="50"/>
      <c r="C197" s="72"/>
      <c r="D197" s="72"/>
      <c r="E197" s="72"/>
      <c r="F197" s="72"/>
      <c r="G197" s="72"/>
      <c r="H197" s="72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</row>
    <row r="198" spans="1:21" ht="15" x14ac:dyDescent="0.25">
      <c r="A198" s="50"/>
      <c r="B198" s="66" t="s">
        <v>110</v>
      </c>
      <c r="C198" s="72"/>
      <c r="D198" s="72"/>
      <c r="E198" s="72"/>
      <c r="F198" s="72"/>
      <c r="G198" s="72"/>
      <c r="H198" s="72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</row>
    <row r="199" spans="1:21" ht="12.75" customHeight="1" x14ac:dyDescent="0.2">
      <c r="A199" s="50"/>
      <c r="B199" s="50" t="s">
        <v>104</v>
      </c>
      <c r="C199" s="72"/>
      <c r="D199" s="62">
        <f>C203</f>
        <v>45000</v>
      </c>
      <c r="E199" s="62">
        <f t="shared" ref="E199:H199" ca="1" si="61">D203</f>
        <v>45450</v>
      </c>
      <c r="F199" s="62" t="e">
        <f t="shared" ca="1" si="61"/>
        <v>#VALUE!</v>
      </c>
      <c r="G199" s="62" t="e">
        <f t="shared" ca="1" si="61"/>
        <v>#VALUE!</v>
      </c>
      <c r="H199" s="62" t="e">
        <f t="shared" ca="1" si="61"/>
        <v>#VALUE!</v>
      </c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</row>
    <row r="200" spans="1:21" ht="12.75" customHeight="1" x14ac:dyDescent="0.2">
      <c r="A200" s="50"/>
      <c r="B200" s="50" t="s">
        <v>111</v>
      </c>
      <c r="C200" s="72"/>
      <c r="D200" s="62">
        <f>IFERROR(IF(-$G$49*D199&lt;0,-$G$49*$D$199,0),"NA")</f>
        <v>-450</v>
      </c>
      <c r="E200" s="62">
        <f ca="1">IFERROR(IF(-$G$49*E199&lt;0,-$G$49*$D$199,0),"NA")</f>
        <v>-450</v>
      </c>
      <c r="F200" s="62" t="str">
        <f ca="1">IFERROR(IF(-$G$49*F199&lt;0,-$G$49*$D$199,0),"NA")</f>
        <v>NA</v>
      </c>
      <c r="G200" s="62" t="str">
        <f ca="1">IFERROR(IF(-$G$49*G199&lt;0,-$G$49*$D$199,0),"NA")</f>
        <v>NA</v>
      </c>
      <c r="H200" s="62" t="str">
        <f ca="1">IFERROR(IF(-$G$49*H199&lt;0,-$G$49*$D$199,0),"NA")</f>
        <v>NA</v>
      </c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</row>
    <row r="201" spans="1:21" ht="12.75" customHeight="1" x14ac:dyDescent="0.2">
      <c r="A201" s="50"/>
      <c r="B201" s="50" t="s">
        <v>114</v>
      </c>
      <c r="C201" s="72"/>
      <c r="D201" s="62">
        <f>$F$49*D199</f>
        <v>900</v>
      </c>
      <c r="E201" s="62">
        <f ca="1">$F$49*E199</f>
        <v>909</v>
      </c>
      <c r="F201" s="62" t="e">
        <f ca="1">$F$49*F199</f>
        <v>#VALUE!</v>
      </c>
      <c r="G201" s="62" t="e">
        <f ca="1">$F$49*G199</f>
        <v>#VALUE!</v>
      </c>
      <c r="H201" s="62" t="e">
        <f ca="1">$F$49*H199</f>
        <v>#VALUE!</v>
      </c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</row>
    <row r="202" spans="1:21" ht="12.75" customHeight="1" x14ac:dyDescent="0.2">
      <c r="A202" s="50"/>
      <c r="B202" s="50" t="s">
        <v>112</v>
      </c>
      <c r="C202" s="72"/>
      <c r="D202" s="62">
        <f ca="1">-MIN(D200+D199+D201,D196)</f>
        <v>0</v>
      </c>
      <c r="E202" s="62" t="e">
        <f t="shared" ref="E202:H202" ca="1" si="62">-MIN(E200+E199+E201,E196)</f>
        <v>#VALUE!</v>
      </c>
      <c r="F202" s="62" t="e">
        <f t="shared" ca="1" si="62"/>
        <v>#VALUE!</v>
      </c>
      <c r="G202" s="62" t="e">
        <f t="shared" ca="1" si="62"/>
        <v>#VALUE!</v>
      </c>
      <c r="H202" s="62" t="e">
        <f t="shared" ca="1" si="62"/>
        <v>#VALUE!</v>
      </c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</row>
    <row r="203" spans="1:21" ht="12.75" customHeight="1" x14ac:dyDescent="0.25">
      <c r="A203" s="50"/>
      <c r="B203" s="65" t="s">
        <v>106</v>
      </c>
      <c r="C203" s="74">
        <f>D61</f>
        <v>45000</v>
      </c>
      <c r="D203" s="74">
        <f ca="1">SUM(D199:D202)</f>
        <v>45450</v>
      </c>
      <c r="E203" s="74" t="e">
        <f ca="1">SUM(E199:E202)</f>
        <v>#VALUE!</v>
      </c>
      <c r="F203" s="74" t="e">
        <f ca="1">SUM(F199:F202)</f>
        <v>#VALUE!</v>
      </c>
      <c r="G203" s="74" t="e">
        <f ca="1">SUM(G199:G202)</f>
        <v>#VALUE!</v>
      </c>
      <c r="H203" s="74" t="e">
        <f ca="1">SUM(H199:H202)</f>
        <v>#VALUE!</v>
      </c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</row>
    <row r="204" spans="1:21" ht="12.75" customHeight="1" x14ac:dyDescent="0.25">
      <c r="A204" s="50"/>
      <c r="B204" s="51"/>
      <c r="C204" s="87"/>
      <c r="D204" s="87"/>
      <c r="E204" s="87"/>
      <c r="F204" s="87"/>
      <c r="G204" s="87"/>
      <c r="H204" s="87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</row>
    <row r="205" spans="1:21" ht="12.75" customHeight="1" x14ac:dyDescent="0.25">
      <c r="A205" s="50"/>
      <c r="B205" s="50" t="s">
        <v>119</v>
      </c>
      <c r="C205" s="87"/>
      <c r="D205" s="62">
        <f>IFERROR(D54+$E$49/10000,"NA")</f>
        <v>8.2500000000000004E-2</v>
      </c>
      <c r="E205" s="62">
        <f>IFERROR(E54+$E$49/10000,"NA")</f>
        <v>8.5000000000000006E-2</v>
      </c>
      <c r="F205" s="62">
        <f>IFERROR(F54+$E$49/10000,"NA")</f>
        <v>8.7500000000000008E-2</v>
      </c>
      <c r="G205" s="62">
        <f>IFERROR(G54+$E$49/10000,"NA")</f>
        <v>9.0000000000000011E-2</v>
      </c>
      <c r="H205" s="62">
        <f>IFERROR(H54+$E$49/10000,"NA")</f>
        <v>9.2499999999999999E-2</v>
      </c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</row>
    <row r="206" spans="1:21" ht="14.25" x14ac:dyDescent="0.2">
      <c r="A206" s="50"/>
      <c r="B206" s="50" t="s">
        <v>108</v>
      </c>
      <c r="C206" s="72"/>
      <c r="D206" s="62">
        <f ca="1">-D205*AVERAGE(D203,D199)</f>
        <v>-3731.0625</v>
      </c>
      <c r="E206" s="62" t="e">
        <f t="shared" ref="E206:H206" ca="1" si="63">-E205*AVERAGE(E203,E199)</f>
        <v>#VALUE!</v>
      </c>
      <c r="F206" s="62" t="e">
        <f t="shared" ca="1" si="63"/>
        <v>#VALUE!</v>
      </c>
      <c r="G206" s="62" t="e">
        <f t="shared" ca="1" si="63"/>
        <v>#VALUE!</v>
      </c>
      <c r="H206" s="62" t="e">
        <f t="shared" ca="1" si="63"/>
        <v>#VALUE!</v>
      </c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</row>
    <row r="207" spans="1:21" ht="14.25" x14ac:dyDescent="0.2">
      <c r="A207" s="50"/>
      <c r="B207" s="50"/>
      <c r="C207" s="72"/>
      <c r="D207" s="72"/>
      <c r="E207" s="72"/>
      <c r="F207" s="72"/>
      <c r="G207" s="72"/>
      <c r="H207" s="72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</row>
    <row r="208" spans="1:21" ht="15" x14ac:dyDescent="0.25">
      <c r="A208" s="50"/>
      <c r="B208" s="66" t="s">
        <v>115</v>
      </c>
      <c r="C208" s="72"/>
      <c r="D208" s="72"/>
      <c r="E208" s="72"/>
      <c r="F208" s="72"/>
      <c r="G208" s="72"/>
      <c r="H208" s="72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</row>
    <row r="209" spans="1:21" ht="14.25" x14ac:dyDescent="0.2">
      <c r="A209" s="50"/>
      <c r="B209" s="50" t="s">
        <v>116</v>
      </c>
      <c r="C209" s="72"/>
      <c r="D209" s="62">
        <f>C210</f>
        <v>11250</v>
      </c>
      <c r="E209" s="62">
        <f t="shared" ref="E209:H209" si="64">D210</f>
        <v>11250</v>
      </c>
      <c r="F209" s="62">
        <f t="shared" si="64"/>
        <v>11250</v>
      </c>
      <c r="G209" s="62">
        <f t="shared" si="64"/>
        <v>11250</v>
      </c>
      <c r="H209" s="62">
        <f t="shared" si="64"/>
        <v>11250</v>
      </c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</row>
    <row r="210" spans="1:21" ht="15" x14ac:dyDescent="0.25">
      <c r="A210" s="50"/>
      <c r="B210" s="65" t="s">
        <v>106</v>
      </c>
      <c r="C210" s="74">
        <f>D62</f>
        <v>11250</v>
      </c>
      <c r="D210" s="74">
        <f>D209</f>
        <v>11250</v>
      </c>
      <c r="E210" s="74">
        <f t="shared" ref="E210:G210" si="65">E209</f>
        <v>11250</v>
      </c>
      <c r="F210" s="74">
        <f t="shared" si="65"/>
        <v>11250</v>
      </c>
      <c r="G210" s="74">
        <f t="shared" si="65"/>
        <v>11250</v>
      </c>
      <c r="H210" s="74" t="e">
        <f>IF(H84&lt;35000,0,IF(H84&gt;35000,AND(H84&lt;40000)*(H84/40000*$C$210),IF(H84&gt;40000,C210)))</f>
        <v>#VALUE!</v>
      </c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</row>
    <row r="211" spans="1:21" ht="14.25" x14ac:dyDescent="0.2">
      <c r="A211" s="50"/>
      <c r="B211" s="50"/>
      <c r="C211" s="72"/>
      <c r="D211" s="72"/>
      <c r="E211" s="72"/>
      <c r="F211" s="72"/>
      <c r="G211" s="72"/>
      <c r="H211" s="72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</row>
    <row r="212" spans="1:21" s="1" customFormat="1" ht="15" x14ac:dyDescent="0.25">
      <c r="A212" s="7" t="s">
        <v>19</v>
      </c>
      <c r="B212" s="17" t="s">
        <v>117</v>
      </c>
      <c r="C212" s="17"/>
      <c r="D212" s="17"/>
      <c r="E212" s="17"/>
      <c r="F212" s="17"/>
      <c r="G212" s="17"/>
      <c r="H212" s="17"/>
      <c r="I212" s="7"/>
      <c r="J212" s="7"/>
      <c r="K212" s="7"/>
      <c r="L212" s="7"/>
      <c r="M212" s="7"/>
      <c r="N212" s="7"/>
      <c r="O212" s="51"/>
      <c r="P212" s="51"/>
      <c r="Q212" s="51"/>
      <c r="R212" s="51"/>
      <c r="S212" s="51"/>
      <c r="T212" s="51"/>
      <c r="U212" s="51"/>
    </row>
    <row r="213" spans="1:21" ht="14.25" x14ac:dyDescent="0.2">
      <c r="A213" s="50"/>
      <c r="B213" s="50"/>
      <c r="C213" s="72"/>
      <c r="D213" s="72"/>
      <c r="E213" s="72"/>
      <c r="F213" s="72"/>
      <c r="G213" s="72"/>
      <c r="H213" s="72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</row>
    <row r="214" spans="1:21" ht="15.75" thickBot="1" x14ac:dyDescent="0.3">
      <c r="A214" s="50"/>
      <c r="B214" s="66"/>
      <c r="C214" s="95">
        <v>40908</v>
      </c>
      <c r="D214" s="28">
        <f>EOMONTH(C214,12)</f>
        <v>41274</v>
      </c>
      <c r="E214" s="28">
        <f t="shared" ref="E214:H214" si="66">EOMONTH(D214,12)</f>
        <v>41639</v>
      </c>
      <c r="F214" s="28">
        <f t="shared" si="66"/>
        <v>42004</v>
      </c>
      <c r="G214" s="28">
        <f t="shared" si="66"/>
        <v>42369</v>
      </c>
      <c r="H214" s="28">
        <f t="shared" si="66"/>
        <v>42735</v>
      </c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</row>
    <row r="215" spans="1:21" ht="15.75" thickTop="1" x14ac:dyDescent="0.25">
      <c r="A215" s="50"/>
      <c r="B215" s="66" t="s">
        <v>30</v>
      </c>
      <c r="C215" s="62"/>
      <c r="D215" s="62"/>
      <c r="E215" s="62"/>
      <c r="F215" s="62"/>
      <c r="G215" s="62"/>
      <c r="H215" s="62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</row>
    <row r="216" spans="1:21" ht="14.25" x14ac:dyDescent="0.2">
      <c r="A216" s="50"/>
      <c r="B216" s="50" t="s">
        <v>103</v>
      </c>
      <c r="C216" s="72"/>
      <c r="D216" s="62">
        <f ca="1">D194</f>
        <v>-1442.3601568453139</v>
      </c>
      <c r="E216" s="62" t="str">
        <f t="shared" ref="E216:H216" ca="1" si="67">E194</f>
        <v>NA</v>
      </c>
      <c r="F216" s="62" t="str">
        <f t="shared" ca="1" si="67"/>
        <v>NA</v>
      </c>
      <c r="G216" s="62" t="str">
        <f t="shared" ca="1" si="67"/>
        <v>NA</v>
      </c>
      <c r="H216" s="62" t="str">
        <f t="shared" ca="1" si="67"/>
        <v>NA</v>
      </c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</row>
    <row r="217" spans="1:21" ht="14.25" x14ac:dyDescent="0.2">
      <c r="A217" s="50"/>
      <c r="B217" s="50" t="s">
        <v>110</v>
      </c>
      <c r="C217" s="72"/>
      <c r="D217" s="62">
        <f ca="1">D206</f>
        <v>-3731.0625</v>
      </c>
      <c r="E217" s="62" t="e">
        <f t="shared" ref="E217:H217" ca="1" si="68">E206</f>
        <v>#VALUE!</v>
      </c>
      <c r="F217" s="62" t="e">
        <f t="shared" ca="1" si="68"/>
        <v>#VALUE!</v>
      </c>
      <c r="G217" s="62" t="e">
        <f t="shared" ca="1" si="68"/>
        <v>#VALUE!</v>
      </c>
      <c r="H217" s="62" t="e">
        <f t="shared" ca="1" si="68"/>
        <v>#VALUE!</v>
      </c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</row>
    <row r="218" spans="1:21" ht="15" x14ac:dyDescent="0.25">
      <c r="A218" s="50"/>
      <c r="B218" s="66" t="s">
        <v>31</v>
      </c>
      <c r="C218" s="72"/>
      <c r="D218" s="72"/>
      <c r="E218" s="72"/>
      <c r="F218" s="72"/>
      <c r="G218" s="72"/>
      <c r="H218" s="72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</row>
    <row r="219" spans="1:21" ht="14.25" x14ac:dyDescent="0.2">
      <c r="A219" s="50"/>
      <c r="B219" s="50" t="s">
        <v>118</v>
      </c>
      <c r="C219" s="72"/>
      <c r="D219" s="62">
        <f>-D201</f>
        <v>-900</v>
      </c>
      <c r="E219" s="62">
        <f ca="1">-E201</f>
        <v>-909</v>
      </c>
      <c r="F219" s="62" t="e">
        <f ca="1">-F201</f>
        <v>#VALUE!</v>
      </c>
      <c r="G219" s="62" t="e">
        <f ca="1">-G201</f>
        <v>#VALUE!</v>
      </c>
      <c r="H219" s="62" t="e">
        <f ca="1">-H201</f>
        <v>#VALUE!</v>
      </c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</row>
    <row r="220" spans="1:21" ht="15" x14ac:dyDescent="0.25">
      <c r="A220" s="50"/>
      <c r="B220" s="65" t="s">
        <v>120</v>
      </c>
      <c r="C220" s="74"/>
      <c r="D220" s="74">
        <f ca="1">SUM(D216:D217,D219)</f>
        <v>-6073.4226568453141</v>
      </c>
      <c r="E220" s="74" t="e">
        <f t="shared" ref="E220:H220" ca="1" si="69">SUM(E216:E217,E219)</f>
        <v>#VALUE!</v>
      </c>
      <c r="F220" s="74" t="e">
        <f t="shared" ca="1" si="69"/>
        <v>#VALUE!</v>
      </c>
      <c r="G220" s="74" t="e">
        <f t="shared" ca="1" si="69"/>
        <v>#VALUE!</v>
      </c>
      <c r="H220" s="74" t="e">
        <f t="shared" ca="1" si="69"/>
        <v>#VALUE!</v>
      </c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</row>
    <row r="221" spans="1:21" ht="14.25" x14ac:dyDescent="0.2">
      <c r="A221" s="50"/>
      <c r="B221" s="50"/>
      <c r="C221" s="72"/>
      <c r="D221" s="72"/>
      <c r="E221" s="72"/>
      <c r="F221" s="72"/>
      <c r="G221" s="72"/>
      <c r="H221" s="72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</row>
    <row r="222" spans="1:21" s="1" customFormat="1" ht="15" x14ac:dyDescent="0.25">
      <c r="A222" s="7" t="s">
        <v>19</v>
      </c>
      <c r="B222" s="17" t="s">
        <v>121</v>
      </c>
      <c r="C222" s="17"/>
      <c r="D222" s="17"/>
      <c r="E222" s="17"/>
      <c r="F222" s="17"/>
      <c r="G222" s="17"/>
      <c r="H222" s="17"/>
      <c r="I222" s="7"/>
      <c r="J222" s="7"/>
      <c r="K222" s="7"/>
      <c r="L222" s="7"/>
      <c r="M222" s="7"/>
      <c r="N222" s="7"/>
      <c r="O222" s="51"/>
      <c r="P222" s="51"/>
      <c r="Q222" s="51"/>
      <c r="R222" s="51"/>
      <c r="S222" s="51"/>
      <c r="T222" s="51"/>
      <c r="U222" s="51"/>
    </row>
    <row r="223" spans="1:21" ht="14.25" x14ac:dyDescent="0.2">
      <c r="A223" s="50"/>
      <c r="B223" s="50"/>
      <c r="C223" s="72"/>
      <c r="D223" s="72"/>
      <c r="E223" s="72"/>
      <c r="F223" s="72"/>
      <c r="G223" s="72"/>
      <c r="H223" s="72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</row>
    <row r="224" spans="1:21" s="13" customFormat="1" ht="14.25" x14ac:dyDescent="0.2">
      <c r="C224" s="88"/>
      <c r="D224" s="88"/>
      <c r="E224" s="88"/>
      <c r="F224" s="88"/>
      <c r="G224" s="88"/>
      <c r="H224" s="88"/>
    </row>
    <row r="225" spans="2:8" s="13" customFormat="1" ht="15" thickBot="1" x14ac:dyDescent="0.25">
      <c r="C225" s="95">
        <v>40908</v>
      </c>
      <c r="D225" s="28">
        <f>EOMONTH(C225,12)</f>
        <v>41274</v>
      </c>
      <c r="E225" s="28">
        <f t="shared" ref="E225:H225" si="70">EOMONTH(D225,12)</f>
        <v>41639</v>
      </c>
      <c r="F225" s="28">
        <f t="shared" si="70"/>
        <v>42004</v>
      </c>
      <c r="G225" s="28">
        <f t="shared" si="70"/>
        <v>42369</v>
      </c>
      <c r="H225" s="28">
        <f t="shared" si="70"/>
        <v>42735</v>
      </c>
    </row>
    <row r="226" spans="2:8" s="13" customFormat="1" ht="15" thickTop="1" x14ac:dyDescent="0.2">
      <c r="B226" s="13" t="s">
        <v>122</v>
      </c>
      <c r="C226" s="88"/>
      <c r="D226" s="98">
        <f>$D$25</f>
        <v>7</v>
      </c>
      <c r="E226" s="98">
        <f>$D$25</f>
        <v>7</v>
      </c>
      <c r="F226" s="98">
        <f>$D$25</f>
        <v>7</v>
      </c>
      <c r="G226" s="98">
        <f>$D$25</f>
        <v>7</v>
      </c>
      <c r="H226" s="98">
        <f>$D$25</f>
        <v>7</v>
      </c>
    </row>
    <row r="227" spans="2:8" s="13" customFormat="1" ht="14.25" x14ac:dyDescent="0.2">
      <c r="B227" s="13" t="s">
        <v>61</v>
      </c>
      <c r="C227" s="88"/>
      <c r="D227" s="89">
        <f>D84</f>
        <v>25449.999999999985</v>
      </c>
      <c r="E227" s="89" t="str">
        <f>E84</f>
        <v>asdf</v>
      </c>
      <c r="F227" s="89" t="str">
        <f>F84</f>
        <v>asdf</v>
      </c>
      <c r="G227" s="89" t="str">
        <f>G84</f>
        <v>asdf</v>
      </c>
      <c r="H227" s="89" t="str">
        <f>H84</f>
        <v>asdf</v>
      </c>
    </row>
    <row r="228" spans="2:8" s="13" customFormat="1" ht="15" x14ac:dyDescent="0.25">
      <c r="B228" s="65" t="s">
        <v>135</v>
      </c>
      <c r="C228" s="74"/>
      <c r="D228" s="74">
        <f>D227*D226</f>
        <v>178149.99999999988</v>
      </c>
      <c r="E228" s="74" t="e">
        <f t="shared" ref="E228:H228" si="71">E227*E226</f>
        <v>#VALUE!</v>
      </c>
      <c r="F228" s="74" t="e">
        <f t="shared" si="71"/>
        <v>#VALUE!</v>
      </c>
      <c r="G228" s="74" t="e">
        <f t="shared" si="71"/>
        <v>#VALUE!</v>
      </c>
      <c r="H228" s="74" t="e">
        <f t="shared" si="71"/>
        <v>#VALUE!</v>
      </c>
    </row>
    <row r="229" spans="2:8" s="13" customFormat="1" ht="14.25" x14ac:dyDescent="0.2">
      <c r="B229" s="13" t="s">
        <v>132</v>
      </c>
      <c r="C229" s="88"/>
      <c r="D229" s="89">
        <f>D126</f>
        <v>2000</v>
      </c>
      <c r="E229" s="89">
        <f ca="1">E126</f>
        <v>2000</v>
      </c>
      <c r="F229" s="89" t="e">
        <f ca="1">F126</f>
        <v>#VALUE!</v>
      </c>
      <c r="G229" s="89" t="e">
        <f ca="1">G126</f>
        <v>#VALUE!</v>
      </c>
      <c r="H229" s="89" t="e">
        <f ca="1">H126</f>
        <v>#VALUE!</v>
      </c>
    </row>
    <row r="230" spans="2:8" s="13" customFormat="1" ht="14.25" x14ac:dyDescent="0.2">
      <c r="B230" s="13" t="s">
        <v>131</v>
      </c>
      <c r="C230" s="88"/>
      <c r="D230" s="89">
        <f ca="1">-SUM(D141:D143)</f>
        <v>-82147.053594107187</v>
      </c>
      <c r="E230" s="89" t="e">
        <f ca="1">-SUM(E141:E143)</f>
        <v>#VALUE!</v>
      </c>
      <c r="F230" s="89" t="e">
        <f ca="1">-SUM(F141:F143)</f>
        <v>#VALUE!</v>
      </c>
      <c r="G230" s="89" t="e">
        <f ca="1">-SUM(G141:G143)</f>
        <v>#VALUE!</v>
      </c>
      <c r="H230" s="89" t="e">
        <f ca="1">-SUM(H141:H143)</f>
        <v>#VALUE!</v>
      </c>
    </row>
    <row r="231" spans="2:8" s="13" customFormat="1" ht="15" x14ac:dyDescent="0.25">
      <c r="B231" s="65" t="s">
        <v>64</v>
      </c>
      <c r="C231" s="74"/>
      <c r="D231" s="74">
        <f ca="1">SUM(D228:D230)</f>
        <v>98002.946405892697</v>
      </c>
      <c r="E231" s="74" t="e">
        <f t="shared" ref="E231:H231" si="72">SUM(E228:E230)</f>
        <v>#VALUE!</v>
      </c>
      <c r="F231" s="74" t="e">
        <f t="shared" si="72"/>
        <v>#VALUE!</v>
      </c>
      <c r="G231" s="74" t="e">
        <f t="shared" si="72"/>
        <v>#VALUE!</v>
      </c>
      <c r="H231" s="74" t="e">
        <f t="shared" si="72"/>
        <v>#VALUE!</v>
      </c>
    </row>
    <row r="232" spans="2:8" s="13" customFormat="1" ht="14.25" x14ac:dyDescent="0.2">
      <c r="B232" s="13" t="s">
        <v>133</v>
      </c>
      <c r="C232" s="88"/>
      <c r="D232" s="90">
        <f ca="1">$D$30*-D231</f>
        <v>-24500.736601473174</v>
      </c>
      <c r="E232" s="90" t="e">
        <f>$D$30*-E231</f>
        <v>#VALUE!</v>
      </c>
      <c r="F232" s="90" t="e">
        <f>$D$30*-F231</f>
        <v>#VALUE!</v>
      </c>
      <c r="G232" s="90" t="e">
        <f>$D$30*-G231</f>
        <v>#VALUE!</v>
      </c>
      <c r="H232" s="90" t="e">
        <f>$D$30*-H231</f>
        <v>#VALUE!</v>
      </c>
    </row>
    <row r="233" spans="2:8" s="13" customFormat="1" ht="14.25" x14ac:dyDescent="0.2">
      <c r="B233" s="13" t="s">
        <v>136</v>
      </c>
      <c r="C233" s="88"/>
      <c r="D233" s="90">
        <f ca="1">(SUM(D231:D232)*$D$31)*-1</f>
        <v>-7350.2209804419517</v>
      </c>
      <c r="E233" s="90" t="e">
        <f>(SUM(E231:E232)*$D$31)*-1</f>
        <v>#VALUE!</v>
      </c>
      <c r="F233" s="90" t="e">
        <f>(SUM(F231:F232)*$D$31)*-1</f>
        <v>#VALUE!</v>
      </c>
      <c r="G233" s="90" t="e">
        <f>(SUM(G231:G232)*$D$31)*-1</f>
        <v>#VALUE!</v>
      </c>
      <c r="H233" s="90" t="e">
        <f>(SUM(H231:H232)*$D$31)*-1</f>
        <v>#VALUE!</v>
      </c>
    </row>
    <row r="234" spans="2:8" s="13" customFormat="1" ht="15" x14ac:dyDescent="0.25">
      <c r="B234" s="65" t="s">
        <v>137</v>
      </c>
      <c r="C234" s="74"/>
      <c r="D234" s="74">
        <f ca="1">SUM(D231:D233)</f>
        <v>66151.988823977561</v>
      </c>
      <c r="E234" s="74" t="e">
        <f t="shared" ref="E234" si="73">SUM(E231:E233)</f>
        <v>#VALUE!</v>
      </c>
      <c r="F234" s="74" t="e">
        <f t="shared" ref="F234" si="74">SUM(F231:F233)</f>
        <v>#VALUE!</v>
      </c>
      <c r="G234" s="74" t="e">
        <f t="shared" ref="G234" si="75">SUM(G231:G233)</f>
        <v>#VALUE!</v>
      </c>
      <c r="H234" s="74" t="e">
        <f t="shared" ref="H234" si="76">SUM(H231:H233)</f>
        <v>#VALUE!</v>
      </c>
    </row>
    <row r="235" spans="2:8" s="13" customFormat="1" ht="14.25" x14ac:dyDescent="0.2"/>
    <row r="236" spans="2:8" s="31" customFormat="1" ht="15" x14ac:dyDescent="0.25">
      <c r="B236" s="32" t="s">
        <v>124</v>
      </c>
      <c r="C236" s="33"/>
      <c r="D236" s="34">
        <f ca="1">D234/$D$63</f>
        <v>1.1200336732102021</v>
      </c>
      <c r="E236" s="34" t="e">
        <f t="shared" ref="E236:H236" si="77">E234/$D$63</f>
        <v>#VALUE!</v>
      </c>
      <c r="F236" s="34" t="e">
        <f t="shared" si="77"/>
        <v>#VALUE!</v>
      </c>
      <c r="G236" s="34" t="e">
        <f t="shared" si="77"/>
        <v>#VALUE!</v>
      </c>
      <c r="H236" s="35" t="e">
        <f t="shared" si="77"/>
        <v>#VALUE!</v>
      </c>
    </row>
    <row r="237" spans="2:8" s="13" customFormat="1" ht="14.25" x14ac:dyDescent="0.2"/>
    <row r="238" spans="2:8" s="13" customFormat="1" ht="15" x14ac:dyDescent="0.25">
      <c r="B238" s="36" t="s">
        <v>125</v>
      </c>
    </row>
    <row r="239" spans="2:8" s="13" customFormat="1" ht="14.25" x14ac:dyDescent="0.2">
      <c r="B239" s="37" t="s">
        <v>138</v>
      </c>
      <c r="D239" s="29"/>
      <c r="E239" s="29"/>
      <c r="F239" s="29"/>
      <c r="G239" s="29"/>
      <c r="H239" s="29"/>
    </row>
    <row r="240" spans="2:8" s="13" customFormat="1" ht="14.25" x14ac:dyDescent="0.2">
      <c r="B240" s="91">
        <v>40908</v>
      </c>
      <c r="D240" s="29">
        <f>-$D$63</f>
        <v>-59062.5</v>
      </c>
      <c r="E240" s="29">
        <f t="shared" ref="E240:H240" si="78">-$D$63</f>
        <v>-59062.5</v>
      </c>
      <c r="F240" s="29">
        <f t="shared" si="78"/>
        <v>-59062.5</v>
      </c>
      <c r="G240" s="29">
        <f t="shared" si="78"/>
        <v>-59062.5</v>
      </c>
      <c r="H240" s="29">
        <f t="shared" si="78"/>
        <v>-59062.5</v>
      </c>
    </row>
    <row r="241" spans="1:21" s="13" customFormat="1" ht="14.25" x14ac:dyDescent="0.2">
      <c r="B241" s="38">
        <f>EOMONTH(B240,12)</f>
        <v>41274</v>
      </c>
      <c r="D241" s="30">
        <f ca="1">D$234</f>
        <v>66151.988823977561</v>
      </c>
      <c r="E241" s="39"/>
      <c r="F241" s="39"/>
      <c r="G241" s="39"/>
      <c r="H241" s="39"/>
    </row>
    <row r="242" spans="1:21" s="13" customFormat="1" ht="14.25" x14ac:dyDescent="0.2">
      <c r="B242" s="38">
        <f>EOMONTH(B241,12)</f>
        <v>41639</v>
      </c>
      <c r="D242" s="39"/>
      <c r="E242" s="30" t="e">
        <f>E$234</f>
        <v>#VALUE!</v>
      </c>
      <c r="F242" s="39"/>
      <c r="G242" s="39"/>
      <c r="H242" s="39"/>
    </row>
    <row r="243" spans="1:21" s="13" customFormat="1" ht="14.25" x14ac:dyDescent="0.2">
      <c r="B243" s="38">
        <f t="shared" ref="B243:B245" si="79">EOMONTH(B242,12)</f>
        <v>42004</v>
      </c>
      <c r="D243" s="39"/>
      <c r="E243" s="39"/>
      <c r="F243" s="30" t="e">
        <f>F$234</f>
        <v>#VALUE!</v>
      </c>
      <c r="G243" s="39"/>
      <c r="H243" s="39"/>
    </row>
    <row r="244" spans="1:21" s="13" customFormat="1" ht="14.25" x14ac:dyDescent="0.2">
      <c r="B244" s="38">
        <f t="shared" si="79"/>
        <v>42369</v>
      </c>
      <c r="D244" s="39"/>
      <c r="E244" s="39"/>
      <c r="F244" s="39"/>
      <c r="G244" s="30" t="e">
        <f>G$234</f>
        <v>#VALUE!</v>
      </c>
      <c r="H244" s="39"/>
    </row>
    <row r="245" spans="1:21" s="13" customFormat="1" ht="14.25" x14ac:dyDescent="0.2">
      <c r="B245" s="38">
        <f t="shared" si="79"/>
        <v>42735</v>
      </c>
      <c r="D245" s="39"/>
      <c r="E245" s="39"/>
      <c r="F245" s="39"/>
      <c r="G245" s="39"/>
      <c r="H245" s="30" t="e">
        <f>H$234</f>
        <v>#VALUE!</v>
      </c>
    </row>
    <row r="246" spans="1:21" s="13" customFormat="1" ht="14.25" x14ac:dyDescent="0.2"/>
    <row r="247" spans="1:21" s="13" customFormat="1" ht="15" x14ac:dyDescent="0.25">
      <c r="B247" s="32" t="s">
        <v>125</v>
      </c>
      <c r="C247" s="33"/>
      <c r="D247" s="40">
        <f ca="1">XIRR(D240:D245,$B$240:$B$245)</f>
        <v>0.11968682408332826</v>
      </c>
      <c r="E247" s="40" t="e">
        <f t="shared" ref="E247:H247" si="80">XIRR(E240:E245,$B$240:$B$245)</f>
        <v>#VALUE!</v>
      </c>
      <c r="F247" s="40" t="e">
        <f t="shared" si="80"/>
        <v>#VALUE!</v>
      </c>
      <c r="G247" s="40" t="e">
        <f t="shared" si="80"/>
        <v>#VALUE!</v>
      </c>
      <c r="H247" s="40" t="e">
        <f t="shared" si="80"/>
        <v>#VALUE!</v>
      </c>
    </row>
    <row r="248" spans="1:21" s="13" customFormat="1" ht="14.25" x14ac:dyDescent="0.2"/>
    <row r="249" spans="1:21" s="1" customFormat="1" ht="15" x14ac:dyDescent="0.25">
      <c r="A249" s="7" t="s">
        <v>19</v>
      </c>
      <c r="B249" s="17" t="s">
        <v>126</v>
      </c>
      <c r="C249" s="17"/>
      <c r="D249" s="17"/>
      <c r="E249" s="17"/>
      <c r="F249" s="17"/>
      <c r="G249" s="17"/>
      <c r="H249" s="17"/>
      <c r="I249" s="7"/>
      <c r="J249" s="7"/>
      <c r="K249" s="7"/>
      <c r="L249" s="7"/>
      <c r="M249" s="7"/>
      <c r="N249" s="7"/>
      <c r="O249" s="51"/>
      <c r="P249" s="51"/>
      <c r="Q249" s="51"/>
      <c r="R249" s="51"/>
      <c r="S249" s="51"/>
      <c r="T249" s="51"/>
      <c r="U249" s="51"/>
    </row>
    <row r="250" spans="1:21" s="1" customFormat="1" ht="1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51"/>
      <c r="P250" s="51"/>
      <c r="Q250" s="51"/>
      <c r="R250" s="51"/>
      <c r="S250" s="51"/>
      <c r="T250" s="51"/>
      <c r="U250" s="51"/>
    </row>
    <row r="251" spans="1:21" s="1" customFormat="1" ht="1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51"/>
      <c r="P251" s="51"/>
      <c r="Q251" s="51"/>
      <c r="R251" s="51"/>
      <c r="S251" s="51"/>
      <c r="T251" s="51"/>
      <c r="U251" s="51"/>
    </row>
    <row r="252" spans="1:21" s="13" customFormat="1" ht="15" x14ac:dyDescent="0.25">
      <c r="B252" s="36" t="s">
        <v>140</v>
      </c>
      <c r="D252" s="151" t="s">
        <v>134</v>
      </c>
      <c r="E252" s="151"/>
      <c r="F252" s="151"/>
      <c r="G252" s="151"/>
      <c r="H252" s="151"/>
    </row>
    <row r="253" spans="1:21" s="13" customFormat="1" ht="14.25" x14ac:dyDescent="0.2">
      <c r="C253" s="41" t="e">
        <f>H247</f>
        <v>#VALUE!</v>
      </c>
      <c r="D253" s="92">
        <v>5</v>
      </c>
      <c r="E253" s="42">
        <f>D253+1</f>
        <v>6</v>
      </c>
      <c r="F253" s="42">
        <f t="shared" ref="F253:H253" si="81">E253+1</f>
        <v>7</v>
      </c>
      <c r="G253" s="42">
        <f t="shared" si="81"/>
        <v>8</v>
      </c>
      <c r="H253" s="42">
        <f t="shared" si="81"/>
        <v>9</v>
      </c>
    </row>
    <row r="254" spans="1:21" s="13" customFormat="1" ht="14.25" x14ac:dyDescent="0.2">
      <c r="B254" s="150" t="s">
        <v>139</v>
      </c>
      <c r="C254" s="93">
        <v>5</v>
      </c>
      <c r="D254" s="44" t="e">
        <f t="dataTable" ref="D254:H258" dt2D="1" dtr="1" r1="D24" r2="D25"/>
        <v>#VALUE!</v>
      </c>
      <c r="E254" s="44" t="e">
        <v>#VALUE!</v>
      </c>
      <c r="F254" s="44" t="e">
        <v>#VALUE!</v>
      </c>
      <c r="G254" s="44" t="e">
        <v>#VALUE!</v>
      </c>
      <c r="H254" s="44" t="e">
        <v>#VALUE!</v>
      </c>
    </row>
    <row r="255" spans="1:21" s="13" customFormat="1" ht="14.25" x14ac:dyDescent="0.2">
      <c r="B255" s="150"/>
      <c r="C255" s="43">
        <f>C254+1</f>
        <v>6</v>
      </c>
      <c r="D255" s="44" t="e">
        <v>#VALUE!</v>
      </c>
      <c r="E255" s="147" t="e">
        <v>#VALUE!</v>
      </c>
      <c r="F255" s="147" t="e">
        <v>#VALUE!</v>
      </c>
      <c r="G255" s="147" t="e">
        <v>#VALUE!</v>
      </c>
      <c r="H255" s="44" t="e">
        <v>#VALUE!</v>
      </c>
    </row>
    <row r="256" spans="1:21" s="13" customFormat="1" ht="14.25" x14ac:dyDescent="0.2">
      <c r="B256" s="150"/>
      <c r="C256" s="43">
        <f t="shared" ref="C256:C258" si="82">C255+1</f>
        <v>7</v>
      </c>
      <c r="D256" s="44" t="e">
        <v>#VALUE!</v>
      </c>
      <c r="E256" s="147" t="e">
        <v>#VALUE!</v>
      </c>
      <c r="F256" s="147" t="e">
        <v>#VALUE!</v>
      </c>
      <c r="G256" s="147" t="e">
        <v>#VALUE!</v>
      </c>
      <c r="H256" s="44" t="e">
        <v>#VALUE!</v>
      </c>
    </row>
    <row r="257" spans="2:8" s="13" customFormat="1" ht="14.25" x14ac:dyDescent="0.2">
      <c r="B257" s="150"/>
      <c r="C257" s="43">
        <f t="shared" si="82"/>
        <v>8</v>
      </c>
      <c r="D257" s="44" t="e">
        <v>#VALUE!</v>
      </c>
      <c r="E257" s="147" t="e">
        <v>#VALUE!</v>
      </c>
      <c r="F257" s="147" t="e">
        <v>#VALUE!</v>
      </c>
      <c r="G257" s="147" t="e">
        <v>#VALUE!</v>
      </c>
      <c r="H257" s="44" t="e">
        <v>#VALUE!</v>
      </c>
    </row>
    <row r="258" spans="2:8" s="13" customFormat="1" ht="14.25" x14ac:dyDescent="0.2">
      <c r="B258" s="150"/>
      <c r="C258" s="43">
        <f t="shared" si="82"/>
        <v>9</v>
      </c>
      <c r="D258" s="44" t="e">
        <v>#VALUE!</v>
      </c>
      <c r="E258" s="44" t="e">
        <v>#VALUE!</v>
      </c>
      <c r="F258" s="44" t="e">
        <v>#VALUE!</v>
      </c>
      <c r="G258" s="44" t="e">
        <v>#VALUE!</v>
      </c>
      <c r="H258" s="44" t="e">
        <v>#VALUE!</v>
      </c>
    </row>
    <row r="259" spans="2:8" s="13" customFormat="1" ht="14.25" x14ac:dyDescent="0.2"/>
    <row r="260" spans="2:8" s="13" customFormat="1" ht="14.25" x14ac:dyDescent="0.2"/>
    <row r="261" spans="2:8" s="13" customFormat="1" ht="14.25" x14ac:dyDescent="0.2"/>
    <row r="262" spans="2:8" s="13" customFormat="1" ht="14.25" x14ac:dyDescent="0.2"/>
    <row r="263" spans="2:8" s="13" customFormat="1" ht="14.25" x14ac:dyDescent="0.2"/>
    <row r="264" spans="2:8" s="13" customFormat="1" ht="14.25" x14ac:dyDescent="0.2"/>
    <row r="265" spans="2:8" s="13" customFormat="1" ht="14.25" x14ac:dyDescent="0.2"/>
    <row r="266" spans="2:8" s="13" customFormat="1" ht="14.25" x14ac:dyDescent="0.2"/>
    <row r="267" spans="2:8" s="13" customFormat="1" ht="14.25" x14ac:dyDescent="0.2"/>
    <row r="268" spans="2:8" s="13" customFormat="1" ht="14.25" x14ac:dyDescent="0.2"/>
    <row r="269" spans="2:8" s="13" customFormat="1" ht="14.25" x14ac:dyDescent="0.2"/>
  </sheetData>
  <mergeCells count="2">
    <mergeCell ref="B254:B258"/>
    <mergeCell ref="D252:H252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EF93-54CE-482A-B127-A8B68F954F5E}">
  <dimension ref="A1:X269"/>
  <sheetViews>
    <sheetView showGridLines="0" topLeftCell="A17" zoomScale="85" zoomScaleNormal="85" workbookViewId="0">
      <selection activeCell="D25" sqref="D25"/>
    </sheetView>
    <sheetView tabSelected="1" topLeftCell="A67" workbookViewId="1">
      <selection activeCell="I77" sqref="I77"/>
    </sheetView>
  </sheetViews>
  <sheetFormatPr defaultRowHeight="12.75" x14ac:dyDescent="0.2"/>
  <cols>
    <col min="1" max="1" width="2.7109375" style="5" customWidth="1"/>
    <col min="2" max="2" width="25.7109375" style="5" customWidth="1"/>
    <col min="3" max="4" width="15.7109375" style="5" customWidth="1"/>
    <col min="5" max="5" width="22.5703125" style="5" bestFit="1" customWidth="1"/>
    <col min="6" max="6" width="17.5703125" style="5" bestFit="1" customWidth="1"/>
    <col min="7" max="8" width="15.7109375" style="5" customWidth="1"/>
    <col min="9" max="9" width="28.42578125" style="5" bestFit="1" customWidth="1"/>
    <col min="10" max="10" width="16" style="5" bestFit="1" customWidth="1"/>
    <col min="11" max="11" width="13.85546875" style="5" bestFit="1" customWidth="1"/>
    <col min="12" max="12" width="11" style="5" bestFit="1" customWidth="1"/>
    <col min="13" max="13" width="14.42578125" style="5" bestFit="1" customWidth="1"/>
    <col min="14" max="14" width="9.140625" style="5"/>
    <col min="15" max="15" width="13.85546875" style="5" bestFit="1" customWidth="1"/>
    <col min="16" max="16" width="19.28515625" style="5" bestFit="1" customWidth="1"/>
    <col min="17" max="19" width="9.140625" style="5"/>
    <col min="20" max="20" width="15.140625" style="5" bestFit="1" customWidth="1"/>
    <col min="21" max="21" width="9.42578125" style="5" bestFit="1" customWidth="1"/>
    <col min="22" max="22" width="21.28515625" style="5" bestFit="1" customWidth="1"/>
    <col min="23" max="23" width="9.140625" style="5"/>
    <col min="24" max="24" width="9.85546875" style="5" bestFit="1" customWidth="1"/>
    <col min="25" max="16384" width="9.140625" style="5"/>
  </cols>
  <sheetData>
    <row r="1" spans="1:21" ht="14.25" x14ac:dyDescent="0.2">
      <c r="A1" s="3" t="s">
        <v>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21" ht="18" x14ac:dyDescent="0.25">
      <c r="A2" s="3"/>
      <c r="B2" s="94" t="s">
        <v>149</v>
      </c>
      <c r="C2" s="15"/>
      <c r="D2" s="15"/>
      <c r="E2" s="15"/>
      <c r="F2" s="15"/>
      <c r="G2" s="15"/>
      <c r="H2" s="15"/>
      <c r="I2" s="4"/>
      <c r="J2" s="4"/>
      <c r="K2" s="4"/>
      <c r="L2" s="4"/>
      <c r="M2" s="4"/>
      <c r="N2" s="4"/>
    </row>
    <row r="3" spans="1:21" ht="14.25" x14ac:dyDescent="0.2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21" ht="14.25" x14ac:dyDescent="0.2">
      <c r="A4" s="3"/>
      <c r="B4" s="4" t="s">
        <v>150</v>
      </c>
      <c r="C4" s="4"/>
      <c r="D4" s="49">
        <v>3</v>
      </c>
      <c r="E4" s="4"/>
      <c r="F4" s="4"/>
      <c r="G4" s="4"/>
      <c r="H4" s="4"/>
      <c r="I4" s="4"/>
      <c r="J4" s="4"/>
      <c r="K4" s="4"/>
      <c r="L4" s="4"/>
      <c r="M4" s="4"/>
      <c r="N4" s="4"/>
      <c r="O4" s="50"/>
      <c r="P4" s="50"/>
      <c r="Q4" s="50"/>
      <c r="R4" s="50"/>
      <c r="S4" s="50"/>
      <c r="T4" s="50"/>
      <c r="U4" s="50"/>
    </row>
    <row r="5" spans="1:21" ht="14.25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50"/>
      <c r="P5" s="50"/>
      <c r="Q5" s="50"/>
      <c r="R5" s="50"/>
      <c r="S5" s="50"/>
      <c r="T5" s="50"/>
      <c r="U5" s="50"/>
    </row>
    <row r="6" spans="1:21" ht="15" x14ac:dyDescent="0.25">
      <c r="A6" s="4"/>
      <c r="B6" s="37"/>
      <c r="C6" s="13"/>
      <c r="D6" s="13"/>
      <c r="E6" s="109">
        <v>1</v>
      </c>
      <c r="F6" s="142" t="s">
        <v>38</v>
      </c>
      <c r="G6" s="143" t="s">
        <v>39</v>
      </c>
      <c r="H6" s="144" t="s">
        <v>40</v>
      </c>
      <c r="I6" s="4"/>
      <c r="J6" s="4"/>
      <c r="K6" s="4"/>
      <c r="L6" s="4"/>
      <c r="M6" s="4"/>
      <c r="N6" s="4"/>
      <c r="O6" s="50"/>
      <c r="P6" s="50"/>
      <c r="Q6" s="50"/>
      <c r="R6" s="50"/>
      <c r="S6" s="50"/>
      <c r="T6" s="50"/>
      <c r="U6" s="50"/>
    </row>
    <row r="7" spans="1:21" ht="15" x14ac:dyDescent="0.25">
      <c r="A7" s="4"/>
      <c r="B7" s="31" t="s">
        <v>141</v>
      </c>
      <c r="C7" s="13"/>
      <c r="D7" s="13"/>
      <c r="E7" s="110"/>
      <c r="F7" s="124"/>
      <c r="G7" s="132"/>
      <c r="H7" s="111"/>
      <c r="I7" s="4"/>
      <c r="J7" s="4"/>
      <c r="K7" s="4"/>
      <c r="L7" s="4"/>
      <c r="M7" s="4"/>
      <c r="N7" s="4"/>
      <c r="O7" s="50"/>
      <c r="P7" s="50"/>
      <c r="Q7" s="50"/>
      <c r="R7" s="50"/>
      <c r="S7" s="50"/>
      <c r="T7" s="50"/>
      <c r="U7" s="50"/>
    </row>
    <row r="8" spans="1:21" ht="14.25" x14ac:dyDescent="0.2">
      <c r="A8" s="4"/>
      <c r="B8" s="14" t="s">
        <v>142</v>
      </c>
      <c r="C8" s="13"/>
      <c r="D8" s="13"/>
      <c r="E8" s="112">
        <f>CHOOSE(case,F8,G8,H8)</f>
        <v>10</v>
      </c>
      <c r="F8" s="125">
        <v>2</v>
      </c>
      <c r="G8" s="133">
        <v>6</v>
      </c>
      <c r="H8" s="113">
        <v>10</v>
      </c>
      <c r="I8" s="4"/>
      <c r="J8" s="4"/>
      <c r="K8" s="4"/>
      <c r="L8" s="4"/>
      <c r="M8" s="4"/>
      <c r="N8" s="4"/>
      <c r="O8" s="50"/>
      <c r="P8" s="50"/>
      <c r="Q8" s="50"/>
      <c r="R8" s="50"/>
      <c r="S8" s="50"/>
      <c r="T8" s="50"/>
      <c r="U8" s="50"/>
    </row>
    <row r="9" spans="1:21" ht="14.25" x14ac:dyDescent="0.2">
      <c r="A9" s="4"/>
      <c r="B9" s="14" t="s">
        <v>20</v>
      </c>
      <c r="C9" s="13"/>
      <c r="D9" s="13"/>
      <c r="E9" s="114">
        <f>CHOOSE(case,F9,G9,H9)</f>
        <v>1500</v>
      </c>
      <c r="F9" s="126">
        <v>1500</v>
      </c>
      <c r="G9" s="134">
        <v>1500</v>
      </c>
      <c r="H9" s="115">
        <v>1500</v>
      </c>
      <c r="I9" s="4"/>
      <c r="J9" s="4"/>
      <c r="K9" s="4"/>
      <c r="L9" s="4"/>
      <c r="M9" s="4"/>
      <c r="N9" s="4"/>
      <c r="O9" s="50"/>
      <c r="P9" s="50"/>
      <c r="Q9" s="50"/>
      <c r="R9" s="50"/>
      <c r="S9" s="50"/>
      <c r="T9" s="50"/>
      <c r="U9" s="50"/>
    </row>
    <row r="10" spans="1:21" ht="14.25" x14ac:dyDescent="0.2">
      <c r="A10" s="4"/>
      <c r="B10" s="14" t="s">
        <v>143</v>
      </c>
      <c r="C10" s="13"/>
      <c r="D10" s="13"/>
      <c r="E10" s="116">
        <f>CHOOSE(case,F10,G10,H10)</f>
        <v>0</v>
      </c>
      <c r="F10" s="127">
        <v>0</v>
      </c>
      <c r="G10" s="135">
        <v>0</v>
      </c>
      <c r="H10" s="117">
        <v>0</v>
      </c>
      <c r="I10" s="4"/>
      <c r="J10" s="4"/>
      <c r="K10" s="4"/>
      <c r="L10" s="4"/>
      <c r="M10" s="4"/>
      <c r="N10" s="4"/>
      <c r="O10" s="50"/>
      <c r="P10" s="50"/>
      <c r="Q10" s="50"/>
      <c r="R10" s="50"/>
      <c r="S10" s="50"/>
      <c r="T10" s="50"/>
      <c r="U10" s="50"/>
    </row>
    <row r="11" spans="1:21" ht="14.25" x14ac:dyDescent="0.2">
      <c r="A11" s="4"/>
      <c r="B11" s="14"/>
      <c r="C11" s="13"/>
      <c r="D11" s="13"/>
      <c r="E11" s="116"/>
      <c r="F11" s="127"/>
      <c r="G11" s="135"/>
      <c r="H11" s="117"/>
      <c r="I11" s="4"/>
      <c r="J11" s="4"/>
      <c r="K11" s="4"/>
      <c r="L11" s="4"/>
      <c r="M11" s="4"/>
      <c r="N11" s="4"/>
      <c r="O11" s="50"/>
      <c r="P11" s="50"/>
      <c r="Q11" s="50"/>
      <c r="R11" s="50"/>
      <c r="S11" s="50"/>
      <c r="T11" s="50"/>
      <c r="U11" s="50"/>
    </row>
    <row r="12" spans="1:21" ht="14.25" x14ac:dyDescent="0.2">
      <c r="A12" s="4"/>
      <c r="B12" s="14" t="s">
        <v>144</v>
      </c>
      <c r="C12" s="13"/>
      <c r="D12" s="13"/>
      <c r="E12" s="116">
        <f>CHOOSE(case,F12,G12,H12)</f>
        <v>0.7</v>
      </c>
      <c r="F12" s="127">
        <v>0.7</v>
      </c>
      <c r="G12" s="135">
        <v>0.7</v>
      </c>
      <c r="H12" s="117">
        <v>0.7</v>
      </c>
      <c r="I12" s="4"/>
      <c r="J12" s="4"/>
      <c r="K12" s="4"/>
      <c r="L12" s="4"/>
      <c r="M12" s="4"/>
      <c r="N12" s="4"/>
      <c r="O12" s="50"/>
      <c r="P12" s="50"/>
      <c r="Q12" s="50"/>
      <c r="R12" s="50"/>
      <c r="S12" s="50"/>
      <c r="T12" s="50"/>
      <c r="U12" s="50"/>
    </row>
    <row r="13" spans="1:21" ht="14.25" x14ac:dyDescent="0.2">
      <c r="A13" s="4"/>
      <c r="B13" s="14"/>
      <c r="C13" s="13"/>
      <c r="D13" s="13"/>
      <c r="E13" s="116"/>
      <c r="F13" s="127"/>
      <c r="G13" s="135"/>
      <c r="H13" s="117"/>
      <c r="I13" s="4"/>
      <c r="J13" s="4"/>
      <c r="K13" s="4"/>
      <c r="L13" s="4"/>
      <c r="M13" s="4"/>
      <c r="N13" s="4"/>
      <c r="O13" s="50"/>
      <c r="P13" s="50"/>
      <c r="Q13" s="50"/>
      <c r="R13" s="50"/>
      <c r="S13" s="50"/>
      <c r="T13" s="50"/>
      <c r="U13" s="50"/>
    </row>
    <row r="14" spans="1:21" ht="14.25" x14ac:dyDescent="0.2">
      <c r="A14" s="4"/>
      <c r="B14" s="14" t="s">
        <v>145</v>
      </c>
      <c r="C14" s="13"/>
      <c r="D14" s="13"/>
      <c r="E14" s="107">
        <f t="shared" ref="E14:E19" si="0">CHOOSE(case,F14,G14,H14)</f>
        <v>75</v>
      </c>
      <c r="F14" s="128">
        <v>75</v>
      </c>
      <c r="G14" s="136">
        <v>75</v>
      </c>
      <c r="H14" s="118">
        <v>75</v>
      </c>
      <c r="I14" s="4"/>
      <c r="J14" s="4"/>
      <c r="K14" s="4"/>
      <c r="L14" s="4"/>
      <c r="M14" s="4"/>
      <c r="N14" s="4"/>
      <c r="O14" s="50"/>
      <c r="P14" s="50"/>
      <c r="Q14" s="50"/>
      <c r="R14" s="50"/>
      <c r="S14" s="50"/>
      <c r="T14" s="50"/>
      <c r="U14" s="50"/>
    </row>
    <row r="15" spans="1:21" ht="14.25" x14ac:dyDescent="0.2">
      <c r="A15" s="4"/>
      <c r="B15" s="14" t="s">
        <v>146</v>
      </c>
      <c r="C15" s="13"/>
      <c r="D15" s="13"/>
      <c r="E15" s="119">
        <f t="shared" si="0"/>
        <v>500</v>
      </c>
      <c r="F15" s="129">
        <v>500</v>
      </c>
      <c r="G15" s="137">
        <v>500</v>
      </c>
      <c r="H15" s="120">
        <v>500</v>
      </c>
      <c r="I15" s="4"/>
      <c r="J15" s="4"/>
      <c r="K15" s="4"/>
      <c r="L15" s="4"/>
      <c r="M15" s="4"/>
      <c r="N15" s="4"/>
      <c r="O15" s="50"/>
      <c r="P15" s="50"/>
      <c r="Q15" s="50"/>
      <c r="R15" s="50"/>
      <c r="S15" s="50"/>
      <c r="T15" s="50"/>
      <c r="U15" s="50"/>
    </row>
    <row r="16" spans="1:21" ht="14.25" x14ac:dyDescent="0.2">
      <c r="A16" s="4"/>
      <c r="B16" s="14" t="s">
        <v>147</v>
      </c>
      <c r="C16" s="13"/>
      <c r="D16" s="13"/>
      <c r="E16" s="121">
        <f t="shared" si="0"/>
        <v>5.0000000000000001E-3</v>
      </c>
      <c r="F16" s="130">
        <v>5.0000000000000001E-3</v>
      </c>
      <c r="G16" s="138">
        <v>5.0000000000000001E-3</v>
      </c>
      <c r="H16" s="122">
        <v>5.0000000000000001E-3</v>
      </c>
      <c r="I16" s="4"/>
      <c r="J16" s="4"/>
      <c r="K16" s="4"/>
      <c r="L16" s="4"/>
      <c r="M16" s="4"/>
      <c r="N16" s="4"/>
      <c r="O16" s="50"/>
      <c r="P16" s="50"/>
      <c r="Q16" s="50"/>
      <c r="R16" s="50"/>
      <c r="S16" s="50"/>
      <c r="T16" s="50"/>
      <c r="U16" s="50"/>
    </row>
    <row r="17" spans="1:24" ht="14.25" x14ac:dyDescent="0.2">
      <c r="A17" s="4"/>
      <c r="B17" s="14" t="s">
        <v>23</v>
      </c>
      <c r="C17" s="13"/>
      <c r="D17" s="13"/>
      <c r="E17" s="107">
        <f t="shared" si="0"/>
        <v>300</v>
      </c>
      <c r="F17" s="128">
        <v>300</v>
      </c>
      <c r="G17" s="136">
        <v>300</v>
      </c>
      <c r="H17" s="118">
        <v>300</v>
      </c>
      <c r="I17" s="4"/>
      <c r="J17" s="4"/>
      <c r="K17" s="4"/>
      <c r="L17" s="4"/>
      <c r="M17" s="4"/>
      <c r="N17" s="4"/>
      <c r="O17" s="50"/>
      <c r="P17" s="50"/>
      <c r="Q17" s="50"/>
      <c r="R17" s="50"/>
      <c r="S17" s="50"/>
      <c r="T17" s="50"/>
      <c r="U17" s="50"/>
    </row>
    <row r="18" spans="1:24" ht="14.25" x14ac:dyDescent="0.2">
      <c r="A18" s="4"/>
      <c r="B18" s="14" t="s">
        <v>24</v>
      </c>
      <c r="C18" s="13"/>
      <c r="D18" s="13"/>
      <c r="E18" s="107">
        <f t="shared" si="0"/>
        <v>10</v>
      </c>
      <c r="F18" s="128">
        <v>10</v>
      </c>
      <c r="G18" s="136">
        <v>10</v>
      </c>
      <c r="H18" s="118">
        <v>10</v>
      </c>
      <c r="I18" s="4"/>
      <c r="J18" s="4"/>
      <c r="K18" s="4"/>
      <c r="L18" s="4"/>
      <c r="M18" s="4"/>
      <c r="N18" s="4"/>
      <c r="O18" s="50"/>
      <c r="P18" s="50"/>
      <c r="Q18" s="50"/>
      <c r="R18" s="50"/>
      <c r="S18" s="50"/>
      <c r="T18" s="50"/>
      <c r="U18" s="50"/>
    </row>
    <row r="19" spans="1:24" ht="14.25" x14ac:dyDescent="0.2">
      <c r="A19" s="4"/>
      <c r="B19" s="14" t="s">
        <v>148</v>
      </c>
      <c r="C19" s="13"/>
      <c r="D19" s="13"/>
      <c r="E19" s="108">
        <f t="shared" si="0"/>
        <v>650</v>
      </c>
      <c r="F19" s="131">
        <v>650</v>
      </c>
      <c r="G19" s="139">
        <v>650</v>
      </c>
      <c r="H19" s="123">
        <v>650</v>
      </c>
      <c r="I19" s="4"/>
      <c r="J19" s="4"/>
      <c r="K19" s="4"/>
      <c r="L19" s="4"/>
      <c r="M19" s="4"/>
      <c r="N19" s="4"/>
      <c r="O19" s="50"/>
      <c r="P19" s="50"/>
      <c r="Q19" s="50"/>
      <c r="R19" s="50"/>
      <c r="S19" s="50"/>
      <c r="T19" s="50"/>
      <c r="U19" s="50"/>
    </row>
    <row r="20" spans="1:24" ht="14.25" x14ac:dyDescent="0.2">
      <c r="A20" s="4"/>
      <c r="B20" s="14"/>
      <c r="C20" s="13"/>
      <c r="D20" s="13"/>
      <c r="E20" s="58"/>
      <c r="F20" s="59"/>
      <c r="G20" s="59"/>
      <c r="H20" s="59"/>
      <c r="I20" s="4"/>
      <c r="J20" s="4"/>
      <c r="K20" s="4"/>
      <c r="L20" s="4"/>
      <c r="M20" s="4"/>
      <c r="N20" s="4"/>
      <c r="O20" s="50"/>
      <c r="P20" s="50"/>
      <c r="Q20" s="50"/>
      <c r="R20" s="50"/>
      <c r="S20" s="50"/>
      <c r="T20" s="50"/>
      <c r="U20" s="50"/>
    </row>
    <row r="21" spans="1:24" s="1" customFormat="1" ht="15" x14ac:dyDescent="0.25">
      <c r="A21" s="7" t="s">
        <v>19</v>
      </c>
      <c r="B21" s="17" t="s">
        <v>151</v>
      </c>
      <c r="C21" s="17"/>
      <c r="D21" s="17"/>
      <c r="E21" s="17"/>
      <c r="F21" s="17"/>
      <c r="G21" s="17"/>
      <c r="H21" s="17"/>
      <c r="I21" s="7"/>
      <c r="J21" s="7"/>
      <c r="K21" s="7"/>
      <c r="L21" s="7"/>
      <c r="M21" s="7"/>
      <c r="N21" s="7"/>
      <c r="O21" s="51"/>
      <c r="P21" s="51"/>
      <c r="Q21" s="51"/>
      <c r="R21" s="51"/>
      <c r="S21" s="51"/>
      <c r="T21" s="51"/>
      <c r="U21" s="51"/>
    </row>
    <row r="22" spans="1:24" s="1" customFormat="1" ht="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51"/>
      <c r="P22" s="51"/>
      <c r="Q22" s="51"/>
      <c r="R22" s="51"/>
      <c r="S22" s="51"/>
      <c r="T22" s="51"/>
      <c r="U22" s="51"/>
    </row>
    <row r="23" spans="1:24" ht="15" x14ac:dyDescent="0.25">
      <c r="A23" s="4"/>
      <c r="B23" s="101" t="s">
        <v>152</v>
      </c>
      <c r="C23" s="102"/>
      <c r="D23" s="102"/>
      <c r="E23"/>
      <c r="F23" s="101" t="s">
        <v>153</v>
      </c>
      <c r="G23" s="15"/>
      <c r="H23" s="15"/>
      <c r="I23" s="13"/>
      <c r="J23" s="13"/>
      <c r="K23" s="13"/>
      <c r="L23" s="4"/>
      <c r="M23" s="4"/>
      <c r="N23" s="13"/>
      <c r="O23" s="13"/>
      <c r="P23" s="13"/>
      <c r="Q23" s="50"/>
      <c r="R23" s="4"/>
      <c r="S23" s="4"/>
      <c r="T23" s="4"/>
      <c r="U23" s="50"/>
    </row>
    <row r="24" spans="1:24" ht="15" x14ac:dyDescent="0.25">
      <c r="A24" s="4"/>
      <c r="B24" s="4" t="s">
        <v>134</v>
      </c>
      <c r="C24" s="4"/>
      <c r="D24" s="100">
        <v>7</v>
      </c>
      <c r="E24"/>
      <c r="F24" s="4" t="s">
        <v>22</v>
      </c>
      <c r="G24" s="4"/>
      <c r="H24" s="103">
        <v>0.4</v>
      </c>
      <c r="I24" s="4"/>
      <c r="J24" s="4"/>
      <c r="K24" s="4"/>
      <c r="L24" s="4"/>
      <c r="M24" s="13"/>
      <c r="N24" s="13"/>
      <c r="O24" s="13"/>
      <c r="P24" s="4"/>
      <c r="Q24" s="4"/>
      <c r="R24" s="13"/>
      <c r="S24" s="13"/>
      <c r="T24" s="13"/>
      <c r="U24" s="50"/>
      <c r="V24" s="13"/>
      <c r="W24" s="13"/>
      <c r="X24" s="13"/>
    </row>
    <row r="25" spans="1:24" ht="15" x14ac:dyDescent="0.25">
      <c r="A25" s="4"/>
      <c r="B25" s="4" t="s">
        <v>122</v>
      </c>
      <c r="C25" s="4"/>
      <c r="D25" s="53">
        <v>7</v>
      </c>
      <c r="F25" s="4" t="s">
        <v>60</v>
      </c>
      <c r="G25" s="4"/>
      <c r="H25" s="10">
        <v>2000</v>
      </c>
      <c r="I25"/>
      <c r="J25"/>
      <c r="K25" s="4"/>
      <c r="L25" s="4"/>
      <c r="P25" s="4"/>
      <c r="Q25" s="4"/>
      <c r="R25" s="13"/>
      <c r="S25" s="13"/>
      <c r="T25" s="13"/>
      <c r="U25" s="50"/>
    </row>
    <row r="26" spans="1:24" ht="15" x14ac:dyDescent="0.25">
      <c r="A26" s="4"/>
      <c r="B26" s="4" t="s">
        <v>74</v>
      </c>
      <c r="C26" s="4"/>
      <c r="D26" s="10">
        <v>3000</v>
      </c>
      <c r="F26" s="4" t="s">
        <v>48</v>
      </c>
      <c r="G26" s="4"/>
      <c r="H26" s="52">
        <v>0.01</v>
      </c>
      <c r="I26" s="9"/>
      <c r="J26"/>
      <c r="K26" s="4"/>
      <c r="L26" s="4"/>
      <c r="P26" s="4"/>
      <c r="Q26" s="4"/>
      <c r="R26" s="13"/>
      <c r="S26" s="13"/>
      <c r="T26" s="13"/>
      <c r="U26" s="50"/>
    </row>
    <row r="27" spans="1:24" ht="14.25" x14ac:dyDescent="0.2">
      <c r="A27" s="4"/>
      <c r="B27" s="50" t="s">
        <v>154</v>
      </c>
      <c r="C27" s="50"/>
      <c r="D27" s="106">
        <v>2000</v>
      </c>
      <c r="E27" s="50"/>
      <c r="F27" s="4" t="s">
        <v>155</v>
      </c>
      <c r="G27" s="4"/>
      <c r="H27" s="11">
        <v>100</v>
      </c>
      <c r="I27" s="4"/>
      <c r="J27" s="4"/>
      <c r="K27" s="4"/>
      <c r="L27" s="4"/>
      <c r="P27" s="4"/>
      <c r="Q27" s="4"/>
      <c r="R27" s="4"/>
      <c r="S27" s="50"/>
      <c r="T27" s="50"/>
      <c r="U27" s="50"/>
    </row>
    <row r="28" spans="1:24" ht="15" x14ac:dyDescent="0.25">
      <c r="A28" s="4"/>
      <c r="B28" s="50" t="s">
        <v>78</v>
      </c>
      <c r="C28" s="50"/>
      <c r="D28" s="8">
        <v>1.5</v>
      </c>
      <c r="E28"/>
      <c r="F28" s="4" t="s">
        <v>21</v>
      </c>
      <c r="G28" s="4"/>
      <c r="H28" s="99">
        <v>70000</v>
      </c>
      <c r="I28" s="4"/>
      <c r="J28" s="4"/>
      <c r="K28" s="4"/>
      <c r="L28" s="4"/>
      <c r="P28" s="4"/>
      <c r="Q28" s="4"/>
      <c r="R28" s="4"/>
      <c r="S28" s="50"/>
      <c r="T28" s="50"/>
      <c r="U28" s="50"/>
    </row>
    <row r="29" spans="1:24" ht="15" x14ac:dyDescent="0.25">
      <c r="A29" s="4"/>
      <c r="B29" s="50" t="s">
        <v>156</v>
      </c>
      <c r="C29" s="50"/>
      <c r="D29" s="8">
        <v>0.5</v>
      </c>
      <c r="G29" s="4"/>
      <c r="H29"/>
      <c r="I29" s="4"/>
      <c r="J29"/>
      <c r="K29"/>
      <c r="L29"/>
      <c r="P29" s="4"/>
      <c r="Q29" s="4"/>
      <c r="R29" s="4"/>
      <c r="S29" s="50"/>
      <c r="T29" s="50"/>
      <c r="U29" s="50"/>
    </row>
    <row r="30" spans="1:24" ht="15" x14ac:dyDescent="0.25">
      <c r="A30" s="4"/>
      <c r="B30" s="50" t="s">
        <v>157</v>
      </c>
      <c r="C30" s="50"/>
      <c r="D30" s="54">
        <v>0.25</v>
      </c>
      <c r="E30" s="105"/>
      <c r="G30" s="4"/>
      <c r="H30"/>
      <c r="I30" s="4"/>
      <c r="J30"/>
      <c r="K30"/>
      <c r="L30"/>
      <c r="P30" s="4"/>
      <c r="Q30" s="4"/>
      <c r="R30" s="4"/>
      <c r="S30" s="50"/>
      <c r="T30" s="50"/>
      <c r="U30" s="50"/>
    </row>
    <row r="31" spans="1:24" ht="14.25" x14ac:dyDescent="0.2">
      <c r="A31" s="4"/>
      <c r="B31" s="50" t="s">
        <v>123</v>
      </c>
      <c r="C31" s="50"/>
      <c r="D31" s="12">
        <v>0.1</v>
      </c>
      <c r="I31" s="55"/>
      <c r="M31" s="4"/>
      <c r="N31" s="4"/>
      <c r="O31" s="56"/>
      <c r="P31" s="4"/>
      <c r="Q31" s="4"/>
      <c r="R31" s="4"/>
      <c r="S31" s="50"/>
      <c r="T31" s="50"/>
      <c r="U31" s="50"/>
    </row>
    <row r="32" spans="1:24" ht="14.25" x14ac:dyDescent="0.2">
      <c r="A32" s="4"/>
      <c r="E32" s="57"/>
      <c r="F32" s="59"/>
      <c r="G32" s="59"/>
      <c r="H32" s="59"/>
      <c r="I32" s="4"/>
      <c r="M32" s="4"/>
      <c r="N32" s="4"/>
      <c r="O32" s="50"/>
      <c r="P32" s="50"/>
      <c r="Q32" s="50"/>
      <c r="R32" s="50"/>
      <c r="S32" s="50"/>
      <c r="T32" s="50"/>
      <c r="U32" s="50"/>
    </row>
    <row r="33" spans="1:21" s="1" customFormat="1" ht="15" x14ac:dyDescent="0.25">
      <c r="A33" s="7" t="s">
        <v>19</v>
      </c>
      <c r="B33" s="17" t="s">
        <v>65</v>
      </c>
      <c r="C33" s="17"/>
      <c r="D33" s="17"/>
      <c r="E33" s="17"/>
      <c r="F33" s="17"/>
      <c r="G33" s="17"/>
      <c r="H33" s="17"/>
      <c r="I33" s="7"/>
      <c r="J33"/>
      <c r="K33"/>
      <c r="L33"/>
      <c r="M33" s="7"/>
      <c r="N33" s="7"/>
      <c r="O33" s="51"/>
      <c r="P33" s="51"/>
      <c r="Q33" s="51"/>
      <c r="R33" s="51"/>
      <c r="S33" s="51"/>
      <c r="T33" s="51"/>
      <c r="U33" s="51"/>
    </row>
    <row r="34" spans="1:21" s="1" customFormat="1" ht="1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51"/>
      <c r="P34" s="51"/>
      <c r="Q34" s="51"/>
      <c r="R34" s="51"/>
      <c r="S34" s="51"/>
      <c r="T34" s="51"/>
      <c r="U34" s="51"/>
    </row>
    <row r="35" spans="1:21" ht="14.25" x14ac:dyDescent="0.2">
      <c r="A35" s="4"/>
      <c r="B35" s="4" t="s">
        <v>61</v>
      </c>
      <c r="C35" s="4"/>
      <c r="D35" s="45">
        <f>C84</f>
        <v>22500</v>
      </c>
      <c r="E35" s="4"/>
      <c r="F35" s="4"/>
      <c r="G35" s="50"/>
      <c r="H35" s="50"/>
      <c r="I35" s="50"/>
      <c r="J35" s="4"/>
      <c r="K35" s="4"/>
      <c r="L35" s="4"/>
      <c r="M35" s="4"/>
      <c r="N35" s="4"/>
      <c r="O35" s="50"/>
      <c r="P35" s="50"/>
      <c r="Q35" s="50"/>
      <c r="R35" s="50"/>
      <c r="S35" s="50"/>
      <c r="T35" s="50"/>
      <c r="U35" s="50"/>
    </row>
    <row r="36" spans="1:21" ht="14.25" x14ac:dyDescent="0.2">
      <c r="A36" s="4"/>
      <c r="B36" s="15" t="s">
        <v>62</v>
      </c>
      <c r="C36" s="15"/>
      <c r="D36" s="48">
        <f>D24</f>
        <v>7</v>
      </c>
      <c r="E36" s="4"/>
      <c r="F36" s="4"/>
      <c r="G36" s="50"/>
      <c r="H36" s="50"/>
      <c r="I36" s="50"/>
      <c r="J36" s="4"/>
      <c r="K36" s="4"/>
      <c r="L36" s="4"/>
      <c r="M36" s="4"/>
      <c r="N36" s="4"/>
      <c r="O36" s="50"/>
      <c r="P36" s="50"/>
      <c r="Q36" s="50"/>
      <c r="R36" s="50"/>
      <c r="S36" s="50"/>
      <c r="T36" s="50"/>
      <c r="U36" s="50"/>
    </row>
    <row r="37" spans="1:21" ht="15" x14ac:dyDescent="0.25">
      <c r="A37" s="4"/>
      <c r="B37" s="6" t="s">
        <v>63</v>
      </c>
      <c r="C37" s="6"/>
      <c r="D37" s="46">
        <f>D36*D35</f>
        <v>157500</v>
      </c>
      <c r="E37" s="4"/>
      <c r="F37" s="4"/>
      <c r="G37" s="50"/>
      <c r="H37" s="50"/>
      <c r="I37" s="50"/>
      <c r="J37" s="4"/>
      <c r="K37" s="4"/>
      <c r="L37" s="4"/>
      <c r="M37" s="4"/>
      <c r="N37" s="4"/>
      <c r="O37" s="50"/>
      <c r="P37" s="50"/>
      <c r="Q37" s="50"/>
      <c r="R37" s="50"/>
      <c r="S37" s="50"/>
      <c r="T37" s="50"/>
      <c r="U37" s="50"/>
    </row>
    <row r="38" spans="1:21" ht="14.25" x14ac:dyDescent="0.2">
      <c r="A38" s="4"/>
      <c r="B38" s="4" t="s">
        <v>64</v>
      </c>
      <c r="C38" s="4"/>
      <c r="D38" s="45">
        <f>SUM(D37:D37)</f>
        <v>157500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50"/>
      <c r="P38" s="50"/>
      <c r="Q38" s="50"/>
      <c r="R38" s="50"/>
      <c r="S38" s="50"/>
      <c r="T38" s="50"/>
      <c r="U38" s="50"/>
    </row>
    <row r="39" spans="1:21" ht="14.25" x14ac:dyDescent="0.2">
      <c r="A39" s="4"/>
      <c r="B39" s="4"/>
      <c r="C39" s="4"/>
      <c r="D39" s="45"/>
      <c r="E39" s="4"/>
      <c r="F39" s="4"/>
      <c r="G39" s="4"/>
      <c r="H39" s="4"/>
      <c r="I39" s="4"/>
      <c r="J39" s="4"/>
      <c r="K39" s="4"/>
      <c r="L39" s="4"/>
      <c r="M39" s="4"/>
      <c r="N39" s="4"/>
      <c r="O39" s="50"/>
      <c r="P39" s="50"/>
      <c r="Q39" s="50"/>
      <c r="R39" s="50"/>
      <c r="S39" s="50"/>
      <c r="T39" s="50"/>
      <c r="U39" s="50"/>
    </row>
    <row r="40" spans="1:21" ht="14.25" x14ac:dyDescent="0.2">
      <c r="A40" s="4"/>
      <c r="B40" s="4" t="s">
        <v>66</v>
      </c>
      <c r="C40" s="4"/>
      <c r="D40" s="45">
        <f>D38</f>
        <v>157500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50"/>
      <c r="P40" s="50"/>
      <c r="Q40" s="50"/>
      <c r="R40" s="50"/>
      <c r="S40" s="50"/>
      <c r="T40" s="50"/>
      <c r="U40" s="50"/>
    </row>
    <row r="41" spans="1:21" ht="14.25" x14ac:dyDescent="0.2">
      <c r="A41" s="4"/>
      <c r="B41" s="4" t="s">
        <v>67</v>
      </c>
      <c r="C41" s="4"/>
      <c r="D41" s="45">
        <f>-(E117-E103)</f>
        <v>-9230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50"/>
      <c r="P41" s="50"/>
      <c r="Q41" s="50"/>
      <c r="R41" s="50"/>
      <c r="S41" s="50"/>
      <c r="T41" s="50"/>
      <c r="U41" s="50"/>
    </row>
    <row r="42" spans="1:21" ht="15" x14ac:dyDescent="0.25">
      <c r="A42" s="4"/>
      <c r="B42" s="16" t="s">
        <v>68</v>
      </c>
      <c r="C42" s="16"/>
      <c r="D42" s="47">
        <f>SUM(D40:D41)</f>
        <v>148270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50"/>
      <c r="P42" s="50"/>
      <c r="Q42" s="50"/>
      <c r="R42" s="50"/>
      <c r="S42" s="50"/>
      <c r="T42" s="50"/>
      <c r="U42" s="50"/>
    </row>
    <row r="43" spans="1:21" ht="14.25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50"/>
      <c r="P43" s="50"/>
      <c r="Q43" s="50"/>
      <c r="R43" s="50"/>
      <c r="S43" s="50"/>
      <c r="T43" s="50"/>
      <c r="U43" s="50"/>
    </row>
    <row r="44" spans="1:21" ht="14.2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50"/>
      <c r="P44" s="50"/>
      <c r="Q44" s="50"/>
      <c r="R44" s="50"/>
      <c r="S44" s="50"/>
      <c r="T44" s="50"/>
      <c r="U44" s="50"/>
    </row>
    <row r="45" spans="1:21" s="1" customFormat="1" ht="15" x14ac:dyDescent="0.25">
      <c r="A45" s="7" t="s">
        <v>19</v>
      </c>
      <c r="B45" s="17" t="s">
        <v>26</v>
      </c>
      <c r="C45" s="17"/>
      <c r="D45" s="17"/>
      <c r="E45" s="17"/>
      <c r="F45" s="17"/>
      <c r="G45" s="17"/>
      <c r="H45" s="17"/>
      <c r="I45" s="7"/>
      <c r="J45" s="7"/>
      <c r="K45" s="7"/>
      <c r="L45" s="7"/>
      <c r="M45" s="7"/>
      <c r="N45" s="7"/>
      <c r="O45" s="51"/>
      <c r="P45" s="51"/>
      <c r="Q45" s="51"/>
      <c r="R45" s="51"/>
      <c r="S45" s="51"/>
      <c r="T45" s="51"/>
      <c r="U45" s="51"/>
    </row>
    <row r="46" spans="1:21" s="1" customFormat="1" ht="1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51"/>
      <c r="P46" s="51"/>
      <c r="Q46" s="51"/>
      <c r="R46" s="51"/>
      <c r="S46" s="51"/>
      <c r="T46" s="51"/>
      <c r="U46" s="51"/>
    </row>
    <row r="47" spans="1:21" s="1" customFormat="1" ht="15" x14ac:dyDescent="0.25">
      <c r="A47" s="7"/>
      <c r="B47" s="17" t="s">
        <v>27</v>
      </c>
      <c r="C47" s="18" t="s">
        <v>28</v>
      </c>
      <c r="D47" s="18" t="s">
        <v>29</v>
      </c>
      <c r="E47" s="18" t="s">
        <v>30</v>
      </c>
      <c r="F47" s="18" t="s">
        <v>31</v>
      </c>
      <c r="G47" s="18" t="s">
        <v>129</v>
      </c>
      <c r="H47" s="18" t="s">
        <v>130</v>
      </c>
      <c r="I47" s="7"/>
      <c r="J47" s="7"/>
      <c r="K47" s="7"/>
      <c r="L47" s="7"/>
      <c r="M47" s="7"/>
      <c r="N47" s="7"/>
      <c r="O47" s="51"/>
      <c r="P47" s="51"/>
      <c r="Q47" s="51"/>
      <c r="R47" s="51"/>
      <c r="S47" s="51"/>
      <c r="T47" s="51"/>
      <c r="U47" s="51"/>
    </row>
    <row r="48" spans="1:21" ht="14.25" x14ac:dyDescent="0.2">
      <c r="A48" s="4"/>
      <c r="B48" s="4" t="s">
        <v>32</v>
      </c>
      <c r="C48" s="19">
        <v>1</v>
      </c>
      <c r="D48" s="104">
        <f>C48*ltmebitda</f>
        <v>22500</v>
      </c>
      <c r="E48" s="20">
        <v>400</v>
      </c>
      <c r="F48" s="9"/>
      <c r="G48" s="9"/>
      <c r="H48" s="21">
        <v>5</v>
      </c>
      <c r="I48" s="4"/>
      <c r="J48" s="4"/>
      <c r="K48" s="4"/>
      <c r="L48" s="4"/>
      <c r="M48" s="4"/>
      <c r="N48" s="4"/>
      <c r="O48" s="50"/>
      <c r="P48" s="50"/>
      <c r="Q48" s="50"/>
      <c r="R48" s="50"/>
      <c r="S48" s="50"/>
      <c r="T48" s="50"/>
      <c r="U48" s="50"/>
    </row>
    <row r="49" spans="1:21" ht="14.25" x14ac:dyDescent="0.2">
      <c r="A49" s="4"/>
      <c r="B49" s="4" t="s">
        <v>113</v>
      </c>
      <c r="C49" s="19">
        <v>2</v>
      </c>
      <c r="D49" s="104">
        <f>C49*ltmebitda</f>
        <v>45000</v>
      </c>
      <c r="E49" s="20">
        <v>700</v>
      </c>
      <c r="F49" s="22">
        <v>0.02</v>
      </c>
      <c r="G49" s="22">
        <v>0.01</v>
      </c>
      <c r="H49" s="21">
        <v>5</v>
      </c>
      <c r="I49" s="4"/>
      <c r="J49" s="4"/>
      <c r="K49" s="4"/>
      <c r="L49" s="4"/>
      <c r="M49" s="4"/>
      <c r="N49" s="4"/>
      <c r="O49" s="50"/>
      <c r="P49" s="50"/>
      <c r="Q49" s="50"/>
      <c r="R49" s="50"/>
      <c r="S49" s="50"/>
      <c r="T49" s="50"/>
      <c r="U49" s="50"/>
    </row>
    <row r="50" spans="1:21" ht="14.25" x14ac:dyDescent="0.2">
      <c r="A50" s="4"/>
      <c r="B50" s="4" t="s">
        <v>34</v>
      </c>
      <c r="C50" s="19">
        <v>0.5</v>
      </c>
      <c r="D50" s="104">
        <f>C50*ltmebitda</f>
        <v>11250</v>
      </c>
      <c r="E50" s="9"/>
      <c r="F50" s="9"/>
      <c r="G50" s="9"/>
      <c r="H50" s="23"/>
      <c r="I50" s="4"/>
      <c r="J50" s="4"/>
      <c r="K50" s="4"/>
      <c r="L50" s="4"/>
      <c r="M50" s="4"/>
      <c r="N50" s="4"/>
      <c r="O50" s="50"/>
      <c r="P50" s="50"/>
      <c r="Q50" s="50"/>
      <c r="R50" s="50"/>
      <c r="S50" s="50"/>
      <c r="T50" s="50"/>
      <c r="U50" s="50"/>
    </row>
    <row r="51" spans="1:21" s="1" customFormat="1" ht="15" x14ac:dyDescent="0.25">
      <c r="A51" s="7"/>
      <c r="B51" s="16" t="s">
        <v>35</v>
      </c>
      <c r="C51" s="24">
        <f>SUM(C48:C50)</f>
        <v>3.5</v>
      </c>
      <c r="D51" s="145">
        <f>SUM(D48:D50)</f>
        <v>78750</v>
      </c>
      <c r="E51" s="25"/>
      <c r="F51" s="25"/>
      <c r="G51" s="25"/>
      <c r="H51" s="25"/>
      <c r="I51" s="7"/>
      <c r="J51" s="7"/>
      <c r="K51" s="7"/>
      <c r="L51" s="7"/>
      <c r="M51" s="7"/>
      <c r="N51" s="7"/>
      <c r="O51" s="51"/>
      <c r="P51" s="51"/>
      <c r="Q51" s="51"/>
      <c r="R51" s="51"/>
      <c r="S51" s="51"/>
      <c r="T51" s="51"/>
      <c r="U51" s="51"/>
    </row>
    <row r="52" spans="1:21" ht="14.2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50"/>
      <c r="P52" s="50"/>
      <c r="Q52" s="50"/>
      <c r="R52" s="50"/>
      <c r="S52" s="50"/>
      <c r="T52" s="50"/>
      <c r="U52" s="50"/>
    </row>
    <row r="53" spans="1:21" ht="15" thickBot="1" x14ac:dyDescent="0.25">
      <c r="A53" s="4"/>
      <c r="B53" s="4"/>
      <c r="C53" s="60">
        <v>40908</v>
      </c>
      <c r="D53" s="61">
        <f>EOMONTH(C53,12)</f>
        <v>41274</v>
      </c>
      <c r="E53" s="61">
        <f t="shared" ref="E53:H53" si="1">EOMONTH(D53,12)</f>
        <v>41639</v>
      </c>
      <c r="F53" s="61">
        <f t="shared" si="1"/>
        <v>42004</v>
      </c>
      <c r="G53" s="61">
        <f t="shared" si="1"/>
        <v>42369</v>
      </c>
      <c r="H53" s="61">
        <f t="shared" si="1"/>
        <v>42735</v>
      </c>
      <c r="I53" s="4"/>
      <c r="J53" s="4"/>
      <c r="K53" s="4"/>
      <c r="L53" s="4"/>
      <c r="M53" s="4"/>
      <c r="N53" s="4"/>
      <c r="O53" s="50"/>
      <c r="P53" s="50"/>
      <c r="Q53" s="50"/>
      <c r="R53" s="50"/>
      <c r="S53" s="50"/>
      <c r="T53" s="50"/>
      <c r="U53" s="50"/>
    </row>
    <row r="54" spans="1:21" ht="14.25" x14ac:dyDescent="0.2">
      <c r="A54" s="4"/>
      <c r="B54" s="4" t="s">
        <v>77</v>
      </c>
      <c r="C54" s="26">
        <v>0.01</v>
      </c>
      <c r="D54" s="27">
        <f>C54+0.25%</f>
        <v>1.2500000000000001E-2</v>
      </c>
      <c r="E54" s="27">
        <f t="shared" ref="E54:H54" si="2">D54+0.25%</f>
        <v>1.5000000000000001E-2</v>
      </c>
      <c r="F54" s="27">
        <f t="shared" si="2"/>
        <v>1.7500000000000002E-2</v>
      </c>
      <c r="G54" s="27">
        <f t="shared" si="2"/>
        <v>0.02</v>
      </c>
      <c r="H54" s="27">
        <f t="shared" si="2"/>
        <v>2.2499999999999999E-2</v>
      </c>
      <c r="I54" s="4"/>
      <c r="J54" s="4"/>
      <c r="K54" s="4"/>
      <c r="L54" s="4"/>
      <c r="M54" s="4"/>
      <c r="N54" s="4"/>
      <c r="O54" s="50"/>
      <c r="P54" s="50"/>
      <c r="Q54" s="50"/>
      <c r="R54" s="50"/>
      <c r="S54" s="50"/>
      <c r="T54" s="50"/>
      <c r="U54" s="50"/>
    </row>
    <row r="55" spans="1:21" ht="14.2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50"/>
      <c r="P55" s="50"/>
      <c r="Q55" s="50"/>
      <c r="R55" s="50"/>
      <c r="S55" s="50"/>
      <c r="T55" s="50"/>
      <c r="U55" s="50"/>
    </row>
    <row r="56" spans="1:21" s="1" customFormat="1" ht="15" x14ac:dyDescent="0.25">
      <c r="A56" s="7" t="s">
        <v>19</v>
      </c>
      <c r="B56" s="17" t="s">
        <v>25</v>
      </c>
      <c r="C56" s="17"/>
      <c r="D56" s="17"/>
      <c r="E56" s="17"/>
      <c r="F56" s="17"/>
      <c r="G56" s="17"/>
      <c r="H56" s="17"/>
      <c r="I56" s="7"/>
      <c r="J56" s="7"/>
      <c r="K56" s="7"/>
      <c r="L56" s="7"/>
      <c r="M56" s="7"/>
      <c r="N56" s="7"/>
      <c r="O56" s="51"/>
      <c r="P56" s="51"/>
      <c r="Q56" s="51"/>
      <c r="R56" s="51"/>
      <c r="S56" s="51"/>
      <c r="T56" s="51"/>
      <c r="U56" s="51"/>
    </row>
    <row r="57" spans="1:21" ht="14.2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50"/>
      <c r="P57" s="50"/>
      <c r="Q57" s="50"/>
      <c r="R57" s="50"/>
      <c r="S57" s="50"/>
      <c r="T57" s="50"/>
      <c r="U57" s="50"/>
    </row>
    <row r="58" spans="1:21" s="1" customFormat="1" ht="15" x14ac:dyDescent="0.25">
      <c r="A58" s="7"/>
      <c r="B58" s="17" t="s">
        <v>69</v>
      </c>
      <c r="C58" s="17"/>
      <c r="D58" s="17"/>
      <c r="E58" s="17" t="s">
        <v>70</v>
      </c>
      <c r="F58" s="17"/>
      <c r="G58" s="7"/>
      <c r="H58" s="7"/>
      <c r="I58" s="7"/>
      <c r="J58" s="7"/>
      <c r="K58" s="7"/>
      <c r="L58" s="7"/>
      <c r="M58" s="7"/>
      <c r="N58" s="7"/>
      <c r="O58" s="51"/>
      <c r="P58" s="51"/>
      <c r="Q58" s="51"/>
      <c r="R58" s="51"/>
      <c r="S58" s="51"/>
      <c r="T58" s="51"/>
      <c r="U58" s="51"/>
    </row>
    <row r="59" spans="1:21" ht="14.25" x14ac:dyDescent="0.2">
      <c r="A59" s="4"/>
      <c r="B59" s="4" t="s">
        <v>71</v>
      </c>
      <c r="C59" s="4"/>
      <c r="D59" s="96">
        <f>IF(E96-H25&gt;0,E96-H25,0)</f>
        <v>0</v>
      </c>
      <c r="E59" s="4" t="s">
        <v>66</v>
      </c>
      <c r="F59" s="97">
        <f>D38</f>
        <v>157500</v>
      </c>
      <c r="G59" s="4"/>
      <c r="H59" s="4"/>
      <c r="I59" s="4"/>
      <c r="J59" s="4"/>
      <c r="K59" s="4"/>
      <c r="L59" s="4"/>
      <c r="M59" s="4"/>
      <c r="N59" s="4"/>
      <c r="O59" s="50"/>
      <c r="P59" s="50"/>
      <c r="Q59" s="50"/>
      <c r="R59" s="50"/>
      <c r="S59" s="50"/>
      <c r="T59" s="50"/>
      <c r="U59" s="50"/>
    </row>
    <row r="60" spans="1:21" ht="14.25" x14ac:dyDescent="0.2">
      <c r="A60" s="4"/>
      <c r="B60" s="4" t="s">
        <v>32</v>
      </c>
      <c r="C60" s="4"/>
      <c r="D60" s="96">
        <f>D48+SUM(F60:F62)</f>
        <v>29500</v>
      </c>
      <c r="E60" s="4" t="s">
        <v>74</v>
      </c>
      <c r="F60" s="97">
        <f>D26</f>
        <v>3000</v>
      </c>
      <c r="G60" s="4"/>
      <c r="H60" s="4"/>
      <c r="I60" s="4"/>
      <c r="J60" s="4"/>
      <c r="K60" s="4"/>
      <c r="L60" s="4"/>
      <c r="M60" s="4"/>
      <c r="N60" s="4"/>
      <c r="O60" s="50"/>
      <c r="P60" s="50"/>
      <c r="Q60" s="50"/>
      <c r="R60" s="50"/>
      <c r="S60" s="50"/>
      <c r="T60" s="50"/>
      <c r="U60" s="50"/>
    </row>
    <row r="61" spans="1:21" ht="14.25" x14ac:dyDescent="0.2">
      <c r="A61" s="4"/>
      <c r="B61" s="4" t="s">
        <v>113</v>
      </c>
      <c r="C61" s="4"/>
      <c r="D61" s="96">
        <f t="shared" ref="D61:D62" si="3">D49</f>
        <v>45000</v>
      </c>
      <c r="E61" s="4" t="s">
        <v>75</v>
      </c>
      <c r="F61" s="97">
        <f>D27</f>
        <v>2000</v>
      </c>
      <c r="G61" s="4"/>
      <c r="H61" s="4"/>
      <c r="I61" s="4"/>
      <c r="J61" s="4"/>
      <c r="K61" s="4"/>
      <c r="L61" s="4"/>
      <c r="M61" s="4"/>
      <c r="N61" s="4"/>
      <c r="O61" s="50"/>
      <c r="P61" s="50"/>
      <c r="Q61" s="50"/>
      <c r="R61" s="50"/>
      <c r="S61" s="50"/>
      <c r="T61" s="50"/>
      <c r="U61" s="50"/>
    </row>
    <row r="62" spans="1:21" ht="14.25" x14ac:dyDescent="0.2">
      <c r="A62" s="4"/>
      <c r="B62" s="4" t="s">
        <v>34</v>
      </c>
      <c r="C62" s="4"/>
      <c r="D62" s="96">
        <f t="shared" si="3"/>
        <v>11250</v>
      </c>
      <c r="E62" s="4" t="s">
        <v>60</v>
      </c>
      <c r="F62" s="97">
        <f>$H$25</f>
        <v>2000</v>
      </c>
      <c r="G62" s="4"/>
      <c r="H62" s="4"/>
      <c r="I62" s="4"/>
      <c r="J62" s="4"/>
      <c r="K62" s="4"/>
      <c r="L62" s="4"/>
      <c r="M62" s="4"/>
      <c r="N62" s="4"/>
      <c r="O62" s="50"/>
      <c r="P62" s="50"/>
      <c r="Q62" s="50"/>
      <c r="R62" s="50"/>
      <c r="S62" s="50"/>
      <c r="T62" s="50"/>
      <c r="U62" s="50"/>
    </row>
    <row r="63" spans="1:21" ht="14.25" x14ac:dyDescent="0.2">
      <c r="A63" s="4"/>
      <c r="B63" s="4" t="s">
        <v>72</v>
      </c>
      <c r="C63" s="4"/>
      <c r="D63" s="96">
        <f>D28/SUM($D$28:$D$29)*($F$65-SUM($D$59:$D$62))</f>
        <v>59062.5</v>
      </c>
      <c r="E63" s="4"/>
      <c r="F63" s="97"/>
      <c r="G63" s="4"/>
      <c r="H63" s="4"/>
      <c r="I63" s="4"/>
      <c r="J63" s="4"/>
      <c r="K63" s="4"/>
      <c r="L63" s="4"/>
      <c r="M63" s="4"/>
      <c r="N63" s="4"/>
      <c r="O63" s="50"/>
      <c r="P63" s="50"/>
      <c r="Q63" s="50"/>
      <c r="R63" s="50"/>
      <c r="S63" s="50"/>
      <c r="T63" s="50"/>
      <c r="U63" s="50"/>
    </row>
    <row r="64" spans="1:21" ht="14.25" x14ac:dyDescent="0.2">
      <c r="A64" s="4"/>
      <c r="B64" s="4" t="s">
        <v>73</v>
      </c>
      <c r="C64" s="4"/>
      <c r="D64" s="96">
        <f t="shared" ref="D64" si="4">D29/SUM($D$28:$D$29)*($F$65-SUM($D$59:$D$62))</f>
        <v>19687.5</v>
      </c>
      <c r="E64" s="4"/>
      <c r="F64" s="97"/>
      <c r="G64" s="4"/>
      <c r="H64" s="4"/>
      <c r="I64" s="4"/>
      <c r="J64" s="4"/>
      <c r="K64" s="4"/>
      <c r="L64" s="4"/>
      <c r="M64" s="4"/>
      <c r="N64" s="4"/>
      <c r="O64" s="50"/>
      <c r="P64" s="50"/>
      <c r="Q64" s="50"/>
      <c r="R64" s="50"/>
      <c r="S64" s="50"/>
      <c r="T64" s="50"/>
      <c r="U64" s="50"/>
    </row>
    <row r="65" spans="1:21" ht="15" x14ac:dyDescent="0.25">
      <c r="A65" s="4"/>
      <c r="B65" s="16" t="s">
        <v>35</v>
      </c>
      <c r="C65" s="16"/>
      <c r="D65" s="140">
        <f>SUM(D59:D64)</f>
        <v>164500</v>
      </c>
      <c r="E65" s="16" t="s">
        <v>35</v>
      </c>
      <c r="F65" s="141">
        <f>SUM(F59:F62)</f>
        <v>164500</v>
      </c>
      <c r="G65" s="4"/>
      <c r="H65" s="4"/>
      <c r="I65" s="4"/>
      <c r="J65" s="4"/>
      <c r="K65" s="4"/>
      <c r="L65" s="4"/>
      <c r="M65" s="4"/>
      <c r="N65" s="4"/>
      <c r="O65" s="50"/>
      <c r="P65" s="50"/>
      <c r="Q65" s="50"/>
      <c r="R65" s="50"/>
      <c r="S65" s="50"/>
      <c r="T65" s="50"/>
      <c r="U65" s="50"/>
    </row>
    <row r="66" spans="1:21" ht="14.2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50"/>
      <c r="P66" s="50"/>
      <c r="Q66" s="50"/>
      <c r="R66" s="50"/>
      <c r="S66" s="50"/>
      <c r="T66" s="50"/>
      <c r="U66" s="50"/>
    </row>
    <row r="67" spans="1:21" s="1" customFormat="1" ht="15" x14ac:dyDescent="0.25">
      <c r="A67" s="7" t="s">
        <v>19</v>
      </c>
      <c r="B67" s="17" t="s">
        <v>1</v>
      </c>
      <c r="C67" s="17"/>
      <c r="D67" s="17"/>
      <c r="E67" s="17"/>
      <c r="F67" s="17"/>
      <c r="G67" s="17"/>
      <c r="H67" s="17"/>
      <c r="I67" s="7"/>
      <c r="J67" s="7"/>
      <c r="K67" s="7"/>
      <c r="L67" s="7"/>
      <c r="M67" s="7"/>
      <c r="N67" s="7"/>
      <c r="O67" s="51"/>
      <c r="P67" s="51"/>
      <c r="Q67" s="51"/>
      <c r="R67" s="51"/>
      <c r="S67" s="51"/>
      <c r="T67" s="51"/>
      <c r="U67" s="51"/>
    </row>
    <row r="68" spans="1:21" ht="15" thickBot="1" x14ac:dyDescent="0.25">
      <c r="A68" s="50"/>
      <c r="B68" s="4"/>
      <c r="C68" s="60">
        <v>40908</v>
      </c>
      <c r="D68" s="61">
        <f>EOMONTH(C68,12)</f>
        <v>41274</v>
      </c>
      <c r="E68" s="61">
        <f t="shared" ref="E68:H68" si="5">EOMONTH(D68,12)</f>
        <v>41639</v>
      </c>
      <c r="F68" s="61">
        <f t="shared" si="5"/>
        <v>42004</v>
      </c>
      <c r="G68" s="61">
        <f t="shared" si="5"/>
        <v>42369</v>
      </c>
      <c r="H68" s="61">
        <f t="shared" si="5"/>
        <v>42735</v>
      </c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</row>
    <row r="69" spans="1:21" ht="14.25" x14ac:dyDescent="0.2">
      <c r="A69" s="50"/>
      <c r="B69" s="50" t="s">
        <v>36</v>
      </c>
      <c r="C69" s="62">
        <f>H27</f>
        <v>100</v>
      </c>
      <c r="D69" s="62">
        <f>C69+D70</f>
        <v>110</v>
      </c>
      <c r="E69" s="62">
        <f t="shared" ref="E69:H69" si="6">D69+E70</f>
        <v>120</v>
      </c>
      <c r="F69" s="62">
        <f t="shared" si="6"/>
        <v>130</v>
      </c>
      <c r="G69" s="62">
        <f t="shared" si="6"/>
        <v>140</v>
      </c>
      <c r="H69" s="62">
        <f t="shared" si="6"/>
        <v>150</v>
      </c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</row>
    <row r="70" spans="1:21" ht="14.25" x14ac:dyDescent="0.2">
      <c r="A70" s="50"/>
      <c r="B70" s="146" t="s">
        <v>37</v>
      </c>
      <c r="C70" s="62"/>
      <c r="D70" s="62">
        <f>$E$8</f>
        <v>10</v>
      </c>
      <c r="E70" s="62">
        <f>$E$8</f>
        <v>10</v>
      </c>
      <c r="F70" s="62">
        <f>$E$8</f>
        <v>10</v>
      </c>
      <c r="G70" s="62">
        <f>$E$8</f>
        <v>10</v>
      </c>
      <c r="H70" s="62">
        <f>$E$8</f>
        <v>10</v>
      </c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</row>
    <row r="71" spans="1:21" ht="14.25" x14ac:dyDescent="0.2">
      <c r="A71" s="50"/>
      <c r="B71" s="146" t="s">
        <v>45</v>
      </c>
      <c r="C71" s="62">
        <f>$H$27</f>
        <v>100</v>
      </c>
      <c r="D71" s="62">
        <f>C71+D70</f>
        <v>110</v>
      </c>
      <c r="E71" s="62">
        <f t="shared" ref="E71:H71" si="7">D71+E70</f>
        <v>120</v>
      </c>
      <c r="F71" s="62">
        <f t="shared" si="7"/>
        <v>130</v>
      </c>
      <c r="G71" s="62">
        <f t="shared" si="7"/>
        <v>140</v>
      </c>
      <c r="H71" s="62">
        <f t="shared" si="7"/>
        <v>150</v>
      </c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</row>
    <row r="72" spans="1:21" ht="14.25" x14ac:dyDescent="0.2">
      <c r="A72" s="50"/>
      <c r="B72" s="50"/>
      <c r="C72" s="72"/>
      <c r="D72" s="72"/>
      <c r="E72" s="72"/>
      <c r="F72" s="72"/>
      <c r="G72" s="72"/>
      <c r="H72" s="72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</row>
    <row r="73" spans="1:21" ht="14.25" x14ac:dyDescent="0.2">
      <c r="A73" s="50"/>
      <c r="B73" s="50" t="s">
        <v>0</v>
      </c>
      <c r="C73" s="62">
        <f>$E$9</f>
        <v>1500</v>
      </c>
      <c r="D73" s="62">
        <f t="shared" ref="D73:H73" si="8">$E$9</f>
        <v>1500</v>
      </c>
      <c r="E73" s="62">
        <f t="shared" si="8"/>
        <v>1500</v>
      </c>
      <c r="F73" s="62">
        <f t="shared" si="8"/>
        <v>1500</v>
      </c>
      <c r="G73" s="62">
        <f t="shared" si="8"/>
        <v>1500</v>
      </c>
      <c r="H73" s="62">
        <f t="shared" si="8"/>
        <v>1500</v>
      </c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</row>
    <row r="74" spans="1:21" s="2" customFormat="1" ht="14.25" x14ac:dyDescent="0.2">
      <c r="A74" s="55"/>
      <c r="B74" s="63" t="s">
        <v>41</v>
      </c>
      <c r="C74" s="73"/>
      <c r="D74" s="64">
        <f>$E$10</f>
        <v>0</v>
      </c>
      <c r="E74" s="64">
        <f>$E$10</f>
        <v>0</v>
      </c>
      <c r="F74" s="64">
        <f>$E$10</f>
        <v>0</v>
      </c>
      <c r="G74" s="64">
        <f>$E$10</f>
        <v>0</v>
      </c>
      <c r="H74" s="64">
        <f>$E$10</f>
        <v>0</v>
      </c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 spans="1:21" ht="15" x14ac:dyDescent="0.25">
      <c r="A75" s="50"/>
      <c r="B75" s="65" t="s">
        <v>42</v>
      </c>
      <c r="C75" s="74">
        <f t="shared" ref="C75:H75" si="9">C73*C69</f>
        <v>150000</v>
      </c>
      <c r="D75" s="74">
        <f t="shared" si="9"/>
        <v>165000</v>
      </c>
      <c r="E75" s="74">
        <f t="shared" si="9"/>
        <v>180000</v>
      </c>
      <c r="F75" s="74">
        <f t="shared" si="9"/>
        <v>195000</v>
      </c>
      <c r="G75" s="74">
        <f t="shared" si="9"/>
        <v>210000</v>
      </c>
      <c r="H75" s="74">
        <f t="shared" si="9"/>
        <v>225000</v>
      </c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</row>
    <row r="76" spans="1:21" ht="14.25" x14ac:dyDescent="0.2">
      <c r="A76" s="50"/>
      <c r="B76" s="50" t="s">
        <v>76</v>
      </c>
      <c r="C76" s="62">
        <f t="shared" ref="C76:H76" si="10">IFERROR(-(C75-C77),"NA")</f>
        <v>-45000</v>
      </c>
      <c r="D76" s="62">
        <f t="shared" si="10"/>
        <v>-49500.000000000015</v>
      </c>
      <c r="E76" s="62">
        <f t="shared" si="10"/>
        <v>-54000.000000000015</v>
      </c>
      <c r="F76" s="62">
        <f t="shared" si="10"/>
        <v>-58500</v>
      </c>
      <c r="G76" s="62">
        <f t="shared" si="10"/>
        <v>-63000</v>
      </c>
      <c r="H76" s="62">
        <f t="shared" si="10"/>
        <v>-67500</v>
      </c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</row>
    <row r="77" spans="1:21" ht="15" x14ac:dyDescent="0.25">
      <c r="A77" s="50"/>
      <c r="B77" s="65" t="s">
        <v>43</v>
      </c>
      <c r="C77" s="74">
        <f t="shared" ref="C77:H77" si="11">C78*C75</f>
        <v>105000</v>
      </c>
      <c r="D77" s="74">
        <f t="shared" si="11"/>
        <v>115499.99999999999</v>
      </c>
      <c r="E77" s="74">
        <f t="shared" si="11"/>
        <v>125999.99999999999</v>
      </c>
      <c r="F77" s="74">
        <f t="shared" si="11"/>
        <v>136500</v>
      </c>
      <c r="G77" s="74">
        <f t="shared" si="11"/>
        <v>147000</v>
      </c>
      <c r="H77" s="74">
        <f t="shared" si="11"/>
        <v>157500</v>
      </c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</row>
    <row r="78" spans="1:21" ht="14.25" x14ac:dyDescent="0.2">
      <c r="A78" s="50"/>
      <c r="B78" s="146" t="s">
        <v>44</v>
      </c>
      <c r="C78" s="57">
        <f t="shared" ref="C78:H78" si="12">$E$12</f>
        <v>0.7</v>
      </c>
      <c r="D78" s="57">
        <f t="shared" si="12"/>
        <v>0.7</v>
      </c>
      <c r="E78" s="57">
        <f t="shared" si="12"/>
        <v>0.7</v>
      </c>
      <c r="F78" s="57">
        <f t="shared" si="12"/>
        <v>0.7</v>
      </c>
      <c r="G78" s="57">
        <f t="shared" si="12"/>
        <v>0.7</v>
      </c>
      <c r="H78" s="57">
        <f t="shared" si="12"/>
        <v>0.7</v>
      </c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</row>
    <row r="79" spans="1:21" ht="14.25" x14ac:dyDescent="0.2">
      <c r="A79" s="50"/>
      <c r="B79" s="50" t="s">
        <v>49</v>
      </c>
      <c r="C79" s="62">
        <f>($H$28+$E$19*(C71-100))*-1</f>
        <v>-70000</v>
      </c>
      <c r="D79" s="62">
        <f t="shared" ref="D79:H79" si="13">($H$28+$E$19*(D71-100))*-1</f>
        <v>-76500</v>
      </c>
      <c r="E79" s="62">
        <f t="shared" si="13"/>
        <v>-83000</v>
      </c>
      <c r="F79" s="62">
        <f t="shared" si="13"/>
        <v>-89500</v>
      </c>
      <c r="G79" s="62">
        <f t="shared" si="13"/>
        <v>-96000</v>
      </c>
      <c r="H79" s="62">
        <f t="shared" si="13"/>
        <v>-102500</v>
      </c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</row>
    <row r="80" spans="1:21" ht="14.25" x14ac:dyDescent="0.2">
      <c r="A80" s="50"/>
      <c r="B80" s="50" t="s">
        <v>50</v>
      </c>
      <c r="C80" s="62">
        <f>($E$15+$E$16*C75)*-4</f>
        <v>-5000</v>
      </c>
      <c r="D80" s="62">
        <f t="shared" ref="D80:H80" si="14">($E$15+$E$16*D75)*-4</f>
        <v>-5300</v>
      </c>
      <c r="E80" s="62">
        <f t="shared" si="14"/>
        <v>-5600</v>
      </c>
      <c r="F80" s="62">
        <f t="shared" si="14"/>
        <v>-5900</v>
      </c>
      <c r="G80" s="62">
        <f t="shared" si="14"/>
        <v>-6200</v>
      </c>
      <c r="H80" s="62">
        <f t="shared" si="14"/>
        <v>-6500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</row>
    <row r="81" spans="1:21" ht="14.25" x14ac:dyDescent="0.2">
      <c r="A81" s="50"/>
      <c r="B81" s="50" t="s">
        <v>51</v>
      </c>
      <c r="C81" s="62">
        <f t="shared" ref="C81:H81" si="15">rent*-C71</f>
        <v>-7500</v>
      </c>
      <c r="D81" s="62">
        <f t="shared" si="15"/>
        <v>-8250</v>
      </c>
      <c r="E81" s="62">
        <f t="shared" si="15"/>
        <v>-9000</v>
      </c>
      <c r="F81" s="62">
        <f t="shared" si="15"/>
        <v>-9750</v>
      </c>
      <c r="G81" s="62">
        <f t="shared" si="15"/>
        <v>-10500</v>
      </c>
      <c r="H81" s="62">
        <f t="shared" si="15"/>
        <v>-11250</v>
      </c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</row>
    <row r="82" spans="1:21" ht="15" x14ac:dyDescent="0.25">
      <c r="A82" s="50"/>
      <c r="B82" s="65" t="s">
        <v>46</v>
      </c>
      <c r="C82" s="74">
        <f>SUM(C79:C81)</f>
        <v>-82500</v>
      </c>
      <c r="D82" s="74">
        <f t="shared" ref="D82:H82" si="16">SUM(D79:D81)</f>
        <v>-90050</v>
      </c>
      <c r="E82" s="74">
        <f t="shared" si="16"/>
        <v>-97600</v>
      </c>
      <c r="F82" s="74">
        <f t="shared" si="16"/>
        <v>-105150</v>
      </c>
      <c r="G82" s="74">
        <f t="shared" si="16"/>
        <v>-112700</v>
      </c>
      <c r="H82" s="74">
        <f t="shared" si="16"/>
        <v>-120250</v>
      </c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</row>
    <row r="83" spans="1:21" ht="14.25" x14ac:dyDescent="0.2">
      <c r="A83" s="50"/>
      <c r="B83" s="50"/>
      <c r="C83" s="72"/>
      <c r="D83" s="72"/>
      <c r="E83" s="72"/>
      <c r="F83" s="72"/>
      <c r="G83" s="72"/>
      <c r="H83" s="72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</row>
    <row r="84" spans="1:21" ht="15" x14ac:dyDescent="0.25">
      <c r="A84" s="50"/>
      <c r="B84" s="65" t="s">
        <v>47</v>
      </c>
      <c r="C84" s="74">
        <f t="shared" ref="C84:H84" si="17">C82+C77</f>
        <v>22500</v>
      </c>
      <c r="D84" s="74">
        <f t="shared" si="17"/>
        <v>25449.999999999985</v>
      </c>
      <c r="E84" s="74">
        <f t="shared" si="17"/>
        <v>28399.999999999985</v>
      </c>
      <c r="F84" s="74">
        <f t="shared" si="17"/>
        <v>31350</v>
      </c>
      <c r="G84" s="74">
        <f t="shared" si="17"/>
        <v>34300</v>
      </c>
      <c r="H84" s="74">
        <f t="shared" si="17"/>
        <v>37250</v>
      </c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</row>
    <row r="85" spans="1:21" ht="14.25" x14ac:dyDescent="0.2">
      <c r="A85" s="50"/>
      <c r="B85" s="50" t="s">
        <v>52</v>
      </c>
      <c r="C85" s="62">
        <f t="shared" ref="C85:H85" si="18">-$H$26*C75</f>
        <v>-1500</v>
      </c>
      <c r="D85" s="62">
        <f t="shared" si="18"/>
        <v>-1650</v>
      </c>
      <c r="E85" s="62">
        <f t="shared" si="18"/>
        <v>-1800</v>
      </c>
      <c r="F85" s="62">
        <f t="shared" si="18"/>
        <v>-1950</v>
      </c>
      <c r="G85" s="62">
        <f t="shared" si="18"/>
        <v>-2100</v>
      </c>
      <c r="H85" s="62">
        <f t="shared" si="18"/>
        <v>-2250</v>
      </c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</row>
    <row r="86" spans="1:21" ht="14.25" x14ac:dyDescent="0.2">
      <c r="A86" s="50"/>
      <c r="B86" s="50" t="s">
        <v>127</v>
      </c>
      <c r="C86" s="62">
        <f t="shared" ref="C86:H86" si="19">-(C129-D129)</f>
        <v>-600</v>
      </c>
      <c r="D86" s="62">
        <f t="shared" si="19"/>
        <v>-600</v>
      </c>
      <c r="E86" s="62">
        <f t="shared" si="19"/>
        <v>-600</v>
      </c>
      <c r="F86" s="62">
        <f t="shared" si="19"/>
        <v>-600</v>
      </c>
      <c r="G86" s="62">
        <f t="shared" si="19"/>
        <v>-600</v>
      </c>
      <c r="H86" s="62">
        <f t="shared" si="19"/>
        <v>0</v>
      </c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</row>
    <row r="87" spans="1:21" ht="15" x14ac:dyDescent="0.25">
      <c r="A87" s="50"/>
      <c r="B87" s="65" t="s">
        <v>53</v>
      </c>
      <c r="C87" s="74">
        <f>SUM(C84:C86)</f>
        <v>20400</v>
      </c>
      <c r="D87" s="74">
        <f t="shared" ref="D87:H87" si="20">SUM(D84:D86)</f>
        <v>23199.999999999985</v>
      </c>
      <c r="E87" s="74">
        <f t="shared" si="20"/>
        <v>25999.999999999985</v>
      </c>
      <c r="F87" s="74">
        <f t="shared" si="20"/>
        <v>28800</v>
      </c>
      <c r="G87" s="74">
        <f t="shared" si="20"/>
        <v>31600</v>
      </c>
      <c r="H87" s="74">
        <f t="shared" si="20"/>
        <v>35000</v>
      </c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</row>
    <row r="88" spans="1:21" ht="14.25" x14ac:dyDescent="0.2">
      <c r="A88" s="50"/>
      <c r="B88" s="50" t="s">
        <v>54</v>
      </c>
      <c r="C88" s="62">
        <f>C220</f>
        <v>0</v>
      </c>
      <c r="D88" s="75">
        <v>0</v>
      </c>
      <c r="E88" s="62">
        <f t="shared" ref="E88:H88" si="21">E220</f>
        <v>0</v>
      </c>
      <c r="F88" s="62">
        <f t="shared" si="21"/>
        <v>0</v>
      </c>
      <c r="G88" s="62">
        <f t="shared" si="21"/>
        <v>0</v>
      </c>
      <c r="H88" s="62">
        <f t="shared" si="21"/>
        <v>0</v>
      </c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</row>
    <row r="89" spans="1:21" ht="14.25" x14ac:dyDescent="0.2">
      <c r="A89" s="50"/>
      <c r="B89" s="50" t="s">
        <v>55</v>
      </c>
      <c r="C89" s="62">
        <f t="shared" ref="C89:H89" si="22">-$H$24*SUM(C88,C87)</f>
        <v>-8160</v>
      </c>
      <c r="D89" s="62">
        <f t="shared" si="22"/>
        <v>-9279.9999999999945</v>
      </c>
      <c r="E89" s="62">
        <f t="shared" si="22"/>
        <v>-10399.999999999995</v>
      </c>
      <c r="F89" s="62">
        <f t="shared" si="22"/>
        <v>-11520</v>
      </c>
      <c r="G89" s="62">
        <f t="shared" si="22"/>
        <v>-12640</v>
      </c>
      <c r="H89" s="62">
        <f t="shared" si="22"/>
        <v>-14000</v>
      </c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</row>
    <row r="90" spans="1:21" ht="15" x14ac:dyDescent="0.25">
      <c r="A90" s="50"/>
      <c r="B90" s="65" t="s">
        <v>56</v>
      </c>
      <c r="C90" s="74">
        <f>SUM(C87:C89)</f>
        <v>12240</v>
      </c>
      <c r="D90" s="74">
        <f t="shared" ref="D90:H90" si="23">SUM(D87:D89)</f>
        <v>13919.999999999991</v>
      </c>
      <c r="E90" s="74">
        <f t="shared" si="23"/>
        <v>15599.999999999991</v>
      </c>
      <c r="F90" s="74">
        <f t="shared" si="23"/>
        <v>17280</v>
      </c>
      <c r="G90" s="74">
        <f t="shared" si="23"/>
        <v>18960</v>
      </c>
      <c r="H90" s="74">
        <f t="shared" si="23"/>
        <v>21000</v>
      </c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</row>
    <row r="91" spans="1:21" ht="14.25" x14ac:dyDescent="0.2">
      <c r="A91" s="50"/>
      <c r="B91" s="50"/>
      <c r="C91" s="72"/>
      <c r="D91" s="72"/>
      <c r="E91" s="72"/>
      <c r="F91" s="72"/>
      <c r="G91" s="72"/>
      <c r="H91" s="72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</row>
    <row r="92" spans="1:21" ht="14.25" x14ac:dyDescent="0.2">
      <c r="A92" s="50"/>
      <c r="B92" s="50"/>
      <c r="C92" s="72"/>
      <c r="D92" s="72"/>
      <c r="E92" s="72"/>
      <c r="F92" s="72"/>
      <c r="G92" s="72"/>
      <c r="H92" s="72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</row>
    <row r="93" spans="1:21" s="1" customFormat="1" ht="15" x14ac:dyDescent="0.25">
      <c r="A93" s="7" t="s">
        <v>19</v>
      </c>
      <c r="B93" s="17" t="s">
        <v>57</v>
      </c>
      <c r="C93" s="17"/>
      <c r="D93" s="17"/>
      <c r="E93" s="17"/>
      <c r="F93" s="17"/>
      <c r="G93" s="17"/>
      <c r="H93" s="17"/>
      <c r="I93" s="7"/>
      <c r="J93" s="7"/>
      <c r="K93" s="7"/>
      <c r="L93" s="7"/>
      <c r="M93" s="7"/>
      <c r="N93" s="7"/>
      <c r="O93" s="51"/>
      <c r="P93" s="51"/>
      <c r="Q93" s="51"/>
      <c r="R93" s="51"/>
      <c r="S93" s="51"/>
      <c r="T93" s="51"/>
      <c r="U93" s="51"/>
    </row>
    <row r="94" spans="1:21" ht="14.25" x14ac:dyDescent="0.2">
      <c r="A94" s="50"/>
      <c r="B94" s="50"/>
      <c r="C94" s="72"/>
      <c r="D94" s="72"/>
      <c r="E94" s="72"/>
      <c r="F94" s="72"/>
      <c r="G94" s="72"/>
      <c r="H94" s="72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</row>
    <row r="95" spans="1:21" ht="15.75" thickBot="1" x14ac:dyDescent="0.3">
      <c r="A95" s="50"/>
      <c r="B95" s="66" t="s">
        <v>2</v>
      </c>
      <c r="C95" s="72"/>
      <c r="D95" s="72"/>
      <c r="E95" s="95">
        <v>40908</v>
      </c>
      <c r="F95" s="95" t="s">
        <v>58</v>
      </c>
      <c r="G95" s="95" t="s">
        <v>59</v>
      </c>
      <c r="H95" s="95">
        <v>40908</v>
      </c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</row>
    <row r="96" spans="1:21" ht="15" thickTop="1" x14ac:dyDescent="0.2">
      <c r="A96" s="50"/>
      <c r="B96" s="50" t="s">
        <v>3</v>
      </c>
      <c r="C96" s="72"/>
      <c r="D96" s="72"/>
      <c r="E96" s="75">
        <v>1000</v>
      </c>
      <c r="F96" s="72"/>
      <c r="G96" s="72"/>
      <c r="H96" s="62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</row>
    <row r="97" spans="1:21" ht="14.25" x14ac:dyDescent="0.2">
      <c r="A97" s="50"/>
      <c r="B97" s="50" t="s">
        <v>4</v>
      </c>
      <c r="C97" s="72"/>
      <c r="D97" s="72"/>
      <c r="E97" s="75">
        <v>4500</v>
      </c>
      <c r="F97" s="72"/>
      <c r="G97" s="72"/>
      <c r="H97" s="62">
        <f>SUM(E97:G97)</f>
        <v>4500</v>
      </c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</row>
    <row r="98" spans="1:21" ht="14.25" x14ac:dyDescent="0.2">
      <c r="A98" s="50"/>
      <c r="B98" s="50" t="s">
        <v>5</v>
      </c>
      <c r="C98" s="72"/>
      <c r="D98" s="72"/>
      <c r="E98" s="75">
        <v>500</v>
      </c>
      <c r="F98" s="72"/>
      <c r="G98" s="72"/>
      <c r="H98" s="62">
        <f t="shared" ref="H98:H99" si="24">SUM(E98:G98)</f>
        <v>500</v>
      </c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</row>
    <row r="99" spans="1:21" ht="14.25" x14ac:dyDescent="0.2">
      <c r="A99" s="50"/>
      <c r="B99" s="50" t="s">
        <v>6</v>
      </c>
      <c r="C99" s="72"/>
      <c r="D99" s="72"/>
      <c r="E99" s="75">
        <v>2250</v>
      </c>
      <c r="F99" s="72"/>
      <c r="G99" s="72"/>
      <c r="H99" s="62">
        <f t="shared" si="24"/>
        <v>2250</v>
      </c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</row>
    <row r="100" spans="1:21" ht="15" x14ac:dyDescent="0.25">
      <c r="A100" s="50"/>
      <c r="B100" s="65" t="s">
        <v>7</v>
      </c>
      <c r="C100" s="76"/>
      <c r="D100" s="76"/>
      <c r="E100" s="77">
        <v>8250</v>
      </c>
      <c r="F100" s="76"/>
      <c r="G100" s="76"/>
      <c r="H100" s="74">
        <f>SUM(H96:H99)</f>
        <v>7250</v>
      </c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</row>
    <row r="101" spans="1:21" ht="14.25" x14ac:dyDescent="0.2">
      <c r="A101" s="50"/>
      <c r="B101" s="50"/>
      <c r="C101" s="72"/>
      <c r="D101" s="72"/>
      <c r="E101" s="62"/>
      <c r="F101" s="72"/>
      <c r="G101" s="72"/>
      <c r="H101" s="62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</row>
    <row r="102" spans="1:21" ht="14.25" x14ac:dyDescent="0.2">
      <c r="A102" s="50"/>
      <c r="B102" s="50" t="s">
        <v>8</v>
      </c>
      <c r="C102" s="72"/>
      <c r="D102" s="72"/>
      <c r="E102" s="75">
        <v>10500</v>
      </c>
      <c r="F102" s="72"/>
      <c r="G102" s="72"/>
      <c r="H102" s="62">
        <f>SUM(E102:G102)</f>
        <v>10500</v>
      </c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</row>
    <row r="103" spans="1:21" ht="14.25" x14ac:dyDescent="0.2">
      <c r="A103" s="50"/>
      <c r="B103" s="50" t="s">
        <v>9</v>
      </c>
      <c r="C103" s="72"/>
      <c r="D103" s="72"/>
      <c r="E103" s="75">
        <v>70770</v>
      </c>
      <c r="F103" s="72">
        <f>D42</f>
        <v>148270</v>
      </c>
      <c r="G103" s="72">
        <f>-E103</f>
        <v>-70770</v>
      </c>
      <c r="H103" s="62">
        <f>SUM(E103:G103)</f>
        <v>148270</v>
      </c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</row>
    <row r="104" spans="1:21" ht="15" x14ac:dyDescent="0.25">
      <c r="A104" s="50"/>
      <c r="B104" s="65" t="s">
        <v>10</v>
      </c>
      <c r="C104" s="76"/>
      <c r="D104" s="76"/>
      <c r="E104" s="77">
        <v>89520</v>
      </c>
      <c r="F104" s="76"/>
      <c r="G104" s="76"/>
      <c r="H104" s="74">
        <f>SUM(H102:H103)</f>
        <v>158770</v>
      </c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</row>
    <row r="105" spans="1:21" ht="14.25" x14ac:dyDescent="0.2">
      <c r="A105" s="50"/>
      <c r="B105" s="50"/>
      <c r="C105" s="72"/>
      <c r="D105" s="72"/>
      <c r="E105" s="62"/>
      <c r="F105" s="72"/>
      <c r="G105" s="72"/>
      <c r="H105" s="62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</row>
    <row r="106" spans="1:21" ht="14.25" x14ac:dyDescent="0.2">
      <c r="A106" s="50"/>
      <c r="B106" s="50" t="s">
        <v>11</v>
      </c>
      <c r="C106" s="72"/>
      <c r="D106" s="72"/>
      <c r="E106" s="75">
        <v>4500</v>
      </c>
      <c r="F106" s="72"/>
      <c r="G106" s="72"/>
      <c r="H106" s="62">
        <f>SUM(E106:G106)</f>
        <v>4500</v>
      </c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</row>
    <row r="107" spans="1:21" ht="14.25" x14ac:dyDescent="0.2">
      <c r="A107" s="50"/>
      <c r="B107" s="50" t="s">
        <v>12</v>
      </c>
      <c r="C107" s="72"/>
      <c r="D107" s="72"/>
      <c r="E107" s="75">
        <v>4520</v>
      </c>
      <c r="F107" s="78"/>
      <c r="G107" s="78"/>
      <c r="H107" s="62">
        <f>SUM(E107:G107)</f>
        <v>4520</v>
      </c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</row>
    <row r="108" spans="1:21" ht="15" x14ac:dyDescent="0.25">
      <c r="A108" s="50"/>
      <c r="B108" s="65" t="s">
        <v>13</v>
      </c>
      <c r="C108" s="76"/>
      <c r="D108" s="76"/>
      <c r="E108" s="77">
        <v>9020</v>
      </c>
      <c r="F108" s="76"/>
      <c r="G108" s="76"/>
      <c r="H108" s="74">
        <f>SUM(H106:H107)</f>
        <v>9020</v>
      </c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</row>
    <row r="109" spans="1:21" ht="14.25" x14ac:dyDescent="0.2">
      <c r="A109" s="50"/>
      <c r="B109" s="50"/>
      <c r="C109" s="72"/>
      <c r="D109" s="72"/>
      <c r="E109" s="62"/>
      <c r="F109" s="72"/>
      <c r="G109" s="72"/>
      <c r="H109" s="62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</row>
    <row r="110" spans="1:21" ht="14.25" x14ac:dyDescent="0.2">
      <c r="A110" s="50"/>
      <c r="B110" s="50" t="s">
        <v>128</v>
      </c>
      <c r="C110" s="72"/>
      <c r="D110" s="72"/>
      <c r="E110" s="75">
        <v>0</v>
      </c>
      <c r="F110" s="62"/>
      <c r="G110" s="62">
        <f>F60</f>
        <v>3000</v>
      </c>
      <c r="H110" s="62">
        <f>SUM(E110:G110)</f>
        <v>3000</v>
      </c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</row>
    <row r="111" spans="1:21" ht="14.25" x14ac:dyDescent="0.2">
      <c r="A111" s="50"/>
      <c r="B111" s="4" t="s">
        <v>32</v>
      </c>
      <c r="C111" s="72"/>
      <c r="D111" s="72"/>
      <c r="E111" s="75">
        <v>0</v>
      </c>
      <c r="F111" s="62"/>
      <c r="G111" s="62">
        <f>D48</f>
        <v>22500</v>
      </c>
      <c r="H111" s="62">
        <f>SUM(E111:G111)</f>
        <v>22500</v>
      </c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</row>
    <row r="112" spans="1:21" ht="14.25" x14ac:dyDescent="0.2">
      <c r="A112" s="50"/>
      <c r="B112" s="4" t="s">
        <v>33</v>
      </c>
      <c r="C112" s="72"/>
      <c r="D112" s="72"/>
      <c r="E112" s="75">
        <v>0</v>
      </c>
      <c r="F112" s="62"/>
      <c r="G112" s="62">
        <f>D49</f>
        <v>45000</v>
      </c>
      <c r="H112" s="62">
        <f t="shared" ref="H112:H114" si="25">SUM(E112:G112)</f>
        <v>45000</v>
      </c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</row>
    <row r="113" spans="1:21" ht="14.25" x14ac:dyDescent="0.2">
      <c r="A113" s="50"/>
      <c r="B113" s="4" t="s">
        <v>34</v>
      </c>
      <c r="C113" s="72"/>
      <c r="D113" s="72"/>
      <c r="E113" s="75">
        <v>0</v>
      </c>
      <c r="F113" s="62"/>
      <c r="G113" s="62">
        <f>D50</f>
        <v>11250</v>
      </c>
      <c r="H113" s="62">
        <f t="shared" si="25"/>
        <v>11250</v>
      </c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</row>
    <row r="114" spans="1:21" ht="14.25" x14ac:dyDescent="0.2">
      <c r="A114" s="50"/>
      <c r="B114" s="50" t="s">
        <v>14</v>
      </c>
      <c r="C114" s="72"/>
      <c r="D114" s="72"/>
      <c r="E114" s="75">
        <v>500</v>
      </c>
      <c r="F114" s="79">
        <f>-E114</f>
        <v>-500</v>
      </c>
      <c r="G114" s="79"/>
      <c r="H114" s="62">
        <f t="shared" si="25"/>
        <v>0</v>
      </c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</row>
    <row r="115" spans="1:21" ht="15" x14ac:dyDescent="0.25">
      <c r="A115" s="50"/>
      <c r="B115" s="65" t="s">
        <v>15</v>
      </c>
      <c r="C115" s="76"/>
      <c r="D115" s="76"/>
      <c r="E115" s="77">
        <v>9520</v>
      </c>
      <c r="F115" s="76"/>
      <c r="G115" s="76"/>
      <c r="H115" s="74">
        <f>SUM(H110:H114,H108)</f>
        <v>90770</v>
      </c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</row>
    <row r="116" spans="1:21" ht="14.25" x14ac:dyDescent="0.2">
      <c r="A116" s="50"/>
      <c r="B116" s="50"/>
      <c r="C116" s="72"/>
      <c r="D116" s="72"/>
      <c r="E116" s="62"/>
      <c r="F116" s="72"/>
      <c r="G116" s="72"/>
      <c r="H116" s="62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</row>
    <row r="117" spans="1:21" ht="15" x14ac:dyDescent="0.25">
      <c r="A117" s="50"/>
      <c r="B117" s="65" t="s">
        <v>16</v>
      </c>
      <c r="C117" s="76"/>
      <c r="D117" s="76"/>
      <c r="E117" s="77">
        <v>80000</v>
      </c>
      <c r="F117" s="76"/>
      <c r="G117" s="76"/>
      <c r="H117" s="74">
        <f>H104-H115</f>
        <v>68000</v>
      </c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</row>
    <row r="118" spans="1:21" ht="14.25" x14ac:dyDescent="0.2">
      <c r="A118" s="50"/>
      <c r="B118" s="50"/>
      <c r="C118" s="72"/>
      <c r="D118" s="72"/>
      <c r="E118" s="62"/>
      <c r="F118" s="72"/>
      <c r="G118" s="72"/>
      <c r="H118" s="62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</row>
    <row r="119" spans="1:21" ht="15" x14ac:dyDescent="0.25">
      <c r="A119" s="50"/>
      <c r="B119" s="65" t="s">
        <v>17</v>
      </c>
      <c r="C119" s="76"/>
      <c r="D119" s="76"/>
      <c r="E119" s="77">
        <v>89520</v>
      </c>
      <c r="F119" s="76"/>
      <c r="G119" s="76"/>
      <c r="H119" s="74">
        <f>H117+H115</f>
        <v>158770</v>
      </c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</row>
    <row r="120" spans="1:21" ht="14.25" x14ac:dyDescent="0.2">
      <c r="A120" s="50"/>
      <c r="B120" s="50"/>
      <c r="C120" s="72"/>
      <c r="D120" s="72"/>
      <c r="E120" s="72"/>
      <c r="F120" s="72"/>
      <c r="G120" s="72"/>
      <c r="H120" s="72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</row>
    <row r="121" spans="1:21" ht="14.25" x14ac:dyDescent="0.2">
      <c r="A121" s="50"/>
      <c r="B121" s="50"/>
      <c r="C121" s="72"/>
      <c r="D121" s="72"/>
      <c r="E121" s="72"/>
      <c r="F121" s="72"/>
      <c r="G121" s="72"/>
      <c r="H121" s="72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</row>
    <row r="122" spans="1:21" ht="14.25" x14ac:dyDescent="0.2">
      <c r="A122" s="50"/>
      <c r="B122" s="50"/>
      <c r="C122" s="72"/>
      <c r="D122" s="72"/>
      <c r="E122" s="72"/>
      <c r="F122" s="72"/>
      <c r="G122" s="72"/>
      <c r="H122" s="72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</row>
    <row r="123" spans="1:21" s="1" customFormat="1" ht="15" x14ac:dyDescent="0.25">
      <c r="A123" s="7" t="s">
        <v>19</v>
      </c>
      <c r="B123" s="17" t="s">
        <v>2</v>
      </c>
      <c r="C123" s="17"/>
      <c r="D123" s="17"/>
      <c r="E123" s="17"/>
      <c r="F123" s="17"/>
      <c r="G123" s="17"/>
      <c r="H123" s="17"/>
      <c r="I123" s="7"/>
      <c r="J123" s="7"/>
      <c r="K123" s="7"/>
      <c r="L123" s="7"/>
      <c r="M123" s="7"/>
      <c r="N123" s="7"/>
      <c r="O123" s="51"/>
      <c r="P123" s="51"/>
      <c r="Q123" s="51"/>
      <c r="R123" s="51"/>
      <c r="S123" s="51"/>
      <c r="T123" s="51"/>
      <c r="U123" s="51"/>
    </row>
    <row r="124" spans="1:21" ht="14.25" x14ac:dyDescent="0.2">
      <c r="A124" s="50"/>
      <c r="B124" s="50"/>
      <c r="C124" s="72"/>
      <c r="D124" s="72"/>
      <c r="E124" s="72"/>
      <c r="F124" s="72"/>
      <c r="G124" s="72"/>
      <c r="H124" s="72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</row>
    <row r="125" spans="1:21" ht="15.75" thickBot="1" x14ac:dyDescent="0.3">
      <c r="A125" s="50"/>
      <c r="B125" s="66" t="s">
        <v>2</v>
      </c>
      <c r="C125" s="95">
        <v>40908</v>
      </c>
      <c r="D125" s="28">
        <f>EOMONTH(C125,12)</f>
        <v>41274</v>
      </c>
      <c r="E125" s="28">
        <f t="shared" ref="E125:H125" si="26">EOMONTH(D125,12)</f>
        <v>41639</v>
      </c>
      <c r="F125" s="28">
        <f t="shared" si="26"/>
        <v>42004</v>
      </c>
      <c r="G125" s="28">
        <f t="shared" si="26"/>
        <v>42369</v>
      </c>
      <c r="H125" s="28">
        <f t="shared" si="26"/>
        <v>42735</v>
      </c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</row>
    <row r="126" spans="1:21" ht="15" thickTop="1" x14ac:dyDescent="0.2">
      <c r="A126" s="50"/>
      <c r="B126" s="50" t="s">
        <v>3</v>
      </c>
      <c r="C126" s="62">
        <f>F62</f>
        <v>2000</v>
      </c>
      <c r="D126" s="62">
        <f ca="1">D183</f>
        <v>2000</v>
      </c>
      <c r="E126" s="62">
        <f ca="1">E183</f>
        <v>2000</v>
      </c>
      <c r="F126" s="62">
        <f t="shared" ref="F126:H126" ca="1" si="27">F183</f>
        <v>2000</v>
      </c>
      <c r="G126" s="62">
        <f t="shared" ca="1" si="27"/>
        <v>2000</v>
      </c>
      <c r="H126" s="62">
        <f t="shared" ca="1" si="27"/>
        <v>2000</v>
      </c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</row>
    <row r="127" spans="1:21" ht="14.25" x14ac:dyDescent="0.2">
      <c r="A127" s="50"/>
      <c r="B127" s="50" t="s">
        <v>4</v>
      </c>
      <c r="C127" s="62">
        <f>H97</f>
        <v>4500</v>
      </c>
      <c r="D127" s="62">
        <f>D155/365*D75</f>
        <v>4950</v>
      </c>
      <c r="E127" s="62">
        <f>E155/365*E75</f>
        <v>5400</v>
      </c>
      <c r="F127" s="62">
        <f>F155/365*F75</f>
        <v>5850</v>
      </c>
      <c r="G127" s="62">
        <f>G155/365*G75</f>
        <v>6300</v>
      </c>
      <c r="H127" s="62">
        <f>H155/365*H75</f>
        <v>6750</v>
      </c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</row>
    <row r="128" spans="1:21" ht="14.25" x14ac:dyDescent="0.2">
      <c r="A128" s="50"/>
      <c r="B128" s="50" t="s">
        <v>5</v>
      </c>
      <c r="C128" s="62">
        <f>H98</f>
        <v>500</v>
      </c>
      <c r="D128" s="62">
        <f>D157/365*-D76</f>
        <v>550.00000000000011</v>
      </c>
      <c r="E128" s="62">
        <f>E157/365*-E76</f>
        <v>600.00000000000011</v>
      </c>
      <c r="F128" s="62">
        <f>F157/365*-F76</f>
        <v>649.99999999999989</v>
      </c>
      <c r="G128" s="62">
        <f>G157/365*-G76</f>
        <v>699.99999999999989</v>
      </c>
      <c r="H128" s="62">
        <f>H157/365*-H76</f>
        <v>749.99999999999989</v>
      </c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</row>
    <row r="129" spans="1:21" ht="14.25" x14ac:dyDescent="0.2">
      <c r="A129" s="50"/>
      <c r="B129" s="50" t="s">
        <v>128</v>
      </c>
      <c r="C129" s="62">
        <f>H110</f>
        <v>3000</v>
      </c>
      <c r="D129" s="62">
        <f>C129-$C$129/$H$48</f>
        <v>2400</v>
      </c>
      <c r="E129" s="62">
        <f>D129-$C$129/$H$48</f>
        <v>1800</v>
      </c>
      <c r="F129" s="62">
        <f>E129-$C$129/$H$48</f>
        <v>1200</v>
      </c>
      <c r="G129" s="62">
        <f>F129-$C$129/$H$48</f>
        <v>600</v>
      </c>
      <c r="H129" s="62">
        <f>G129-$C$129/$H$48</f>
        <v>0</v>
      </c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</row>
    <row r="130" spans="1:21" ht="14.25" x14ac:dyDescent="0.2">
      <c r="A130" s="50"/>
      <c r="B130" s="50" t="s">
        <v>6</v>
      </c>
      <c r="C130" s="62">
        <f>H99</f>
        <v>2250</v>
      </c>
      <c r="D130" s="62">
        <f>D158*D75</f>
        <v>2475</v>
      </c>
      <c r="E130" s="62">
        <f>E158*E75</f>
        <v>2700</v>
      </c>
      <c r="F130" s="62">
        <f>F158*F75</f>
        <v>2925</v>
      </c>
      <c r="G130" s="62">
        <f>G158*G75</f>
        <v>3150</v>
      </c>
      <c r="H130" s="62">
        <f>H158*H75</f>
        <v>3375</v>
      </c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</row>
    <row r="131" spans="1:21" ht="15" x14ac:dyDescent="0.25">
      <c r="A131" s="50"/>
      <c r="B131" s="65" t="s">
        <v>7</v>
      </c>
      <c r="C131" s="74">
        <f>H100</f>
        <v>7250</v>
      </c>
      <c r="D131" s="74">
        <f ca="1">SUM(D126:D130)</f>
        <v>12375</v>
      </c>
      <c r="E131" s="74">
        <f t="shared" ref="E131:H131" ca="1" si="28">SUM(E126:E130)</f>
        <v>12500</v>
      </c>
      <c r="F131" s="74">
        <f t="shared" ca="1" si="28"/>
        <v>12625</v>
      </c>
      <c r="G131" s="74">
        <f t="shared" ca="1" si="28"/>
        <v>12750</v>
      </c>
      <c r="H131" s="74">
        <f t="shared" ca="1" si="28"/>
        <v>12875</v>
      </c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</row>
    <row r="132" spans="1:21" ht="14.25" x14ac:dyDescent="0.2">
      <c r="A132" s="50"/>
      <c r="B132" s="50"/>
      <c r="C132" s="62"/>
      <c r="D132" s="72"/>
      <c r="E132" s="72"/>
      <c r="F132" s="72"/>
      <c r="G132" s="72"/>
      <c r="H132" s="72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</row>
    <row r="133" spans="1:21" ht="14.25" x14ac:dyDescent="0.2">
      <c r="A133" s="50"/>
      <c r="B133" s="50" t="s">
        <v>8</v>
      </c>
      <c r="C133" s="62">
        <f>H102</f>
        <v>10500</v>
      </c>
      <c r="D133" s="62">
        <f>C133-D169+D85</f>
        <v>11850</v>
      </c>
      <c r="E133" s="62">
        <f>D133-E169+E85</f>
        <v>13050</v>
      </c>
      <c r="F133" s="62">
        <f>E133-F169+F85</f>
        <v>14100</v>
      </c>
      <c r="G133" s="62">
        <f>F133-G169+G85</f>
        <v>15000</v>
      </c>
      <c r="H133" s="62">
        <f>G133-H169+H85</f>
        <v>15750</v>
      </c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</row>
    <row r="134" spans="1:21" ht="14.25" x14ac:dyDescent="0.2">
      <c r="A134" s="50"/>
      <c r="B134" s="50" t="s">
        <v>9</v>
      </c>
      <c r="C134" s="62">
        <f>H103</f>
        <v>148270</v>
      </c>
      <c r="D134" s="62">
        <f>C134</f>
        <v>148270</v>
      </c>
      <c r="E134" s="62">
        <f t="shared" ref="E134:H134" si="29">D134</f>
        <v>148270</v>
      </c>
      <c r="F134" s="62">
        <f t="shared" si="29"/>
        <v>148270</v>
      </c>
      <c r="G134" s="62">
        <f t="shared" si="29"/>
        <v>148270</v>
      </c>
      <c r="H134" s="62">
        <f t="shared" si="29"/>
        <v>148270</v>
      </c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</row>
    <row r="135" spans="1:21" ht="15" x14ac:dyDescent="0.25">
      <c r="A135" s="50"/>
      <c r="B135" s="65" t="s">
        <v>10</v>
      </c>
      <c r="C135" s="74">
        <f>H104</f>
        <v>158770</v>
      </c>
      <c r="D135" s="74">
        <f>SUM(D133:D134)</f>
        <v>160120</v>
      </c>
      <c r="E135" s="74">
        <f t="shared" ref="E135:H135" si="30">SUM(E133:E134)</f>
        <v>161320</v>
      </c>
      <c r="F135" s="74">
        <f t="shared" si="30"/>
        <v>162370</v>
      </c>
      <c r="G135" s="74">
        <f t="shared" si="30"/>
        <v>163270</v>
      </c>
      <c r="H135" s="74">
        <f t="shared" si="30"/>
        <v>164020</v>
      </c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</row>
    <row r="136" spans="1:21" ht="14.25" x14ac:dyDescent="0.2">
      <c r="A136" s="50"/>
      <c r="B136" s="50"/>
      <c r="C136" s="62"/>
      <c r="D136" s="72"/>
      <c r="E136" s="72"/>
      <c r="F136" s="72"/>
      <c r="G136" s="72"/>
      <c r="H136" s="72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</row>
    <row r="137" spans="1:21" ht="14.25" x14ac:dyDescent="0.2">
      <c r="A137" s="50"/>
      <c r="B137" s="50" t="s">
        <v>11</v>
      </c>
      <c r="C137" s="62">
        <f>H106</f>
        <v>4500</v>
      </c>
      <c r="D137" s="62">
        <f>D156/365*-D76</f>
        <v>4950.0000000000018</v>
      </c>
      <c r="E137" s="62">
        <f>E156/365*-E76</f>
        <v>5400.0000000000018</v>
      </c>
      <c r="F137" s="62">
        <f>F156/365*-F76</f>
        <v>5850</v>
      </c>
      <c r="G137" s="62">
        <f>G156/365*-G76</f>
        <v>6300</v>
      </c>
      <c r="H137" s="62">
        <f>H156/365*-H76</f>
        <v>6750</v>
      </c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</row>
    <row r="138" spans="1:21" ht="14.25" x14ac:dyDescent="0.2">
      <c r="A138" s="50"/>
      <c r="B138" s="50" t="s">
        <v>12</v>
      </c>
      <c r="C138" s="62">
        <f>H107</f>
        <v>4520</v>
      </c>
      <c r="D138" s="62">
        <f>D159*D75</f>
        <v>4972</v>
      </c>
      <c r="E138" s="62">
        <f>E159*E75</f>
        <v>5424</v>
      </c>
      <c r="F138" s="62">
        <f>F159*F75</f>
        <v>5876</v>
      </c>
      <c r="G138" s="62">
        <f>G159*G75</f>
        <v>6328</v>
      </c>
      <c r="H138" s="62">
        <f>H159*H75</f>
        <v>6780</v>
      </c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</row>
    <row r="139" spans="1:21" ht="15" x14ac:dyDescent="0.25">
      <c r="A139" s="50"/>
      <c r="B139" s="65" t="s">
        <v>13</v>
      </c>
      <c r="C139" s="74">
        <f>H108</f>
        <v>9020</v>
      </c>
      <c r="D139" s="74">
        <f>SUM(D137:D138)</f>
        <v>9922.0000000000018</v>
      </c>
      <c r="E139" s="74">
        <f t="shared" ref="E139:H139" si="31">SUM(E137:E138)</f>
        <v>10824.000000000002</v>
      </c>
      <c r="F139" s="74">
        <f t="shared" si="31"/>
        <v>11726</v>
      </c>
      <c r="G139" s="74">
        <f t="shared" si="31"/>
        <v>12628</v>
      </c>
      <c r="H139" s="74">
        <f t="shared" si="31"/>
        <v>13530</v>
      </c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</row>
    <row r="140" spans="1:21" ht="14.25" x14ac:dyDescent="0.2">
      <c r="A140" s="50"/>
      <c r="B140" s="50"/>
      <c r="C140" s="62"/>
      <c r="D140" s="62"/>
      <c r="E140" s="62"/>
      <c r="F140" s="62"/>
      <c r="G140" s="62"/>
      <c r="H140" s="62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</row>
    <row r="141" spans="1:21" ht="14.25" x14ac:dyDescent="0.2">
      <c r="A141" s="50"/>
      <c r="B141" s="4" t="s">
        <v>32</v>
      </c>
      <c r="C141" s="62">
        <f>H111</f>
        <v>22500</v>
      </c>
      <c r="D141" s="62">
        <f ca="1">D190</f>
        <v>21803.000000000007</v>
      </c>
      <c r="E141" s="62">
        <f t="shared" ref="E141:H141" ca="1" si="32">E190</f>
        <v>7367.0000000000146</v>
      </c>
      <c r="F141" s="62">
        <f t="shared" ca="1" si="32"/>
        <v>0</v>
      </c>
      <c r="G141" s="62">
        <f t="shared" ca="1" si="32"/>
        <v>0</v>
      </c>
      <c r="H141" s="62">
        <f t="shared" ca="1" si="32"/>
        <v>0</v>
      </c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</row>
    <row r="142" spans="1:21" ht="14.25" x14ac:dyDescent="0.2">
      <c r="A142" s="50"/>
      <c r="B142" s="4" t="s">
        <v>113</v>
      </c>
      <c r="C142" s="62">
        <f>H112</f>
        <v>45000</v>
      </c>
      <c r="D142" s="62">
        <f ca="1">D203</f>
        <v>45450</v>
      </c>
      <c r="E142" s="62">
        <f t="shared" ref="E142:H142" ca="1" si="33">E203</f>
        <v>45909</v>
      </c>
      <c r="F142" s="62">
        <f t="shared" ca="1" si="33"/>
        <v>37569.000000000015</v>
      </c>
      <c r="G142" s="62">
        <f t="shared" ca="1" si="33"/>
        <v>20132.000000000011</v>
      </c>
      <c r="H142" s="62">
        <f t="shared" ca="1" si="33"/>
        <v>605.00000000001091</v>
      </c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</row>
    <row r="143" spans="1:21" ht="14.25" x14ac:dyDescent="0.2">
      <c r="A143" s="50"/>
      <c r="B143" s="4" t="s">
        <v>34</v>
      </c>
      <c r="C143" s="62">
        <f>H113</f>
        <v>11250</v>
      </c>
      <c r="D143" s="62">
        <f>D210</f>
        <v>11250</v>
      </c>
      <c r="E143" s="62">
        <f t="shared" ref="E143:H143" si="34">E210</f>
        <v>11250</v>
      </c>
      <c r="F143" s="62">
        <f t="shared" si="34"/>
        <v>11250</v>
      </c>
      <c r="G143" s="62">
        <f t="shared" si="34"/>
        <v>11250</v>
      </c>
      <c r="H143" s="62">
        <f t="shared" si="34"/>
        <v>10476.5625</v>
      </c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</row>
    <row r="144" spans="1:21" ht="14.25" x14ac:dyDescent="0.2">
      <c r="A144" s="50"/>
      <c r="B144" s="50" t="s">
        <v>14</v>
      </c>
      <c r="C144" s="62">
        <f>H114</f>
        <v>0</v>
      </c>
      <c r="D144" s="62">
        <f>C144</f>
        <v>0</v>
      </c>
      <c r="E144" s="62">
        <f t="shared" ref="E144:H144" si="35">D144</f>
        <v>0</v>
      </c>
      <c r="F144" s="62">
        <f t="shared" si="35"/>
        <v>0</v>
      </c>
      <c r="G144" s="62">
        <f t="shared" si="35"/>
        <v>0</v>
      </c>
      <c r="H144" s="62">
        <f t="shared" si="35"/>
        <v>0</v>
      </c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</row>
    <row r="145" spans="1:21" ht="15" x14ac:dyDescent="0.25">
      <c r="A145" s="50"/>
      <c r="B145" s="65" t="s">
        <v>15</v>
      </c>
      <c r="C145" s="74">
        <f>H115</f>
        <v>90770</v>
      </c>
      <c r="D145" s="74">
        <f ca="1">SUM(D141:D144,D139)</f>
        <v>88425</v>
      </c>
      <c r="E145" s="74">
        <f ca="1">SUM(E141:E144,E139)</f>
        <v>75350.000000000015</v>
      </c>
      <c r="F145" s="74">
        <f ca="1">SUM(F141:F144,F139)</f>
        <v>60545.000000000015</v>
      </c>
      <c r="G145" s="74">
        <f ca="1">SUM(G141:G144,G139)</f>
        <v>44010.000000000015</v>
      </c>
      <c r="H145" s="74">
        <f ca="1">SUM(H141:H144,H139)</f>
        <v>24611.562500000011</v>
      </c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</row>
    <row r="146" spans="1:21" ht="14.25" x14ac:dyDescent="0.2">
      <c r="A146" s="50"/>
      <c r="B146" s="50"/>
      <c r="C146" s="62"/>
      <c r="D146" s="62"/>
      <c r="E146" s="62"/>
      <c r="F146" s="62"/>
      <c r="G146" s="62"/>
      <c r="H146" s="62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</row>
    <row r="147" spans="1:21" ht="15" x14ac:dyDescent="0.25">
      <c r="A147" s="50"/>
      <c r="B147" s="65" t="s">
        <v>16</v>
      </c>
      <c r="C147" s="74">
        <f>H117</f>
        <v>68000</v>
      </c>
      <c r="D147" s="74">
        <f ca="1">D135-D145</f>
        <v>71695</v>
      </c>
      <c r="E147" s="74">
        <f ca="1">E135-E145</f>
        <v>85969.999999999985</v>
      </c>
      <c r="F147" s="74">
        <f ca="1">F135-F145</f>
        <v>101824.99999999999</v>
      </c>
      <c r="G147" s="74">
        <f ca="1">G135-G145</f>
        <v>119259.99999999999</v>
      </c>
      <c r="H147" s="74">
        <f ca="1">H135-H145</f>
        <v>139408.4375</v>
      </c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</row>
    <row r="148" spans="1:21" ht="14.25" x14ac:dyDescent="0.2">
      <c r="A148" s="50"/>
      <c r="B148" s="50"/>
      <c r="C148" s="62"/>
      <c r="D148" s="62"/>
      <c r="E148" s="62"/>
      <c r="F148" s="62"/>
      <c r="G148" s="62"/>
      <c r="H148" s="62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</row>
    <row r="149" spans="1:21" ht="15" x14ac:dyDescent="0.25">
      <c r="A149" s="50"/>
      <c r="B149" s="65" t="s">
        <v>17</v>
      </c>
      <c r="C149" s="74">
        <f>H119</f>
        <v>158770</v>
      </c>
      <c r="D149" s="74">
        <f ca="1">SUM(D147,D145)</f>
        <v>160120</v>
      </c>
      <c r="E149" s="74">
        <f t="shared" ref="E149:H149" ca="1" si="36">SUM(E147,E145)</f>
        <v>161320</v>
      </c>
      <c r="F149" s="74">
        <f t="shared" ca="1" si="36"/>
        <v>162370</v>
      </c>
      <c r="G149" s="74">
        <f t="shared" ca="1" si="36"/>
        <v>163270</v>
      </c>
      <c r="H149" s="74">
        <f t="shared" ca="1" si="36"/>
        <v>164020</v>
      </c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</row>
    <row r="150" spans="1:21" ht="14.25" x14ac:dyDescent="0.2">
      <c r="A150" s="50"/>
      <c r="B150" s="50"/>
      <c r="C150" s="72"/>
      <c r="D150" s="72"/>
      <c r="E150" s="72"/>
      <c r="F150" s="72"/>
      <c r="G150" s="72"/>
      <c r="H150" s="72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</row>
    <row r="151" spans="1:21" ht="14.25" x14ac:dyDescent="0.2">
      <c r="A151" s="50"/>
      <c r="B151" s="67" t="s">
        <v>91</v>
      </c>
      <c r="C151" s="80">
        <f t="shared" ref="C151:H151" si="37">C131-C126-C139</f>
        <v>-3770</v>
      </c>
      <c r="D151" s="80">
        <f t="shared" ca="1" si="37"/>
        <v>452.99999999999818</v>
      </c>
      <c r="E151" s="80">
        <f t="shared" ca="1" si="37"/>
        <v>-324.00000000000182</v>
      </c>
      <c r="F151" s="80">
        <f t="shared" ca="1" si="37"/>
        <v>-1101</v>
      </c>
      <c r="G151" s="80">
        <f t="shared" ca="1" si="37"/>
        <v>-1878</v>
      </c>
      <c r="H151" s="81">
        <f t="shared" ca="1" si="37"/>
        <v>-2655</v>
      </c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</row>
    <row r="152" spans="1:21" ht="14.25" x14ac:dyDescent="0.2">
      <c r="A152" s="50"/>
      <c r="B152" s="68" t="s">
        <v>92</v>
      </c>
      <c r="C152" s="82"/>
      <c r="D152" s="83">
        <f ca="1">D151-C151</f>
        <v>4222.9999999999982</v>
      </c>
      <c r="E152" s="83">
        <f t="shared" ref="E152:H152" ca="1" si="38">E151-D151</f>
        <v>-777</v>
      </c>
      <c r="F152" s="83">
        <f t="shared" ca="1" si="38"/>
        <v>-776.99999999999818</v>
      </c>
      <c r="G152" s="83">
        <f t="shared" ca="1" si="38"/>
        <v>-777</v>
      </c>
      <c r="H152" s="84">
        <f t="shared" ca="1" si="38"/>
        <v>-777</v>
      </c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</row>
    <row r="153" spans="1:21" ht="14.25" x14ac:dyDescent="0.2">
      <c r="A153" s="50"/>
      <c r="B153" s="50"/>
      <c r="C153" s="72"/>
      <c r="D153" s="72"/>
      <c r="E153" s="72"/>
      <c r="F153" s="72"/>
      <c r="G153" s="72"/>
      <c r="H153" s="72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</row>
    <row r="154" spans="1:21" ht="15" x14ac:dyDescent="0.25">
      <c r="A154" s="50"/>
      <c r="B154" s="66" t="s">
        <v>79</v>
      </c>
      <c r="C154" s="72"/>
      <c r="D154" s="72"/>
      <c r="E154" s="72"/>
      <c r="F154" s="72"/>
      <c r="G154" s="72"/>
      <c r="H154" s="72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</row>
    <row r="155" spans="1:21" ht="15" x14ac:dyDescent="0.25">
      <c r="A155" s="50"/>
      <c r="B155" s="69" t="s">
        <v>80</v>
      </c>
      <c r="C155" s="80">
        <f>C127/C75*365</f>
        <v>10.95</v>
      </c>
      <c r="D155" s="80">
        <f>C155</f>
        <v>10.95</v>
      </c>
      <c r="E155" s="80">
        <f t="shared" ref="E155:H155" si="39">D155</f>
        <v>10.95</v>
      </c>
      <c r="F155" s="80">
        <f t="shared" si="39"/>
        <v>10.95</v>
      </c>
      <c r="G155" s="80">
        <f t="shared" si="39"/>
        <v>10.95</v>
      </c>
      <c r="H155" s="81">
        <f t="shared" si="39"/>
        <v>10.95</v>
      </c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</row>
    <row r="156" spans="1:21" ht="15" x14ac:dyDescent="0.25">
      <c r="A156" s="50"/>
      <c r="B156" s="70" t="s">
        <v>81</v>
      </c>
      <c r="C156" s="85">
        <f>C137/-C76*365</f>
        <v>36.5</v>
      </c>
      <c r="D156" s="85">
        <f t="shared" ref="D156:H159" si="40">C156</f>
        <v>36.5</v>
      </c>
      <c r="E156" s="85">
        <f t="shared" si="40"/>
        <v>36.5</v>
      </c>
      <c r="F156" s="85">
        <f t="shared" si="40"/>
        <v>36.5</v>
      </c>
      <c r="G156" s="85">
        <f t="shared" si="40"/>
        <v>36.5</v>
      </c>
      <c r="H156" s="86">
        <f t="shared" si="40"/>
        <v>36.5</v>
      </c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</row>
    <row r="157" spans="1:21" ht="15" x14ac:dyDescent="0.25">
      <c r="A157" s="50"/>
      <c r="B157" s="70" t="s">
        <v>82</v>
      </c>
      <c r="C157" s="85">
        <f>C128/-C76*365</f>
        <v>4.0555555555555554</v>
      </c>
      <c r="D157" s="85">
        <f t="shared" si="40"/>
        <v>4.0555555555555554</v>
      </c>
      <c r="E157" s="85">
        <f t="shared" si="40"/>
        <v>4.0555555555555554</v>
      </c>
      <c r="F157" s="85">
        <f t="shared" si="40"/>
        <v>4.0555555555555554</v>
      </c>
      <c r="G157" s="85">
        <f t="shared" si="40"/>
        <v>4.0555555555555554</v>
      </c>
      <c r="H157" s="86">
        <f t="shared" si="40"/>
        <v>4.0555555555555554</v>
      </c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</row>
    <row r="158" spans="1:21" ht="15" x14ac:dyDescent="0.25">
      <c r="A158" s="50"/>
      <c r="B158" s="70" t="s">
        <v>6</v>
      </c>
      <c r="C158" s="85">
        <f>C130/C75</f>
        <v>1.4999999999999999E-2</v>
      </c>
      <c r="D158" s="85">
        <f t="shared" si="40"/>
        <v>1.4999999999999999E-2</v>
      </c>
      <c r="E158" s="85">
        <f t="shared" si="40"/>
        <v>1.4999999999999999E-2</v>
      </c>
      <c r="F158" s="85">
        <f t="shared" si="40"/>
        <v>1.4999999999999999E-2</v>
      </c>
      <c r="G158" s="85">
        <f t="shared" si="40"/>
        <v>1.4999999999999999E-2</v>
      </c>
      <c r="H158" s="86">
        <f t="shared" si="40"/>
        <v>1.4999999999999999E-2</v>
      </c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</row>
    <row r="159" spans="1:21" ht="15" x14ac:dyDescent="0.25">
      <c r="A159" s="50"/>
      <c r="B159" s="71" t="s">
        <v>83</v>
      </c>
      <c r="C159" s="83">
        <f>C138/C75</f>
        <v>3.0133333333333335E-2</v>
      </c>
      <c r="D159" s="83">
        <f t="shared" si="40"/>
        <v>3.0133333333333335E-2</v>
      </c>
      <c r="E159" s="83">
        <f t="shared" si="40"/>
        <v>3.0133333333333335E-2</v>
      </c>
      <c r="F159" s="83">
        <f t="shared" si="40"/>
        <v>3.0133333333333335E-2</v>
      </c>
      <c r="G159" s="83">
        <f t="shared" si="40"/>
        <v>3.0133333333333335E-2</v>
      </c>
      <c r="H159" s="84">
        <f t="shared" si="40"/>
        <v>3.0133333333333335E-2</v>
      </c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</row>
    <row r="160" spans="1:21" ht="14.25" x14ac:dyDescent="0.2">
      <c r="A160" s="50"/>
      <c r="B160" s="50"/>
      <c r="C160" s="72"/>
      <c r="D160" s="72"/>
      <c r="E160" s="72"/>
      <c r="F160" s="72"/>
      <c r="G160" s="72"/>
      <c r="H160" s="72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</row>
    <row r="161" spans="1:21" ht="14.25" x14ac:dyDescent="0.2">
      <c r="A161" s="50"/>
      <c r="B161" s="50"/>
      <c r="C161" s="72"/>
      <c r="D161" s="72"/>
      <c r="E161" s="72"/>
      <c r="F161" s="72"/>
      <c r="G161" s="72"/>
      <c r="H161" s="72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</row>
    <row r="162" spans="1:21" s="1" customFormat="1" ht="15" x14ac:dyDescent="0.25">
      <c r="A162" s="7" t="s">
        <v>19</v>
      </c>
      <c r="B162" s="17" t="s">
        <v>84</v>
      </c>
      <c r="C162" s="17"/>
      <c r="D162" s="17"/>
      <c r="E162" s="17"/>
      <c r="F162" s="17"/>
      <c r="G162" s="17"/>
      <c r="H162" s="17"/>
      <c r="I162" s="7"/>
      <c r="J162" s="7"/>
      <c r="K162" s="7"/>
      <c r="L162" s="7"/>
      <c r="M162" s="7"/>
      <c r="N162" s="7"/>
      <c r="O162" s="51"/>
      <c r="P162" s="51"/>
      <c r="Q162" s="51"/>
      <c r="R162" s="51"/>
      <c r="S162" s="51"/>
      <c r="T162" s="51"/>
      <c r="U162" s="51"/>
    </row>
    <row r="163" spans="1:21" ht="14.25" x14ac:dyDescent="0.2">
      <c r="A163" s="50"/>
      <c r="B163" s="50"/>
      <c r="C163" s="72"/>
      <c r="D163" s="72"/>
      <c r="E163" s="72"/>
      <c r="F163" s="72"/>
      <c r="G163" s="72"/>
      <c r="H163" s="72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</row>
    <row r="164" spans="1:21" ht="15" thickBot="1" x14ac:dyDescent="0.25">
      <c r="A164" s="50"/>
      <c r="B164" s="50"/>
      <c r="C164" s="95">
        <v>40908</v>
      </c>
      <c r="D164" s="28">
        <f>EOMONTH(C164,12)</f>
        <v>41274</v>
      </c>
      <c r="E164" s="28">
        <f t="shared" ref="E164:H164" si="41">EOMONTH(D164,12)</f>
        <v>41639</v>
      </c>
      <c r="F164" s="28">
        <f t="shared" si="41"/>
        <v>42004</v>
      </c>
      <c r="G164" s="28">
        <f t="shared" si="41"/>
        <v>42369</v>
      </c>
      <c r="H164" s="28">
        <f t="shared" si="41"/>
        <v>42735</v>
      </c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</row>
    <row r="165" spans="1:21" ht="15" thickTop="1" x14ac:dyDescent="0.2">
      <c r="A165" s="50"/>
      <c r="B165" s="50" t="s">
        <v>56</v>
      </c>
      <c r="C165" s="62">
        <f t="shared" ref="C165:H165" si="42">C90</f>
        <v>12240</v>
      </c>
      <c r="D165" s="62">
        <f t="shared" si="42"/>
        <v>13919.999999999991</v>
      </c>
      <c r="E165" s="62">
        <f t="shared" si="42"/>
        <v>15599.999999999991</v>
      </c>
      <c r="F165" s="62">
        <f t="shared" si="42"/>
        <v>17280</v>
      </c>
      <c r="G165" s="62">
        <f t="shared" si="42"/>
        <v>18960</v>
      </c>
      <c r="H165" s="62">
        <f t="shared" si="42"/>
        <v>21000</v>
      </c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</row>
    <row r="166" spans="1:21" ht="14.25" x14ac:dyDescent="0.2">
      <c r="A166" s="50"/>
      <c r="B166" s="50" t="s">
        <v>85</v>
      </c>
      <c r="C166" s="62">
        <f t="shared" ref="C166:H166" si="43">-C85</f>
        <v>1500</v>
      </c>
      <c r="D166" s="62">
        <f t="shared" si="43"/>
        <v>1650</v>
      </c>
      <c r="E166" s="62">
        <f t="shared" si="43"/>
        <v>1800</v>
      </c>
      <c r="F166" s="62">
        <f t="shared" si="43"/>
        <v>1950</v>
      </c>
      <c r="G166" s="62">
        <f t="shared" si="43"/>
        <v>2100</v>
      </c>
      <c r="H166" s="62">
        <f t="shared" si="43"/>
        <v>2250</v>
      </c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</row>
    <row r="167" spans="1:21" ht="14.25" x14ac:dyDescent="0.2">
      <c r="A167" s="50"/>
      <c r="B167" s="50" t="s">
        <v>86</v>
      </c>
      <c r="C167" s="75">
        <v>0</v>
      </c>
      <c r="D167" s="62">
        <f>-D219</f>
        <v>900</v>
      </c>
      <c r="E167" s="62">
        <f t="shared" ref="E167:H167" ca="1" si="44">-E219</f>
        <v>909</v>
      </c>
      <c r="F167" s="62">
        <f t="shared" ca="1" si="44"/>
        <v>918.18000000000006</v>
      </c>
      <c r="G167" s="62">
        <f t="shared" ca="1" si="44"/>
        <v>751.38000000000034</v>
      </c>
      <c r="H167" s="62">
        <f t="shared" ca="1" si="44"/>
        <v>402.64000000000021</v>
      </c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</row>
    <row r="168" spans="1:21" ht="14.25" x14ac:dyDescent="0.2">
      <c r="A168" s="50"/>
      <c r="B168" s="50" t="s">
        <v>87</v>
      </c>
      <c r="C168" s="62">
        <f t="shared" ref="C168:H168" si="45">-C152</f>
        <v>0</v>
      </c>
      <c r="D168" s="62">
        <f t="shared" ca="1" si="45"/>
        <v>-4222.9999999999982</v>
      </c>
      <c r="E168" s="62">
        <f t="shared" ca="1" si="45"/>
        <v>777</v>
      </c>
      <c r="F168" s="62">
        <f t="shared" ca="1" si="45"/>
        <v>776.99999999999818</v>
      </c>
      <c r="G168" s="62">
        <f t="shared" ca="1" si="45"/>
        <v>777</v>
      </c>
      <c r="H168" s="62">
        <f t="shared" ca="1" si="45"/>
        <v>777</v>
      </c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</row>
    <row r="169" spans="1:21" ht="14.25" x14ac:dyDescent="0.2">
      <c r="A169" s="50"/>
      <c r="B169" s="50" t="s">
        <v>88</v>
      </c>
      <c r="C169" s="62">
        <f>-$E$17*C70</f>
        <v>0</v>
      </c>
      <c r="D169" s="62">
        <f t="shared" ref="D169:H169" si="46">-$E$17*D70</f>
        <v>-3000</v>
      </c>
      <c r="E169" s="62">
        <f t="shared" si="46"/>
        <v>-3000</v>
      </c>
      <c r="F169" s="62">
        <f t="shared" si="46"/>
        <v>-3000</v>
      </c>
      <c r="G169" s="62">
        <f t="shared" si="46"/>
        <v>-3000</v>
      </c>
      <c r="H169" s="62">
        <f t="shared" si="46"/>
        <v>-3000</v>
      </c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</row>
    <row r="170" spans="1:21" ht="14.25" x14ac:dyDescent="0.2">
      <c r="A170" s="50"/>
      <c r="B170" s="50" t="s">
        <v>89</v>
      </c>
      <c r="C170" s="62">
        <f>-$E$18*C71</f>
        <v>-1000</v>
      </c>
      <c r="D170" s="62">
        <f t="shared" ref="D170:H170" si="47">-$E$18*D71</f>
        <v>-1100</v>
      </c>
      <c r="E170" s="62">
        <f t="shared" si="47"/>
        <v>-1200</v>
      </c>
      <c r="F170" s="62">
        <f t="shared" si="47"/>
        <v>-1300</v>
      </c>
      <c r="G170" s="62">
        <f t="shared" si="47"/>
        <v>-1400</v>
      </c>
      <c r="H170" s="62">
        <f t="shared" si="47"/>
        <v>-1500</v>
      </c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</row>
    <row r="171" spans="1:21" ht="15" x14ac:dyDescent="0.25">
      <c r="A171" s="50"/>
      <c r="B171" s="65" t="s">
        <v>90</v>
      </c>
      <c r="C171" s="74">
        <f>SUM(C165:C170)</f>
        <v>12740</v>
      </c>
      <c r="D171" s="74">
        <f t="shared" ref="D171:H171" ca="1" si="48">SUM(D165:D170)</f>
        <v>8146.9999999999945</v>
      </c>
      <c r="E171" s="74">
        <f t="shared" ca="1" si="48"/>
        <v>14885.999999999993</v>
      </c>
      <c r="F171" s="74">
        <f t="shared" ca="1" si="48"/>
        <v>16625.18</v>
      </c>
      <c r="G171" s="74">
        <f t="shared" ca="1" si="48"/>
        <v>18188.38</v>
      </c>
      <c r="H171" s="74">
        <f t="shared" ca="1" si="48"/>
        <v>19929.64</v>
      </c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</row>
    <row r="172" spans="1:21" ht="14.25" x14ac:dyDescent="0.2">
      <c r="A172" s="50"/>
      <c r="B172" s="50"/>
      <c r="C172" s="72"/>
      <c r="D172" s="72"/>
      <c r="E172" s="72"/>
      <c r="F172" s="72"/>
      <c r="G172" s="72"/>
      <c r="H172" s="72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</row>
    <row r="173" spans="1:21" s="1" customFormat="1" ht="15" x14ac:dyDescent="0.25">
      <c r="A173" s="7" t="s">
        <v>19</v>
      </c>
      <c r="B173" s="17" t="s">
        <v>93</v>
      </c>
      <c r="C173" s="17"/>
      <c r="D173" s="17"/>
      <c r="E173" s="17"/>
      <c r="F173" s="17"/>
      <c r="G173" s="17"/>
      <c r="H173" s="17"/>
      <c r="I173" s="7"/>
      <c r="J173" s="7"/>
      <c r="K173" s="7"/>
      <c r="L173" s="7"/>
      <c r="M173" s="7"/>
      <c r="N173" s="7"/>
      <c r="O173" s="51"/>
      <c r="P173" s="51"/>
      <c r="Q173" s="51"/>
      <c r="R173" s="51"/>
      <c r="S173" s="51"/>
      <c r="T173" s="51"/>
      <c r="U173" s="51"/>
    </row>
    <row r="174" spans="1:21" ht="14.25" x14ac:dyDescent="0.2">
      <c r="A174" s="50"/>
      <c r="B174" s="50"/>
      <c r="C174" s="72"/>
      <c r="D174" s="72"/>
      <c r="E174" s="72"/>
      <c r="F174" s="72"/>
      <c r="G174" s="72"/>
      <c r="H174" s="72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</row>
    <row r="175" spans="1:21" ht="15" thickBot="1" x14ac:dyDescent="0.25">
      <c r="A175" s="50"/>
      <c r="B175" s="50"/>
      <c r="C175" s="95">
        <v>40908</v>
      </c>
      <c r="D175" s="28">
        <f>EOMONTH(C175,12)</f>
        <v>41274</v>
      </c>
      <c r="E175" s="28">
        <f t="shared" ref="E175:H175" si="49">EOMONTH(D175,12)</f>
        <v>41639</v>
      </c>
      <c r="F175" s="28">
        <f t="shared" si="49"/>
        <v>42004</v>
      </c>
      <c r="G175" s="28">
        <f t="shared" si="49"/>
        <v>42369</v>
      </c>
      <c r="H175" s="28">
        <f t="shared" si="49"/>
        <v>42735</v>
      </c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</row>
    <row r="176" spans="1:21" ht="15" thickTop="1" x14ac:dyDescent="0.2">
      <c r="A176" s="50"/>
      <c r="B176" s="50" t="s">
        <v>94</v>
      </c>
      <c r="C176" s="72"/>
      <c r="D176" s="62">
        <f>C183</f>
        <v>2000</v>
      </c>
      <c r="E176" s="62">
        <f t="shared" ref="E176:H176" ca="1" si="50">D183</f>
        <v>2000</v>
      </c>
      <c r="F176" s="62">
        <f t="shared" ca="1" si="50"/>
        <v>2000</v>
      </c>
      <c r="G176" s="62">
        <f t="shared" ca="1" si="50"/>
        <v>2000</v>
      </c>
      <c r="H176" s="62">
        <f t="shared" ca="1" si="50"/>
        <v>2000</v>
      </c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</row>
    <row r="177" spans="1:21" ht="14.25" x14ac:dyDescent="0.2">
      <c r="A177" s="50"/>
      <c r="B177" s="50" t="s">
        <v>95</v>
      </c>
      <c r="C177" s="72"/>
      <c r="D177" s="62">
        <f>-$H$25</f>
        <v>-2000</v>
      </c>
      <c r="E177" s="62">
        <f>-$H$25</f>
        <v>-2000</v>
      </c>
      <c r="F177" s="62">
        <f>-$H$25</f>
        <v>-2000</v>
      </c>
      <c r="G177" s="62">
        <f>-$H$25</f>
        <v>-2000</v>
      </c>
      <c r="H177" s="62">
        <f>-$H$25</f>
        <v>-2000</v>
      </c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</row>
    <row r="178" spans="1:21" ht="14.25" x14ac:dyDescent="0.2">
      <c r="A178" s="50"/>
      <c r="B178" s="50" t="s">
        <v>100</v>
      </c>
      <c r="C178" s="72"/>
      <c r="D178" s="62">
        <f ca="1">D171</f>
        <v>8146.9999999999945</v>
      </c>
      <c r="E178" s="62">
        <f ca="1">E171</f>
        <v>14885.999999999993</v>
      </c>
      <c r="F178" s="62">
        <f ca="1">F171</f>
        <v>16625.18</v>
      </c>
      <c r="G178" s="62">
        <f ca="1">G171</f>
        <v>18188.38</v>
      </c>
      <c r="H178" s="62">
        <f ca="1">H171</f>
        <v>19929.64</v>
      </c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</row>
    <row r="179" spans="1:21" ht="14.25" x14ac:dyDescent="0.2">
      <c r="A179" s="50"/>
      <c r="B179" s="50" t="s">
        <v>96</v>
      </c>
      <c r="C179" s="72"/>
      <c r="D179" s="62">
        <f>D200</f>
        <v>-450</v>
      </c>
      <c r="E179" s="62">
        <f t="shared" ref="E179:H179" ca="1" si="51">E200</f>
        <v>-450</v>
      </c>
      <c r="F179" s="62">
        <f t="shared" ca="1" si="51"/>
        <v>-450</v>
      </c>
      <c r="G179" s="62">
        <f t="shared" ca="1" si="51"/>
        <v>-450</v>
      </c>
      <c r="H179" s="62">
        <f t="shared" ca="1" si="51"/>
        <v>-450</v>
      </c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</row>
    <row r="180" spans="1:21" ht="14.25" x14ac:dyDescent="0.2">
      <c r="A180" s="50"/>
      <c r="B180" s="50" t="s">
        <v>97</v>
      </c>
      <c r="C180" s="72"/>
      <c r="D180" s="62">
        <f ca="1">D189</f>
        <v>-7696.9999999999945</v>
      </c>
      <c r="E180" s="62">
        <f t="shared" ref="E180:H180" ca="1" si="52">E189</f>
        <v>-14435.999999999993</v>
      </c>
      <c r="F180" s="62">
        <f t="shared" ca="1" si="52"/>
        <v>-7367.0000000000146</v>
      </c>
      <c r="G180" s="62">
        <f t="shared" ca="1" si="52"/>
        <v>0</v>
      </c>
      <c r="H180" s="62">
        <f t="shared" ca="1" si="52"/>
        <v>0</v>
      </c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</row>
    <row r="181" spans="1:21" ht="14.25" x14ac:dyDescent="0.2">
      <c r="A181" s="50"/>
      <c r="B181" s="50" t="s">
        <v>98</v>
      </c>
      <c r="C181" s="72"/>
      <c r="D181" s="62">
        <f ca="1">D202</f>
        <v>0</v>
      </c>
      <c r="E181" s="62">
        <f t="shared" ref="E181:H181" ca="1" si="53">E202</f>
        <v>0</v>
      </c>
      <c r="F181" s="62">
        <f t="shared" ca="1" si="53"/>
        <v>-8808.1799999999857</v>
      </c>
      <c r="G181" s="62">
        <f t="shared" ca="1" si="53"/>
        <v>-17738.38</v>
      </c>
      <c r="H181" s="62">
        <f t="shared" ca="1" si="53"/>
        <v>-19479.64</v>
      </c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</row>
    <row r="182" spans="1:21" ht="14.25" x14ac:dyDescent="0.2">
      <c r="A182" s="50"/>
      <c r="B182" s="50" t="s">
        <v>99</v>
      </c>
      <c r="C182" s="72"/>
      <c r="D182" s="62">
        <f>$H$25</f>
        <v>2000</v>
      </c>
      <c r="E182" s="62">
        <f>$H$25</f>
        <v>2000</v>
      </c>
      <c r="F182" s="62">
        <f>$H$25</f>
        <v>2000</v>
      </c>
      <c r="G182" s="62">
        <f>$H$25</f>
        <v>2000</v>
      </c>
      <c r="H182" s="62">
        <f>$H$25</f>
        <v>2000</v>
      </c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</row>
    <row r="183" spans="1:21" ht="15" x14ac:dyDescent="0.25">
      <c r="A183" s="50"/>
      <c r="B183" s="65" t="s">
        <v>101</v>
      </c>
      <c r="C183" s="74">
        <f>C126</f>
        <v>2000</v>
      </c>
      <c r="D183" s="74">
        <f ca="1">SUM(D176:D182)</f>
        <v>2000</v>
      </c>
      <c r="E183" s="74">
        <f t="shared" ref="E183:H183" ca="1" si="54">SUM(E176:E182)</f>
        <v>2000</v>
      </c>
      <c r="F183" s="74">
        <f t="shared" ca="1" si="54"/>
        <v>2000</v>
      </c>
      <c r="G183" s="74">
        <f t="shared" ca="1" si="54"/>
        <v>2000</v>
      </c>
      <c r="H183" s="74">
        <f t="shared" ca="1" si="54"/>
        <v>2000</v>
      </c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</row>
    <row r="184" spans="1:21" ht="14.25" x14ac:dyDescent="0.2">
      <c r="A184" s="50"/>
      <c r="B184" s="50"/>
      <c r="C184" s="72"/>
      <c r="D184" s="72"/>
      <c r="E184" s="72"/>
      <c r="F184" s="72"/>
      <c r="G184" s="72"/>
      <c r="H184" s="72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</row>
    <row r="185" spans="1:21" ht="14.25" x14ac:dyDescent="0.2">
      <c r="A185" s="50"/>
      <c r="B185" s="50" t="s">
        <v>102</v>
      </c>
      <c r="C185" s="72"/>
      <c r="D185" s="62">
        <f ca="1">SUM(D176:D179)</f>
        <v>7696.9999999999945</v>
      </c>
      <c r="E185" s="62">
        <f t="shared" ref="E185:H185" ca="1" si="55">SUM(E176:E179)</f>
        <v>14435.999999999993</v>
      </c>
      <c r="F185" s="62">
        <f t="shared" ca="1" si="55"/>
        <v>16175.18</v>
      </c>
      <c r="G185" s="62">
        <f t="shared" ca="1" si="55"/>
        <v>17738.38</v>
      </c>
      <c r="H185" s="62">
        <f t="shared" ca="1" si="55"/>
        <v>19479.64</v>
      </c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</row>
    <row r="186" spans="1:21" ht="14.25" x14ac:dyDescent="0.2">
      <c r="A186" s="50"/>
      <c r="B186" s="50"/>
      <c r="C186" s="72"/>
      <c r="D186" s="72"/>
      <c r="E186" s="72"/>
      <c r="F186" s="72"/>
      <c r="G186" s="72"/>
      <c r="H186" s="72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</row>
    <row r="187" spans="1:21" ht="15" x14ac:dyDescent="0.25">
      <c r="A187" s="50"/>
      <c r="B187" s="66" t="s">
        <v>103</v>
      </c>
      <c r="C187" s="72"/>
      <c r="D187" s="72"/>
      <c r="E187" s="72"/>
      <c r="F187" s="72"/>
      <c r="G187" s="72"/>
      <c r="H187" s="72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</row>
    <row r="188" spans="1:21" ht="14.25" x14ac:dyDescent="0.2">
      <c r="A188" s="50"/>
      <c r="B188" s="50" t="s">
        <v>104</v>
      </c>
      <c r="C188" s="72"/>
      <c r="D188" s="62">
        <f>C190</f>
        <v>29500</v>
      </c>
      <c r="E188" s="62">
        <f t="shared" ref="E188:H188" ca="1" si="56">D190</f>
        <v>21803.000000000007</v>
      </c>
      <c r="F188" s="62">
        <f t="shared" ca="1" si="56"/>
        <v>7367.0000000000146</v>
      </c>
      <c r="G188" s="62">
        <f t="shared" ca="1" si="56"/>
        <v>0</v>
      </c>
      <c r="H188" s="62">
        <f t="shared" ca="1" si="56"/>
        <v>0</v>
      </c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</row>
    <row r="189" spans="1:21" ht="14.25" x14ac:dyDescent="0.2">
      <c r="A189" s="50"/>
      <c r="B189" s="50" t="s">
        <v>105</v>
      </c>
      <c r="C189" s="72"/>
      <c r="D189" s="62">
        <f ca="1">-MIN(D188,D185)</f>
        <v>-7696.9999999999945</v>
      </c>
      <c r="E189" s="62">
        <f t="shared" ref="E189:H189" ca="1" si="57">-MIN(E188,E185)</f>
        <v>-14435.999999999993</v>
      </c>
      <c r="F189" s="62">
        <f t="shared" ca="1" si="57"/>
        <v>-7367.0000000000146</v>
      </c>
      <c r="G189" s="62">
        <f t="shared" ca="1" si="57"/>
        <v>0</v>
      </c>
      <c r="H189" s="62">
        <f t="shared" ca="1" si="57"/>
        <v>0</v>
      </c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</row>
    <row r="190" spans="1:21" ht="15" x14ac:dyDescent="0.25">
      <c r="A190" s="50"/>
      <c r="B190" s="65" t="s">
        <v>106</v>
      </c>
      <c r="C190" s="74">
        <f>D60</f>
        <v>29500</v>
      </c>
      <c r="D190" s="74">
        <f ca="1">SUM(D188:D189)</f>
        <v>21803.000000000007</v>
      </c>
      <c r="E190" s="74">
        <f t="shared" ref="E190:H190" ca="1" si="58">SUM(E188:E189)</f>
        <v>7367.0000000000146</v>
      </c>
      <c r="F190" s="74">
        <f t="shared" ca="1" si="58"/>
        <v>0</v>
      </c>
      <c r="G190" s="74">
        <f t="shared" ca="1" si="58"/>
        <v>0</v>
      </c>
      <c r="H190" s="74">
        <f t="shared" ca="1" si="58"/>
        <v>0</v>
      </c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</row>
    <row r="191" spans="1:21" ht="15" x14ac:dyDescent="0.25">
      <c r="A191" s="50"/>
      <c r="B191" s="51"/>
      <c r="C191" s="87"/>
      <c r="D191" s="87"/>
      <c r="E191" s="87"/>
      <c r="F191" s="87"/>
      <c r="G191" s="87"/>
      <c r="H191" s="87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</row>
    <row r="192" spans="1:21" ht="15" x14ac:dyDescent="0.25">
      <c r="A192" s="50"/>
      <c r="B192" s="50" t="s">
        <v>119</v>
      </c>
      <c r="C192" s="87"/>
      <c r="D192" s="62">
        <f>D54+$E$48/10000</f>
        <v>5.2500000000000005E-2</v>
      </c>
      <c r="E192" s="62">
        <f>E54+$E$48/10000</f>
        <v>5.5E-2</v>
      </c>
      <c r="F192" s="62">
        <f>F54+$E$48/10000</f>
        <v>5.7500000000000002E-2</v>
      </c>
      <c r="G192" s="62">
        <f>G54+$E$48/10000</f>
        <v>0.06</v>
      </c>
      <c r="H192" s="62">
        <f>H54+$E$48/10000</f>
        <v>6.25E-2</v>
      </c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</row>
    <row r="193" spans="1:21" ht="15" x14ac:dyDescent="0.25">
      <c r="A193" s="50"/>
      <c r="B193" s="50" t="s">
        <v>107</v>
      </c>
      <c r="C193" s="87"/>
      <c r="D193" s="62">
        <f ca="1">AVERAGE(D190,D188)</f>
        <v>25651.500000000004</v>
      </c>
      <c r="E193" s="62">
        <f t="shared" ref="E193:H193" ca="1" si="59">AVERAGE(E190,E188)</f>
        <v>14585.000000000011</v>
      </c>
      <c r="F193" s="62">
        <f t="shared" ca="1" si="59"/>
        <v>3683.5000000000073</v>
      </c>
      <c r="G193" s="62">
        <f t="shared" ca="1" si="59"/>
        <v>0</v>
      </c>
      <c r="H193" s="62">
        <f t="shared" ca="1" si="59"/>
        <v>0</v>
      </c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</row>
    <row r="194" spans="1:21" ht="15" x14ac:dyDescent="0.25">
      <c r="A194" s="50"/>
      <c r="B194" s="50" t="s">
        <v>108</v>
      </c>
      <c r="C194" s="87"/>
      <c r="D194" s="62">
        <f ca="1">IFERROR(D192*-D193,"NA")</f>
        <v>-1346.7037500000004</v>
      </c>
      <c r="E194" s="62">
        <f ca="1">IFERROR(E192*-E193,"NA")</f>
        <v>-802.17500000000064</v>
      </c>
      <c r="F194" s="62">
        <f ca="1">IFERROR(F192*-F193,"NA")</f>
        <v>-211.80125000000044</v>
      </c>
      <c r="G194" s="62">
        <f ca="1">IFERROR(G192*-G193,"NA")</f>
        <v>0</v>
      </c>
      <c r="H194" s="62">
        <f ca="1">IFERROR(H192*-H193,"NA")</f>
        <v>0</v>
      </c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</row>
    <row r="195" spans="1:21" ht="14.25" x14ac:dyDescent="0.2">
      <c r="A195" s="50"/>
      <c r="B195" s="50"/>
      <c r="C195" s="72"/>
      <c r="D195" s="72"/>
      <c r="E195" s="72"/>
      <c r="F195" s="72"/>
      <c r="G195" s="72"/>
      <c r="H195" s="72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</row>
    <row r="196" spans="1:21" ht="14.25" x14ac:dyDescent="0.2">
      <c r="A196" s="50"/>
      <c r="B196" s="50" t="s">
        <v>109</v>
      </c>
      <c r="C196" s="72"/>
      <c r="D196" s="62">
        <f ca="1">SUM(D185,D189)</f>
        <v>0</v>
      </c>
      <c r="E196" s="62">
        <f t="shared" ref="E196:H196" ca="1" si="60">SUM(E185,E189)</f>
        <v>0</v>
      </c>
      <c r="F196" s="62">
        <f t="shared" ca="1" si="60"/>
        <v>8808.1799999999857</v>
      </c>
      <c r="G196" s="62">
        <f t="shared" ca="1" si="60"/>
        <v>17738.38</v>
      </c>
      <c r="H196" s="62">
        <f t="shared" ca="1" si="60"/>
        <v>19479.64</v>
      </c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</row>
    <row r="197" spans="1:21" ht="14.25" x14ac:dyDescent="0.2">
      <c r="A197" s="50"/>
      <c r="B197" s="50"/>
      <c r="C197" s="72"/>
      <c r="D197" s="72"/>
      <c r="E197" s="72"/>
      <c r="F197" s="72"/>
      <c r="G197" s="72"/>
      <c r="H197" s="72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</row>
    <row r="198" spans="1:21" ht="15" x14ac:dyDescent="0.25">
      <c r="A198" s="50"/>
      <c r="B198" s="66" t="s">
        <v>110</v>
      </c>
      <c r="C198" s="72"/>
      <c r="D198" s="72"/>
      <c r="E198" s="72"/>
      <c r="F198" s="72"/>
      <c r="G198" s="72"/>
      <c r="H198" s="72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</row>
    <row r="199" spans="1:21" ht="12.75" customHeight="1" x14ac:dyDescent="0.2">
      <c r="A199" s="50"/>
      <c r="B199" s="50" t="s">
        <v>104</v>
      </c>
      <c r="C199" s="72"/>
      <c r="D199" s="62">
        <f>C203</f>
        <v>45000</v>
      </c>
      <c r="E199" s="62">
        <f t="shared" ref="E199:H199" ca="1" si="61">D203</f>
        <v>45450</v>
      </c>
      <c r="F199" s="62">
        <f t="shared" ca="1" si="61"/>
        <v>45909</v>
      </c>
      <c r="G199" s="62">
        <f t="shared" ca="1" si="61"/>
        <v>37569.000000000015</v>
      </c>
      <c r="H199" s="62">
        <f t="shared" ca="1" si="61"/>
        <v>20132.000000000011</v>
      </c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</row>
    <row r="200" spans="1:21" ht="12.75" customHeight="1" x14ac:dyDescent="0.2">
      <c r="A200" s="50"/>
      <c r="B200" s="50" t="s">
        <v>111</v>
      </c>
      <c r="C200" s="72"/>
      <c r="D200" s="62">
        <f>IFERROR(IF(-$G$49*D199&lt;0,-$G$49*$D$199,0),"NA")</f>
        <v>-450</v>
      </c>
      <c r="E200" s="62">
        <f ca="1">IFERROR(IF(-$G$49*E199&lt;0,-$G$49*$D$199,0),"NA")</f>
        <v>-450</v>
      </c>
      <c r="F200" s="62">
        <f ca="1">IFERROR(IF(-$G$49*F199&lt;0,-$G$49*$D$199,0),"NA")</f>
        <v>-450</v>
      </c>
      <c r="G200" s="62">
        <f ca="1">IFERROR(IF(-$G$49*G199&lt;0,-$G$49*$D$199,0),"NA")</f>
        <v>-450</v>
      </c>
      <c r="H200" s="62">
        <f ca="1">IFERROR(IF(-$G$49*H199&lt;0,-$G$49*$D$199,0),"NA")</f>
        <v>-450</v>
      </c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</row>
    <row r="201" spans="1:21" ht="12.75" customHeight="1" x14ac:dyDescent="0.2">
      <c r="A201" s="50"/>
      <c r="B201" s="50" t="s">
        <v>114</v>
      </c>
      <c r="C201" s="72"/>
      <c r="D201" s="62">
        <f>$F$49*D199</f>
        <v>900</v>
      </c>
      <c r="E201" s="62">
        <f ca="1">$F$49*E199</f>
        <v>909</v>
      </c>
      <c r="F201" s="62">
        <f ca="1">$F$49*F199</f>
        <v>918.18000000000006</v>
      </c>
      <c r="G201" s="62">
        <f ca="1">$F$49*G199</f>
        <v>751.38000000000034</v>
      </c>
      <c r="H201" s="62">
        <f ca="1">$F$49*H199</f>
        <v>402.64000000000021</v>
      </c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</row>
    <row r="202" spans="1:21" ht="12.75" customHeight="1" x14ac:dyDescent="0.2">
      <c r="A202" s="50"/>
      <c r="B202" s="50" t="s">
        <v>112</v>
      </c>
      <c r="C202" s="72"/>
      <c r="D202" s="62">
        <f ca="1">-MIN(D200+D199+D201,D196)</f>
        <v>0</v>
      </c>
      <c r="E202" s="62">
        <f t="shared" ref="E202:H202" ca="1" si="62">-MIN(E200+E199+E201,E196)</f>
        <v>0</v>
      </c>
      <c r="F202" s="62">
        <f t="shared" ca="1" si="62"/>
        <v>-8808.1799999999857</v>
      </c>
      <c r="G202" s="62">
        <f t="shared" ca="1" si="62"/>
        <v>-17738.38</v>
      </c>
      <c r="H202" s="62">
        <f t="shared" ca="1" si="62"/>
        <v>-19479.64</v>
      </c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</row>
    <row r="203" spans="1:21" ht="12.75" customHeight="1" x14ac:dyDescent="0.25">
      <c r="A203" s="50"/>
      <c r="B203" s="65" t="s">
        <v>106</v>
      </c>
      <c r="C203" s="74">
        <f>D61</f>
        <v>45000</v>
      </c>
      <c r="D203" s="74">
        <f ca="1">SUM(D199:D202)</f>
        <v>45450</v>
      </c>
      <c r="E203" s="74">
        <f ca="1">SUM(E199:E202)</f>
        <v>45909</v>
      </c>
      <c r="F203" s="74">
        <f ca="1">SUM(F199:F202)</f>
        <v>37569.000000000015</v>
      </c>
      <c r="G203" s="74">
        <f ca="1">SUM(G199:G202)</f>
        <v>20132.000000000011</v>
      </c>
      <c r="H203" s="74">
        <f ca="1">SUM(H199:H202)</f>
        <v>605.00000000001091</v>
      </c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</row>
    <row r="204" spans="1:21" ht="12.75" customHeight="1" x14ac:dyDescent="0.25">
      <c r="A204" s="50"/>
      <c r="B204" s="51"/>
      <c r="C204" s="87"/>
      <c r="D204" s="87"/>
      <c r="E204" s="87"/>
      <c r="F204" s="87"/>
      <c r="G204" s="87"/>
      <c r="H204" s="87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</row>
    <row r="205" spans="1:21" ht="12.75" customHeight="1" x14ac:dyDescent="0.25">
      <c r="A205" s="50"/>
      <c r="B205" s="50" t="s">
        <v>119</v>
      </c>
      <c r="C205" s="87"/>
      <c r="D205" s="62">
        <f>IFERROR(D54+$E$49/10000,"NA")</f>
        <v>8.2500000000000004E-2</v>
      </c>
      <c r="E205" s="62">
        <f>IFERROR(E54+$E$49/10000,"NA")</f>
        <v>8.5000000000000006E-2</v>
      </c>
      <c r="F205" s="62">
        <f>IFERROR(F54+$E$49/10000,"NA")</f>
        <v>8.7500000000000008E-2</v>
      </c>
      <c r="G205" s="62">
        <f>IFERROR(G54+$E$49/10000,"NA")</f>
        <v>9.0000000000000011E-2</v>
      </c>
      <c r="H205" s="62">
        <f>IFERROR(H54+$E$49/10000,"NA")</f>
        <v>9.2499999999999999E-2</v>
      </c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</row>
    <row r="206" spans="1:21" ht="14.25" x14ac:dyDescent="0.2">
      <c r="A206" s="50"/>
      <c r="B206" s="50" t="s">
        <v>108</v>
      </c>
      <c r="C206" s="72"/>
      <c r="D206" s="62">
        <f ca="1">-D205*AVERAGE(D203,D199)</f>
        <v>-3731.0625</v>
      </c>
      <c r="E206" s="62">
        <f t="shared" ref="E206:H206" ca="1" si="63">-E205*AVERAGE(E203,E199)</f>
        <v>-3882.7575000000002</v>
      </c>
      <c r="F206" s="62">
        <f t="shared" ca="1" si="63"/>
        <v>-3652.1625000000008</v>
      </c>
      <c r="G206" s="62">
        <f t="shared" ca="1" si="63"/>
        <v>-2596.5450000000014</v>
      </c>
      <c r="H206" s="62">
        <f t="shared" ca="1" si="63"/>
        <v>-959.08625000000097</v>
      </c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</row>
    <row r="207" spans="1:21" ht="14.25" x14ac:dyDescent="0.2">
      <c r="A207" s="50"/>
      <c r="B207" s="50"/>
      <c r="C207" s="72"/>
      <c r="D207" s="72"/>
      <c r="E207" s="72"/>
      <c r="F207" s="72"/>
      <c r="G207" s="72"/>
      <c r="H207" s="72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</row>
    <row r="208" spans="1:21" ht="15" x14ac:dyDescent="0.25">
      <c r="A208" s="50"/>
      <c r="B208" s="66" t="s">
        <v>115</v>
      </c>
      <c r="C208" s="72"/>
      <c r="D208" s="72"/>
      <c r="E208" s="72"/>
      <c r="F208" s="72"/>
      <c r="G208" s="72"/>
      <c r="H208" s="72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</row>
    <row r="209" spans="1:21" ht="14.25" x14ac:dyDescent="0.2">
      <c r="A209" s="50"/>
      <c r="B209" s="50" t="s">
        <v>116</v>
      </c>
      <c r="C209" s="72"/>
      <c r="D209" s="62">
        <f>C210</f>
        <v>11250</v>
      </c>
      <c r="E209" s="62">
        <f t="shared" ref="E209:H209" si="64">D210</f>
        <v>11250</v>
      </c>
      <c r="F209" s="62">
        <f t="shared" si="64"/>
        <v>11250</v>
      </c>
      <c r="G209" s="62">
        <f t="shared" si="64"/>
        <v>11250</v>
      </c>
      <c r="H209" s="62">
        <f t="shared" si="64"/>
        <v>11250</v>
      </c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</row>
    <row r="210" spans="1:21" ht="15" x14ac:dyDescent="0.25">
      <c r="A210" s="50"/>
      <c r="B210" s="65" t="s">
        <v>106</v>
      </c>
      <c r="C210" s="74">
        <f>D62</f>
        <v>11250</v>
      </c>
      <c r="D210" s="74">
        <f>D209</f>
        <v>11250</v>
      </c>
      <c r="E210" s="74">
        <f t="shared" ref="E210:G210" si="65">E209</f>
        <v>11250</v>
      </c>
      <c r="F210" s="74">
        <f t="shared" si="65"/>
        <v>11250</v>
      </c>
      <c r="G210" s="74">
        <f t="shared" si="65"/>
        <v>11250</v>
      </c>
      <c r="H210" s="74">
        <f>IF(H84&lt;35000,0,IF(H84&gt;35000,AND(H84&lt;40000)*(H84/40000*$C$210),IF(H84&gt;40000,C210)))</f>
        <v>10476.5625</v>
      </c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</row>
    <row r="211" spans="1:21" ht="14.25" x14ac:dyDescent="0.2">
      <c r="A211" s="50"/>
      <c r="B211" s="50"/>
      <c r="C211" s="72"/>
      <c r="D211" s="72"/>
      <c r="E211" s="72"/>
      <c r="F211" s="72"/>
      <c r="G211" s="72"/>
      <c r="H211" s="72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</row>
    <row r="212" spans="1:21" s="1" customFormat="1" ht="15" x14ac:dyDescent="0.25">
      <c r="A212" s="7" t="s">
        <v>19</v>
      </c>
      <c r="B212" s="17" t="s">
        <v>117</v>
      </c>
      <c r="C212" s="17"/>
      <c r="D212" s="17"/>
      <c r="E212" s="17"/>
      <c r="F212" s="17"/>
      <c r="G212" s="17"/>
      <c r="H212" s="17"/>
      <c r="I212" s="7"/>
      <c r="J212" s="7"/>
      <c r="K212" s="7"/>
      <c r="L212" s="7"/>
      <c r="M212" s="7"/>
      <c r="N212" s="7"/>
      <c r="O212" s="51"/>
      <c r="P212" s="51"/>
      <c r="Q212" s="51"/>
      <c r="R212" s="51"/>
      <c r="S212" s="51"/>
      <c r="T212" s="51"/>
      <c r="U212" s="51"/>
    </row>
    <row r="213" spans="1:21" ht="14.25" x14ac:dyDescent="0.2">
      <c r="A213" s="50"/>
      <c r="B213" s="50"/>
      <c r="C213" s="72"/>
      <c r="D213" s="72"/>
      <c r="E213" s="72"/>
      <c r="F213" s="72"/>
      <c r="G213" s="72"/>
      <c r="H213" s="72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</row>
    <row r="214" spans="1:21" ht="15.75" thickBot="1" x14ac:dyDescent="0.3">
      <c r="A214" s="50"/>
      <c r="B214" s="66"/>
      <c r="C214" s="95">
        <v>40908</v>
      </c>
      <c r="D214" s="28">
        <f>EOMONTH(C214,12)</f>
        <v>41274</v>
      </c>
      <c r="E214" s="28">
        <f t="shared" ref="E214:H214" si="66">EOMONTH(D214,12)</f>
        <v>41639</v>
      </c>
      <c r="F214" s="28">
        <f t="shared" si="66"/>
        <v>42004</v>
      </c>
      <c r="G214" s="28">
        <f t="shared" si="66"/>
        <v>42369</v>
      </c>
      <c r="H214" s="28">
        <f t="shared" si="66"/>
        <v>42735</v>
      </c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</row>
    <row r="215" spans="1:21" ht="15.75" thickTop="1" x14ac:dyDescent="0.25">
      <c r="A215" s="50"/>
      <c r="B215" s="66" t="s">
        <v>30</v>
      </c>
      <c r="C215" s="62"/>
      <c r="D215" s="62"/>
      <c r="E215" s="62"/>
      <c r="F215" s="62"/>
      <c r="G215" s="62"/>
      <c r="H215" s="62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</row>
    <row r="216" spans="1:21" ht="14.25" x14ac:dyDescent="0.2">
      <c r="A216" s="50"/>
      <c r="B216" s="50" t="s">
        <v>103</v>
      </c>
      <c r="C216" s="72"/>
      <c r="D216" s="62">
        <f ca="1">D194</f>
        <v>-1346.7037500000004</v>
      </c>
      <c r="E216" s="62">
        <f t="shared" ref="E216:H216" ca="1" si="67">E194</f>
        <v>-802.17500000000064</v>
      </c>
      <c r="F216" s="62">
        <f t="shared" ca="1" si="67"/>
        <v>-211.80125000000044</v>
      </c>
      <c r="G216" s="62">
        <f t="shared" ca="1" si="67"/>
        <v>0</v>
      </c>
      <c r="H216" s="62">
        <f t="shared" ca="1" si="67"/>
        <v>0</v>
      </c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</row>
    <row r="217" spans="1:21" ht="14.25" x14ac:dyDescent="0.2">
      <c r="A217" s="50"/>
      <c r="B217" s="50" t="s">
        <v>110</v>
      </c>
      <c r="C217" s="72"/>
      <c r="D217" s="62">
        <f ca="1">D206</f>
        <v>-3731.0625</v>
      </c>
      <c r="E217" s="62">
        <f t="shared" ref="E217:H217" ca="1" si="68">E206</f>
        <v>-3882.7575000000002</v>
      </c>
      <c r="F217" s="62">
        <f t="shared" ca="1" si="68"/>
        <v>-3652.1625000000008</v>
      </c>
      <c r="G217" s="62">
        <f t="shared" ca="1" si="68"/>
        <v>-2596.5450000000014</v>
      </c>
      <c r="H217" s="62">
        <f t="shared" ca="1" si="68"/>
        <v>-959.08625000000097</v>
      </c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</row>
    <row r="218" spans="1:21" ht="15" x14ac:dyDescent="0.25">
      <c r="A218" s="50"/>
      <c r="B218" s="66" t="s">
        <v>31</v>
      </c>
      <c r="C218" s="72"/>
      <c r="D218" s="72"/>
      <c r="E218" s="72"/>
      <c r="F218" s="72"/>
      <c r="G218" s="72"/>
      <c r="H218" s="72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</row>
    <row r="219" spans="1:21" ht="14.25" x14ac:dyDescent="0.2">
      <c r="A219" s="50"/>
      <c r="B219" s="50" t="s">
        <v>118</v>
      </c>
      <c r="C219" s="72"/>
      <c r="D219" s="62">
        <f>-D201</f>
        <v>-900</v>
      </c>
      <c r="E219" s="62">
        <f ca="1">-E201</f>
        <v>-909</v>
      </c>
      <c r="F219" s="62">
        <f ca="1">-F201</f>
        <v>-918.18000000000006</v>
      </c>
      <c r="G219" s="62">
        <f ca="1">-G201</f>
        <v>-751.38000000000034</v>
      </c>
      <c r="H219" s="62">
        <f ca="1">-H201</f>
        <v>-402.64000000000021</v>
      </c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</row>
    <row r="220" spans="1:21" ht="15" x14ac:dyDescent="0.25">
      <c r="A220" s="50"/>
      <c r="B220" s="65" t="s">
        <v>120</v>
      </c>
      <c r="C220" s="74"/>
      <c r="D220" s="77">
        <v>0</v>
      </c>
      <c r="E220" s="77">
        <v>0</v>
      </c>
      <c r="F220" s="77">
        <v>0</v>
      </c>
      <c r="G220" s="77">
        <v>0</v>
      </c>
      <c r="H220" s="77">
        <v>0</v>
      </c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</row>
    <row r="221" spans="1:21" ht="14.25" x14ac:dyDescent="0.2">
      <c r="A221" s="50"/>
      <c r="B221" s="50"/>
      <c r="C221" s="72"/>
      <c r="D221" s="72"/>
      <c r="E221" s="72"/>
      <c r="F221" s="72"/>
      <c r="G221" s="72"/>
      <c r="H221" s="72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</row>
    <row r="222" spans="1:21" s="1" customFormat="1" ht="15" x14ac:dyDescent="0.25">
      <c r="A222" s="7" t="s">
        <v>19</v>
      </c>
      <c r="B222" s="17" t="s">
        <v>121</v>
      </c>
      <c r="C222" s="17"/>
      <c r="D222" s="17"/>
      <c r="E222" s="17"/>
      <c r="F222" s="17"/>
      <c r="G222" s="17"/>
      <c r="H222" s="17"/>
      <c r="I222" s="7"/>
      <c r="J222" s="7"/>
      <c r="K222" s="7"/>
      <c r="L222" s="7"/>
      <c r="M222" s="7"/>
      <c r="N222" s="7"/>
      <c r="O222" s="51"/>
      <c r="P222" s="51"/>
      <c r="Q222" s="51"/>
      <c r="R222" s="51"/>
      <c r="S222" s="51"/>
      <c r="T222" s="51"/>
      <c r="U222" s="51"/>
    </row>
    <row r="223" spans="1:21" ht="14.25" x14ac:dyDescent="0.2">
      <c r="A223" s="50"/>
      <c r="B223" s="50"/>
      <c r="C223" s="72"/>
      <c r="D223" s="72"/>
      <c r="E223" s="72"/>
      <c r="F223" s="72"/>
      <c r="G223" s="72"/>
      <c r="H223" s="72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</row>
    <row r="224" spans="1:21" s="13" customFormat="1" ht="14.25" x14ac:dyDescent="0.2">
      <c r="C224" s="88"/>
      <c r="D224" s="88"/>
      <c r="E224" s="88"/>
      <c r="F224" s="88"/>
      <c r="G224" s="88"/>
      <c r="H224" s="88"/>
    </row>
    <row r="225" spans="2:8" s="13" customFormat="1" ht="15" thickBot="1" x14ac:dyDescent="0.25">
      <c r="C225" s="95">
        <v>40908</v>
      </c>
      <c r="D225" s="28">
        <f>EOMONTH(C225,12)</f>
        <v>41274</v>
      </c>
      <c r="E225" s="28">
        <f t="shared" ref="E225:H225" si="69">EOMONTH(D225,12)</f>
        <v>41639</v>
      </c>
      <c r="F225" s="28">
        <f t="shared" si="69"/>
        <v>42004</v>
      </c>
      <c r="G225" s="28">
        <f t="shared" si="69"/>
        <v>42369</v>
      </c>
      <c r="H225" s="28">
        <f t="shared" si="69"/>
        <v>42735</v>
      </c>
    </row>
    <row r="226" spans="2:8" s="13" customFormat="1" ht="15" thickTop="1" x14ac:dyDescent="0.2">
      <c r="B226" s="13" t="s">
        <v>122</v>
      </c>
      <c r="C226" s="88"/>
      <c r="D226" s="98">
        <f>$D$25</f>
        <v>7</v>
      </c>
      <c r="E226" s="98">
        <f>$D$25</f>
        <v>7</v>
      </c>
      <c r="F226" s="98">
        <f>$D$25</f>
        <v>7</v>
      </c>
      <c r="G226" s="98">
        <f>$D$25</f>
        <v>7</v>
      </c>
      <c r="H226" s="98">
        <f>$D$25</f>
        <v>7</v>
      </c>
    </row>
    <row r="227" spans="2:8" s="13" customFormat="1" ht="14.25" x14ac:dyDescent="0.2">
      <c r="B227" s="13" t="s">
        <v>61</v>
      </c>
      <c r="C227" s="88"/>
      <c r="D227" s="89">
        <f>D84</f>
        <v>25449.999999999985</v>
      </c>
      <c r="E227" s="89">
        <f>E84</f>
        <v>28399.999999999985</v>
      </c>
      <c r="F227" s="89">
        <f>F84</f>
        <v>31350</v>
      </c>
      <c r="G227" s="89">
        <f>G84</f>
        <v>34300</v>
      </c>
      <c r="H227" s="89">
        <f>H84</f>
        <v>37250</v>
      </c>
    </row>
    <row r="228" spans="2:8" s="13" customFormat="1" ht="15" x14ac:dyDescent="0.25">
      <c r="B228" s="65" t="s">
        <v>135</v>
      </c>
      <c r="C228" s="74"/>
      <c r="D228" s="74">
        <f>D227*D226</f>
        <v>178149.99999999988</v>
      </c>
      <c r="E228" s="74">
        <f t="shared" ref="E228:H228" si="70">E227*E226</f>
        <v>198799.99999999988</v>
      </c>
      <c r="F228" s="74">
        <f t="shared" si="70"/>
        <v>219450</v>
      </c>
      <c r="G228" s="74">
        <f t="shared" si="70"/>
        <v>240100</v>
      </c>
      <c r="H228" s="74">
        <f t="shared" si="70"/>
        <v>260750</v>
      </c>
    </row>
    <row r="229" spans="2:8" s="13" customFormat="1" ht="14.25" x14ac:dyDescent="0.2">
      <c r="B229" s="13" t="s">
        <v>132</v>
      </c>
      <c r="C229" s="88"/>
      <c r="D229" s="89">
        <f ca="1">D126</f>
        <v>2000</v>
      </c>
      <c r="E229" s="89">
        <f ca="1">E126</f>
        <v>2000</v>
      </c>
      <c r="F229" s="89">
        <f ca="1">F126</f>
        <v>2000</v>
      </c>
      <c r="G229" s="89">
        <f ca="1">G126</f>
        <v>2000</v>
      </c>
      <c r="H229" s="89">
        <f ca="1">H126</f>
        <v>2000</v>
      </c>
    </row>
    <row r="230" spans="2:8" s="13" customFormat="1" ht="14.25" x14ac:dyDescent="0.2">
      <c r="B230" s="13" t="s">
        <v>131</v>
      </c>
      <c r="C230" s="88"/>
      <c r="D230" s="89">
        <f ca="1">-SUM(D141:D143)</f>
        <v>-78503</v>
      </c>
      <c r="E230" s="89">
        <f ca="1">-SUM(E141:E143)</f>
        <v>-64526.000000000015</v>
      </c>
      <c r="F230" s="89">
        <f ca="1">-SUM(F141:F143)</f>
        <v>-48819.000000000015</v>
      </c>
      <c r="G230" s="89">
        <f ca="1">-SUM(G141:G143)</f>
        <v>-31382.000000000011</v>
      </c>
      <c r="H230" s="89">
        <f ca="1">-SUM(H141:H143)</f>
        <v>-11081.562500000011</v>
      </c>
    </row>
    <row r="231" spans="2:8" s="13" customFormat="1" ht="15" x14ac:dyDescent="0.25">
      <c r="B231" s="65" t="s">
        <v>64</v>
      </c>
      <c r="C231" s="74"/>
      <c r="D231" s="74">
        <f ca="1">SUM(D228:D230)</f>
        <v>101646.99999999988</v>
      </c>
      <c r="E231" s="74">
        <f t="shared" ref="E231:H231" ca="1" si="71">SUM(E228:E230)</f>
        <v>136273.99999999988</v>
      </c>
      <c r="F231" s="74">
        <f t="shared" ca="1" si="71"/>
        <v>172631</v>
      </c>
      <c r="G231" s="74">
        <f t="shared" ca="1" si="71"/>
        <v>210718</v>
      </c>
      <c r="H231" s="74">
        <f t="shared" ca="1" si="71"/>
        <v>251668.4375</v>
      </c>
    </row>
    <row r="232" spans="2:8" s="13" customFormat="1" ht="14.25" x14ac:dyDescent="0.2">
      <c r="B232" s="13" t="s">
        <v>133</v>
      </c>
      <c r="C232" s="88"/>
      <c r="D232" s="90">
        <f ca="1">$D$30*-D231</f>
        <v>-25411.749999999971</v>
      </c>
      <c r="E232" s="90">
        <f ca="1">$D$30*-E231</f>
        <v>-34068.499999999971</v>
      </c>
      <c r="F232" s="90">
        <f ca="1">$D$30*-F231</f>
        <v>-43157.75</v>
      </c>
      <c r="G232" s="90">
        <f ca="1">$D$30*-G231</f>
        <v>-52679.5</v>
      </c>
      <c r="H232" s="90">
        <f ca="1">$D$30*-H231</f>
        <v>-62917.109375</v>
      </c>
    </row>
    <row r="233" spans="2:8" s="13" customFormat="1" ht="14.25" x14ac:dyDescent="0.2">
      <c r="B233" s="13" t="s">
        <v>136</v>
      </c>
      <c r="C233" s="88"/>
      <c r="D233" s="90">
        <f ca="1">(SUM(D231:D232)*$D$31)*-1</f>
        <v>-7623.5249999999915</v>
      </c>
      <c r="E233" s="90">
        <f ca="1">(SUM(E231:E232)*$D$31)*-1</f>
        <v>-10220.549999999992</v>
      </c>
      <c r="F233" s="90">
        <f ca="1">(SUM(F231:F232)*$D$31)*-1</f>
        <v>-12947.325000000001</v>
      </c>
      <c r="G233" s="90">
        <f ca="1">(SUM(G231:G232)*$D$31)*-1</f>
        <v>-15803.85</v>
      </c>
      <c r="H233" s="90">
        <f ca="1">(SUM(H231:H232)*$D$31)*-1</f>
        <v>-18875.1328125</v>
      </c>
    </row>
    <row r="234" spans="2:8" s="13" customFormat="1" ht="15" x14ac:dyDescent="0.25">
      <c r="B234" s="65" t="s">
        <v>137</v>
      </c>
      <c r="C234" s="74"/>
      <c r="D234" s="74">
        <f ca="1">SUM(D231:D233)</f>
        <v>68611.724999999919</v>
      </c>
      <c r="E234" s="74">
        <f t="shared" ref="E234:H234" ca="1" si="72">SUM(E231:E233)</f>
        <v>91984.949999999924</v>
      </c>
      <c r="F234" s="74">
        <f t="shared" ca="1" si="72"/>
        <v>116525.925</v>
      </c>
      <c r="G234" s="74">
        <f t="shared" ca="1" si="72"/>
        <v>142234.65</v>
      </c>
      <c r="H234" s="74">
        <f t="shared" ca="1" si="72"/>
        <v>169876.1953125</v>
      </c>
    </row>
    <row r="235" spans="2:8" s="13" customFormat="1" ht="14.25" x14ac:dyDescent="0.2"/>
    <row r="236" spans="2:8" s="31" customFormat="1" ht="15" x14ac:dyDescent="0.25">
      <c r="B236" s="32" t="s">
        <v>124</v>
      </c>
      <c r="C236" s="33"/>
      <c r="D236" s="34">
        <f ca="1">D234/$D$63</f>
        <v>1.1616799999999987</v>
      </c>
      <c r="E236" s="34">
        <f t="shared" ref="E236:H236" ca="1" si="73">E234/$D$63</f>
        <v>1.5574171428571415</v>
      </c>
      <c r="F236" s="34">
        <f t="shared" ca="1" si="73"/>
        <v>1.9729257142857144</v>
      </c>
      <c r="G236" s="34">
        <f t="shared" ca="1" si="73"/>
        <v>2.4082057142857143</v>
      </c>
      <c r="H236" s="35">
        <f t="shared" ca="1" si="73"/>
        <v>2.8762107142857141</v>
      </c>
    </row>
    <row r="237" spans="2:8" s="13" customFormat="1" ht="14.25" x14ac:dyDescent="0.2"/>
    <row r="238" spans="2:8" s="13" customFormat="1" ht="15" x14ac:dyDescent="0.25">
      <c r="B238" s="36" t="s">
        <v>125</v>
      </c>
    </row>
    <row r="239" spans="2:8" s="13" customFormat="1" ht="14.25" x14ac:dyDescent="0.2">
      <c r="B239" s="37" t="s">
        <v>138</v>
      </c>
      <c r="D239" s="29"/>
      <c r="E239" s="29"/>
      <c r="F239" s="29"/>
      <c r="G239" s="29"/>
      <c r="H239" s="29"/>
    </row>
    <row r="240" spans="2:8" s="13" customFormat="1" ht="14.25" x14ac:dyDescent="0.2">
      <c r="B240" s="91">
        <v>40908</v>
      </c>
      <c r="D240" s="29">
        <f>-$D$63</f>
        <v>-59062.5</v>
      </c>
      <c r="E240" s="29">
        <f t="shared" ref="E240:H240" si="74">-$D$63</f>
        <v>-59062.5</v>
      </c>
      <c r="F240" s="29">
        <f t="shared" si="74"/>
        <v>-59062.5</v>
      </c>
      <c r="G240" s="29">
        <f t="shared" si="74"/>
        <v>-59062.5</v>
      </c>
      <c r="H240" s="29">
        <f t="shared" si="74"/>
        <v>-59062.5</v>
      </c>
    </row>
    <row r="241" spans="1:21" s="13" customFormat="1" ht="14.25" x14ac:dyDescent="0.2">
      <c r="B241" s="38">
        <f>EOMONTH(B240,12)</f>
        <v>41274</v>
      </c>
      <c r="D241" s="30">
        <f ca="1">D$234</f>
        <v>68611.724999999919</v>
      </c>
      <c r="E241" s="39"/>
      <c r="F241" s="39"/>
      <c r="G241" s="39"/>
      <c r="H241" s="39"/>
    </row>
    <row r="242" spans="1:21" s="13" customFormat="1" ht="14.25" x14ac:dyDescent="0.2">
      <c r="B242" s="38">
        <f>EOMONTH(B241,12)</f>
        <v>41639</v>
      </c>
      <c r="D242" s="39"/>
      <c r="E242" s="30">
        <f ca="1">E$234</f>
        <v>91984.949999999924</v>
      </c>
      <c r="F242" s="39"/>
      <c r="G242" s="39"/>
      <c r="H242" s="39"/>
    </row>
    <row r="243" spans="1:21" s="13" customFormat="1" ht="14.25" x14ac:dyDescent="0.2">
      <c r="B243" s="38">
        <f t="shared" ref="B243:B245" si="75">EOMONTH(B242,12)</f>
        <v>42004</v>
      </c>
      <c r="D243" s="39"/>
      <c r="E243" s="39"/>
      <c r="F243" s="30">
        <f ca="1">F$234</f>
        <v>116525.925</v>
      </c>
      <c r="G243" s="39"/>
      <c r="H243" s="39"/>
    </row>
    <row r="244" spans="1:21" s="13" customFormat="1" ht="14.25" x14ac:dyDescent="0.2">
      <c r="B244" s="38">
        <f t="shared" si="75"/>
        <v>42369</v>
      </c>
      <c r="D244" s="39"/>
      <c r="E244" s="39"/>
      <c r="F244" s="39"/>
      <c r="G244" s="30">
        <f ca="1">G$234</f>
        <v>142234.65</v>
      </c>
      <c r="H244" s="39"/>
    </row>
    <row r="245" spans="1:21" s="13" customFormat="1" ht="14.25" x14ac:dyDescent="0.2">
      <c r="B245" s="38">
        <f t="shared" si="75"/>
        <v>42735</v>
      </c>
      <c r="D245" s="39"/>
      <c r="E245" s="39"/>
      <c r="F245" s="39"/>
      <c r="G245" s="39"/>
      <c r="H245" s="30">
        <f ca="1">H$234</f>
        <v>169876.1953125</v>
      </c>
    </row>
    <row r="246" spans="1:21" s="13" customFormat="1" ht="14.25" x14ac:dyDescent="0.2"/>
    <row r="247" spans="1:21" s="13" customFormat="1" ht="15" x14ac:dyDescent="0.25">
      <c r="B247" s="32" t="s">
        <v>125</v>
      </c>
      <c r="C247" s="33"/>
      <c r="D247" s="40">
        <f ca="1">XIRR(D240:D245,$B$240:$B$245)</f>
        <v>0.16120441555976872</v>
      </c>
      <c r="E247" s="40">
        <f t="shared" ref="E247:H247" ca="1" si="76">XIRR(E240:E245,$B$240:$B$245)</f>
        <v>0.24758709073066715</v>
      </c>
      <c r="F247" s="40">
        <f t="shared" ca="1" si="76"/>
        <v>0.25395078063011178</v>
      </c>
      <c r="G247" s="40">
        <f t="shared" ca="1" si="76"/>
        <v>0.24554114937782287</v>
      </c>
      <c r="H247" s="40">
        <f t="shared" ca="1" si="76"/>
        <v>0.23499069809913639</v>
      </c>
    </row>
    <row r="248" spans="1:21" s="13" customFormat="1" ht="14.25" x14ac:dyDescent="0.2"/>
    <row r="249" spans="1:21" s="1" customFormat="1" ht="15" x14ac:dyDescent="0.25">
      <c r="A249" s="7" t="s">
        <v>19</v>
      </c>
      <c r="B249" s="17" t="s">
        <v>126</v>
      </c>
      <c r="C249" s="17"/>
      <c r="D249" s="17"/>
      <c r="E249" s="17"/>
      <c r="F249" s="17"/>
      <c r="G249" s="17"/>
      <c r="H249" s="17"/>
      <c r="I249" s="7"/>
      <c r="J249" s="7"/>
      <c r="K249" s="7"/>
      <c r="L249" s="7"/>
      <c r="M249" s="7"/>
      <c r="N249" s="7"/>
      <c r="O249" s="51"/>
      <c r="P249" s="51"/>
      <c r="Q249" s="51"/>
      <c r="R249" s="51"/>
      <c r="S249" s="51"/>
      <c r="T249" s="51"/>
      <c r="U249" s="51"/>
    </row>
    <row r="250" spans="1:21" s="1" customFormat="1" ht="15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51"/>
      <c r="P250" s="51"/>
      <c r="Q250" s="51"/>
      <c r="R250" s="51"/>
      <c r="S250" s="51"/>
      <c r="T250" s="51"/>
      <c r="U250" s="51"/>
    </row>
    <row r="251" spans="1:21" s="1" customFormat="1" ht="15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51"/>
      <c r="P251" s="51"/>
      <c r="Q251" s="51"/>
      <c r="R251" s="51"/>
      <c r="S251" s="51"/>
      <c r="T251" s="51"/>
      <c r="U251" s="51"/>
    </row>
    <row r="252" spans="1:21" s="13" customFormat="1" ht="15" x14ac:dyDescent="0.25">
      <c r="B252" s="36" t="s">
        <v>140</v>
      </c>
      <c r="D252" s="151" t="s">
        <v>134</v>
      </c>
      <c r="E252" s="151"/>
      <c r="F252" s="151"/>
      <c r="G252" s="151"/>
      <c r="H252" s="151"/>
    </row>
    <row r="253" spans="1:21" s="13" customFormat="1" ht="14.25" x14ac:dyDescent="0.2">
      <c r="C253" s="41">
        <f ca="1">H247</f>
        <v>0.23499069809913639</v>
      </c>
      <c r="D253" s="92">
        <v>5</v>
      </c>
      <c r="E253" s="42">
        <f>D253+1</f>
        <v>6</v>
      </c>
      <c r="F253" s="42">
        <f t="shared" ref="F253:H253" si="77">E253+1</f>
        <v>7</v>
      </c>
      <c r="G253" s="42">
        <f t="shared" si="77"/>
        <v>8</v>
      </c>
      <c r="H253" s="42">
        <f t="shared" si="77"/>
        <v>9</v>
      </c>
    </row>
    <row r="254" spans="1:21" s="13" customFormat="1" ht="14.25" x14ac:dyDescent="0.2">
      <c r="B254" s="150" t="s">
        <v>139</v>
      </c>
      <c r="C254" s="93">
        <v>5</v>
      </c>
      <c r="D254" s="44">
        <f t="dataTable" ref="D254:H258" dt2D="1" dtr="1" r1="D24" r2="D25" ca="1"/>
        <v>0.36371423602104203</v>
      </c>
      <c r="E254" s="44">
        <v>0.23140863776206969</v>
      </c>
      <c r="F254" s="44">
        <v>0.15135322213172916</v>
      </c>
      <c r="G254" s="44">
        <v>9.4973435997962943E-2</v>
      </c>
      <c r="H254" s="44">
        <v>5.1944020390510562E-2</v>
      </c>
    </row>
    <row r="255" spans="1:21" s="13" customFormat="1" ht="14.25" x14ac:dyDescent="0.2">
      <c r="B255" s="150"/>
      <c r="C255" s="43">
        <f>C254+1</f>
        <v>6</v>
      </c>
      <c r="D255" s="44">
        <v>0.41670812964439397</v>
      </c>
      <c r="E255" s="147">
        <v>0.27926114201545715</v>
      </c>
      <c r="F255" s="147">
        <v>0.19609476923942568</v>
      </c>
      <c r="G255" s="147">
        <v>0.13752406239509585</v>
      </c>
      <c r="H255" s="44">
        <v>9.2822530865669259E-2</v>
      </c>
    </row>
    <row r="256" spans="1:21" s="13" customFormat="1" ht="14.25" x14ac:dyDescent="0.2">
      <c r="B256" s="150"/>
      <c r="C256" s="43">
        <f t="shared" ref="C256:C258" si="78">C255+1</f>
        <v>7</v>
      </c>
      <c r="D256" s="44">
        <v>0.46277820467948916</v>
      </c>
      <c r="E256" s="147">
        <v>0.32086156010627753</v>
      </c>
      <c r="F256" s="147">
        <v>0.23499069809913639</v>
      </c>
      <c r="G256" s="147">
        <v>0.1745153248310089</v>
      </c>
      <c r="H256" s="44">
        <v>0.12836013436317448</v>
      </c>
    </row>
    <row r="257" spans="2:8" s="13" customFormat="1" ht="14.25" x14ac:dyDescent="0.2">
      <c r="B257" s="150"/>
      <c r="C257" s="43">
        <f t="shared" si="78"/>
        <v>8</v>
      </c>
      <c r="D257" s="44">
        <v>0.50367733836174011</v>
      </c>
      <c r="E257" s="147">
        <v>0.35779272913932814</v>
      </c>
      <c r="F257" s="147">
        <v>0.26952092051506049</v>
      </c>
      <c r="G257" s="147">
        <v>0.20735467076301575</v>
      </c>
      <c r="H257" s="44">
        <v>0.15990898013114932</v>
      </c>
    </row>
    <row r="258" spans="2:8" s="13" customFormat="1" ht="14.25" x14ac:dyDescent="0.2">
      <c r="B258" s="150"/>
      <c r="C258" s="43">
        <f t="shared" si="78"/>
        <v>9</v>
      </c>
      <c r="D258" s="44">
        <v>0.5405523478984835</v>
      </c>
      <c r="E258" s="44">
        <v>0.39109017252922063</v>
      </c>
      <c r="F258" s="44">
        <v>0.30065365433692937</v>
      </c>
      <c r="G258" s="44">
        <v>0.23696288466453549</v>
      </c>
      <c r="H258" s="44">
        <v>0.18835367560386659</v>
      </c>
    </row>
    <row r="259" spans="2:8" s="13" customFormat="1" ht="14.25" x14ac:dyDescent="0.2"/>
    <row r="260" spans="2:8" s="13" customFormat="1" ht="14.25" x14ac:dyDescent="0.2"/>
    <row r="261" spans="2:8" s="13" customFormat="1" ht="14.25" x14ac:dyDescent="0.2"/>
    <row r="262" spans="2:8" s="13" customFormat="1" ht="14.25" x14ac:dyDescent="0.2"/>
    <row r="263" spans="2:8" s="13" customFormat="1" ht="14.25" x14ac:dyDescent="0.2"/>
    <row r="264" spans="2:8" s="13" customFormat="1" ht="14.25" x14ac:dyDescent="0.2"/>
    <row r="265" spans="2:8" s="13" customFormat="1" ht="14.25" x14ac:dyDescent="0.2"/>
    <row r="266" spans="2:8" s="13" customFormat="1" ht="14.25" x14ac:dyDescent="0.2"/>
    <row r="267" spans="2:8" s="13" customFormat="1" ht="14.25" x14ac:dyDescent="0.2"/>
    <row r="268" spans="2:8" s="13" customFormat="1" ht="14.25" x14ac:dyDescent="0.2"/>
    <row r="269" spans="2:8" s="13" customFormat="1" ht="14.25" x14ac:dyDescent="0.2"/>
  </sheetData>
  <mergeCells count="2">
    <mergeCell ref="D252:H252"/>
    <mergeCell ref="B254:B2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Broken</vt:lpstr>
      <vt:lpstr>Fixed</vt:lpstr>
      <vt:lpstr>base</vt:lpstr>
      <vt:lpstr>case</vt:lpstr>
      <vt:lpstr>ltmebitda</vt:lpstr>
      <vt:lpstr>rent</vt:lpstr>
      <vt:lpstr>revshare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Guo</dc:creator>
  <cp:lastModifiedBy>Aaron Guo</cp:lastModifiedBy>
  <dcterms:created xsi:type="dcterms:W3CDTF">2021-08-29T15:56:30Z</dcterms:created>
  <dcterms:modified xsi:type="dcterms:W3CDTF">2024-11-15T02:12:16Z</dcterms:modified>
</cp:coreProperties>
</file>