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updateLinks="never" codeName="ЭтаКнига"/>
  <mc:AlternateContent xmlns:mc="http://schemas.openxmlformats.org/markup-compatibility/2006">
    <mc:Choice Requires="x15">
      <x15ac:absPath xmlns:x15ac="http://schemas.microsoft.com/office/spreadsheetml/2010/11/ac" url="C:\Works\KAF\back\Agro.Okaps.Api\wwwroot\ExcelTemp\"/>
    </mc:Choice>
  </mc:AlternateContent>
  <xr:revisionPtr revIDLastSave="0" documentId="13_ncr:1_{F4EAABFD-22C0-4311-B395-6E1A1397ECD0}" xr6:coauthVersionLast="45" xr6:coauthVersionMax="45" xr10:uidLastSave="{00000000-0000-0000-0000-000000000000}"/>
  <bookViews>
    <workbookView xWindow="-108" yWindow="-108" windowWidth="23256" windowHeight="12576" tabRatio="811" xr2:uid="{00000000-000D-0000-FFFF-FFFF00000000}"/>
  </bookViews>
  <sheets>
    <sheet name="Главная страница" sheetId="55" r:id="rId1"/>
    <sheet name="Лист1" sheetId="72" r:id="rId2"/>
    <sheet name="Доходы от животноводства" sheetId="59" r:id="rId3"/>
    <sheet name="Затраты по животноводству" sheetId="69" r:id="rId4"/>
    <sheet name="Кред история" sheetId="67" r:id="rId5"/>
    <sheet name="Доходы раст-во (для сведения)" sheetId="54" r:id="rId6"/>
    <sheet name="Нормы высева (для сведения)" sheetId="70" r:id="rId7"/>
    <sheet name="затраты на 1га (для сведения)" sheetId="68" r:id="rId8"/>
    <sheet name="старый шаблон " sheetId="48" state="hidden" r:id="rId9"/>
    <sheet name="Справочник районов" sheetId="49" state="hidden" r:id="rId10"/>
    <sheet name="затраты на 1 га" sheetId="60" state="hidden" r:id="rId11"/>
    <sheet name="цены реализации (к удалению)" sheetId="57" state="hidden" r:id="rId12"/>
    <sheet name="урожайность (к удалению)" sheetId="5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_____wrn2" localSheetId="10" hidden="1">{"glc1",#N/A,FALSE,"GLC";"glc2",#N/A,FALSE,"GLC";"glc3",#N/A,FALSE,"GLC";"glc4",#N/A,FALSE,"GLC";"glc5",#N/A,FALSE,"GLC"}</definedName>
    <definedName name="_______wrn2" hidden="1">{"glc1",#N/A,FALSE,"GLC";"glc2",#N/A,FALSE,"GLC";"glc3",#N/A,FALSE,"GLC";"glc4",#N/A,FALSE,"GLC";"glc5",#N/A,FALSE,"GLC"}</definedName>
    <definedName name="______wrn2" localSheetId="10" hidden="1">{"glc1",#N/A,FALSE,"GLC";"glc2",#N/A,FALSE,"GLC";"glc3",#N/A,FALSE,"GLC";"glc4",#N/A,FALSE,"GLC";"glc5",#N/A,FALSE,"GLC"}</definedName>
    <definedName name="______wrn2" hidden="1">{"glc1",#N/A,FALSE,"GLC";"glc2",#N/A,FALSE,"GLC";"glc3",#N/A,FALSE,"GLC";"glc4",#N/A,FALSE,"GLC";"glc5",#N/A,FALSE,"GLC"}</definedName>
    <definedName name="_____wrn2" localSheetId="10" hidden="1">{"glc1",#N/A,FALSE,"GLC";"glc2",#N/A,FALSE,"GLC";"glc3",#N/A,FALSE,"GLC";"glc4",#N/A,FALSE,"GLC";"glc5",#N/A,FALSE,"GLC"}</definedName>
    <definedName name="_____wrn2" hidden="1">{"glc1",#N/A,FALSE,"GLC";"glc2",#N/A,FALSE,"GLC";"glc3",#N/A,FALSE,"GLC";"glc4",#N/A,FALSE,"GLC";"glc5",#N/A,FALSE,"GLC"}</definedName>
    <definedName name="____wrn2" localSheetId="10" hidden="1">{"glc1",#N/A,FALSE,"GLC";"glc2",#N/A,FALSE,"GLC";"glc3",#N/A,FALSE,"GLC";"glc4",#N/A,FALSE,"GLC";"glc5",#N/A,FALSE,"GLC"}</definedName>
    <definedName name="____wrn2" hidden="1">{"glc1",#N/A,FALSE,"GLC";"glc2",#N/A,FALSE,"GLC";"glc3",#N/A,FALSE,"GLC";"glc4",#N/A,FALSE,"GLC";"glc5",#N/A,FALSE,"GLC"}</definedName>
    <definedName name="___wrn2" localSheetId="10" hidden="1">{"glc1",#N/A,FALSE,"GLC";"glc2",#N/A,FALSE,"GLC";"glc3",#N/A,FALSE,"GLC";"glc4",#N/A,FALSE,"GLC";"glc5",#N/A,FALSE,"GLC"}</definedName>
    <definedName name="___wrn2" hidden="1">{"glc1",#N/A,FALSE,"GLC";"glc2",#N/A,FALSE,"GLC";"glc3",#N/A,FALSE,"GLC";"glc4",#N/A,FALSE,"GLC";"glc5",#N/A,FALSE,"GLC"}</definedName>
    <definedName name="_1__123Graph_ACHART_4" localSheetId="2" hidden="1">#REF!</definedName>
    <definedName name="_1__123Graph_ACHART_4" localSheetId="10" hidden="1">#REF!</definedName>
    <definedName name="_1__123Graph_ACHART_4" hidden="1">#REF!</definedName>
    <definedName name="_123" localSheetId="2" hidden="1">#REF!</definedName>
    <definedName name="_123" localSheetId="10" hidden="1">#REF!</definedName>
    <definedName name="_123" hidden="1">#REF!</definedName>
    <definedName name="_2__123Graph_XCHART_3" localSheetId="2" hidden="1">#REF!</definedName>
    <definedName name="_2__123Graph_XCHART_3" localSheetId="10" hidden="1">#REF!</definedName>
    <definedName name="_2__123Graph_XCHART_3" hidden="1">#REF!</definedName>
    <definedName name="_3__123Graph_XCHART_4" localSheetId="2" hidden="1">#REF!</definedName>
    <definedName name="_3__123Graph_XCHART_4" localSheetId="10" hidden="1">#REF!</definedName>
    <definedName name="_3__123Graph_XCHART_4" hidden="1">#REF!</definedName>
    <definedName name="_bbl1" localSheetId="2">[1]Assumptions!#REF!</definedName>
    <definedName name="_bbl1" localSheetId="10">[1]Assumptions!#REF!</definedName>
    <definedName name="_bbl1">[1]Assumptions!#REF!</definedName>
    <definedName name="_bbl2" localSheetId="2">[1]Assumptions!#REF!</definedName>
    <definedName name="_bbl2" localSheetId="10">[1]Assumptions!#REF!</definedName>
    <definedName name="_bbl2">[1]Assumptions!#REF!</definedName>
    <definedName name="_bbl3" localSheetId="2">[1]Assumptions!#REF!</definedName>
    <definedName name="_bbl3" localSheetId="10">[1]Assumptions!#REF!</definedName>
    <definedName name="_bbl3">[1]Assumptions!#REF!</definedName>
    <definedName name="_bbl4" localSheetId="2">[1]Assumptions!#REF!</definedName>
    <definedName name="_bbl4" localSheetId="10">[1]Assumptions!#REF!</definedName>
    <definedName name="_bbl4">[1]Assumptions!#REF!</definedName>
    <definedName name="_bbl5" localSheetId="2">[1]Assumptions!#REF!</definedName>
    <definedName name="_bbl5" localSheetId="10">[1]Assumptions!#REF!</definedName>
    <definedName name="_bbl5">[1]Assumptions!#REF!</definedName>
    <definedName name="_Order1" hidden="1">255</definedName>
    <definedName name="_Order2" hidden="1">255</definedName>
    <definedName name="_wrn2" localSheetId="10" hidden="1">{"glc1",#N/A,FALSE,"GLC";"glc2",#N/A,FALSE,"GLC";"glc3",#N/A,FALSE,"GLC";"glc4",#N/A,FALSE,"GLC";"glc5",#N/A,FALSE,"GLC"}</definedName>
    <definedName name="_wrn2" hidden="1">{"glc1",#N/A,FALSE,"GLC";"glc2",#N/A,FALSE,"GLC";"glc3",#N/A,FALSE,"GLC";"glc4",#N/A,FALSE,"GLC";"glc5",#N/A,FALSE,"GLC"}</definedName>
    <definedName name="a" localSheetId="2" hidden="1">#REF!</definedName>
    <definedName name="a" localSheetId="10" hidden="1">#REF!</definedName>
    <definedName name="a" hidden="1">#REF!</definedName>
    <definedName name="Annual_interest_rate" localSheetId="2">[2]Объем!#REF!</definedName>
    <definedName name="Annual_interest_rate" localSheetId="10">[2]Объем!#REF!</definedName>
    <definedName name="Annual_interest_rate">[2]Объем!#REF!</definedName>
    <definedName name="anscount" hidden="1">1</definedName>
    <definedName name="AS2DocOpenMode" hidden="1">"AS2DocumentEdit"</definedName>
    <definedName name="Avg_mm_KZ" localSheetId="2">#REF!</definedName>
    <definedName name="Avg_mm_KZ" localSheetId="10">#REF!</definedName>
    <definedName name="Avg_mm_KZ">#REF!</definedName>
    <definedName name="barley" localSheetId="2">#REF!</definedName>
    <definedName name="barley" localSheetId="10">#REF!</definedName>
    <definedName name="barley">#REF!</definedName>
    <definedName name="barley_seeds" localSheetId="2">#REF!</definedName>
    <definedName name="barley_seeds" localSheetId="10">#REF!</definedName>
    <definedName name="barley_seeds">#REF!</definedName>
    <definedName name="bbl" localSheetId="2">[1]Assumptions!#REF!</definedName>
    <definedName name="bbl" localSheetId="10">[1]Assumptions!#REF!</definedName>
    <definedName name="bbl">[1]Assumptions!#REF!</definedName>
    <definedName name="beef" localSheetId="2">#REF!</definedName>
    <definedName name="beef" localSheetId="10">#REF!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2">[1]Assumptions!#REF!</definedName>
    <definedName name="cmf" localSheetId="10">[1]Assumptions!#REF!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2">#REF!</definedName>
    <definedName name="Discount" localSheetId="10">#REF!</definedName>
    <definedName name="Discount">#REF!</definedName>
    <definedName name="Dividends" localSheetId="2">#REF!</definedName>
    <definedName name="Dividends" localSheetId="10">#REF!</definedName>
    <definedName name="Dividends">#REF!</definedName>
    <definedName name="dollar" localSheetId="2">'[6]График 1'!#REF!</definedName>
    <definedName name="dollar" localSheetId="10">'[6]График 1'!#REF!</definedName>
    <definedName name="dollar">'[6]График 1'!#REF!</definedName>
    <definedName name="Ed." localSheetId="2">#REF!</definedName>
    <definedName name="Ed." localSheetId="10">#REF!</definedName>
    <definedName name="Ed.">#REF!</definedName>
    <definedName name="el" localSheetId="2">#REF!</definedName>
    <definedName name="el" localSheetId="10">#REF!</definedName>
    <definedName name="el">#REF!</definedName>
    <definedName name="elbpc" localSheetId="2">#REF!</definedName>
    <definedName name="elbpc" localSheetId="10">#REF!</definedName>
    <definedName name="elbpc">#REF!</definedName>
    <definedName name="electr_price" localSheetId="2">#REF!</definedName>
    <definedName name="electr_price" localSheetId="10">#REF!</definedName>
    <definedName name="electr_price">#REF!</definedName>
    <definedName name="elopc" localSheetId="2">#REF!</definedName>
    <definedName name="elopc" localSheetId="10">#REF!</definedName>
    <definedName name="elopc">#REF!</definedName>
    <definedName name="Excel_BuiltIn_Print_Area_11" localSheetId="2">'[7]График погаш_займов и __ АТФ'!#REF!</definedName>
    <definedName name="Excel_BuiltIn_Print_Area_11" localSheetId="10">'[7]График погаш_займов и __ АТФ'!#REF!</definedName>
    <definedName name="Excel_BuiltIn_Print_Area_11">'[7]График погаш_займов и __ АТФ'!#REF!</definedName>
    <definedName name="Excel_BuiltIn_Print_Area_13" localSheetId="2">#REF!</definedName>
    <definedName name="Excel_BuiltIn_Print_Area_13" localSheetId="10">#REF!</definedName>
    <definedName name="Excel_BuiltIn_Print_Area_13">#REF!</definedName>
    <definedName name="F_other_cost" localSheetId="2">[8]MAIN!#REF!</definedName>
    <definedName name="F_other_cost" localSheetId="10">[8]MAIN!#REF!</definedName>
    <definedName name="F_other_cost">[8]MAIN!#REF!</definedName>
    <definedName name="fertilizers" localSheetId="2">#REF!</definedName>
    <definedName name="fertilizers" localSheetId="10">#REF!</definedName>
    <definedName name="fertilizers">#REF!</definedName>
    <definedName name="first_other_tax">'[9]Прибыли и убытки'!$B$31</definedName>
    <definedName name="First_payment_due" localSheetId="2">[2]Объем!#REF!</definedName>
    <definedName name="First_payment_due" localSheetId="10">[2]Объем!#REF!</definedName>
    <definedName name="First_payment_due">[2]Объем!#REF!</definedName>
    <definedName name="forage_price" localSheetId="2">#REF!</definedName>
    <definedName name="forage_price" localSheetId="10">#REF!</definedName>
    <definedName name="forage_price">#REF!</definedName>
    <definedName name="fuel" localSheetId="2">#REF!</definedName>
    <definedName name="fuel" localSheetId="10">#REF!</definedName>
    <definedName name="fuel">#REF!</definedName>
    <definedName name="fungicides" localSheetId="2">#REF!</definedName>
    <definedName name="fungicides" localSheetId="10">#REF!</definedName>
    <definedName name="fungicides">#REF!</definedName>
    <definedName name="gas" localSheetId="2">#REF!</definedName>
    <definedName name="gas" localSheetId="10">#REF!</definedName>
    <definedName name="gas">#REF!</definedName>
    <definedName name="hay_price" localSheetId="2">#REF!</definedName>
    <definedName name="hay_price" localSheetId="10">#REF!</definedName>
    <definedName name="hay_price">#REF!</definedName>
    <definedName name="herbicides" localSheetId="2">#REF!</definedName>
    <definedName name="herbicides" localSheetId="10">#REF!</definedName>
    <definedName name="herbicides">#REF!</definedName>
    <definedName name="horse_meal" localSheetId="2">#REF!</definedName>
    <definedName name="horse_meal" localSheetId="10">#REF!</definedName>
    <definedName name="horse_meal">#REF!</definedName>
    <definedName name="income_tax">'[9]Цены и тарифы'!$B$62</definedName>
    <definedName name="inf" localSheetId="2">#REF!</definedName>
    <definedName name="inf" localSheetId="10">#REF!</definedName>
    <definedName name="inf">#REF!</definedName>
    <definedName name="insecticides" localSheetId="2">#REF!</definedName>
    <definedName name="insecticides" localSheetId="10">#REF!</definedName>
    <definedName name="insecticides">#REF!</definedName>
    <definedName name="interval" localSheetId="2">'[6]График 1'!#REF!</definedName>
    <definedName name="interval" localSheetId="10">'[6]График 1'!#REF!</definedName>
    <definedName name="interval">'[6]График 1'!#REF!</definedName>
    <definedName name="intr" localSheetId="2">[1]Assumptions!#REF!</definedName>
    <definedName name="intr" localSheetId="10">[1]Assumptions!#REF!</definedName>
    <definedName name="intr">[1]Assumptions!#REF!</definedName>
    <definedName name="ir" localSheetId="2">[1]Assumptions!#REF!</definedName>
    <definedName name="ir" localSheetId="10">[1]Assumptions!#REF!</definedName>
    <definedName name="ir">[1]Assumptions!#REF!</definedName>
    <definedName name="irr" localSheetId="2">'[6]График 1'!#REF!</definedName>
    <definedName name="irr" localSheetId="10">'[6]График 1'!#REF!</definedName>
    <definedName name="irr">'[6]График 1'!#REF!</definedName>
    <definedName name="Length" localSheetId="2">#REF!</definedName>
    <definedName name="Length" localSheetId="10">#REF!</definedName>
    <definedName name="Length">#REF!</definedName>
    <definedName name="M_table" localSheetId="2">#REF!</definedName>
    <definedName name="M_table" localSheetId="10">#REF!</definedName>
    <definedName name="M_table">#REF!</definedName>
    <definedName name="manage_rate" localSheetId="2">#REF!</definedName>
    <definedName name="manage_rate" localSheetId="10">#REF!</definedName>
    <definedName name="manage_rate">#REF!</definedName>
    <definedName name="mas_1" localSheetId="2">#REF!</definedName>
    <definedName name="mas_1" localSheetId="10">#REF!</definedName>
    <definedName name="mas_1">#REF!</definedName>
    <definedName name="mas_2" localSheetId="2">#REF!</definedName>
    <definedName name="mas_2" localSheetId="10">#REF!</definedName>
    <definedName name="mas_2">#REF!</definedName>
    <definedName name="mas_3" localSheetId="2">#REF!</definedName>
    <definedName name="mas_3" localSheetId="10">#REF!</definedName>
    <definedName name="mas_3">#REF!</definedName>
    <definedName name="mas_4" localSheetId="2">#REF!</definedName>
    <definedName name="mas_4" localSheetId="10">#REF!</definedName>
    <definedName name="mas_4">#REF!</definedName>
    <definedName name="milk" localSheetId="2">#REF!</definedName>
    <definedName name="milk" localSheetId="10">#REF!</definedName>
    <definedName name="milk">#REF!</definedName>
    <definedName name="MinWage" localSheetId="2">#REF!</definedName>
    <definedName name="MinWage" localSheetId="10">#REF!</definedName>
    <definedName name="MinWage">#REF!</definedName>
    <definedName name="mutton" localSheetId="2">#REF!</definedName>
    <definedName name="mutton" localSheetId="10">#REF!</definedName>
    <definedName name="mutton">#REF!</definedName>
    <definedName name="name1" localSheetId="2">#REF!</definedName>
    <definedName name="name1" localSheetId="10">#REF!</definedName>
    <definedName name="name1">#REF!</definedName>
    <definedName name="name2" localSheetId="2">#REF!</definedName>
    <definedName name="name2" localSheetId="10">#REF!</definedName>
    <definedName name="name2">#REF!</definedName>
    <definedName name="non" localSheetId="2">[1]Assumptions!#REF!</definedName>
    <definedName name="non" localSheetId="10">[1]Assumptions!#REF!</definedName>
    <definedName name="non">[1]Assumptions!#REF!</definedName>
    <definedName name="nonproduct_rate" localSheetId="2">#REF!</definedName>
    <definedName name="nonproduct_rate" localSheetId="10">#REF!</definedName>
    <definedName name="nonproduct_rate">#REF!</definedName>
    <definedName name="oil" localSheetId="2">#REF!</definedName>
    <definedName name="oil" localSheetId="10">#REF!</definedName>
    <definedName name="oil">#REF!</definedName>
    <definedName name="opcv">[1]Assumptions!$C$36</definedName>
    <definedName name="Payments_per_year" localSheetId="2">[2]Объем!#REF!</definedName>
    <definedName name="Payments_per_year" localSheetId="10">[2]Объем!#REF!</definedName>
    <definedName name="Payments_per_year">[2]Объем!#REF!</definedName>
    <definedName name="Periodic_rate" localSheetId="2">'Доходы от животноводства'!Annual_interest_rate/'Доходы от животноводства'!Payments_per_year</definedName>
    <definedName name="Periodic_rate" localSheetId="10">'затраты на 1 га'!Annual_interest_rate/'затраты на 1 га'!Payments_per_year</definedName>
    <definedName name="Periodic_rate">[0]!Annual_interest_rate/[0]!Payments_per_year</definedName>
    <definedName name="PF">[10]Parameters!$C$10</definedName>
    <definedName name="Pmt_to_use" localSheetId="2">[2]Объем!#REF!</definedName>
    <definedName name="Pmt_to_use" localSheetId="10">[2]Объем!#REF!</definedName>
    <definedName name="Pmt_to_use">[2]Объем!#REF!</definedName>
    <definedName name="pork" localSheetId="2">#REF!</definedName>
    <definedName name="pork" localSheetId="10">#REF!</definedName>
    <definedName name="pork">#REF!</definedName>
    <definedName name="potato_price" localSheetId="2">#REF!</definedName>
    <definedName name="potato_price" localSheetId="10">#REF!</definedName>
    <definedName name="potato_price">#REF!</definedName>
    <definedName name="project">[8]MAIN!$A$13</definedName>
    <definedName name="PT">[10]Parameters!$E$10</definedName>
    <definedName name="retention" localSheetId="2">[1]Assumptions!#REF!</definedName>
    <definedName name="retention" localSheetId="10">[1]Assumptions!#REF!</definedName>
    <definedName name="retention">[1]Assumptions!#REF!</definedName>
    <definedName name="rkara" localSheetId="2">[1]Assumptions!#REF!</definedName>
    <definedName name="rkara" localSheetId="10">[1]Assumptions!#REF!</definedName>
    <definedName name="rkara">[1]Assumptions!#REF!</definedName>
    <definedName name="rkok" localSheetId="2">[1]Assumptions!#REF!</definedName>
    <definedName name="rkok" localSheetId="10">[1]Assumptions!#REF!</definedName>
    <definedName name="rkok">[1]Assumptions!#REF!</definedName>
    <definedName name="rm" localSheetId="2">[1]Assumptions!#REF!</definedName>
    <definedName name="rm" localSheetId="10">[1]Assumptions!#REF!</definedName>
    <definedName name="rm">[1]Assumptions!#REF!</definedName>
    <definedName name="royalty" localSheetId="2">[1]Assumptions!#REF!</definedName>
    <definedName name="royalty" localSheetId="10">[1]Assumptions!#REF!</definedName>
    <definedName name="royalty">[1]Assumptions!#REF!</definedName>
    <definedName name="silage_price" localSheetId="2">#REF!</definedName>
    <definedName name="silage_price" localSheetId="10">#REF!</definedName>
    <definedName name="silage_price">#REF!</definedName>
    <definedName name="skin" localSheetId="2">#REF!</definedName>
    <definedName name="skin" localSheetId="10">#REF!</definedName>
    <definedName name="skin">#REF!</definedName>
    <definedName name="starting_weight" localSheetId="2">#REF!</definedName>
    <definedName name="starting_weight" localSheetId="10">#REF!</definedName>
    <definedName name="starting_weight">#REF!</definedName>
    <definedName name="straw_price" localSheetId="2">#REF!</definedName>
    <definedName name="straw_price" localSheetId="10">#REF!</definedName>
    <definedName name="straw_price">#REF!</definedName>
    <definedName name="strike" localSheetId="2">[1]Assumptions!#REF!</definedName>
    <definedName name="strike" localSheetId="10">[1]Assumptions!#REF!</definedName>
    <definedName name="strike">[1]Assumptions!#REF!</definedName>
    <definedName name="sub" localSheetId="2">[1]Assumptions!#REF!</definedName>
    <definedName name="sub" localSheetId="10">[1]Assumptions!#REF!</definedName>
    <definedName name="sub">[1]Assumptions!#REF!</definedName>
    <definedName name="support_rate" localSheetId="2">#REF!</definedName>
    <definedName name="support_rate" localSheetId="10">#REF!</definedName>
    <definedName name="support_rate">#REF!</definedName>
    <definedName name="Tenge">[11]MODEL500!$G$251</definedName>
    <definedName name="Term_in_years" localSheetId="2">[2]Объем!#REF!</definedName>
    <definedName name="Term_in_years" localSheetId="10">[2]Объем!#REF!</definedName>
    <definedName name="Term_in_years">[2]Объем!#REF!</definedName>
    <definedName name="TextRefCopyRangeCount" hidden="1">7</definedName>
    <definedName name="Total_payments" localSheetId="2">'Доходы от животноводства'!Payments_per_year*'Доходы от животноводства'!Term_in_years</definedName>
    <definedName name="Total_payments" localSheetId="10">'затраты на 1 га'!Payments_per_year*'затраты на 1 га'!Term_in_years</definedName>
    <definedName name="Total_payments">[0]!Payments_per_year*[0]!Term_in_years</definedName>
    <definedName name="tr" localSheetId="2">[1]Assumptions!#REF!</definedName>
    <definedName name="tr" localSheetId="10">[1]Assumptions!#REF!</definedName>
    <definedName name="tr">[1]Assumptions!#REF!</definedName>
    <definedName name="US2EURO" localSheetId="2">[12]исх.данные!#REF!</definedName>
    <definedName name="US2EURO" localSheetId="10">[12]исх.данные!#REF!</definedName>
    <definedName name="US2EURO">[12]исх.данные!#REF!</definedName>
    <definedName name="USD">[11]MODEL500!$G$251</definedName>
    <definedName name="value" localSheetId="2">#REF!</definedName>
    <definedName name="value" localSheetId="10">#REF!</definedName>
    <definedName name="value">#REF!</definedName>
    <definedName name="whaet_seeds" localSheetId="2">#REF!</definedName>
    <definedName name="whaet_seeds" localSheetId="10">#REF!</definedName>
    <definedName name="whaet_seeds">#REF!</definedName>
    <definedName name="wheat" localSheetId="2">#REF!</definedName>
    <definedName name="wheat" localSheetId="10">#REF!</definedName>
    <definedName name="wheat">#REF!</definedName>
    <definedName name="wrn" localSheetId="10" hidden="1">{"glc1",#N/A,FALSE,"GLC";"glc2",#N/A,FALSE,"GLC";"glc3",#N/A,FALSE,"GLC";"glc4",#N/A,FALSE,"GLC";"glc5",#N/A,FALSE,"GLC"}</definedName>
    <definedName name="wrn" hidden="1">{"glc1",#N/A,FALSE,"GLC";"glc2",#N/A,FALSE,"GLC";"glc3",#N/A,FALSE,"GLC";"glc4",#N/A,FALSE,"GLC";"glc5",#N/A,FALSE,"GLC"}</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1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10" hidden="1">{"assets",#N/A,FALSE,"historicBS";"liab",#N/A,FALSE,"historicBS";"is",#N/A,FALSE,"historicIS";"ratios",#N/A,FALSE,"ratios"}</definedName>
    <definedName name="wrn.basicfin." hidden="1">{"assets",#N/A,FALSE,"historicBS";"liab",#N/A,FALSE,"historicBS";"is",#N/A,FALSE,"historicIS";"ratios",#N/A,FALSE,"ratios"}</definedName>
    <definedName name="wrn.basicfin.2" localSheetId="10" hidden="1">{"assets",#N/A,FALSE,"historicBS";"liab",#N/A,FALSE,"historicBS";"is",#N/A,FALSE,"historicIS";"ratios",#N/A,FALSE,"ratios"}</definedName>
    <definedName name="wrn.basicfin.2" hidden="1">{"assets",#N/A,FALSE,"historicBS";"liab",#N/A,FALSE,"historicBS";"is",#N/A,FALSE,"historicIS";"ratios",#N/A,FALSE,"ratios"}</definedName>
    <definedName name="wrn.Full." localSheetId="10"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1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10" hidden="1">{"glc1",#N/A,FALSE,"GLC";"glc2",#N/A,FALSE,"GLC";"glc3",#N/A,FALSE,"GLC";"glc4",#N/A,FALSE,"GLC";"glc5",#N/A,FALSE,"GLC"}</definedName>
    <definedName name="wrn.glcpromonte." hidden="1">{"glc1",#N/A,FALSE,"GLC";"glc2",#N/A,FALSE,"GLC";"glc3",#N/A,FALSE,"GLC";"glc4",#N/A,FALSE,"GLC";"glc5",#N/A,FALSE,"GLC"}</definedName>
    <definedName name="wrn.print."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10" hidden="1">{"Valuation_Common",#N/A,FALSE,"Valuation"}</definedName>
    <definedName name="wrn.test." hidden="1">{"Valuation_Common",#N/A,FALSE,"Valuation"}</definedName>
    <definedName name="X1_штатное_Таблица" localSheetId="2">#REF!</definedName>
    <definedName name="X1_штатное_Таблица" localSheetId="10">#REF!</definedName>
    <definedName name="X1_штатное_Таблица">#REF!</definedName>
    <definedName name="X1_штатное_Таблица1" localSheetId="2">#REF!</definedName>
    <definedName name="X1_штатное_Таблица1" localSheetId="10">#REF!</definedName>
    <definedName name="X1_штатное_Таблица1">#REF!</definedName>
    <definedName name="а1" localSheetId="2">#REF!</definedName>
    <definedName name="а1" localSheetId="10">#REF!</definedName>
    <definedName name="а1">#REF!</definedName>
    <definedName name="а2" localSheetId="2">#REF!</definedName>
    <definedName name="а2" localSheetId="10">#REF!</definedName>
    <definedName name="а2">#REF!</definedName>
    <definedName name="ав" localSheetId="2">#REF!</definedName>
    <definedName name="ав" localSheetId="10">#REF!</definedName>
    <definedName name="ав">#REF!</definedName>
    <definedName name="АвПокуп" localSheetId="2">#REF!</definedName>
    <definedName name="АвПокуп" localSheetId="10">#REF!</definedName>
    <definedName name="АвПокуп">#REF!</definedName>
    <definedName name="АвПокуп1" localSheetId="2">#REF!</definedName>
    <definedName name="АвПокуп1" localSheetId="10">#REF!</definedName>
    <definedName name="АвПокуп1">#REF!</definedName>
    <definedName name="АвПост" localSheetId="2">#REF!</definedName>
    <definedName name="АвПост" localSheetId="10">#REF!</definedName>
    <definedName name="АвПост">#REF!</definedName>
    <definedName name="АвПост1" localSheetId="2">#REF!</definedName>
    <definedName name="АвПост1" localSheetId="10">#REF!</definedName>
    <definedName name="АвПост1">#REF!</definedName>
    <definedName name="АЗОТ" localSheetId="2">#REF!</definedName>
    <definedName name="АЗОТ" localSheetId="10">#REF!</definedName>
    <definedName name="АЗОТ">#REF!</definedName>
    <definedName name="АЗОТНЫЕ_ОСЕНЬЮ" localSheetId="2">#REF!</definedName>
    <definedName name="АЗОТНЫЕ_ОСЕНЬЮ" localSheetId="10">#REF!</definedName>
    <definedName name="АЗОТНЫЕ_ОСЕНЬЮ">#REF!</definedName>
    <definedName name="АЗОТНЫЕ_ПРИ_ПОСЕВЕ" localSheetId="2">#REF!</definedName>
    <definedName name="АЗОТНЫЕ_ПРИ_ПОСЕВЕ" localSheetId="10">#REF!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2">#REF!</definedName>
    <definedName name="бар" localSheetId="10">#REF!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2">#REF!</definedName>
    <definedName name="БЛРаздел10" localSheetId="10">#REF!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2">#REF!</definedName>
    <definedName name="ВА1" localSheetId="10">#REF!</definedName>
    <definedName name="ВА1">#REF!</definedName>
    <definedName name="ВАЛОВЫЙ_СБОР" localSheetId="2">#REF!</definedName>
    <definedName name="ВАЛОВЫЙ_СБОР" localSheetId="10">#REF!</definedName>
    <definedName name="ВАЛОВЫЙ_СБОР">#REF!</definedName>
    <definedName name="ВалП1" localSheetId="2">#REF!</definedName>
    <definedName name="ВалП1" localSheetId="10">#REF!</definedName>
    <definedName name="ВалП1">#REF!</definedName>
    <definedName name="валюта" localSheetId="2">#REF!</definedName>
    <definedName name="валюта" localSheetId="10">#REF!</definedName>
    <definedName name="валюта">#REF!</definedName>
    <definedName name="ВалютаБаланса" localSheetId="2">#REF!</definedName>
    <definedName name="ВалютаБаланса" localSheetId="10">#REF!</definedName>
    <definedName name="ВалютаБаланса">#REF!</definedName>
    <definedName name="вввввввв"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2">#REF!</definedName>
    <definedName name="ВК" localSheetId="10">#REF!</definedName>
    <definedName name="ВК">#REF!</definedName>
    <definedName name="ВК1" localSheetId="2">#REF!</definedName>
    <definedName name="ВК1" localSheetId="10">#REF!</definedName>
    <definedName name="ВК1">#REF!</definedName>
    <definedName name="ВК2" localSheetId="2">#REF!</definedName>
    <definedName name="ВК2" localSheetId="10">#REF!</definedName>
    <definedName name="ВК2">#REF!</definedName>
    <definedName name="ВК3" localSheetId="2">#REF!</definedName>
    <definedName name="ВК3" localSheetId="10">#REF!</definedName>
    <definedName name="ВК3">#REF!</definedName>
    <definedName name="вода_индекс" localSheetId="2">#REF!</definedName>
    <definedName name="вода_индекс" localSheetId="10">#REF!</definedName>
    <definedName name="вода_индекс">#REF!</definedName>
    <definedName name="ВР1" localSheetId="2">#REF!</definedName>
    <definedName name="ВР1" localSheetId="10">#REF!</definedName>
    <definedName name="ВР1">#REF!</definedName>
    <definedName name="ВРО1" localSheetId="2">#REF!</definedName>
    <definedName name="ВРО1" localSheetId="10">#REF!</definedName>
    <definedName name="ВРО1">#REF!</definedName>
    <definedName name="вс" localSheetId="10"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2">#REF!,#REF!,#REF!</definedName>
    <definedName name="выеыееек" localSheetId="10">#REF!,#REF!,#REF!</definedName>
    <definedName name="выеыееек">#REF!,#REF!,#REF!</definedName>
    <definedName name="ВЫРУЧКА_ОТ_РЕАЛИЗАЦИИ" localSheetId="2">#REF!</definedName>
    <definedName name="ВЫРУЧКА_ОТ_РЕАЛИЗАЦИИ" localSheetId="10">#REF!</definedName>
    <definedName name="ВЫРУЧКА_ОТ_РЕАЛИЗАЦИИ">#REF!</definedName>
    <definedName name="г" localSheetId="10">'[16]ГЛАВНАЯ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2">#REF!</definedName>
    <definedName name="ГЕРБИЦИДЫ_ДО_ПОСЕВА" localSheetId="10">#REF!</definedName>
    <definedName name="ГЕРБИЦИДЫ_ДО_ПОСЕВА">#REF!</definedName>
    <definedName name="ГЕРБИЦИДЫ_НА_ПАРАХ" localSheetId="2">#REF!</definedName>
    <definedName name="ГЕРБИЦИДЫ_НА_ПАРАХ" localSheetId="10">#REF!</definedName>
    <definedName name="ГЕРБИЦИДЫ_НА_ПАРАХ">#REF!</definedName>
    <definedName name="ГЕРБИЦИДЫ_ПОСЛЕ_ПОСЕВА" localSheetId="2">#REF!</definedName>
    <definedName name="ГЕРБИЦИДЫ_ПОСЛЕ_ПОСЕВА" localSheetId="10">#REF!</definedName>
    <definedName name="ГЕРБИЦИДЫ_ПОСЛЕ_ПОСЕВА">#REF!</definedName>
    <definedName name="глютамат">[13]основной!$B$225</definedName>
    <definedName name="гнегнегне" localSheetId="2">#REF!,#REF!,#REF!,#REF!,#REF!,#REF!</definedName>
    <definedName name="гнегнегне" localSheetId="10">#REF!,#REF!,#REF!,#REF!,#REF!,#REF!</definedName>
    <definedName name="гнегнегне">#REF!,#REF!,#REF!,#REF!,#REF!,#REF!</definedName>
    <definedName name="гненгнег" localSheetId="2">#REF!,#REF!,#REF!,#REF!,#REF!,#REF!,#REF!,#REF!</definedName>
    <definedName name="гненгнег" localSheetId="10">#REF!,#REF!,#REF!,#REF!,#REF!,#REF!,#REF!,#REF!</definedName>
    <definedName name="гненгнег">#REF!,#REF!,#REF!,#REF!,#REF!,#REF!,#REF!,#REF!</definedName>
    <definedName name="гов" localSheetId="2">#REF!</definedName>
    <definedName name="гов" localSheetId="10">#REF!</definedName>
    <definedName name="гов">#REF!</definedName>
    <definedName name="ГотПр" localSheetId="2">#REF!</definedName>
    <definedName name="ГотПр" localSheetId="10">#REF!</definedName>
    <definedName name="ГотПр">#REF!</definedName>
    <definedName name="ГотПр1" localSheetId="2">#REF!</definedName>
    <definedName name="ГотПр1" localSheetId="10">#REF!</definedName>
    <definedName name="ГотПр1">#REF!</definedName>
    <definedName name="график" localSheetId="2">#REF!</definedName>
    <definedName name="график" localSheetId="10">#REF!</definedName>
    <definedName name="график">#REF!</definedName>
    <definedName name="д" localSheetId="2">#REF!</definedName>
    <definedName name="д" localSheetId="10">#REF!</definedName>
    <definedName name="д">#REF!</definedName>
    <definedName name="да">'Главная страница'!$Z$7:$Z$28</definedName>
    <definedName name="данные" localSheetId="2">#REF!,#REF!,#REF!</definedName>
    <definedName name="данные" localSheetId="10">#REF!,#REF!,#REF!</definedName>
    <definedName name="данные">#REF!,#REF!,#REF!</definedName>
    <definedName name="ДАТА" localSheetId="2">#REF!,#REF!,#REF!,#REF!,#REF!,#REF!,#REF!,#REF!</definedName>
    <definedName name="ДАТА" localSheetId="10">#REF!,#REF!,#REF!,#REF!,#REF!,#REF!,#REF!,#REF!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2">#REF!</definedName>
    <definedName name="ДЗ" localSheetId="10">#REF!</definedName>
    <definedName name="ДЗ">#REF!</definedName>
    <definedName name="ДЗ1" localSheetId="2">#REF!</definedName>
    <definedName name="ДЗ1" localSheetId="10">#REF!</definedName>
    <definedName name="ДЗ1">#REF!</definedName>
    <definedName name="дз1к">[5]Б1!$D$34+[5]Б1!$D$35+[5]Б1!$D$36+[5]Б1!$D$37+[5]Б1!$D$38+[5]Б1!$D$39</definedName>
    <definedName name="дз1н">[5]Б1!$C$34++[5]Б1!$C$35+[5]Б1!$C$36+[5]Б1!$C$37+[5]Б1!$C$38+[5]Б1!$C$39</definedName>
    <definedName name="дз94к" localSheetId="2">[5]Б1!#REF!+[5]Б1!#REF!+[5]Б1!#REF!+[5]Б1!#REF!+[5]Б1!#REF!+[5]Б1!#REF!+[5]Б1!#REF!</definedName>
    <definedName name="дз94к" localSheetId="10">[5]Б1!#REF!+[5]Б1!#REF!+[5]Б1!#REF!+[5]Б1!#REF!+[5]Б1!#REF!+[5]Б1!#REF!+[5]Б1!#REF!</definedName>
    <definedName name="дз94к">[5]Б1!#REF!+[5]Б1!#REF!+[5]Б1!#REF!+[5]Б1!#REF!+[5]Б1!#REF!+[5]Б1!#REF!+[5]Б1!#REF!</definedName>
    <definedName name="дз94н" localSheetId="2">[5]Б1!#REF!+[5]Б1!#REF!+[5]Б1!#REF!+[5]Б1!#REF!+[5]Б1!#REF!+[5]Б1!#REF!+[5]Б1!#REF!</definedName>
    <definedName name="дз94н" localSheetId="10">[5]Б1!#REF!+[5]Б1!#REF!+[5]Б1!#REF!+[5]Б1!#REF!+[5]Б1!#REF!+[5]Б1!#REF!+[5]Б1!#REF!</definedName>
    <definedName name="дз94н">[5]Б1!#REF!+[5]Б1!#REF!+[5]Б1!#REF!+[5]Б1!#REF!+[5]Б1!#REF!+[5]Б1!#REF!+[5]Б1!#REF!</definedName>
    <definedName name="ДК1" localSheetId="2">#REF!</definedName>
    <definedName name="ДК1" localSheetId="10">#REF!</definedName>
    <definedName name="ДК1">#REF!</definedName>
    <definedName name="ДОЛЯ_ГЕРБИЦИДЫ" localSheetId="2">#REF!</definedName>
    <definedName name="ДОЛЯ_ГЕРБИЦИДЫ" localSheetId="10">#REF!</definedName>
    <definedName name="ДОЛЯ_ГЕРБИЦИДЫ">#REF!</definedName>
    <definedName name="ДОЛЯ_ЭЛЕВАТОР" localSheetId="2">#REF!</definedName>
    <definedName name="ДОЛЯ_ЭЛЕВАТОР" localSheetId="10">#REF!</definedName>
    <definedName name="ДОЛЯ_ЭЛЕВАТОР">#REF!</definedName>
    <definedName name="ДОХОДЫ_ИТОГО" localSheetId="2">#REF!</definedName>
    <definedName name="ДОХОДЫ_ИТОГО" localSheetId="10">#REF!</definedName>
    <definedName name="ДОХОДЫ_ИТОГО">#REF!</definedName>
    <definedName name="ДРУГОЙ_ДОХОД" localSheetId="2">#REF!</definedName>
    <definedName name="ДРУГОЙ_ДОХОД" localSheetId="10">#REF!</definedName>
    <definedName name="ДРУГОЙ_ДОХОД">#REF!</definedName>
    <definedName name="е" localSheetId="10">'[16]ГЛАВНАЯ СТРАНИЦА'!$I$28</definedName>
    <definedName name="е">'[17]ГЛАВНАЯ СТРАНИЦА'!$I$28</definedName>
    <definedName name="евро" localSheetId="2">#REF!</definedName>
    <definedName name="евро" localSheetId="10">#REF!</definedName>
    <definedName name="евро">#REF!</definedName>
    <definedName name="ждлждл" localSheetId="2">#REF!,#REF!,#REF!,#REF!,#REF!,#REF!,#REF!,#REF!,#REF!</definedName>
    <definedName name="ждлждл" localSheetId="10">#REF!,#REF!,#REF!,#REF!,#REF!,#REF!,#REF!,#REF!,#REF!</definedName>
    <definedName name="ждлждл">#REF!,#REF!,#REF!,#REF!,#REF!,#REF!,#REF!,#REF!,#REF!</definedName>
    <definedName name="животновдст_рост" localSheetId="2">#REF!</definedName>
    <definedName name="животновдст_рост" localSheetId="10">#REF!</definedName>
    <definedName name="животновдст_рост">#REF!</definedName>
    <definedName name="з" localSheetId="2">[1]Assumptions!#REF!</definedName>
    <definedName name="з" localSheetId="10">[1]Assumptions!#REF!</definedName>
    <definedName name="з">[1]Assumptions!#REF!</definedName>
    <definedName name="Заголовок" localSheetId="2">#REF!</definedName>
    <definedName name="Заголовок" localSheetId="10">#REF!</definedName>
    <definedName name="Заголовок">#REF!</definedName>
    <definedName name="заем_ср" localSheetId="2">#REF!</definedName>
    <definedName name="заем_ср" localSheetId="10">#REF!</definedName>
    <definedName name="заем_ср">#REF!</definedName>
    <definedName name="Зап" localSheetId="2">#REF!</definedName>
    <definedName name="Зап" localSheetId="10">#REF!</definedName>
    <definedName name="Зап">#REF!</definedName>
    <definedName name="Зап1" localSheetId="2">#REF!</definedName>
    <definedName name="Зап1" localSheetId="10">#REF!</definedName>
    <definedName name="Зап1">#REF!</definedName>
    <definedName name="ЗАПЧАСТИ" localSheetId="2">#REF!</definedName>
    <definedName name="ЗАПЧАСТИ" localSheetId="10">#REF!</definedName>
    <definedName name="ЗАПЧАСТИ">#REF!</definedName>
    <definedName name="ЗАТРАТЫ_ИТОГО" localSheetId="2">#REF!</definedName>
    <definedName name="ЗАТРАТЫ_ИТОГО" localSheetId="10">#REF!</definedName>
    <definedName name="ЗАТРАТЫ_ИТОГО">#REF!</definedName>
    <definedName name="ЗАТРАТЫ_НА_ГЕРБИЦИДЫ" localSheetId="2">#REF!</definedName>
    <definedName name="ЗАТРАТЫ_НА_ГЕРБИЦИДЫ" localSheetId="10">#REF!</definedName>
    <definedName name="ЗАТРАТЫ_НА_ГЕРБИЦИДЫ">#REF!</definedName>
    <definedName name="ЗАТРАТЫ_НА_ГСМ" localSheetId="2">#REF!</definedName>
    <definedName name="ЗАТРАТЫ_НА_ГСМ" localSheetId="10">#REF!</definedName>
    <definedName name="ЗАТРАТЫ_НА_ГСМ">#REF!</definedName>
    <definedName name="ЗАТРАТЫ_НА_ПРОТРАВИТЕЛИ" localSheetId="2">#REF!</definedName>
    <definedName name="ЗАТРАТЫ_НА_ПРОТРАВИТЕЛИ" localSheetId="10">#REF!</definedName>
    <definedName name="ЗАТРАТЫ_НА_ПРОТРАВИТЕЛИ">#REF!</definedName>
    <definedName name="ЗАТРАТЫ_НА_УДОБРЕНИЯ" localSheetId="2">#REF!</definedName>
    <definedName name="ЗАТРАТЫ_НА_УДОБРЕНИЯ" localSheetId="10">#REF!</definedName>
    <definedName name="ЗАТРАТЫ_НА_УДОБРЕНИЯ">#REF!</definedName>
    <definedName name="ЗАТРАТЫ_НА_УСЛУГИ_МТС" localSheetId="2">#REF!</definedName>
    <definedName name="ЗАТРАТЫ_НА_УСЛУГИ_МТС" localSheetId="10">#REF!</definedName>
    <definedName name="ЗАТРАТЫ_НА_УСЛУГИ_МТС">#REF!</definedName>
    <definedName name="ЗЕМ_НАЛОГ" localSheetId="2">#REF!</definedName>
    <definedName name="ЗЕМ_НАЛОГ" localSheetId="10">#REF!</definedName>
    <definedName name="ЗЕМ_НАЛОГ">#REF!</definedName>
    <definedName name="зщшзщзщш" localSheetId="2">#REF!,#REF!,#REF!,#REF!,#REF!,#REF!,#REF!,#REF!,#REF!,#REF!,#REF!</definedName>
    <definedName name="зщшзщзщш" localSheetId="10">#REF!,#REF!,#REF!,#REF!,#REF!,#REF!,#REF!,#REF!,#REF!,#REF!,#REF!</definedName>
    <definedName name="зщшзщзщш">#REF!,#REF!,#REF!,#REF!,#REF!,#REF!,#REF!,#REF!,#REF!,#REF!,#REF!</definedName>
    <definedName name="имя" localSheetId="2">#REF!</definedName>
    <definedName name="имя" localSheetId="10">#REF!</definedName>
    <definedName name="имя">#REF!</definedName>
    <definedName name="ИМЯ_КФХ" localSheetId="2">#REF!</definedName>
    <definedName name="ИМЯ_КФХ" localSheetId="10">#REF!</definedName>
    <definedName name="ИМЯ_КФХ">#REF!</definedName>
    <definedName name="Инт" localSheetId="2">#REF!</definedName>
    <definedName name="Инт" localSheetId="10">#REF!</definedName>
    <definedName name="Инт">#REF!</definedName>
    <definedName name="ИТОГО_ПЛОЩАДЬ" localSheetId="2">#REF!</definedName>
    <definedName name="ИТОГО_ПЛОЩАДЬ" localSheetId="10">#REF!</definedName>
    <definedName name="ИТОГО_ПЛОЩАДЬ">#REF!</definedName>
    <definedName name="й">'[18]Деб-Кр-ком'!$K$1</definedName>
    <definedName name="к" localSheetId="2">#REF!</definedName>
    <definedName name="к" localSheetId="10">#REF!</definedName>
    <definedName name="к">#REF!</definedName>
    <definedName name="К_1">[13]основной!$B$184</definedName>
    <definedName name="кардамон">[13]основной!$B$234</definedName>
    <definedName name="КОЛИЧЕСТВО_КУЛЬТИВАЦИЙ_ПАРА" localSheetId="2">#REF!</definedName>
    <definedName name="КОЛИЧЕСТВО_КУЛЬТИВАЦИЙ_ПАРА" localSheetId="10">#REF!</definedName>
    <definedName name="КОЛИЧЕСТВО_КУЛЬТИВАЦИЙ_ПАРА">#REF!</definedName>
    <definedName name="кориандр">[13]основной!$B$233</definedName>
    <definedName name="Кредит_перераб" localSheetId="2">[19]Общ_Д!#REF!</definedName>
    <definedName name="Кредит_перераб" localSheetId="10">[19]Общ_Д!#REF!</definedName>
    <definedName name="Кредит_перераб">[19]Общ_Д!#REF!</definedName>
    <definedName name="Кредит_произв" localSheetId="2">[19]Общ_Д!#REF!</definedName>
    <definedName name="Кредит_произв" localSheetId="10">[19]Общ_Д!#REF!</definedName>
    <definedName name="Кредит_произв">[19]Общ_Д!#REF!</definedName>
    <definedName name="Кредит_производство" localSheetId="2">[19]Общ_Д!#REF!</definedName>
    <definedName name="Кредит_производство" localSheetId="10">[19]Общ_Д!#REF!</definedName>
    <definedName name="Кредит_производство">[19]Общ_Д!#REF!</definedName>
    <definedName name="кредит2" localSheetId="2">#REF!</definedName>
    <definedName name="кредит2" localSheetId="10">#REF!</definedName>
    <definedName name="кредит2">#REF!</definedName>
    <definedName name="кроста" localSheetId="2">#REF!</definedName>
    <definedName name="кроста" localSheetId="10">#REF!</definedName>
    <definedName name="кроста">#REF!</definedName>
    <definedName name="культ" localSheetId="10">'[16]ГЛАВНАЯ СТРАНИЦА'!$I$22</definedName>
    <definedName name="культ">'[17]ГЛАВНАЯ СТРАНИЦА'!$I$22</definedName>
    <definedName name="КУЛЬТУРА_1" localSheetId="10">'[20]старый шаблон '!$I$20</definedName>
    <definedName name="КУЛЬТУРА_1">'старый шаблон '!$I$20</definedName>
    <definedName name="КУЛЬТУРА_10" localSheetId="10">'[20]старый шаблон '!$I$38</definedName>
    <definedName name="КУЛЬТУРА_10">'старый шаблон '!$I$38</definedName>
    <definedName name="КУЛЬТУРА_2" localSheetId="10">'[20]старый шаблон '!$I$22</definedName>
    <definedName name="КУЛЬТУРА_2">'старый шаблон '!$I$22</definedName>
    <definedName name="КУЛЬТУРА_3" localSheetId="10">'[20]старый шаблон '!$I$24</definedName>
    <definedName name="КУЛЬТУРА_3">'старый шаблон '!$I$24</definedName>
    <definedName name="КУЛЬТУРА_4" localSheetId="10">'[20]старый шаблон '!$I$26</definedName>
    <definedName name="КУЛЬТУРА_4">'старый шаблон '!$I$26</definedName>
    <definedName name="КУЛЬТУРА_5" localSheetId="10">'[20]старый шаблон '!$I$28</definedName>
    <definedName name="КУЛЬТУРА_5">'старый шаблон '!$I$28</definedName>
    <definedName name="КУЛЬТУРА_6" localSheetId="10">'[20]старый шаблон '!$I$30</definedName>
    <definedName name="КУЛЬТУРА_6">'старый шаблон '!$I$30</definedName>
    <definedName name="КУЛЬТУРА_7" localSheetId="10">'[20]старый шаблон '!$I$32</definedName>
    <definedName name="КУЛЬТУРА_7">'старый шаблон '!$I$32</definedName>
    <definedName name="КУЛЬТУРА_8" localSheetId="10">'[20]старый шаблон '!$I$34</definedName>
    <definedName name="КУЛЬТУРА_8">'старый шаблон '!$I$34</definedName>
    <definedName name="КУЛЬТУРА_9" localSheetId="10">'[20]старый шаблон '!$I$36</definedName>
    <definedName name="КУЛЬТУРА_9">'старый шаблон '!$I$36</definedName>
    <definedName name="КУРС" localSheetId="2">#REF!</definedName>
    <definedName name="КУРС" localSheetId="10">#REF!</definedName>
    <definedName name="КУРС">#REF!</definedName>
    <definedName name="Курс_доллара" localSheetId="2">#REF!</definedName>
    <definedName name="Курс_доллара" localSheetId="10">#REF!</definedName>
    <definedName name="Курс_доллара">#REF!</definedName>
    <definedName name="кутизин">[13]основной!$D$334</definedName>
    <definedName name="м">'[18]Деб-Кр-ком'!$K$1</definedName>
    <definedName name="М.Жумабаева" localSheetId="9">'Справочник районов'!$B$18:$B$37</definedName>
    <definedName name="МОВ" localSheetId="2">#REF!</definedName>
    <definedName name="МОВ" localSheetId="10">#REF!</definedName>
    <definedName name="МОВ">#REF!</definedName>
    <definedName name="молоко_корм" localSheetId="2">#REF!</definedName>
    <definedName name="молоко_корм" localSheetId="10">#REF!</definedName>
    <definedName name="молоко_корм">#REF!</definedName>
    <definedName name="мука_вс">[13]основной!$B$245</definedName>
    <definedName name="мускатный_орех">[13]основной!$B$244</definedName>
    <definedName name="н" localSheetId="10">'[16]ГЛАВНАЯ СТРАНИЦА'!$I$32</definedName>
    <definedName name="н">'[17]ГЛАВНАЯ СТРАНИЦА'!$I$32</definedName>
    <definedName name="начисл_зарплата">'[9]Цены и тарифы'!$B$63</definedName>
    <definedName name="нгекнекн" localSheetId="2">#REF!,#REF!,#REF!,#REF!</definedName>
    <definedName name="нгекнекн" localSheetId="10">#REF!,#REF!,#REF!,#REF!</definedName>
    <definedName name="нгекнекн">#REF!,#REF!,#REF!,#REF!</definedName>
    <definedName name="нгопр" localSheetId="2">'Доходы от животноводства'!Annual_interest_rate/'Доходы от животноводства'!Payments_per_year</definedName>
    <definedName name="нгопр" localSheetId="10">'затраты на 1 га'!Annual_interest_rate/'затраты на 1 га'!Payments_per_year</definedName>
    <definedName name="нгопр">[0]!Annual_interest_rate/[0]!Payments_per_year</definedName>
    <definedName name="НДС">0.44</definedName>
    <definedName name="невневнев" localSheetId="2">#REF!</definedName>
    <definedName name="невневнев" localSheetId="10">#REF!</definedName>
    <definedName name="невневнев">#REF!</definedName>
    <definedName name="нет" localSheetId="0">'Главная страница'!$AA$7:$AA$30</definedName>
    <definedName name="Нет_">'Главная страница'!$AG$10:$AG$86</definedName>
    <definedName name="Нетт" localSheetId="0">'Главная страница'!#REF!</definedName>
    <definedName name="нитрит_натрия">[13]основной!$B$248</definedName>
    <definedName name="НПр" localSheetId="2">#REF!</definedName>
    <definedName name="НПр" localSheetId="10">#REF!</definedName>
    <definedName name="НПр">#REF!</definedName>
    <definedName name="НПр1" localSheetId="2">#REF!</definedName>
    <definedName name="НПр1" localSheetId="10">#REF!</definedName>
    <definedName name="НПр1">#REF!</definedName>
    <definedName name="ОБЛАСТЬ" localSheetId="10">'[20]старый шаблон '!$D$7</definedName>
    <definedName name="ОБЛАСТЬ">'старый шаблон '!$D$7</definedName>
    <definedName name="_xlnm.Print_Area" localSheetId="0">'Главная страница'!$B$2:$Q$108</definedName>
    <definedName name="_xlnm.Print_Area" localSheetId="8">'старый шаблон '!$B$2:$P$87</definedName>
    <definedName name="ОВЕС_КФХ" localSheetId="2">#REF!</definedName>
    <definedName name="ОВЕС_КФХ" localSheetId="10">#REF!</definedName>
    <definedName name="ОВЕС_КФХ">#REF!</definedName>
    <definedName name="ОВЕС_ПЛОЩАДЬ" localSheetId="2">#REF!</definedName>
    <definedName name="ОВЕС_ПЛОЩАДЬ" localSheetId="10">#REF!</definedName>
    <definedName name="ОВЕС_ПЛОЩАДЬ">#REF!</definedName>
    <definedName name="отрасль">[5]Б1!$B$6</definedName>
    <definedName name="п" localSheetId="2">#REF!</definedName>
    <definedName name="п" localSheetId="10">#REF!</definedName>
    <definedName name="п">#REF!</definedName>
    <definedName name="П1" localSheetId="2">#REF!</definedName>
    <definedName name="П1" localSheetId="10">#REF!</definedName>
    <definedName name="П1">#REF!</definedName>
    <definedName name="П2" localSheetId="2">#REF!</definedName>
    <definedName name="П2" localSheetId="10">#REF!</definedName>
    <definedName name="П2">#REF!</definedName>
    <definedName name="ПАР_ПЛОЩАДЬ" localSheetId="2">#REF!</definedName>
    <definedName name="ПАР_ПЛОЩАДЬ" localSheetId="10">#REF!</definedName>
    <definedName name="ПАР_ПЛОЩАДЬ">#REF!</definedName>
    <definedName name="первая_выплата" localSheetId="2">#REF!</definedName>
    <definedName name="первая_выплата" localSheetId="10">#REF!</definedName>
    <definedName name="первая_выплата">#REF!</definedName>
    <definedName name="перец_душистый">[13]основной!$B$255</definedName>
    <definedName name="перец_черный">[13]основной!$B$254</definedName>
    <definedName name="ПерЗ1" localSheetId="2">#REF!</definedName>
    <definedName name="ПерЗ1" localSheetId="10">#REF!</definedName>
    <definedName name="ПерЗ1">#REF!</definedName>
    <definedName name="план" localSheetId="10"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2">#REF!</definedName>
    <definedName name="План_производства" localSheetId="10">#REF!</definedName>
    <definedName name="План_производства">#REF!</definedName>
    <definedName name="ПЛАТЕЖ_ДРУГИЕ" localSheetId="2">#REF!</definedName>
    <definedName name="ПЛАТЕЖ_ДРУГИЕ" localSheetId="10">#REF!</definedName>
    <definedName name="ПЛАТЕЖ_ДРУГИЕ">#REF!</definedName>
    <definedName name="ПЛАТЕЖ_КАФ" localSheetId="2">#REF!</definedName>
    <definedName name="ПЛАТЕЖ_КАФ" localSheetId="10">#REF!</definedName>
    <definedName name="ПЛАТЕЖ_КАФ">#REF!</definedName>
    <definedName name="площ" localSheetId="2">#REF!</definedName>
    <definedName name="площ" localSheetId="10">#REF!</definedName>
    <definedName name="площ">#REF!</definedName>
    <definedName name="полевод_рост" localSheetId="2">#REF!</definedName>
    <definedName name="полевод_рост" localSheetId="10">#REF!</definedName>
    <definedName name="полевод_рост">#REF!</definedName>
    <definedName name="пос_год" localSheetId="2">#REF!</definedName>
    <definedName name="пос_год" localSheetId="10">#REF!</definedName>
    <definedName name="пос_год">#REF!</definedName>
    <definedName name="ПОсД1" localSheetId="2">#REF!</definedName>
    <definedName name="ПОсД1" localSheetId="10">#REF!</definedName>
    <definedName name="ПОсД1">#REF!</definedName>
    <definedName name="ПОСЕВНАЯ_ПЛОЩАДЬ" localSheetId="2">#REF!</definedName>
    <definedName name="ПОСЕВНАЯ_ПЛОЩАДЬ" localSheetId="10">#REF!</definedName>
    <definedName name="ПОСЕВНАЯ_ПЛОЩАДЬ">#REF!</definedName>
    <definedName name="ПостЗ1" localSheetId="2">#REF!</definedName>
    <definedName name="ПостЗ1" localSheetId="10">#REF!</definedName>
    <definedName name="ПостЗ1">#REF!</definedName>
    <definedName name="ПОСТОЯННЫЕ_РАБОТНИКИ" localSheetId="2">#REF!</definedName>
    <definedName name="ПОСТОЯННЫЕ_РАБОТНИКИ" localSheetId="10">#REF!</definedName>
    <definedName name="ПОСТОЯННЫЕ_РАБОТНИКИ">#REF!</definedName>
    <definedName name="Пр" localSheetId="10" hidden="1">{"assets",#N/A,FALSE,"historicBS";"liab",#N/A,FALSE,"historicBS";"is",#N/A,FALSE,"historicIS";"ratios",#N/A,FALSE,"ratios"}</definedName>
    <definedName name="Пр" hidden="1">{"assets",#N/A,FALSE,"historicBS";"liab",#N/A,FALSE,"historicBS";"is",#N/A,FALSE,"historicIS";"ratios",#N/A,FALSE,"ratios"}</definedName>
    <definedName name="продажиап" localSheetId="10" hidden="1">{"glc1",#N/A,FALSE,"GLC";"glc2",#N/A,FALSE,"GLC";"glc3",#N/A,FALSE,"GLC";"glc4",#N/A,FALSE,"GLC";"glc5",#N/A,FALSE,"GLC"}</definedName>
    <definedName name="продажиап" hidden="1">{"glc1",#N/A,FALSE,"GLC";"glc2",#N/A,FALSE,"GLC";"glc3",#N/A,FALSE,"GLC";"glc4",#N/A,FALSE,"GLC";"glc5",#N/A,FALSE,"GLC"}</definedName>
    <definedName name="пролдывоа" localSheetId="10"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2">#REF!</definedName>
    <definedName name="ПРОТРАВИТЕЛИ" localSheetId="10">#REF!</definedName>
    <definedName name="ПРОТРАВИТЕЛИ">#REF!</definedName>
    <definedName name="проц" localSheetId="2">#REF!</definedName>
    <definedName name="проц" localSheetId="10">#REF!</definedName>
    <definedName name="проц">#REF!</definedName>
    <definedName name="процент" localSheetId="2">#REF!</definedName>
    <definedName name="процент" localSheetId="10">#REF!</definedName>
    <definedName name="процент">#REF!</definedName>
    <definedName name="процент_мес" localSheetId="2">#REF!</definedName>
    <definedName name="процент_мес" localSheetId="10">#REF!</definedName>
    <definedName name="процент_мес">#REF!</definedName>
    <definedName name="Процент_реализ" localSheetId="2">#REF!</definedName>
    <definedName name="Процент_реализ" localSheetId="10">#REF!</definedName>
    <definedName name="Процент_реализ">#REF!</definedName>
    <definedName name="Проч" localSheetId="2">#REF!</definedName>
    <definedName name="Проч" localSheetId="10">#REF!</definedName>
    <definedName name="Проч">#REF!</definedName>
    <definedName name="Проч1" localSheetId="2">#REF!</definedName>
    <definedName name="Проч1" localSheetId="10">#REF!</definedName>
    <definedName name="Проч1">#REF!</definedName>
    <definedName name="ПШЕНИЦА_КФХ" localSheetId="2">#REF!</definedName>
    <definedName name="ПШЕНИЦА_КФХ" localSheetId="10">#REF!</definedName>
    <definedName name="ПШЕНИЦА_КФХ">#REF!</definedName>
    <definedName name="ПШЕНИЦА_ПЛОЩАДЬ" localSheetId="2">#REF!</definedName>
    <definedName name="ПШЕНИЦА_ПЛОЩАДЬ" localSheetId="10">#REF!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2">[22]Форма2!#REF!,[22]Форма2!#REF!,[22]Форма2!$E$223:$F$230,[22]Форма2!$C$223:$C$230,[22]Форма2!$E$222:$F$222,[22]Форма2!$C$222,[22]Форма2!$E$216:$F$220,[22]Форма2!$C$216:$C$220,[22]Форма2!$E$205:$F$209,[22]Форма2!$C$205:$C$209,[22]Форма2!#REF!</definedName>
    <definedName name="раз8" localSheetId="10">[22]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2">#REF!</definedName>
    <definedName name="размер" localSheetId="10">#REF!</definedName>
    <definedName name="размер">#REF!</definedName>
    <definedName name="РАЙОН" localSheetId="2">#REF!</definedName>
    <definedName name="РАЙОН" localSheetId="10">#REF!</definedName>
    <definedName name="РАЙОН" localSheetId="8">'старый шаблон '!$D$9</definedName>
    <definedName name="РАЙОН">#REF!</definedName>
    <definedName name="РАСХОД_ГСМ" localSheetId="2">#REF!</definedName>
    <definedName name="РАСХОД_ГСМ" localSheetId="10">#REF!</definedName>
    <definedName name="РАСХОД_ГСМ">#REF!</definedName>
    <definedName name="С_1">[13]основной!$B$167</definedName>
    <definedName name="с28" localSheetId="2">#REF!</definedName>
    <definedName name="с28" localSheetId="10">#REF!</definedName>
    <definedName name="с28">#REF!</definedName>
    <definedName name="сахар">[13]основной!$B$265</definedName>
    <definedName name="свин" localSheetId="2">#REF!</definedName>
    <definedName name="свин" localSheetId="10">#REF!</definedName>
    <definedName name="свин">#REF!</definedName>
    <definedName name="СЕЗОННЫЕ_РАБОТНИКИ" localSheetId="2">#REF!</definedName>
    <definedName name="СЕЗОННЫЕ_РАБОТНИКИ" localSheetId="10">#REF!</definedName>
    <definedName name="СЕЗОННЫЕ_РАБОТНИКИ">#REF!</definedName>
    <definedName name="СЕМЕНА" localSheetId="2">#REF!</definedName>
    <definedName name="СЕМЕНА" localSheetId="10">#REF!</definedName>
    <definedName name="СЕМЕНА">#REF!</definedName>
    <definedName name="сливочная">'[13]кал(Б_Ж_Э)'!$E$55</definedName>
    <definedName name="смог">[13]основной!$B$289</definedName>
    <definedName name="соб_ср" localSheetId="2">#REF!</definedName>
    <definedName name="соб_ср" localSheetId="10">#REF!</definedName>
    <definedName name="соб_ср">#REF!</definedName>
    <definedName name="соевая_мука">[13]основной!$B$290</definedName>
    <definedName name="СРЕДНЯЯ_ЗАРПЛАТА" localSheetId="2">#REF!</definedName>
    <definedName name="СРЕДНЯЯ_ЗАРПЛАТА" localSheetId="10">#REF!</definedName>
    <definedName name="СРЕДНЯЯ_ЗАРПЛАТА">#REF!</definedName>
    <definedName name="срок_кредита" localSheetId="2">#REF!</definedName>
    <definedName name="срок_кредита" localSheetId="10">#REF!</definedName>
    <definedName name="срок_кредита">#REF!</definedName>
    <definedName name="срок_мес" localSheetId="2">#REF!</definedName>
    <definedName name="срок_мес" localSheetId="10">#REF!</definedName>
    <definedName name="срок_мес">#REF!</definedName>
    <definedName name="СрокПроекта" localSheetId="2">#REF!</definedName>
    <definedName name="СрокПроекта" localSheetId="10">#REF!</definedName>
    <definedName name="СрокПроекта">#REF!</definedName>
    <definedName name="стабилизатор">[13]основной!$B$295</definedName>
    <definedName name="ставка_лизинга" localSheetId="2">#REF!</definedName>
    <definedName name="ставка_лизинга" localSheetId="10">#REF!</definedName>
    <definedName name="ставка_лизинга">#REF!</definedName>
    <definedName name="ставка_страхования" localSheetId="2">#REF!</definedName>
    <definedName name="ставка_страхования" localSheetId="10">#REF!</definedName>
    <definedName name="ставка_страхования">#REF!</definedName>
    <definedName name="СтавкаПроцента1">'[23]L-1'!$B$3</definedName>
    <definedName name="сум" localSheetId="2">#REF!</definedName>
    <definedName name="сум" localSheetId="10">#REF!</definedName>
    <definedName name="сум">#REF!</definedName>
    <definedName name="сумма_лизинга" localSheetId="2">#REF!</definedName>
    <definedName name="сумма_лизинга" localSheetId="10">#REF!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2">#REF!</definedName>
    <definedName name="СчОпл" localSheetId="10">#REF!</definedName>
    <definedName name="СчОпл">#REF!</definedName>
    <definedName name="СчОпл1" localSheetId="2">#REF!</definedName>
    <definedName name="СчОпл1" localSheetId="10">#REF!</definedName>
    <definedName name="СчОпл1">#REF!</definedName>
    <definedName name="Сырье" localSheetId="2">#REF!</definedName>
    <definedName name="Сырье" localSheetId="10">#REF!</definedName>
    <definedName name="Сырье">#REF!</definedName>
    <definedName name="ТА1" localSheetId="2">#REF!</definedName>
    <definedName name="ТА1" localSheetId="10">#REF!</definedName>
    <definedName name="ТА1">#REF!</definedName>
    <definedName name="ТИП_ПОЧВЫ" localSheetId="2">#REF!</definedName>
    <definedName name="ТИП_ПОЧВЫ" localSheetId="10">#REF!</definedName>
    <definedName name="ТИП_ПОЧВЫ">#REF!</definedName>
    <definedName name="Тов" localSheetId="2">#REF!</definedName>
    <definedName name="Тов" localSheetId="10">#REF!</definedName>
    <definedName name="Тов">#REF!</definedName>
    <definedName name="Тов1" localSheetId="2">#REF!</definedName>
    <definedName name="Тов1" localSheetId="10">#REF!</definedName>
    <definedName name="Тов1">#REF!</definedName>
    <definedName name="ТовРеал1" localSheetId="2">#REF!</definedName>
    <definedName name="ТовРеал1" localSheetId="10">#REF!</definedName>
    <definedName name="ТовРеал1">#REF!</definedName>
    <definedName name="транспорт_раст">'[9]Прямые затраты'!$E$1</definedName>
    <definedName name="тринити" localSheetId="2">#REF!,#REF!,#REF!,#REF!,#REF!,#REF!,#REF!,#REF!,#REF!,#REF!,#REF!</definedName>
    <definedName name="тринити" localSheetId="10">#REF!,#REF!,#REF!,#REF!,#REF!,#REF!,#REF!,#REF!,#REF!,#REF!,#REF!</definedName>
    <definedName name="тринити">#REF!,#REF!,#REF!,#REF!,#REF!,#REF!,#REF!,#REF!,#REF!,#REF!,#REF!</definedName>
    <definedName name="у" localSheetId="10">'[16]ГЛАВНАЯ СТРАНИЦА'!$I$24</definedName>
    <definedName name="у">'[17]ГЛАВНАЯ СТРАНИЦА'!$I$24</definedName>
    <definedName name="уап" localSheetId="10"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2">#REF!</definedName>
    <definedName name="УК1" localSheetId="10">#REF!</definedName>
    <definedName name="УК1">#REF!</definedName>
    <definedName name="ф" localSheetId="2">#REF!</definedName>
    <definedName name="ф" localSheetId="10">#REF!</definedName>
    <definedName name="ф">#REF!</definedName>
    <definedName name="фабиос">[13]основной!$D$378</definedName>
    <definedName name="ферментированный">[13]основной!$B$260</definedName>
    <definedName name="ФИНАНСОВЫЙ_РЕЗУЛЬТАТ" localSheetId="2">#REF!</definedName>
    <definedName name="ФИНАНСОВЫЙ_РЕЗУЛЬТАТ" localSheetId="10">#REF!</definedName>
    <definedName name="ФИНАНСОВЫЙ_РЕЗУЛЬТАТ">#REF!</definedName>
    <definedName name="фляйшвурст">[13]основной!$B$303</definedName>
    <definedName name="форрорубио">[13]основной!$B$301</definedName>
    <definedName name="ФОСФОР" localSheetId="2">#REF!</definedName>
    <definedName name="ФОСФОР" localSheetId="10">#REF!</definedName>
    <definedName name="ФОСФОР">#REF!</definedName>
    <definedName name="ФОСФОРНЫЕ_ОСЕНЬЮ" localSheetId="2">#REF!</definedName>
    <definedName name="ФОСФОРНЫЕ_ОСЕНЬЮ" localSheetId="10">#REF!</definedName>
    <definedName name="ФОСФОРНЫЕ_ОСЕНЬЮ">#REF!</definedName>
    <definedName name="ФОСФОРНЫЕ_ПРИ_ПОСЕВЕ" localSheetId="2">#REF!</definedName>
    <definedName name="ФОСФОРНЫЕ_ПРИ_ПОСЕВЕ" localSheetId="10">#REF!</definedName>
    <definedName name="ФОСФОРНЫЕ_ПРИ_ПОСЕВЕ">#REF!</definedName>
    <definedName name="ФОТ" localSheetId="2">#REF!</definedName>
    <definedName name="ФОТ" localSheetId="10">#REF!</definedName>
    <definedName name="ФОТ">#REF!</definedName>
    <definedName name="фыв" localSheetId="2" hidden="1">#REF!</definedName>
    <definedName name="фыв" localSheetId="10" hidden="1">#REF!</definedName>
    <definedName name="фыв" hidden="1">#REF!</definedName>
    <definedName name="ФЬЮЧЕРСНЫЙ_КОНТРАКТ" localSheetId="2">#REF!</definedName>
    <definedName name="ФЬЮЧЕРСНЫЙ_КОНТРАКТ" localSheetId="10">#REF!</definedName>
    <definedName name="ФЬЮЧЕРСНЫЙ_КОНТРАКТ">#REF!</definedName>
    <definedName name="хшзхзш" localSheetId="2">#REF!,#REF!,#REF!,#REF!,#REF!,#REF!,#REF!,#REF!,#REF!</definedName>
    <definedName name="хшзхзш" localSheetId="10">#REF!,#REF!,#REF!,#REF!,#REF!,#REF!,#REF!,#REF!,#REF!</definedName>
    <definedName name="хшзхзш">#REF!,#REF!,#REF!,#REF!,#REF!,#REF!,#REF!,#REF!,#REF!</definedName>
    <definedName name="цена_баран" localSheetId="2">#REF!</definedName>
    <definedName name="цена_баран" localSheetId="10">#REF!</definedName>
    <definedName name="цена_баран">#REF!</definedName>
    <definedName name="Цена_бобов" localSheetId="2">[19]Дох!#REF!</definedName>
    <definedName name="Цена_бобов" localSheetId="10">[19]Дох!#REF!</definedName>
    <definedName name="Цена_бобов">[19]Дох!#REF!</definedName>
    <definedName name="цена_быка" localSheetId="2">#REF!</definedName>
    <definedName name="цена_быка" localSheetId="10">#REF!</definedName>
    <definedName name="цена_быка">#REF!</definedName>
    <definedName name="ЦЕНА_ГСМ" localSheetId="2">#REF!</definedName>
    <definedName name="ЦЕНА_ГСМ" localSheetId="10">#REF!</definedName>
    <definedName name="ЦЕНА_ГСМ">#REF!</definedName>
    <definedName name="цена_коровы" localSheetId="2">#REF!</definedName>
    <definedName name="цена_коровы" localSheetId="10">#REF!</definedName>
    <definedName name="цена_коровы">#REF!</definedName>
    <definedName name="цена_молодняк" localSheetId="2">#REF!</definedName>
    <definedName name="цена_молодняк" localSheetId="10">#REF!</definedName>
    <definedName name="цена_молодняк">#REF!</definedName>
    <definedName name="цена_овца" localSheetId="2">#REF!</definedName>
    <definedName name="цена_овца" localSheetId="10">#REF!</definedName>
    <definedName name="цена_овца">#REF!</definedName>
    <definedName name="цена_порос" localSheetId="2">#REF!</definedName>
    <definedName name="цена_порос" localSheetId="10">#REF!</definedName>
    <definedName name="цена_порос">#REF!</definedName>
    <definedName name="Цена_реал" localSheetId="2">#REF!</definedName>
    <definedName name="Цена_реал" localSheetId="10">#REF!</definedName>
    <definedName name="Цена_реал">#REF!</definedName>
    <definedName name="цена_свиномат" localSheetId="2">#REF!</definedName>
    <definedName name="цена_свиномат" localSheetId="10">#REF!</definedName>
    <definedName name="цена_свиномат">#REF!</definedName>
    <definedName name="цена_хряк" localSheetId="2">#REF!</definedName>
    <definedName name="цена_хряк" localSheetId="10">#REF!</definedName>
    <definedName name="цена_хряк">#REF!</definedName>
    <definedName name="цена_шерсть" localSheetId="2">#REF!</definedName>
    <definedName name="цена_шерсть" localSheetId="10">#REF!</definedName>
    <definedName name="цена_шерсть">#REF!</definedName>
    <definedName name="цена_ягненок" localSheetId="2">#REF!</definedName>
    <definedName name="цена_ягненок" localSheetId="10">#REF!</definedName>
    <definedName name="цена_ягненок">#REF!</definedName>
    <definedName name="черева_свин_38">[13]основной!$D$374</definedName>
    <definedName name="чеснок_св">[13]основной!$B$309</definedName>
    <definedName name="ЧИСТЫЙ_ВЕС" localSheetId="2">#REF!</definedName>
    <definedName name="ЧИСТЫЙ_ВЕС" localSheetId="10">#REF!</definedName>
    <definedName name="ЧИСТЫЙ_ВЕС">#REF!</definedName>
    <definedName name="ш" localSheetId="10">'[16]ГЛАВНАЯ СТРАНИЦА'!$I$36</definedName>
    <definedName name="ш">'[17]ГЛАВНАЯ СТРАНИЦА'!$I$36</definedName>
    <definedName name="шщхшощзшощз" localSheetId="2">[1]Assumptions!#REF!</definedName>
    <definedName name="шщхшощзшощз" localSheetId="10">[1]Assumptions!#REF!</definedName>
    <definedName name="шщхшощзшощз">[1]Assumptions!#REF!</definedName>
    <definedName name="щ" localSheetId="10">'[16]ГЛАВНАЯ СТРАНИЦА'!$I$38</definedName>
    <definedName name="щ">'[17]ГЛАВНАЯ СТРАНИЦА'!$I$38</definedName>
    <definedName name="щшгшщшг" localSheetId="2">#REF!,#REF!,#REF!,#REF!,#REF!,#REF!,#REF!,#REF!</definedName>
    <definedName name="щшгшщшг" localSheetId="10">#REF!,#REF!,#REF!,#REF!,#REF!,#REF!,#REF!,#REF!</definedName>
    <definedName name="щшгшщшг">#REF!,#REF!,#REF!,#REF!,#REF!,#REF!,#REF!,#REF!</definedName>
    <definedName name="ЭЖ">'[13]кал(Б_Ж_Э)'!$E$68</definedName>
    <definedName name="ЭЛЕВАТОР" localSheetId="2">#REF!</definedName>
    <definedName name="ЭЛЕВАТОР" localSheetId="10">#REF!</definedName>
    <definedName name="ЭЛЕВАТОР">#REF!</definedName>
    <definedName name="ЭШ">'[13]кал(Б_Ж_Э)'!$E$32</definedName>
    <definedName name="ЯЧМЕНЬ_КФХ" localSheetId="2">#REF!</definedName>
    <definedName name="ЯЧМЕНЬ_КФХ" localSheetId="10">#REF!</definedName>
    <definedName name="ЯЧМЕНЬ_КФХ">#REF!</definedName>
    <definedName name="ЯЧМЕНЬ_ПЛОЩАДЬ" localSheetId="2">#REF!</definedName>
    <definedName name="ЯЧМЕНЬ_ПЛОЩАДЬ" localSheetId="10">#REF!</definedName>
    <definedName name="ЯЧМЕНЬ_ПЛОЩАДЬ">#REF!</definedName>
  </definedNames>
  <calcPr calcId="191029" refMode="R1C1"/>
</workbook>
</file>

<file path=xl/calcChain.xml><?xml version="1.0" encoding="utf-8"?>
<calcChain xmlns="http://schemas.openxmlformats.org/spreadsheetml/2006/main">
  <c r="F78" i="55" l="1"/>
  <c r="O9" i="55" l="1"/>
  <c r="D62" i="55" l="1"/>
  <c r="L28" i="55"/>
  <c r="L22" i="55"/>
  <c r="L21" i="55"/>
  <c r="L20" i="55"/>
  <c r="L23" i="55" l="1"/>
  <c r="L24" i="55"/>
  <c r="L25" i="55"/>
  <c r="L26" i="55"/>
  <c r="L27" i="55"/>
  <c r="L29" i="55"/>
  <c r="H21" i="55"/>
  <c r="I21" i="55" s="1"/>
  <c r="H22" i="55"/>
  <c r="I22" i="55" s="1"/>
  <c r="H23" i="55"/>
  <c r="I23" i="55" s="1"/>
  <c r="H24" i="55"/>
  <c r="I24" i="55" s="1"/>
  <c r="H25" i="55"/>
  <c r="I25" i="55" s="1"/>
  <c r="H26" i="55"/>
  <c r="I26" i="55" s="1"/>
  <c r="H27" i="55"/>
  <c r="I27" i="55" s="1"/>
  <c r="H28" i="55"/>
  <c r="I28" i="55" s="1"/>
  <c r="H29" i="55"/>
  <c r="I29" i="55" s="1"/>
  <c r="H20" i="55"/>
  <c r="I20" i="55" s="1"/>
  <c r="E32" i="55" l="1"/>
  <c r="L30" i="55"/>
  <c r="H96" i="55" s="1"/>
  <c r="H98" i="55" s="1"/>
  <c r="H30" i="55"/>
  <c r="I30" i="55"/>
  <c r="D30" i="55"/>
  <c r="M13" i="55" l="1"/>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L32" i="55" l="1"/>
  <c r="H89" i="55"/>
  <c r="F89" i="55"/>
  <c r="D89" i="55"/>
  <c r="N56" i="55" l="1"/>
  <c r="P56" i="55" s="1"/>
  <c r="N58" i="55"/>
  <c r="P58" i="55" s="1"/>
  <c r="N60" i="55"/>
  <c r="P60" i="55" s="1"/>
  <c r="N54" i="55"/>
  <c r="P54" i="55" s="1"/>
  <c r="N52" i="55"/>
  <c r="P52" i="55" s="1"/>
  <c r="N50" i="55"/>
  <c r="P50" i="55" s="1"/>
  <c r="N48" i="55"/>
  <c r="P48" i="55" s="1"/>
  <c r="N46" i="55"/>
  <c r="P46" i="55" s="1"/>
  <c r="N44" i="55"/>
  <c r="P44" i="55" s="1"/>
  <c r="N42" i="55"/>
  <c r="P42" i="55" s="1"/>
  <c r="N40" i="55"/>
  <c r="G34" i="59" l="1"/>
  <c r="F34" i="59" s="1"/>
  <c r="G33" i="59"/>
  <c r="F33" i="59" s="1"/>
  <c r="G32" i="59"/>
  <c r="F32" i="59" s="1"/>
  <c r="G31" i="59"/>
  <c r="F31" i="59" s="1"/>
  <c r="G30" i="59"/>
  <c r="G29" i="59"/>
  <c r="C11" i="59"/>
  <c r="J79" i="55" l="1"/>
  <c r="K79" i="55"/>
  <c r="J80" i="55"/>
  <c r="K80" i="55"/>
  <c r="J81" i="55"/>
  <c r="K81" i="55"/>
  <c r="J82" i="55"/>
  <c r="K82" i="55"/>
  <c r="J83" i="55"/>
  <c r="K83" i="55"/>
  <c r="J84" i="55"/>
  <c r="K84" i="55"/>
  <c r="J85" i="55"/>
  <c r="K85" i="55"/>
  <c r="K78" i="55"/>
  <c r="J78" i="55"/>
  <c r="I79" i="55" l="1"/>
  <c r="I80" i="55"/>
  <c r="I81" i="55"/>
  <c r="I82" i="55"/>
  <c r="I83" i="55"/>
  <c r="I84" i="55"/>
  <c r="I85" i="55"/>
  <c r="I78" i="55"/>
  <c r="P79" i="55"/>
  <c r="P80" i="55"/>
  <c r="P81" i="55"/>
  <c r="P82" i="55"/>
  <c r="P83" i="55"/>
  <c r="P78" i="55"/>
  <c r="O79" i="55"/>
  <c r="O80" i="55"/>
  <c r="O81" i="55"/>
  <c r="O82" i="55"/>
  <c r="O83" i="55"/>
  <c r="O78" i="55"/>
  <c r="G20" i="59"/>
  <c r="G19" i="59"/>
  <c r="G21" i="59"/>
  <c r="F21" i="59" s="1"/>
  <c r="G18" i="59"/>
  <c r="C22" i="59"/>
  <c r="G22" i="59" s="1"/>
  <c r="F22" i="59" s="1"/>
  <c r="E18" i="59" s="1"/>
  <c r="N79" i="55"/>
  <c r="N80" i="55"/>
  <c r="N81" i="55"/>
  <c r="N82" i="55"/>
  <c r="N83" i="55"/>
  <c r="N78" i="55"/>
  <c r="F79" i="55"/>
  <c r="F80" i="55"/>
  <c r="F81" i="55"/>
  <c r="F82" i="55"/>
  <c r="F83" i="55"/>
  <c r="F84" i="55"/>
  <c r="F85" i="55"/>
  <c r="E79" i="55"/>
  <c r="E80" i="55"/>
  <c r="E81" i="55"/>
  <c r="E82" i="55"/>
  <c r="E83" i="55"/>
  <c r="E84" i="55"/>
  <c r="E85" i="55"/>
  <c r="E78" i="55"/>
  <c r="G5" i="59"/>
  <c r="D85" i="55"/>
  <c r="D84" i="55"/>
  <c r="D83" i="55"/>
  <c r="D82" i="55"/>
  <c r="D81" i="55"/>
  <c r="D80" i="55"/>
  <c r="D79" i="55"/>
  <c r="D78" i="55"/>
  <c r="G6" i="59"/>
  <c r="G7" i="59"/>
  <c r="G8" i="59"/>
  <c r="F8" i="59" s="1"/>
  <c r="G9" i="59"/>
  <c r="F9" i="59" s="1"/>
  <c r="G10" i="59"/>
  <c r="F10" i="59" s="1"/>
  <c r="F7" i="59" l="1"/>
  <c r="E5" i="59" s="1"/>
  <c r="C23" i="59"/>
  <c r="G23" i="59" s="1"/>
  <c r="F23" i="59" s="1"/>
  <c r="L10" i="60" l="1"/>
  <c r="B171" i="54"/>
  <c r="B166" i="54"/>
  <c r="B162" i="54"/>
  <c r="B161" i="54"/>
  <c r="A160" i="54"/>
  <c r="N65" i="55"/>
  <c r="M65" i="55"/>
  <c r="B148" i="54"/>
  <c r="B147" i="54"/>
  <c r="B138" i="54"/>
  <c r="B134" i="54"/>
  <c r="A146" i="54"/>
  <c r="L65" i="55"/>
  <c r="K65" i="55"/>
  <c r="J65" i="55"/>
  <c r="I65" i="55"/>
  <c r="E19" i="59"/>
  <c r="O84" i="55"/>
  <c r="P84" i="55"/>
  <c r="N84" i="55"/>
  <c r="J86" i="55"/>
  <c r="K86" i="55"/>
  <c r="I86" i="55"/>
  <c r="F86"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L40" i="55"/>
  <c r="P40" i="55" s="1"/>
  <c r="B22" i="54" s="1"/>
  <c r="B18" i="49"/>
  <c r="B21" i="49"/>
  <c r="B22" i="49"/>
  <c r="D65" i="55"/>
  <c r="C48" i="48"/>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5" i="55"/>
  <c r="G65" i="55"/>
  <c r="F65" i="55"/>
  <c r="E65" i="55"/>
  <c r="E20" i="48"/>
  <c r="E23" i="48" s="1"/>
  <c r="F14" i="56"/>
  <c r="B3" i="57"/>
  <c r="B64" i="54"/>
  <c r="B36" i="54"/>
  <c r="M10" i="48"/>
  <c r="B6" i="54"/>
  <c r="J6" i="54" s="1"/>
  <c r="D22" i="48"/>
  <c r="K6" i="56"/>
  <c r="K7" i="56"/>
  <c r="J38" i="48" s="1"/>
  <c r="K8" i="56"/>
  <c r="K9" i="56"/>
  <c r="K10" i="56"/>
  <c r="K11" i="56"/>
  <c r="K12" i="56"/>
  <c r="K13" i="56"/>
  <c r="K14" i="56"/>
  <c r="K15" i="56"/>
  <c r="K16" i="56"/>
  <c r="K17" i="56"/>
  <c r="K18" i="56"/>
  <c r="K19" i="56"/>
  <c r="K20" i="56"/>
  <c r="K21" i="56"/>
  <c r="K22" i="56"/>
  <c r="K23" i="56"/>
  <c r="K24" i="56"/>
  <c r="K5" i="56"/>
  <c r="J6" i="56"/>
  <c r="J7" i="56"/>
  <c r="J36" i="48" s="1"/>
  <c r="J8" i="56"/>
  <c r="J9" i="56"/>
  <c r="J10" i="56"/>
  <c r="J11" i="56"/>
  <c r="J12" i="56"/>
  <c r="J13" i="56"/>
  <c r="J14" i="56"/>
  <c r="J15" i="56"/>
  <c r="J16" i="56"/>
  <c r="J17" i="56"/>
  <c r="J18" i="56"/>
  <c r="J19" i="56"/>
  <c r="J20" i="56"/>
  <c r="J21" i="56"/>
  <c r="J22" i="56"/>
  <c r="J23" i="56"/>
  <c r="J24" i="56"/>
  <c r="J5" i="56"/>
  <c r="I6" i="56"/>
  <c r="I7" i="56"/>
  <c r="J34" i="48" s="1"/>
  <c r="I8" i="56"/>
  <c r="I9" i="56"/>
  <c r="I10" i="56"/>
  <c r="I11" i="56"/>
  <c r="I12" i="56"/>
  <c r="I13" i="56"/>
  <c r="I14" i="56"/>
  <c r="I15" i="56"/>
  <c r="I16" i="56"/>
  <c r="I17" i="56"/>
  <c r="I18" i="56"/>
  <c r="I19" i="56"/>
  <c r="I20" i="56"/>
  <c r="I21" i="56"/>
  <c r="I22" i="56"/>
  <c r="I23" i="56"/>
  <c r="I24" i="56"/>
  <c r="I5" i="56"/>
  <c r="H6" i="56"/>
  <c r="H7" i="56"/>
  <c r="J32" i="48" s="1"/>
  <c r="H8" i="56"/>
  <c r="H9" i="56"/>
  <c r="H10" i="56"/>
  <c r="H11" i="56"/>
  <c r="H12" i="56"/>
  <c r="H13" i="56"/>
  <c r="H14" i="56"/>
  <c r="H15" i="56"/>
  <c r="H16" i="56"/>
  <c r="H17" i="56"/>
  <c r="H18" i="56"/>
  <c r="H19" i="56"/>
  <c r="H20" i="56"/>
  <c r="H21" i="56"/>
  <c r="H22" i="56"/>
  <c r="H23" i="56"/>
  <c r="H24" i="56"/>
  <c r="H5" i="56"/>
  <c r="G6" i="56"/>
  <c r="G7" i="56"/>
  <c r="J30" i="48" s="1"/>
  <c r="G8" i="56"/>
  <c r="G9" i="56"/>
  <c r="G10" i="56"/>
  <c r="G11" i="56"/>
  <c r="G12" i="56"/>
  <c r="G13" i="56"/>
  <c r="G14" i="56"/>
  <c r="G15" i="56"/>
  <c r="G16" i="56"/>
  <c r="G17" i="56"/>
  <c r="G18" i="56"/>
  <c r="G19" i="56"/>
  <c r="G20" i="56"/>
  <c r="G21" i="56"/>
  <c r="G22" i="56"/>
  <c r="G23" i="56"/>
  <c r="G24" i="56"/>
  <c r="G5" i="56"/>
  <c r="F6" i="56"/>
  <c r="F7" i="56"/>
  <c r="J28" i="48" s="1"/>
  <c r="F8" i="56"/>
  <c r="F9" i="56"/>
  <c r="F10" i="56"/>
  <c r="F11" i="56"/>
  <c r="F12" i="56"/>
  <c r="F13" i="56"/>
  <c r="F15" i="56"/>
  <c r="F16" i="56"/>
  <c r="F17" i="56"/>
  <c r="F18" i="56"/>
  <c r="F19" i="56"/>
  <c r="F20" i="56"/>
  <c r="F21" i="56"/>
  <c r="F22" i="56"/>
  <c r="F23" i="56"/>
  <c r="F24" i="56"/>
  <c r="F5" i="56"/>
  <c r="E6" i="56"/>
  <c r="E7" i="56"/>
  <c r="J26" i="48" s="1"/>
  <c r="E8" i="56"/>
  <c r="E9" i="56"/>
  <c r="E10" i="56"/>
  <c r="E11" i="56"/>
  <c r="E12" i="56"/>
  <c r="E13" i="56"/>
  <c r="E14" i="56"/>
  <c r="E15" i="56"/>
  <c r="E16" i="56"/>
  <c r="E17" i="56"/>
  <c r="E18" i="56"/>
  <c r="E19" i="56"/>
  <c r="E20" i="56"/>
  <c r="E21" i="56"/>
  <c r="E22" i="56"/>
  <c r="E23" i="56"/>
  <c r="E24" i="56"/>
  <c r="E5" i="56"/>
  <c r="D24" i="56"/>
  <c r="B4" i="56"/>
  <c r="D25" i="48"/>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M70" i="48"/>
  <c r="L70" i="48"/>
  <c r="K70" i="48"/>
  <c r="J70" i="48"/>
  <c r="I70" i="48"/>
  <c r="H70" i="48"/>
  <c r="G70" i="48"/>
  <c r="F70" i="48"/>
  <c r="E70" i="48"/>
  <c r="D70" i="48"/>
  <c r="H66" i="48"/>
  <c r="H64" i="48"/>
  <c r="H62" i="48"/>
  <c r="H60" i="48"/>
  <c r="H58" i="48"/>
  <c r="H56" i="48"/>
  <c r="H54" i="48"/>
  <c r="H52" i="48"/>
  <c r="H50" i="48"/>
  <c r="H48" i="48"/>
  <c r="C66" i="48"/>
  <c r="C64" i="48"/>
  <c r="C62" i="48"/>
  <c r="C60" i="48"/>
  <c r="C58" i="48"/>
  <c r="C56" i="48"/>
  <c r="C54" i="48"/>
  <c r="C52" i="48"/>
  <c r="C50" i="48"/>
  <c r="L30" i="48"/>
  <c r="L38" i="48"/>
  <c r="L36" i="48"/>
  <c r="L34" i="48"/>
  <c r="L26" i="48"/>
  <c r="L28" i="48"/>
  <c r="L24" i="48"/>
  <c r="L22" i="48"/>
  <c r="L20" i="48"/>
  <c r="B19" i="49"/>
  <c r="B20" i="49"/>
  <c r="B23" i="49"/>
  <c r="B24" i="49"/>
  <c r="B25" i="49"/>
  <c r="B26" i="49"/>
  <c r="B27" i="49"/>
  <c r="B28" i="49"/>
  <c r="B29" i="49"/>
  <c r="B30" i="49"/>
  <c r="B31" i="49"/>
  <c r="B32" i="49"/>
  <c r="B33" i="49"/>
  <c r="B34" i="49"/>
  <c r="B35" i="49"/>
  <c r="B36" i="49"/>
  <c r="B37" i="49"/>
  <c r="L32" i="48"/>
  <c r="E77" i="48"/>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J20" i="48"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J24" i="48"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J22" i="48"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B19" i="56"/>
  <c r="C83" i="48"/>
  <c r="E68" i="48"/>
  <c r="N38" i="48"/>
  <c r="N36" i="48"/>
  <c r="N34" i="48"/>
  <c r="N32" i="48"/>
  <c r="N30" i="48"/>
  <c r="N28" i="48"/>
  <c r="N26" i="48"/>
  <c r="N24" i="48"/>
  <c r="E24" i="48"/>
  <c r="N20" i="48"/>
  <c r="N22" i="48"/>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B167" i="54" l="1"/>
  <c r="B65" i="54"/>
  <c r="B55" i="54"/>
  <c r="B79" i="54"/>
  <c r="B81" i="54" s="1"/>
  <c r="B93" i="54"/>
  <c r="B163" i="54"/>
  <c r="C33" i="69"/>
  <c r="C29" i="69"/>
  <c r="G35" i="59"/>
  <c r="F35" i="59" s="1"/>
  <c r="E33" i="59" s="1"/>
  <c r="B38" i="54"/>
  <c r="B66" i="54" s="1"/>
  <c r="B94" i="54" s="1"/>
  <c r="B122" i="54" s="1"/>
  <c r="B150" i="54" s="1"/>
  <c r="C32" i="69"/>
  <c r="C36" i="69" s="1"/>
  <c r="F92" i="55" s="1"/>
  <c r="C37" i="59"/>
  <c r="G36" i="59"/>
  <c r="F36" i="59" s="1"/>
  <c r="E34" i="59" s="1"/>
  <c r="J34" i="59" s="1"/>
  <c r="B139" i="54"/>
  <c r="B83" i="54"/>
  <c r="B111" i="54"/>
  <c r="B153" i="54"/>
  <c r="B135" i="54"/>
  <c r="B27" i="54"/>
  <c r="B69" i="54"/>
  <c r="B107" i="54"/>
  <c r="B121" i="54"/>
  <c r="B97" i="54"/>
  <c r="B125" i="54"/>
  <c r="P26" i="48"/>
  <c r="B51" i="54"/>
  <c r="B53" i="54" s="1"/>
  <c r="P20" i="48"/>
  <c r="P34" i="48"/>
  <c r="P36" i="48"/>
  <c r="P30" i="48"/>
  <c r="J30" i="59"/>
  <c r="O24" i="59"/>
  <c r="H90" i="55" s="1"/>
  <c r="P32" i="48"/>
  <c r="B37" i="54"/>
  <c r="C24" i="59"/>
  <c r="J20" i="59"/>
  <c r="P22" i="48"/>
  <c r="E31" i="59"/>
  <c r="H37" i="59"/>
  <c r="P28" i="48"/>
  <c r="P38" i="48"/>
  <c r="B41" i="54"/>
  <c r="B149" i="54"/>
  <c r="B23" i="54"/>
  <c r="B25" i="54" s="1"/>
  <c r="P24" i="48"/>
  <c r="J18" i="59"/>
  <c r="J19" i="59"/>
  <c r="J22" i="59"/>
  <c r="J32" i="59"/>
  <c r="I75" i="48"/>
  <c r="I77" i="48" s="1"/>
  <c r="E26" i="48"/>
  <c r="B108" i="54"/>
  <c r="O37" i="59"/>
  <c r="F90" i="55" s="1"/>
  <c r="E8" i="59"/>
  <c r="J36" i="59" l="1"/>
  <c r="B56" i="54"/>
  <c r="B58" i="54" s="1"/>
  <c r="B60" i="54" s="1"/>
  <c r="B95" i="54"/>
  <c r="B98" i="54" s="1"/>
  <c r="B100" i="54" s="1"/>
  <c r="B102" i="54" s="1"/>
  <c r="B39" i="54"/>
  <c r="B42" i="54" s="1"/>
  <c r="B44" i="54" s="1"/>
  <c r="B46" i="54" s="1"/>
  <c r="B67" i="54"/>
  <c r="B70" i="54" s="1"/>
  <c r="B72" i="54" s="1"/>
  <c r="B74" i="54" s="1"/>
  <c r="J35" i="59"/>
  <c r="B123" i="54"/>
  <c r="B126" i="54" s="1"/>
  <c r="B128" i="54" s="1"/>
  <c r="B130" i="54" s="1"/>
  <c r="C37" i="69"/>
  <c r="H92"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E75" i="48" l="1"/>
  <c r="E79" i="48" s="1"/>
  <c r="M82" i="48" s="1"/>
  <c r="J24" i="59"/>
  <c r="E24" i="59"/>
  <c r="D86" i="55"/>
  <c r="G11" i="59" l="1"/>
  <c r="F11" i="59" s="1"/>
  <c r="E9" i="59" s="1"/>
  <c r="C23" i="69"/>
  <c r="C27" i="69" s="1"/>
  <c r="C31" i="69" l="1"/>
  <c r="C12" i="59"/>
  <c r="C13" i="59" s="1"/>
  <c r="C35" i="69" l="1"/>
  <c r="G12" i="59"/>
  <c r="C38" i="69" l="1"/>
  <c r="D92" i="55"/>
  <c r="J92" i="55" s="1"/>
  <c r="E98" i="55" s="1"/>
  <c r="F12" i="59"/>
  <c r="E10" i="59" s="1"/>
  <c r="J10" i="59" s="1"/>
  <c r="J11" i="59"/>
  <c r="G13" i="59"/>
  <c r="F13" i="59" l="1"/>
  <c r="J12" i="59"/>
  <c r="E13" i="59"/>
  <c r="J9" i="59"/>
  <c r="E86" i="55"/>
  <c r="J13" i="59" l="1"/>
  <c r="H13" i="59"/>
  <c r="O13" i="59"/>
  <c r="D90" i="55" s="1"/>
  <c r="J90" i="55" s="1"/>
  <c r="E96" i="55" s="1"/>
  <c r="O39" i="59" l="1"/>
  <c r="E100" i="55" s="1"/>
  <c r="M103" i="55" s="1"/>
  <c r="H111"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Багдат Сартаев</author>
    <author>Зарина Ахмеджанова</author>
  </authors>
  <commentList>
    <comment ref="O16" authorId="0" shapeId="0" xr:uid="{00000000-0006-0000-0000-000001000000}">
      <text>
        <r>
          <rPr>
            <sz val="9"/>
            <color indexed="81"/>
            <rFont val="Tahoma"/>
            <family val="2"/>
            <charset val="204"/>
          </rPr>
          <t>заполняется по действующим Заемщикам Общества</t>
        </r>
      </text>
    </comment>
    <comment ref="L38" authorId="1" shapeId="0" xr:uid="{00000000-0006-0000-0000-00000200000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6" authorId="2" shapeId="0" xr:uid="{00000000-0006-0000-0000-00000300000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8" authorId="2" shapeId="0" xr:uid="{00000000-0006-0000-0000-00000400000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0" authorId="2" shapeId="0" xr:uid="{00000000-0006-0000-0000-00000500000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Алмас Сердалин</author>
    <author>Серик Китапбаев</author>
  </authors>
  <commentList>
    <comment ref="K2" authorId="0" shapeId="0" xr:uid="{00000000-0006-0000-0200-00000100000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xr:uid="{00000000-0006-0000-0200-000002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xr:uid="{00000000-0006-0000-0200-000003000000}">
      <text>
        <r>
          <rPr>
            <sz val="9"/>
            <color indexed="81"/>
            <rFont val="Tahoma"/>
            <family val="2"/>
            <charset val="204"/>
          </rPr>
          <t>Сведения о закупе скота заполняются исходя из анкетных данных клиента</t>
        </r>
      </text>
    </comment>
    <comment ref="L3" authorId="1" shapeId="0" xr:uid="{00000000-0006-0000-0200-000004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s>
  <commentList>
    <comment ref="C20" authorId="0" shapeId="0" xr:uid="{00000000-0006-0000-0300-00000100000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Галым Кульмагамбетов</author>
  </authors>
  <commentList>
    <comment ref="C75" authorId="0" shapeId="0" xr:uid="{00000000-0006-0000-0800-000001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 xml:space="preserve"> ЦЕНА_1 * (ПЛОЩАДЬ_1 * УРОЖАЙНОСТЬ_1-площадь_1*норму высева_1)+
+ЦЕНА_2 * (ПЛОЩАДЬ_2 * УРОЖАЙНОСТЬ_2-площадь_2*норму высева_2)+
+ЦЕНА_3 * (ПЛОЩАДЬ_3 * УРОЖАЙНОСТЬ_3-площадь_3*норму высева_3)</t>
        </r>
        <r>
          <rPr>
            <sz val="8"/>
            <color indexed="81"/>
            <rFont val="Tahoma"/>
            <family val="2"/>
            <charset val="204"/>
          </rPr>
          <t xml:space="preserve">
</t>
        </r>
      </text>
    </comment>
    <comment ref="C77" authorId="0" shapeId="0" xr:uid="{00000000-0006-0000-0800-000002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УЧИТЫВАЮТСЯ: ЗАТРАТЫ НА 1 ГА ПО ВСЕМ КУЛЬТУРАМ</t>
        </r>
      </text>
    </comment>
    <comment ref="C79" authorId="0" shapeId="0" xr:uid="{00000000-0006-0000-0800-000003000000}">
      <text>
        <r>
          <rPr>
            <b/>
            <sz val="8"/>
            <color indexed="81"/>
            <rFont val="Tahoma"/>
            <family val="2"/>
            <charset val="204"/>
          </rPr>
          <t>Галым Кульмагамбетов:</t>
        </r>
        <r>
          <rPr>
            <sz val="8"/>
            <color indexed="81"/>
            <rFont val="Tahoma"/>
            <family val="2"/>
            <charset val="204"/>
          </rPr>
          <t xml:space="preserve">
</t>
        </r>
        <r>
          <rPr>
            <b/>
            <sz val="11"/>
            <color indexed="81"/>
            <rFont val="Tahoma"/>
            <family val="2"/>
            <charset val="204"/>
          </rPr>
          <t>=ДОХОДЫ - РАСХОДЫ</t>
        </r>
      </text>
    </comment>
  </commentList>
</comments>
</file>

<file path=xl/sharedStrings.xml><?xml version="1.0" encoding="utf-8"?>
<sst xmlns="http://schemas.openxmlformats.org/spreadsheetml/2006/main" count="3529" uniqueCount="845">
  <si>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</si>
  <si>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</si>
  <si>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</si>
  <si>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</si>
  <si>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</si>
  <si>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</si>
  <si>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</si>
  <si>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</si>
  <si>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</si>
  <si>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</si>
  <si>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</si>
  <si>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</si>
  <si>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</si>
  <si>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</si>
  <si>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</si>
  <si>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</si>
  <si>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</si>
  <si>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</si>
  <si>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</si>
  <si>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</si>
  <si>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</si>
  <si>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</si>
  <si>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</si>
  <si>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</si>
  <si>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</si>
  <si>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</si>
  <si>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</si>
  <si>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</si>
  <si>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</si>
  <si>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</si>
  <si>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</si>
  <si>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</si>
  <si>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</si>
  <si>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</si>
  <si>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</si>
  <si>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</si>
  <si>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</si>
  <si>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</si>
  <si>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</si>
  <si>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</si>
  <si>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</si>
  <si>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</si>
  <si>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</si>
  <si>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</si>
  <si>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</si>
  <si>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</si>
  <si>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</si>
  <si>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</si>
  <si>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</si>
  <si>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</si>
  <si>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</si>
  <si>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</si>
  <si>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</si>
  <si>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</si>
  <si>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</si>
  <si>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</si>
  <si>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</si>
  <si>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</si>
  <si>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</si>
  <si>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</si>
  <si>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</si>
  <si>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</si>
  <si>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</si>
  <si>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</si>
  <si>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</si>
  <si>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</si>
  <si>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</si>
  <si>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</si>
  <si>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Общая площадь</t>
  </si>
  <si>
    <t>земельных угодий</t>
  </si>
  <si>
    <t>га</t>
  </si>
  <si>
    <t>Планируемая структура посевов, в т.ч.:</t>
  </si>
  <si>
    <t>Пшеница</t>
  </si>
  <si>
    <t>Итого:</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</si>
  <si>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</si>
  <si>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</si>
  <si>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</si>
  <si>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</si>
  <si>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</si>
  <si>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</si>
  <si>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</si>
  <si>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</si>
  <si>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</si>
  <si>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</si>
  <si>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</si>
  <si>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Наименование КФХ / ТОО</t>
  </si>
  <si>
    <t>Урожайность культур в хозяйстве за последние 3 года:</t>
  </si>
  <si>
    <t>Дата анализа</t>
  </si>
  <si>
    <t xml:space="preserve">Результаты анализа эффективности производственно-финансовой деятельности </t>
  </si>
  <si>
    <t>Вознаграждение, %</t>
  </si>
  <si>
    <t>Период деятельности</t>
  </si>
  <si>
    <t>Алматинская</t>
  </si>
  <si>
    <t>Жамбылская</t>
  </si>
  <si>
    <t>Кызылординская</t>
  </si>
  <si>
    <t>стоимость техники за минусом аванса</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</si>
  <si>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</si>
  <si>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</si>
  <si>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</si>
  <si>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</si>
  <si>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</si>
  <si>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</si>
  <si>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</si>
  <si>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</si>
  <si>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</si>
  <si>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</si>
  <si>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</si>
  <si>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</si>
  <si>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</si>
  <si>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</si>
  <si>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</si>
  <si>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</si>
  <si>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</si>
  <si>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</si>
  <si>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</si>
  <si>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</si>
  <si>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</si>
  <si>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</si>
  <si>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</si>
  <si>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</si>
  <si>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</si>
  <si>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</si>
  <si>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</si>
  <si>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</si>
  <si>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</si>
  <si>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</si>
  <si>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</si>
  <si>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</si>
  <si>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</si>
  <si>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</si>
  <si>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</si>
  <si>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</si>
  <si>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</si>
  <si>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</si>
  <si>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</si>
  <si>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</si>
  <si>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</si>
  <si>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</si>
  <si>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</si>
  <si>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</si>
  <si>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</si>
  <si>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</si>
  <si>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</si>
  <si>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</si>
  <si>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</si>
  <si>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</si>
  <si>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</si>
  <si>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</si>
  <si>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</si>
  <si>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</si>
  <si>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</si>
  <si>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</si>
  <si>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</si>
  <si>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</si>
  <si>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</si>
  <si>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</si>
  <si>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</si>
  <si>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</si>
  <si>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</si>
  <si>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(полных лет)</t>
  </si>
  <si>
    <t>Культура</t>
  </si>
  <si>
    <t>Цена реализации</t>
  </si>
  <si>
    <t>Цена реализации (за 1 тн.)</t>
  </si>
  <si>
    <t xml:space="preserve">Доходы, тенге </t>
  </si>
  <si>
    <t>Ставка, %</t>
  </si>
  <si>
    <t>Срок лизинга, лет</t>
  </si>
  <si>
    <t>Первоначальный взнос, %</t>
  </si>
  <si>
    <t>По району за 10 лет:</t>
  </si>
  <si>
    <t>По хозяйству:</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</si>
  <si>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</si>
  <si>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</si>
  <si>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</si>
  <si>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</si>
  <si>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</si>
  <si>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</si>
  <si>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</si>
  <si>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</si>
  <si>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</si>
  <si>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</si>
  <si>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</si>
  <si>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</si>
  <si>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</si>
  <si>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</si>
  <si>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</si>
  <si>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</si>
  <si>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</si>
  <si>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</si>
  <si>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</si>
  <si>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</si>
  <si>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</si>
  <si>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</si>
  <si>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</si>
  <si>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</si>
  <si>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</si>
  <si>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</si>
  <si>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</si>
  <si>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</si>
  <si>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</si>
  <si>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</si>
  <si>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</si>
  <si>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</si>
  <si>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</si>
  <si>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</si>
  <si>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</si>
  <si>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</si>
  <si>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</si>
  <si>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</si>
  <si>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</si>
  <si>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</si>
  <si>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</si>
  <si>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</si>
  <si>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</si>
  <si>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</si>
  <si>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</si>
  <si>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</si>
  <si>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</si>
  <si>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</si>
  <si>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</si>
  <si>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</si>
  <si>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</si>
  <si>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</si>
  <si>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</si>
  <si>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</si>
  <si>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</si>
  <si>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</si>
  <si>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</si>
  <si>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</si>
  <si>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 xml:space="preserve">то необходимо проставить "0" </t>
  </si>
  <si>
    <t>ВНИМАНИЕ: если хозяйство не высаживало культуру,</t>
  </si>
  <si>
    <t>Запрашиваемые условия финансирования:</t>
  </si>
  <si>
    <t>Средняя урожайность:</t>
  </si>
  <si>
    <t>Стоимость предмета лизинга</t>
  </si>
  <si>
    <t xml:space="preserve">      Стоимость предмета лизинга</t>
  </si>
  <si>
    <t>Сумма финансирования, тг.</t>
  </si>
  <si>
    <t>менеджер Ержанов Т.</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</si>
  <si>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</si>
  <si>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</si>
  <si>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</si>
  <si>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</si>
  <si>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</si>
  <si>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2014 г.</t>
  </si>
  <si>
    <t>КХ Втюрин</t>
  </si>
  <si>
    <t>Аванс, тг</t>
  </si>
  <si>
    <t>Годовой платеж: ОД+%, тг.:</t>
  </si>
  <si>
    <t>подсолнечник</t>
  </si>
  <si>
    <t>рапс</t>
  </si>
  <si>
    <t>сафлор</t>
  </si>
  <si>
    <t>ВСЕГО ПО ВСЕМ КУЛЬТУРАМ</t>
  </si>
  <si>
    <t xml:space="preserve"> - совокупный годовой платеж ( с учетом инвест. займов)</t>
  </si>
  <si>
    <t>(роспись)_________________</t>
  </si>
  <si>
    <t>Вид техники</t>
  </si>
  <si>
    <t>СХТ</t>
  </si>
  <si>
    <t>для навесной</t>
  </si>
  <si>
    <t>для СХТ</t>
  </si>
  <si>
    <t>Размер СК АО "КазАгроФинанс"</t>
  </si>
  <si>
    <t>на дату рассмотрения заявки</t>
  </si>
  <si>
    <t>Наименование предмета лизинга</t>
  </si>
  <si>
    <t xml:space="preserve">  Для расчетов:</t>
  </si>
  <si>
    <t xml:space="preserve">Микс </t>
  </si>
  <si>
    <t>лен</t>
  </si>
  <si>
    <t>при нескольких ПЛ, используемых в комплексе (в том числе вместе с навесной/прицепной техникой)</t>
  </si>
  <si>
    <t>Трактор</t>
  </si>
  <si>
    <t>Навесная/Прицепная</t>
  </si>
  <si>
    <t>Понижаюший коэф-т на урожайность, если данных по Хозяйству нет</t>
  </si>
  <si>
    <r>
      <t>Срок финансирования,</t>
    </r>
    <r>
      <rPr>
        <b/>
        <sz val="10"/>
        <rFont val="Arial Cyr"/>
        <charset val="204"/>
      </rPr>
      <t xml:space="preserve"> max</t>
    </r>
  </si>
  <si>
    <t>Размер аванса, min -</t>
  </si>
  <si>
    <t>Обязательства перед Обществом</t>
  </si>
  <si>
    <r>
      <t xml:space="preserve">Размер годового платежа по инвестиционным займам а также по ДФЛ.
</t>
    </r>
    <r>
      <rPr>
        <sz val="9"/>
        <rFont val="Arial Cyr"/>
        <charset val="204"/>
      </rPr>
      <t>Источник информации : отчет ПКБ;
- Платежи годовые по ДФЛ (при наличии).
- Расчет платежа по инвест займам: (Текущий остаток ОД)  /  (Количество лет до окончания срока займа).</t>
    </r>
  </si>
  <si>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</si>
  <si>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</si>
  <si>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</si>
  <si>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</si>
  <si>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</si>
  <si>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</si>
  <si>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</si>
  <si>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</si>
  <si>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</si>
  <si>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</si>
  <si>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</si>
  <si>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</si>
  <si>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</si>
  <si>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</si>
  <si>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</si>
  <si>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</si>
  <si>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</si>
  <si>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</si>
  <si>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</si>
  <si>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</si>
  <si>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</si>
  <si>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</si>
  <si>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</si>
  <si>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</si>
  <si>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</si>
  <si>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</si>
  <si>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</si>
  <si>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</si>
  <si>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</si>
  <si>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</si>
  <si>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</si>
  <si>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</si>
  <si>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</si>
  <si>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</si>
  <si>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</si>
  <si>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</si>
  <si>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</si>
  <si>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</si>
  <si>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</si>
  <si>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</si>
  <si>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</si>
  <si>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</si>
  <si>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</si>
  <si>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</si>
  <si>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</si>
  <si>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</si>
  <si>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</si>
  <si>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</si>
  <si>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</si>
  <si>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</si>
  <si>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</si>
  <si>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</si>
  <si>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</si>
  <si>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</si>
  <si>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</si>
  <si>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</si>
  <si>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</si>
  <si>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</si>
  <si>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</si>
  <si>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</si>
  <si>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</si>
  <si>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</si>
  <si>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</si>
  <si>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</si>
  <si>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</si>
  <si>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</si>
  <si>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</si>
  <si>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</si>
  <si>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</si>
  <si>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</si>
  <si>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2016 г.</t>
  </si>
  <si>
    <t>2015 г.</t>
  </si>
  <si>
    <t>Предельная сумма заявки</t>
  </si>
  <si>
    <t>Ver. 29/08/17</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</si>
  <si>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</si>
  <si>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</si>
  <si>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</si>
  <si>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</si>
  <si>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</si>
  <si>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</si>
  <si>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</si>
  <si>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</si>
  <si>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</si>
  <si>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</si>
  <si>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</si>
  <si>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</si>
  <si>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</si>
  <si>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</si>
  <si>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</si>
  <si>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</si>
  <si>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</si>
  <si>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</si>
  <si>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</si>
  <si>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</si>
  <si>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</si>
  <si>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</si>
  <si>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</si>
  <si>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</si>
  <si>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</si>
  <si>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</si>
  <si>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</si>
  <si>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</si>
  <si>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</si>
  <si>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</si>
  <si>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</si>
  <si>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</si>
  <si>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</si>
  <si>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</si>
  <si>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</si>
  <si>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</si>
  <si>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2017 г.</t>
  </si>
  <si>
    <t>2018 г.</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</si>
  <si>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</si>
  <si>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</si>
  <si>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</si>
  <si>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</si>
  <si>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</si>
  <si>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</si>
  <si>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</si>
  <si>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</si>
  <si>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</si>
  <si>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</si>
  <si>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</si>
  <si>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</si>
  <si>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</si>
  <si>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</si>
  <si>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</si>
  <si>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</si>
  <si>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</si>
  <si>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</si>
  <si>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</si>
  <si>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</si>
  <si>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</si>
  <si>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</si>
  <si>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</si>
  <si>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</si>
  <si>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</si>
  <si>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</si>
  <si>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</si>
  <si>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</si>
  <si>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</si>
  <si>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</si>
  <si>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Жеребцы старше 2-х лет</t>
  </si>
  <si>
    <t>Кобылы старше 2-х лет</t>
  </si>
  <si>
    <t>Жеребцы старше 1года</t>
  </si>
  <si>
    <t>Кобылы старше 1 года</t>
  </si>
  <si>
    <t>Жеребцы до года</t>
  </si>
  <si>
    <t>Кобылы до года</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</si>
  <si>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</si>
  <si>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</si>
  <si>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</si>
  <si>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</si>
  <si>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</si>
  <si>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</si>
  <si>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</si>
  <si>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</si>
  <si>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КХ "Первый"</t>
  </si>
  <si>
    <t>2019 г.</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</si>
  <si>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</si>
  <si>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</si>
  <si>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</si>
  <si>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</si>
  <si>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</si>
  <si>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</si>
  <si>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</si>
  <si>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</si>
  <si>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</si>
  <si>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</si>
  <si>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</si>
  <si>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</si>
  <si>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</si>
  <si>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</si>
  <si>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</si>
  <si>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</si>
  <si>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</si>
  <si>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</si>
  <si>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</si>
  <si>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</si>
  <si>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</si>
  <si>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</si>
  <si>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</si>
  <si>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</si>
  <si>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</si>
  <si>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</si>
  <si>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</si>
  <si>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</si>
  <si>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</si>
  <si>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</si>
  <si>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</si>
  <si>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</si>
  <si>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</si>
  <si>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</si>
  <si>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</si>
  <si>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</si>
  <si>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</si>
  <si>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</si>
  <si>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</si>
  <si>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</si>
  <si>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</si>
  <si>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</si>
  <si>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</si>
  <si>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</si>
  <si>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</si>
  <si>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</si>
  <si>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</si>
  <si>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</si>
  <si>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</si>
  <si>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</si>
  <si>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</si>
  <si>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</si>
  <si>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</si>
  <si>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</si>
  <si>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</si>
  <si>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</si>
  <si>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</si>
  <si>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</si>
  <si>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</si>
  <si>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</si>
  <si>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</si>
  <si>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</si>
  <si>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</si>
  <si>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</si>
  <si>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</si>
  <si>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</si>
  <si>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</si>
  <si>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</si>
  <si>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</si>
  <si>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</si>
  <si>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</si>
  <si>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</si>
  <si>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</si>
  <si>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</si>
  <si>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</si>
  <si>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</si>
  <si>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</si>
  <si>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</si>
  <si>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</si>
  <si>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</si>
  <si>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</si>
  <si>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</si>
  <si>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</si>
  <si>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</si>
  <si>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</si>
  <si>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</si>
  <si>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</si>
  <si>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</si>
  <si>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</si>
  <si>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</si>
  <si>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</si>
  <si>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</si>
  <si>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</si>
  <si>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</si>
  <si>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</si>
  <si>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</si>
  <si>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</si>
  <si>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</si>
  <si>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</si>
  <si>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</si>
  <si>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</si>
  <si>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</si>
  <si>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</si>
  <si>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</si>
  <si>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</si>
  <si>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</si>
  <si>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</si>
  <si>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</si>
  <si>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</si>
  <si>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</si>
  <si>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</si>
  <si>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</si>
  <si>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</si>
  <si>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</si>
  <si>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</si>
  <si>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</si>
  <si>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</si>
  <si>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</si>
  <si>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</si>
  <si>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</si>
  <si>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</si>
  <si>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</si>
  <si>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</si>
  <si>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</si>
  <si>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</si>
  <si>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</si>
  <si>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</si>
  <si>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</si>
  <si>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</si>
  <si>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</si>
  <si>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</si>
  <si>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</si>
  <si>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</si>
  <si>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</si>
  <si>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</si>
  <si>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</si>
  <si>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</si>
  <si>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</si>
  <si>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</si>
  <si>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</si>
  <si>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</si>
  <si>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</si>
  <si>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</si>
  <si>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</si>
  <si>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</si>
  <si>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</si>
  <si>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</si>
  <si>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</si>
  <si>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</si>
  <si>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</si>
  <si>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</si>
  <si>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</si>
  <si>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</si>
  <si>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</si>
  <si>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</si>
  <si>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</si>
  <si>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</si>
  <si>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</si>
  <si>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</si>
  <si>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</si>
  <si>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</si>
  <si>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</si>
  <si>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</si>
  <si>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</si>
  <si>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</si>
  <si>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</si>
  <si>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</si>
  <si>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</si>
  <si>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</si>
  <si>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</si>
  <si>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</si>
  <si>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</si>
  <si>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</si>
  <si>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</si>
  <si>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</si>
  <si>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</si>
  <si>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</si>
  <si>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</si>
  <si>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</si>
  <si>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</si>
  <si>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</si>
  <si>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</si>
  <si>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</si>
  <si>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</si>
  <si>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</si>
  <si>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</si>
  <si>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</si>
  <si>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</si>
  <si>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</si>
  <si>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</si>
  <si>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</si>
  <si>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</si>
  <si>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</si>
  <si>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</si>
  <si>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</si>
  <si>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</si>
  <si>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</si>
  <si>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</si>
  <si>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</si>
  <si>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</si>
  <si>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</si>
  <si>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</si>
  <si>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</si>
  <si>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</si>
  <si>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</si>
  <si>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</si>
  <si>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</si>
  <si>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</si>
  <si>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</si>
  <si>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</si>
  <si>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</si>
  <si>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</si>
  <si>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</si>
  <si>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</si>
  <si>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</si>
  <si>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</si>
  <si>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</si>
  <si>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</si>
  <si>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</si>
  <si>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</si>
  <si>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</si>
  <si>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</si>
  <si>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</si>
  <si>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</si>
  <si>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</si>
  <si>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</si>
  <si>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</si>
  <si>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</si>
  <si>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</si>
  <si>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</si>
  <si>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</si>
  <si>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</si>
  <si>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</si>
  <si>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</si>
  <si>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</si>
  <si>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</si>
  <si>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</si>
  <si>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</si>
  <si>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</si>
  <si>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</si>
  <si>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</si>
  <si>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</si>
  <si>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</si>
  <si>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</si>
  <si>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</si>
  <si>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</si>
  <si>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</si>
  <si>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</si>
  <si>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</si>
  <si>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</si>
  <si>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</si>
  <si>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</si>
  <si>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</si>
  <si>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</si>
  <si>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</si>
  <si>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</si>
  <si>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</si>
  <si>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</si>
  <si>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</si>
  <si>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</si>
  <si>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</si>
  <si>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</si>
  <si>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</si>
  <si>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</si>
  <si>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</si>
  <si>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</si>
  <si>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</si>
  <si>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</si>
  <si>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</si>
  <si>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</si>
  <si>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</si>
  <si>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</si>
  <si>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</si>
  <si>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</si>
  <si>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</si>
  <si>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</si>
  <si>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</si>
  <si>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</si>
  <si>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</si>
  <si>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</si>
  <si>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</si>
  <si>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</si>
  <si>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</si>
  <si>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</si>
  <si>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</si>
  <si>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</si>
  <si>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</si>
  <si>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</si>
  <si>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</si>
  <si>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</si>
  <si>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</si>
  <si>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</si>
  <si>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</si>
  <si>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</si>
  <si>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</si>
  <si>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</si>
  <si>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</si>
  <si>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</si>
  <si>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</si>
  <si>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</si>
  <si>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</si>
  <si>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</si>
  <si>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</si>
  <si>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</si>
  <si>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</si>
  <si>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</si>
  <si>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</si>
  <si>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</si>
  <si>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</si>
  <si>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</si>
  <si>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</si>
  <si>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</si>
  <si>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</si>
  <si>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</si>
  <si>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</si>
  <si>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</si>
  <si>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</si>
  <si>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</si>
  <si>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</si>
  <si>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</si>
  <si>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</si>
  <si>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</si>
  <si>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</si>
  <si>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</si>
  <si>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</si>
  <si>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</si>
  <si>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</si>
  <si>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</si>
  <si>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</si>
  <si>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</si>
  <si>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</si>
  <si>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</si>
  <si>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</si>
  <si>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</si>
  <si>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</si>
  <si>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</si>
  <si>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</si>
  <si>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</si>
  <si>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</si>
  <si>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</si>
  <si>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</si>
  <si>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</si>
  <si>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</si>
  <si>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</si>
  <si>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</si>
  <si>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</si>
  <si>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</si>
  <si>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</si>
  <si>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</si>
  <si>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</si>
  <si>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</si>
  <si>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</si>
  <si>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</si>
  <si>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</si>
  <si>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</si>
  <si>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</si>
  <si>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</si>
  <si>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</si>
  <si>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</si>
  <si>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</si>
  <si>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</si>
  <si>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</si>
  <si>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</si>
  <si>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</si>
  <si>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</si>
  <si>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</si>
  <si>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</si>
  <si>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</si>
  <si>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</si>
  <si>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</si>
  <si>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</si>
  <si>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</si>
  <si>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</si>
  <si>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</si>
  <si>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</si>
  <si>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</si>
  <si>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</si>
  <si>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</si>
  <si>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стоимость</t>
  </si>
  <si>
    <t>срок</t>
  </si>
  <si>
    <t>%</t>
  </si>
  <si>
    <t>годовой платеж</t>
  </si>
  <si>
    <t>сумма фин-ия</t>
  </si>
  <si>
    <t>Итого</t>
  </si>
  <si>
    <t xml:space="preserve">Наименование ПЛ </t>
  </si>
  <si>
    <t>аванс %</t>
  </si>
  <si>
    <t>аванс сумма</t>
  </si>
  <si>
    <t>бренд и произв-во КНР</t>
  </si>
  <si>
    <t>субсидии</t>
  </si>
  <si>
    <t>0-10</t>
  </si>
  <si>
    <t>от 1 до 10</t>
  </si>
  <si>
    <t>да-нет</t>
  </si>
  <si>
    <t>да от 25-49</t>
  </si>
  <si>
    <t>нет от 20-49</t>
  </si>
  <si>
    <t>стоимость*аванс</t>
  </si>
  <si>
    <t>стоимость минус аванс</t>
  </si>
  <si>
    <t>9или17%</t>
  </si>
  <si>
    <t>0 или 10%</t>
  </si>
  <si>
    <t>стоимость/срок+стоимость * ставку</t>
  </si>
  <si>
    <t>если 0</t>
  </si>
  <si>
    <t>если10</t>
  </si>
  <si>
    <t>стоимость/срок+стоимость *( ставку-субсидии)</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</si>
  <si>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</si>
  <si>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ПЛ 4</t>
  </si>
  <si>
    <t>ПЛ 5</t>
  </si>
  <si>
    <t>ПЛ 6</t>
  </si>
  <si>
    <t>ПЛ 7</t>
  </si>
  <si>
    <t>ПЛ 8</t>
  </si>
  <si>
    <t>ПЛ 9</t>
  </si>
  <si>
    <t>ПЛ 10</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</si>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</sst>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_-* #,##0.00\ _₽_-;\-* #,##0.00\ _₽_-;_-* &quot;-&quot;??\ _₽_-;_-@_-"/>
    <numFmt numFmtId="171" formatCode="_-* #,##0_р_._-;\-* #,##0_р_._-;_-* &quot;-&quot;_р_._-;_-@_-"/>
    <numFmt numFmtId="172" formatCode="_-* #,##0.00_р_._-;\-* #,##0.00_р_._-;_-* &quot;-&quot;??_р_._-;_-@_-"/>
    <numFmt numFmtId="173" formatCode="_-* #,##0.00&quot;р.&quot;_-;\-* #,##0.00&quot;р.&quot;_-;_-* &quot;-&quot;??&quot;р.&quot;_-;_-@_-"/>
    <numFmt numFmtId="174" formatCode="_-* #,##0.0_р_._-;\-* #,##0.0_р_._-;_-* &quot;-&quot;??_р_._-;_-@_-"/>
    <numFmt numFmtId="175" formatCode="_-* #,##0_р_._-;\-* #,##0_р_._-;_-* &quot;-&quot;??_р_._-;_-@_-"/>
    <numFmt numFmtId="176" formatCode="0.0"/>
    <numFmt numFmtId="177" formatCode="[$-F800]dddd\,\ mmmm\ dd\,\ yyyy"/>
    <numFmt numFmtId="178" formatCode="0.0%"/>
    <numFmt numFmtId="179" formatCode="#,##0.0"/>
    <numFmt numFmtId="180" formatCode="#,##0.0_ ;\-#,##0.0\ "/>
    <numFmt numFmtId="181" formatCode="&quot;$&quot;#,##0;[Red]\-&quot;$&quot;#,##0"/>
    <numFmt numFmtId="182" formatCode="0.000"/>
    <numFmt numFmtId="183" formatCode="&quot;$&quot;#,##0;\-&quot;$&quot;#,##0"/>
    <numFmt numFmtId="184" formatCode="_-* #,##0.00&quot;$&quot;_-;\-* #,##0.00&quot;$&quot;_-;_-* &quot;-&quot;??&quot;$&quot;_-;_-@_-"/>
    <numFmt numFmtId="185" formatCode="0.0_)"/>
    <numFmt numFmtId="186" formatCode="_(* #,##0.0_);_(* \(#,##0.00\);_(* &quot;-&quot;??_);_(@_)"/>
    <numFmt numFmtId="187" formatCode="General_)"/>
    <numFmt numFmtId="188" formatCode="&quot;fl&quot;#,##0_);\(&quot;fl&quot;#,##0\)"/>
    <numFmt numFmtId="189" formatCode="&quot;fl&quot;#,##0_);[Red]\(&quot;fl&quot;#,##0\)"/>
    <numFmt numFmtId="190" formatCode="&quot;fl&quot;#,##0.00_);\(&quot;fl&quot;#,##0.00\)"/>
    <numFmt numFmtId="191" formatCode="&quot;error&quot;;&quot;error&quot;;&quot;OK&quot;;&quot;  &quot;@"/>
    <numFmt numFmtId="192" formatCode="dd\ mmm\ yyyy_);;;&quot;  &quot;@"/>
    <numFmt numFmtId="193" formatCode="m/d/yy\ h:mm"/>
    <numFmt numFmtId="194" formatCode="#,##0_);\(#,##0\);&quot;- &quot;;&quot;  &quot;@"/>
    <numFmt numFmtId="195" formatCode="#,##0.0000_);\(#,##0.0000\);&quot;- &quot;;&quot;  &quot;@"/>
    <numFmt numFmtId="196" formatCode="#,##0\ \ ;\(#,##0\)\ ;\—\ \ \ \ "/>
    <numFmt numFmtId="197" formatCode="&quot;See Note &quot;\ #"/>
    <numFmt numFmtId="198" formatCode="\$\ #,##0"/>
    <numFmt numFmtId="199" formatCode="mmm\ dd\,\ yyyy"/>
    <numFmt numFmtId="200" formatCode="mmm\-yyyy"/>
    <numFmt numFmtId="201" formatCode="yyyy"/>
    <numFmt numFmtId="202" formatCode="0.0000"/>
    <numFmt numFmtId="203" formatCode=";;&quot;zero&quot;;&quot;  &quot;@"/>
    <numFmt numFmtId="204" formatCode="_-* #,##0.00\ _р_._-;\-* #,##0.00\ _р_._-;_-* &quot;-&quot;??\ _р_._-;_-@_-"/>
    <numFmt numFmtId="205" formatCode="_-[$$-C09]* #,##0_-;\-[$$-C09]* #,##0_-;_-[$$-C09]* &quot;-&quot;??_-;_-@_-"/>
    <numFmt numFmtId="206" formatCode="_-* #,##0.00_ _т_г_._-;\-* #,##0.00_ _т_г_._-;_-* &quot;-&quot;??_ _т_г_._-;_-@_-"/>
    <numFmt numFmtId="207" formatCode="_(* #,##0_);_(* \(#,##0\);_(* &quot;-&quot;??_);_(@_)"/>
    <numFmt numFmtId="208" formatCode="_-[$€-2]\ * #,##0.00_-;\-[$€-2]\ * #,##0.00_-;_-[$€-2]\ * &quot;-&quot;??_-;_-@_-"/>
    <numFmt numFmtId="209" formatCode="&quot;\&quot;#,##0.00;[Red]&quot;\&quot;\-#,##0.00"/>
    <numFmt numFmtId="210" formatCode="&quot;\&quot;#,##0;[Red]&quot;\&quot;\-#,##0"/>
    <numFmt numFmtId="211" formatCode="0.000%"/>
    <numFmt numFmtId="212" formatCode="_-* #,##0.00_р_._-;\-* #,##0.00_р_._-;_-* \-??_р_._-;_-@_-"/>
    <numFmt numFmtId="213" formatCode="_-* #,##0_d_._-;\-* #,##0_d_._-;_-* &quot;-&quot;_d_._-;_-@_-"/>
    <numFmt numFmtId="214" formatCode="_-* #,##0.00_d_._-;\-* #,##0.00_d_._-;_-* &quot;-&quot;??_d_._-;_-@_-"/>
    <numFmt numFmtId="215" formatCode="dd/mm/yy;@"/>
    <numFmt numFmtId="216" formatCode="_-* #,##0.0\ _₽_-;\-* #,##0.0\ _₽_-;_-* &quot;-&quot;?\ _₽_-;_-@_-"/>
    <numFmt numFmtId="217" formatCode="_-* #,##0.00\ _₽_-;\-* #,##0.00\ _₽_-;_-* &quot;-&quot;?\ _₽_-;_-@_-"/>
  </numFmts>
  <fonts count="144">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
      <color indexed="10"/>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sz val="10"/>
      <color theme="0"/>
      <name val="Arial Cyr"/>
      <charset val="204"/>
    </font>
    <font>
      <b/>
      <sz val="11"/>
      <color theme="1"/>
      <name val="Calibri"/>
      <family val="2"/>
      <charset val="204"/>
      <scheme val="minor"/>
    </font>
    <font>
      <sz val="8"/>
      <color indexed="81"/>
      <name val="Tahoma"/>
      <family val="2"/>
      <charset val="204"/>
    </font>
    <font>
      <b/>
      <sz val="8"/>
      <color indexed="81"/>
      <name val="Tahoma"/>
      <family val="2"/>
      <charset val="204"/>
    </font>
    <font>
      <b/>
      <sz val="10"/>
      <color indexed="81"/>
      <name val="Tahoma"/>
      <family val="2"/>
      <charset val="204"/>
    </font>
    <font>
      <b/>
      <sz val="11"/>
      <color indexed="81"/>
      <name val="Tahoma"/>
      <family val="2"/>
      <charset val="204"/>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sz val="9"/>
      <name val="Arial Cyr"/>
      <charset val="204"/>
    </font>
    <font>
      <b/>
      <u/>
      <sz val="10"/>
      <name val="Arial Cyr"/>
      <family val="2"/>
      <charset val="204"/>
    </font>
    <font>
      <sz val="8"/>
      <color indexed="8"/>
      <name val="Times New Roman"/>
      <family val="1"/>
      <charset val="204"/>
    </font>
    <font>
      <b/>
      <i/>
      <sz val="7"/>
      <name val="Arial Cyr"/>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28">
    <xf numFmtId="0" fontId="0" fillId="0" borderId="0"/>
    <xf numFmtId="0" fontId="14" fillId="0" borderId="0"/>
    <xf numFmtId="9" fontId="14" fillId="0" borderId="0" applyFont="0" applyFill="0" applyBorder="0" applyAlignment="0" applyProtection="0"/>
    <xf numFmtId="172" fontId="5" fillId="0" borderId="0" applyFont="0" applyFill="0" applyBorder="0" applyAlignment="0" applyProtection="0"/>
    <xf numFmtId="9" fontId="5" fillId="0" borderId="0" applyFont="0" applyFill="0" applyBorder="0" applyAlignment="0" applyProtection="0"/>
    <xf numFmtId="0" fontId="4" fillId="0" borderId="0"/>
    <xf numFmtId="0" fontId="25" fillId="0" borderId="0"/>
    <xf numFmtId="1" fontId="26" fillId="0" borderId="0"/>
    <xf numFmtId="1" fontId="27" fillId="0" borderId="0"/>
    <xf numFmtId="1" fontId="28" fillId="0" borderId="0"/>
    <xf numFmtId="1" fontId="28" fillId="0" borderId="0"/>
    <xf numFmtId="1" fontId="28" fillId="0" borderId="0"/>
    <xf numFmtId="0" fontId="29" fillId="0" borderId="0"/>
    <xf numFmtId="0" fontId="29" fillId="0" borderId="0"/>
    <xf numFmtId="0" fontId="29"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30" fillId="0" borderId="0"/>
    <xf numFmtId="0" fontId="14" fillId="0" borderId="0"/>
    <xf numFmtId="181" fontId="31" fillId="0" borderId="0" applyFont="0" applyFill="0" applyBorder="0" applyAlignment="0" applyProtection="0"/>
    <xf numFmtId="182" fontId="14" fillId="0" borderId="0" applyFont="0" applyFill="0" applyBorder="0" applyAlignment="0" applyProtection="0"/>
    <xf numFmtId="182" fontId="14" fillId="0" borderId="0" applyFont="0" applyFill="0" applyBorder="0" applyAlignment="0" applyProtection="0"/>
    <xf numFmtId="0" fontId="32" fillId="6" borderId="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12" borderId="0" applyNumberFormat="0" applyBorder="0" applyAlignment="0" applyProtection="0"/>
    <xf numFmtId="183" fontId="14" fillId="0" borderId="0">
      <alignment horizontal="center"/>
    </xf>
    <xf numFmtId="0" fontId="34" fillId="14" borderId="0" applyNumberFormat="0" applyBorder="0" applyAlignment="0" applyProtection="0"/>
    <xf numFmtId="0" fontId="34" fillId="8" borderId="0" applyNumberFormat="0" applyBorder="0" applyAlignment="0" applyProtection="0"/>
    <xf numFmtId="0" fontId="34" fillId="12"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184" fontId="14" fillId="0" borderId="0" applyFont="0" applyFill="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8" borderId="0" applyNumberFormat="0" applyBorder="0" applyAlignment="0" applyProtection="0"/>
    <xf numFmtId="185" fontId="35" fillId="0" borderId="0">
      <alignment horizontal="left"/>
    </xf>
    <xf numFmtId="0" fontId="36" fillId="19" borderId="0" applyNumberFormat="0" applyBorder="0" applyAlignment="0" applyProtection="0"/>
    <xf numFmtId="186" fontId="37" fillId="0" borderId="0" applyFill="0" applyBorder="0" applyAlignment="0"/>
    <xf numFmtId="187" fontId="37" fillId="0" borderId="0" applyFill="0" applyBorder="0" applyAlignment="0"/>
    <xf numFmtId="182" fontId="37" fillId="0" borderId="0" applyFill="0" applyBorder="0" applyAlignment="0"/>
    <xf numFmtId="188" fontId="37" fillId="0" borderId="0" applyFill="0" applyBorder="0" applyAlignment="0"/>
    <xf numFmtId="189" fontId="37" fillId="0" borderId="0" applyFill="0" applyBorder="0" applyAlignment="0"/>
    <xf numFmtId="186" fontId="37" fillId="0" borderId="0" applyFill="0" applyBorder="0" applyAlignment="0"/>
    <xf numFmtId="190" fontId="37" fillId="0" borderId="0" applyFill="0" applyBorder="0" applyAlignment="0"/>
    <xf numFmtId="187" fontId="37" fillId="0" borderId="0" applyFill="0" applyBorder="0" applyAlignment="0"/>
    <xf numFmtId="0" fontId="38" fillId="20" borderId="13" applyNumberFormat="0" applyAlignment="0" applyProtection="0"/>
    <xf numFmtId="38" fontId="31" fillId="0" borderId="0" applyFont="0" applyFill="0" applyBorder="0" applyAlignment="0" applyProtection="0"/>
    <xf numFmtId="40" fontId="31" fillId="0" borderId="0" applyFont="0" applyFill="0" applyBorder="0" applyAlignment="0" applyProtection="0"/>
    <xf numFmtId="183" fontId="14" fillId="0" borderId="0"/>
    <xf numFmtId="191" fontId="39" fillId="0" borderId="0" applyFont="0" applyFill="0" applyBorder="0" applyAlignment="0" applyProtection="0"/>
    <xf numFmtId="0" fontId="40" fillId="21" borderId="14" applyNumberFormat="0" applyAlignment="0" applyProtection="0"/>
    <xf numFmtId="0" fontId="41" fillId="22" borderId="0"/>
    <xf numFmtId="186" fontId="37" fillId="0" borderId="0" applyFont="0" applyFill="0" applyBorder="0" applyAlignment="0" applyProtection="0"/>
    <xf numFmtId="169" fontId="14" fillId="0" borderId="0" applyFont="0" applyFill="0" applyBorder="0" applyAlignment="0" applyProtection="0"/>
    <xf numFmtId="3" fontId="43" fillId="0" borderId="0" applyFont="0" applyFill="0" applyBorder="0" applyAlignment="0" applyProtection="0"/>
    <xf numFmtId="187" fontId="37" fillId="0" borderId="0" applyFont="0" applyFill="0" applyBorder="0" applyAlignment="0" applyProtection="0"/>
    <xf numFmtId="192" fontId="39" fillId="0" borderId="0" applyFont="0" applyFill="0" applyBorder="0" applyAlignment="0" applyProtection="0"/>
    <xf numFmtId="193" fontId="14" fillId="0" borderId="0" applyFont="0" applyFill="0" applyBorder="0" applyAlignment="0" applyProtection="0">
      <alignment wrapText="1"/>
    </xf>
    <xf numFmtId="194" fontId="44" fillId="23" borderId="0" applyNumberFormat="0" applyBorder="0" applyAlignment="0" applyProtection="0"/>
    <xf numFmtId="187" fontId="45" fillId="0" borderId="0">
      <alignment horizontal="center"/>
    </xf>
    <xf numFmtId="38" fontId="32" fillId="0" borderId="0" applyFont="0" applyFill="0" applyBorder="0" applyAlignment="0" applyProtection="0"/>
    <xf numFmtId="0" fontId="46" fillId="0" borderId="0" applyFont="0" applyFill="0" applyBorder="0" applyAlignment="0" applyProtection="0"/>
    <xf numFmtId="0" fontId="14" fillId="0" borderId="0" applyFont="0" applyFill="0" applyBorder="0" applyAlignment="0" applyProtection="0"/>
    <xf numFmtId="0" fontId="47" fillId="0" borderId="0" applyNumberFormat="0" applyFill="0" applyBorder="0" applyAlignment="0" applyProtection="0"/>
    <xf numFmtId="195" fontId="39" fillId="0" borderId="0" applyFont="0" applyFill="0" applyBorder="0" applyAlignment="0" applyProtection="0"/>
    <xf numFmtId="0" fontId="48" fillId="0" borderId="0"/>
    <xf numFmtId="196" fontId="49" fillId="0" borderId="0">
      <alignment horizontal="right"/>
    </xf>
    <xf numFmtId="194" fontId="50" fillId="0" borderId="0" applyNumberFormat="0" applyFill="0" applyBorder="0" applyAlignment="0" applyProtection="0"/>
    <xf numFmtId="0" fontId="51" fillId="24" borderId="0" applyNumberFormat="0" applyBorder="0" applyAlignment="0" applyProtection="0"/>
    <xf numFmtId="38" fontId="52" fillId="2" borderId="0" applyNumberFormat="0" applyBorder="0" applyAlignment="0" applyProtection="0"/>
    <xf numFmtId="0" fontId="53" fillId="0" borderId="12" applyNumberFormat="0" applyAlignment="0" applyProtection="0">
      <alignment horizontal="left" vertical="center"/>
    </xf>
    <xf numFmtId="0" fontId="53" fillId="0" borderId="10">
      <alignment horizontal="left" vertical="center"/>
    </xf>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14" fillId="0" borderId="0"/>
    <xf numFmtId="0" fontId="57" fillId="12" borderId="13" applyNumberFormat="0" applyAlignment="0" applyProtection="0"/>
    <xf numFmtId="10" fontId="52" fillId="25" borderId="1" applyNumberFormat="0" applyBorder="0" applyAlignment="0" applyProtection="0"/>
    <xf numFmtId="0" fontId="57" fillId="12" borderId="13" applyNumberFormat="0" applyAlignment="0" applyProtection="0"/>
    <xf numFmtId="38" fontId="58" fillId="0" borderId="0"/>
    <xf numFmtId="38" fontId="59" fillId="0" borderId="0"/>
    <xf numFmtId="38" fontId="60" fillId="0" borderId="0"/>
    <xf numFmtId="38" fontId="61" fillId="0" borderId="0"/>
    <xf numFmtId="0" fontId="62" fillId="0" borderId="0"/>
    <xf numFmtId="0" fontId="62" fillId="0" borderId="0"/>
    <xf numFmtId="0" fontId="49" fillId="0" borderId="0"/>
    <xf numFmtId="0" fontId="63" fillId="0" borderId="18" applyNumberFormat="0" applyFill="0" applyAlignment="0" applyProtection="0"/>
    <xf numFmtId="178" fontId="64" fillId="26" borderId="1">
      <alignment horizontal="right" indent="2"/>
    </xf>
    <xf numFmtId="171" fontId="39" fillId="0" borderId="0" applyFont="0" applyFill="0" applyBorder="0" applyAlignment="0" applyProtection="0"/>
    <xf numFmtId="172" fontId="39" fillId="0" borderId="0" applyFont="0" applyFill="0" applyBorder="0" applyAlignment="0" applyProtection="0"/>
    <xf numFmtId="166" fontId="39" fillId="0" borderId="0" applyFont="0" applyFill="0" applyBorder="0" applyAlignment="0" applyProtection="0"/>
    <xf numFmtId="168" fontId="39" fillId="0" borderId="0" applyFont="0" applyFill="0" applyBorder="0" applyAlignment="0" applyProtection="0"/>
    <xf numFmtId="0" fontId="65" fillId="12" borderId="0" applyNumberFormat="0" applyBorder="0" applyAlignment="0" applyProtection="0"/>
    <xf numFmtId="0" fontId="42" fillId="3" borderId="19" applyFont="0" applyFill="0" applyBorder="0" applyAlignment="0" applyProtection="0">
      <alignment horizontal="center"/>
      <protection locked="0"/>
    </xf>
    <xf numFmtId="0" fontId="32" fillId="0" borderId="6"/>
    <xf numFmtId="0" fontId="14" fillId="0" borderId="0"/>
    <xf numFmtId="0" fontId="14" fillId="0" borderId="0"/>
    <xf numFmtId="0" fontId="66" fillId="0" borderId="0"/>
    <xf numFmtId="0" fontId="67" fillId="0" borderId="0"/>
    <xf numFmtId="0" fontId="29" fillId="0" borderId="0"/>
    <xf numFmtId="0" fontId="14" fillId="9" borderId="20" applyNumberFormat="0" applyFont="0" applyAlignment="0" applyProtection="0"/>
    <xf numFmtId="197" fontId="68" fillId="0" borderId="0">
      <alignment horizontal="left"/>
    </xf>
    <xf numFmtId="0" fontId="69" fillId="20" borderId="21" applyNumberFormat="0" applyAlignment="0" applyProtection="0"/>
    <xf numFmtId="10" fontId="14" fillId="0" borderId="0" applyFont="0" applyFill="0" applyBorder="0" applyAlignment="0" applyProtection="0"/>
    <xf numFmtId="9" fontId="14" fillId="0" borderId="0" applyFont="0" applyFill="0" applyBorder="0" applyAlignment="0" applyProtection="0"/>
    <xf numFmtId="2" fontId="70" fillId="0" borderId="0" applyNumberFormat="0"/>
    <xf numFmtId="198" fontId="71" fillId="0" borderId="0"/>
    <xf numFmtId="0" fontId="42" fillId="0" borderId="22" applyFont="0" applyFill="0" applyBorder="0" applyAlignment="0" applyProtection="0">
      <alignment horizontal="right"/>
    </xf>
    <xf numFmtId="0" fontId="72" fillId="27" borderId="0">
      <alignment horizontal="left"/>
    </xf>
    <xf numFmtId="0" fontId="73" fillId="0" borderId="0"/>
    <xf numFmtId="0" fontId="29" fillId="0" borderId="0"/>
    <xf numFmtId="0" fontId="18" fillId="28" borderId="23" applyNumberFormat="0" applyProtection="0">
      <alignment horizontal="center" wrapText="1"/>
    </xf>
    <xf numFmtId="0" fontId="18" fillId="28" borderId="24" applyNumberFormat="0" applyAlignment="0" applyProtection="0">
      <alignment wrapText="1"/>
    </xf>
    <xf numFmtId="0" fontId="14" fillId="29" borderId="0" applyNumberFormat="0" applyBorder="0">
      <alignment horizontal="center" wrapText="1"/>
    </xf>
    <xf numFmtId="0" fontId="14" fillId="29" borderId="0" applyNumberFormat="0" applyBorder="0">
      <alignment wrapText="1"/>
    </xf>
    <xf numFmtId="0" fontId="14" fillId="0" borderId="0" applyNumberFormat="0" applyFill="0" applyBorder="0" applyProtection="0">
      <alignment horizontal="right" wrapText="1"/>
    </xf>
    <xf numFmtId="199" fontId="14" fillId="0" borderId="0" applyFill="0" applyBorder="0" applyAlignment="0" applyProtection="0">
      <alignment wrapText="1"/>
    </xf>
    <xf numFmtId="200" fontId="14" fillId="0" borderId="0" applyFill="0" applyBorder="0" applyAlignment="0" applyProtection="0">
      <alignment wrapText="1"/>
    </xf>
    <xf numFmtId="201" fontId="14" fillId="0" borderId="0" applyFill="0" applyBorder="0" applyAlignment="0" applyProtection="0">
      <alignment wrapText="1"/>
    </xf>
    <xf numFmtId="0" fontId="14" fillId="0" borderId="0" applyNumberFormat="0" applyFill="0" applyBorder="0" applyProtection="0">
      <alignment horizontal="right" wrapText="1"/>
    </xf>
    <xf numFmtId="0" fontId="14" fillId="0" borderId="0" applyNumberFormat="0" applyFill="0" applyBorder="0">
      <alignment horizontal="right" wrapText="1"/>
    </xf>
    <xf numFmtId="17" fontId="14" fillId="0" borderId="0" applyFill="0" applyBorder="0">
      <alignment horizontal="right" wrapText="1"/>
    </xf>
    <xf numFmtId="165" fontId="14" fillId="0" borderId="0" applyFill="0" applyBorder="0" applyAlignment="0" applyProtection="0">
      <alignment wrapText="1"/>
    </xf>
    <xf numFmtId="0" fontId="74" fillId="0" borderId="0" applyNumberFormat="0" applyFill="0" applyBorder="0">
      <alignment horizontal="left" wrapText="1"/>
    </xf>
    <xf numFmtId="0" fontId="18" fillId="0" borderId="0" applyNumberFormat="0" applyFill="0" applyBorder="0">
      <alignment horizontal="center" wrapText="1"/>
    </xf>
    <xf numFmtId="0" fontId="18" fillId="0" borderId="0" applyNumberFormat="0" applyFill="0" applyBorder="0">
      <alignment horizontal="center" wrapText="1"/>
    </xf>
    <xf numFmtId="0" fontId="18" fillId="0" borderId="0" applyNumberFormat="0" applyFill="0" applyBorder="0">
      <alignment horizontal="center" wrapText="1"/>
    </xf>
    <xf numFmtId="0" fontId="75" fillId="0" borderId="0"/>
    <xf numFmtId="187" fontId="76" fillId="3" borderId="0">
      <alignment horizontal="left"/>
    </xf>
    <xf numFmtId="0" fontId="77" fillId="0" borderId="0">
      <alignment horizontal="center" vertical="top"/>
    </xf>
    <xf numFmtId="20" fontId="76" fillId="3" borderId="0">
      <alignment horizontal="left"/>
    </xf>
    <xf numFmtId="0" fontId="78" fillId="0" borderId="0" applyNumberFormat="0" applyFill="0" applyBorder="0" applyAlignment="0" applyProtection="0"/>
    <xf numFmtId="194" fontId="79" fillId="0" borderId="0" applyNumberFormat="0" applyFill="0" applyBorder="0" applyAlignment="0" applyProtection="0"/>
    <xf numFmtId="0" fontId="80" fillId="0" borderId="25" applyNumberFormat="0" applyFill="0" applyAlignment="0" applyProtection="0"/>
    <xf numFmtId="197" fontId="68" fillId="0" borderId="0">
      <alignment horizontal="left"/>
    </xf>
    <xf numFmtId="202" fontId="81" fillId="0" borderId="0"/>
    <xf numFmtId="202" fontId="82" fillId="0" borderId="0"/>
    <xf numFmtId="166" fontId="14" fillId="0" borderId="0" applyFont="0" applyFill="0" applyBorder="0" applyAlignment="0" applyProtection="0"/>
    <xf numFmtId="168" fontId="14" fillId="0" borderId="0" applyFont="0" applyFill="0" applyBorder="0" applyAlignment="0" applyProtection="0"/>
    <xf numFmtId="164" fontId="32" fillId="0" borderId="0" applyFont="0" applyFill="0" applyBorder="0" applyAlignment="0" applyProtection="0"/>
    <xf numFmtId="165" fontId="32" fillId="0" borderId="0" applyFont="0" applyFill="0" applyBorder="0" applyAlignment="0" applyProtection="0"/>
    <xf numFmtId="0" fontId="83" fillId="0" borderId="0" applyNumberFormat="0" applyFill="0" applyBorder="0" applyAlignment="0" applyProtection="0"/>
    <xf numFmtId="0" fontId="39" fillId="30" borderId="0" applyNumberFormat="0" applyBorder="0" applyAlignment="0" applyProtection="0"/>
    <xf numFmtId="203" fontId="39" fillId="0" borderId="0" applyFont="0" applyFill="0" applyBorder="0" applyAlignment="0" applyProtection="0"/>
    <xf numFmtId="0" fontId="32" fillId="0" borderId="0"/>
    <xf numFmtId="0" fontId="84" fillId="0" borderId="0" applyNumberFormat="0" applyFill="0" applyBorder="0" applyAlignment="0" applyProtection="0">
      <alignment vertical="top"/>
      <protection locked="0"/>
    </xf>
    <xf numFmtId="173" fontId="14" fillId="0" borderId="0" applyFont="0" applyFill="0" applyBorder="0" applyAlignment="0" applyProtection="0"/>
    <xf numFmtId="0" fontId="14" fillId="0" borderId="0"/>
    <xf numFmtId="0" fontId="5" fillId="0" borderId="0"/>
    <xf numFmtId="0" fontId="3" fillId="0" borderId="0"/>
    <xf numFmtId="0" fontId="5" fillId="0" borderId="0"/>
    <xf numFmtId="0" fontId="5" fillId="0" borderId="0"/>
    <xf numFmtId="0" fontId="3" fillId="0" borderId="0"/>
    <xf numFmtId="0" fontId="14" fillId="0" borderId="0"/>
    <xf numFmtId="0" fontId="5" fillId="0" borderId="0"/>
    <xf numFmtId="0" fontId="85" fillId="0" borderId="0"/>
    <xf numFmtId="0" fontId="14" fillId="0" borderId="0"/>
    <xf numFmtId="0" fontId="3" fillId="0" borderId="0"/>
    <xf numFmtId="0" fontId="86" fillId="0" borderId="0"/>
    <xf numFmtId="0" fontId="14" fillId="0" borderId="0"/>
    <xf numFmtId="0" fontId="87" fillId="0" borderId="0"/>
    <xf numFmtId="9" fontId="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0" fontId="29" fillId="0" borderId="0"/>
    <xf numFmtId="204" fontId="86" fillId="0" borderId="0" applyFont="0" applyFill="0" applyBorder="0" applyAlignment="0" applyProtection="0"/>
    <xf numFmtId="171" fontId="5" fillId="0" borderId="0" applyFont="0" applyFill="0" applyBorder="0" applyAlignment="0" applyProtection="0"/>
    <xf numFmtId="167" fontId="14" fillId="0" borderId="0" applyFont="0" applyFill="0" applyBorder="0" applyAlignment="0" applyProtection="0"/>
    <xf numFmtId="205"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206" fontId="14" fillId="0" borderId="0" applyFont="0" applyFill="0" applyBorder="0" applyAlignment="0" applyProtection="0"/>
    <xf numFmtId="169" fontId="14" fillId="0" borderId="0" applyFont="0" applyFill="0" applyBorder="0" applyAlignment="0" applyProtection="0"/>
    <xf numFmtId="172" fontId="14" fillId="0" borderId="0" applyFont="0" applyFill="0" applyBorder="0" applyAlignment="0" applyProtection="0"/>
    <xf numFmtId="172" fontId="3" fillId="0" borderId="0" applyFont="0" applyFill="0" applyBorder="0" applyAlignment="0" applyProtection="0"/>
    <xf numFmtId="172" fontId="5" fillId="0" borderId="0" applyFont="0" applyFill="0" applyBorder="0" applyAlignment="0" applyProtection="0"/>
    <xf numFmtId="169" fontId="14" fillId="0" borderId="0" applyFont="0" applyFill="0" applyBorder="0" applyAlignment="0" applyProtection="0"/>
    <xf numFmtId="172" fontId="85" fillId="0" borderId="0" applyFont="0" applyFill="0" applyBorder="0" applyAlignment="0" applyProtection="0"/>
    <xf numFmtId="207" fontId="14" fillId="0" borderId="0" applyFont="0" applyFill="0" applyBorder="0" applyAlignment="0" applyProtection="0"/>
    <xf numFmtId="208" fontId="14" fillId="0" borderId="0" applyFont="0" applyFill="0" applyBorder="0" applyAlignment="0" applyProtection="0"/>
    <xf numFmtId="172" fontId="5" fillId="0" borderId="0" applyFont="0" applyFill="0" applyBorder="0" applyAlignment="0" applyProtection="0"/>
    <xf numFmtId="172" fontId="3" fillId="0" borderId="0" applyFont="0" applyFill="0" applyBorder="0" applyAlignment="0" applyProtection="0"/>
    <xf numFmtId="179" fontId="14" fillId="0" borderId="0" applyFont="0" applyFill="0" applyBorder="0" applyAlignment="0" applyProtection="0"/>
    <xf numFmtId="172" fontId="87" fillId="0" borderId="0" applyFont="0" applyFill="0" applyBorder="0" applyAlignment="0" applyProtection="0"/>
    <xf numFmtId="205" fontId="14" fillId="0" borderId="0" applyFont="0" applyFill="0" applyBorder="0" applyAlignment="0" applyProtection="0"/>
    <xf numFmtId="40" fontId="88" fillId="0" borderId="0" applyFont="0" applyFill="0" applyBorder="0" applyAlignment="0" applyProtection="0"/>
    <xf numFmtId="38" fontId="88" fillId="0" borderId="0" applyFont="0" applyFill="0" applyBorder="0" applyAlignment="0" applyProtection="0"/>
    <xf numFmtId="0" fontId="88" fillId="0" borderId="0"/>
    <xf numFmtId="209" fontId="88" fillId="0" borderId="0" applyFont="0" applyFill="0" applyBorder="0" applyAlignment="0" applyProtection="0"/>
    <xf numFmtId="210" fontId="88" fillId="0" borderId="0" applyFont="0" applyFill="0" applyBorder="0" applyAlignment="0" applyProtection="0"/>
    <xf numFmtId="9" fontId="5" fillId="0" borderId="0" applyFont="0" applyFill="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5"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9" fillId="0" borderId="0">
      <alignment horizontal="left"/>
    </xf>
    <xf numFmtId="0" fontId="14" fillId="0" borderId="0" applyNumberFormat="0" applyFont="0" applyFill="0" applyBorder="0" applyAlignment="0" applyProtection="0">
      <alignment vertical="top"/>
    </xf>
    <xf numFmtId="0" fontId="14" fillId="0" borderId="0"/>
    <xf numFmtId="0" fontId="33" fillId="0" borderId="0"/>
    <xf numFmtId="0" fontId="1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90" fillId="0" borderId="0" applyFont="0" applyFill="0" applyBorder="0" applyAlignment="0" applyProtection="0"/>
    <xf numFmtId="211" fontId="14" fillId="0" borderId="0" applyFont="0" applyFill="0" applyBorder="0" applyAlignment="0" applyProtection="0"/>
    <xf numFmtId="172" fontId="33" fillId="0" borderId="0" applyFont="0" applyFill="0" applyBorder="0" applyAlignment="0" applyProtection="0"/>
    <xf numFmtId="169" fontId="14" fillId="0" borderId="0" applyFont="0" applyFill="0" applyBorder="0" applyAlignment="0" applyProtection="0"/>
    <xf numFmtId="212" fontId="42" fillId="0" borderId="0" applyFill="0" applyBorder="0" applyAlignment="0" applyProtection="0"/>
    <xf numFmtId="169" fontId="14"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211" fontId="14" fillId="0" borderId="0" applyFont="0" applyFill="0" applyBorder="0" applyAlignment="0" applyProtection="0"/>
    <xf numFmtId="211" fontId="14" fillId="0" borderId="0" applyFont="0" applyFill="0" applyBorder="0" applyAlignment="0" applyProtection="0"/>
    <xf numFmtId="0" fontId="1" fillId="0" borderId="0"/>
    <xf numFmtId="172" fontId="1" fillId="0" borderId="0" applyFont="0" applyFill="0" applyBorder="0" applyAlignment="0" applyProtection="0"/>
    <xf numFmtId="0" fontId="5" fillId="0" borderId="0"/>
    <xf numFmtId="0" fontId="93" fillId="0" borderId="0" applyNumberFormat="0" applyFill="0" applyBorder="0" applyAlignment="0" applyProtection="0">
      <alignment vertical="top"/>
      <protection locked="0"/>
    </xf>
    <xf numFmtId="0" fontId="5" fillId="0" borderId="0"/>
    <xf numFmtId="0" fontId="5" fillId="0" borderId="0"/>
    <xf numFmtId="213" fontId="5" fillId="0" borderId="0" applyFont="0" applyFill="0" applyBorder="0" applyAlignment="0" applyProtection="0"/>
    <xf numFmtId="214" fontId="5" fillId="0" borderId="0" applyFont="0" applyFill="0" applyBorder="0" applyAlignment="0" applyProtection="0"/>
    <xf numFmtId="213" fontId="5" fillId="0" borderId="0" applyFont="0" applyFill="0" applyBorder="0" applyAlignment="0" applyProtection="0"/>
    <xf numFmtId="214" fontId="5" fillId="0" borderId="0" applyFont="0" applyFill="0" applyBorder="0" applyAlignment="0" applyProtection="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0" fontId="5" fillId="0" borderId="0"/>
    <xf numFmtId="170" fontId="87" fillId="0" borderId="0" applyFont="0" applyFill="0" applyBorder="0" applyAlignment="0" applyProtection="0"/>
    <xf numFmtId="0" fontId="87" fillId="0" borderId="0"/>
    <xf numFmtId="0" fontId="87" fillId="0" borderId="0"/>
  </cellStyleXfs>
  <cellXfs count="811">
    <xf numFmtId="0" fontId="0" fillId="0" borderId="0" xfId="0"/>
    <xf numFmtId="0" fontId="0" fillId="0" borderId="1" xfId="0" applyBorder="1"/>
    <xf numFmtId="0" fontId="0" fillId="4" borderId="1" xfId="0" applyFill="1" applyBorder="1"/>
    <xf numFmtId="0" fontId="0" fillId="0" borderId="1" xfId="0" applyFill="1" applyBorder="1"/>
    <xf numFmtId="174" fontId="11" fillId="32" borderId="6" xfId="3" applyNumberFormat="1" applyFont="1" applyFill="1" applyBorder="1" applyProtection="1">
      <protection hidden="1"/>
    </xf>
    <xf numFmtId="0" fontId="0" fillId="0" borderId="0" xfId="0" applyBorder="1"/>
    <xf numFmtId="0" fontId="0" fillId="2" borderId="0" xfId="0" applyFill="1" applyProtection="1">
      <protection hidden="1"/>
    </xf>
    <xf numFmtId="0" fontId="0" fillId="32" borderId="2" xfId="0" applyFill="1" applyBorder="1" applyProtection="1">
      <protection hidden="1"/>
    </xf>
    <xf numFmtId="0" fontId="8" fillId="32" borderId="0" xfId="0" applyFont="1" applyFill="1" applyBorder="1" applyAlignment="1" applyProtection="1">
      <alignment horizontal="center" wrapText="1"/>
      <protection hidden="1"/>
    </xf>
    <xf numFmtId="0" fontId="0" fillId="32" borderId="0" xfId="0" applyFill="1" applyBorder="1" applyProtection="1">
      <protection hidden="1"/>
    </xf>
    <xf numFmtId="0" fontId="6" fillId="32" borderId="0" xfId="0" applyFont="1" applyFill="1" applyBorder="1" applyAlignment="1" applyProtection="1">
      <alignment horizontal="left"/>
      <protection hidden="1"/>
    </xf>
    <xf numFmtId="0" fontId="8" fillId="32" borderId="0" xfId="0" applyFont="1" applyFill="1" applyBorder="1" applyAlignment="1" applyProtection="1">
      <alignment horizontal="center"/>
      <protection hidden="1"/>
    </xf>
    <xf numFmtId="0" fontId="8" fillId="32" borderId="0" xfId="0" applyFont="1" applyFill="1" applyBorder="1" applyAlignment="1" applyProtection="1">
      <alignment horizontal="right"/>
      <protection hidden="1"/>
    </xf>
    <xf numFmtId="0" fontId="15" fillId="32" borderId="0" xfId="0" applyFont="1" applyFill="1" applyBorder="1" applyAlignment="1" applyProtection="1">
      <alignment horizontal="left" wrapText="1"/>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right"/>
      <protection hidden="1"/>
    </xf>
    <xf numFmtId="0" fontId="16" fillId="32" borderId="0" xfId="0" applyFont="1" applyFill="1" applyBorder="1" applyProtection="1">
      <protection hidden="1"/>
    </xf>
    <xf numFmtId="0" fontId="19" fillId="2" borderId="0" xfId="0" applyFont="1" applyFill="1" applyProtection="1">
      <protection hidden="1"/>
    </xf>
    <xf numFmtId="0" fontId="10"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vertical="center"/>
      <protection hidden="1"/>
    </xf>
    <xf numFmtId="0" fontId="8" fillId="32" borderId="0" xfId="0" applyFont="1" applyFill="1" applyBorder="1" applyAlignment="1" applyProtection="1">
      <protection hidden="1"/>
    </xf>
    <xf numFmtId="0" fontId="6" fillId="32" borderId="0" xfId="0" applyFont="1" applyFill="1" applyBorder="1" applyProtection="1">
      <protection hidden="1"/>
    </xf>
    <xf numFmtId="0" fontId="12" fillId="32" borderId="0" xfId="0" applyFont="1" applyFill="1" applyBorder="1" applyAlignment="1" applyProtection="1">
      <alignment horizontal="center"/>
      <protection hidden="1"/>
    </xf>
    <xf numFmtId="0" fontId="0" fillId="32" borderId="2" xfId="0" applyFill="1" applyBorder="1" applyAlignment="1" applyProtection="1">
      <alignment vertical="top"/>
      <protection hidden="1"/>
    </xf>
    <xf numFmtId="0" fontId="15" fillId="32" borderId="0" xfId="0" applyFont="1" applyFill="1" applyBorder="1" applyAlignment="1" applyProtection="1">
      <alignment vertical="top"/>
      <protection hidden="1"/>
    </xf>
    <xf numFmtId="0" fontId="10" fillId="32" borderId="0" xfId="0" applyFont="1" applyFill="1" applyBorder="1" applyAlignment="1" applyProtection="1">
      <alignment horizontal="center" vertical="top"/>
      <protection hidden="1"/>
    </xf>
    <xf numFmtId="0" fontId="12" fillId="32" borderId="0" xfId="0" applyFont="1" applyFill="1" applyBorder="1" applyAlignment="1" applyProtection="1">
      <alignment horizontal="center" vertical="top"/>
      <protection hidden="1"/>
    </xf>
    <xf numFmtId="0" fontId="0" fillId="32" borderId="0" xfId="0" applyFill="1" applyBorder="1" applyAlignment="1" applyProtection="1">
      <alignment vertical="top"/>
      <protection hidden="1"/>
    </xf>
    <xf numFmtId="0" fontId="6" fillId="32" borderId="0" xfId="0" applyFont="1" applyFill="1" applyBorder="1" applyAlignment="1" applyProtection="1">
      <alignment horizontal="left" vertical="top"/>
      <protection hidden="1"/>
    </xf>
    <xf numFmtId="0" fontId="6" fillId="32" borderId="0" xfId="0" applyFont="1" applyFill="1" applyBorder="1" applyAlignment="1" applyProtection="1">
      <alignment vertical="top"/>
      <protection hidden="1"/>
    </xf>
    <xf numFmtId="0" fontId="8" fillId="32" borderId="0" xfId="0" applyFont="1" applyFill="1" applyBorder="1" applyAlignment="1" applyProtection="1">
      <alignment horizontal="center" vertical="top"/>
      <protection hidden="1"/>
    </xf>
    <xf numFmtId="0" fontId="19" fillId="2" borderId="0" xfId="0" applyFont="1" applyFill="1" applyAlignment="1" applyProtection="1">
      <alignment vertical="top"/>
      <protection hidden="1"/>
    </xf>
    <xf numFmtId="0" fontId="0" fillId="2" borderId="0" xfId="0" applyFill="1" applyAlignment="1" applyProtection="1">
      <alignment vertical="top"/>
      <protection hidden="1"/>
    </xf>
    <xf numFmtId="0" fontId="15" fillId="32" borderId="0" xfId="0" applyFont="1" applyFill="1" applyBorder="1" applyAlignment="1" applyProtection="1">
      <protection hidden="1"/>
    </xf>
    <xf numFmtId="0" fontId="15" fillId="32" borderId="0" xfId="0" applyFont="1" applyFill="1" applyBorder="1" applyProtection="1">
      <protection hidden="1"/>
    </xf>
    <xf numFmtId="0" fontId="15" fillId="32" borderId="0" xfId="0" applyFont="1" applyFill="1" applyBorder="1" applyAlignment="1" applyProtection="1">
      <alignment horizontal="center"/>
      <protection hidden="1"/>
    </xf>
    <xf numFmtId="0" fontId="8" fillId="32" borderId="0" xfId="0" applyFont="1" applyFill="1" applyBorder="1" applyProtection="1">
      <protection hidden="1"/>
    </xf>
    <xf numFmtId="175" fontId="9" fillId="4" borderId="6" xfId="3" applyNumberFormat="1" applyFont="1" applyFill="1" applyBorder="1" applyProtection="1">
      <protection locked="0" hidden="1"/>
    </xf>
    <xf numFmtId="180" fontId="11" fillId="4" borderId="6" xfId="3" applyNumberFormat="1" applyFont="1" applyFill="1" applyBorder="1" applyProtection="1">
      <protection locked="0" hidden="1"/>
    </xf>
    <xf numFmtId="175" fontId="11" fillId="4" borderId="6" xfId="3" applyNumberFormat="1" applyFont="1" applyFill="1" applyBorder="1" applyProtection="1">
      <protection locked="0" hidden="1"/>
    </xf>
    <xf numFmtId="0" fontId="91" fillId="32" borderId="0" xfId="0" applyFont="1" applyFill="1" applyBorder="1" applyAlignment="1" applyProtection="1">
      <alignment horizontal="left"/>
      <protection hidden="1"/>
    </xf>
    <xf numFmtId="0" fontId="92" fillId="32" borderId="0" xfId="0" applyFont="1" applyFill="1" applyBorder="1" applyAlignment="1" applyProtection="1">
      <alignment horizontal="center"/>
      <protection hidden="1"/>
    </xf>
    <xf numFmtId="175" fontId="6" fillId="32" borderId="6" xfId="3" applyNumberFormat="1" applyFont="1" applyFill="1" applyBorder="1" applyProtection="1">
      <protection hidden="1"/>
    </xf>
    <xf numFmtId="0" fontId="17" fillId="32" borderId="0" xfId="0" applyFont="1" applyFill="1" applyBorder="1" applyProtection="1">
      <protection hidden="1"/>
    </xf>
    <xf numFmtId="171" fontId="13" fillId="32" borderId="3" xfId="0" applyNumberFormat="1" applyFont="1" applyFill="1" applyBorder="1" applyProtection="1">
      <protection hidden="1"/>
    </xf>
    <xf numFmtId="0" fontId="0" fillId="0" borderId="0" xfId="0" applyProtection="1">
      <protection hidden="1"/>
    </xf>
    <xf numFmtId="0" fontId="0" fillId="2" borderId="29" xfId="0" applyFill="1" applyBorder="1" applyProtection="1">
      <protection hidden="1"/>
    </xf>
    <xf numFmtId="0" fontId="0" fillId="32" borderId="36" xfId="0" applyFill="1" applyBorder="1" applyProtection="1">
      <protection hidden="1"/>
    </xf>
    <xf numFmtId="0" fontId="0" fillId="32" borderId="30" xfId="0" applyFill="1" applyBorder="1" applyProtection="1">
      <protection hidden="1"/>
    </xf>
    <xf numFmtId="0" fontId="6" fillId="32" borderId="30" xfId="0" applyFont="1" applyFill="1" applyBorder="1" applyAlignment="1" applyProtection="1">
      <alignment horizontal="left"/>
      <protection hidden="1"/>
    </xf>
    <xf numFmtId="0" fontId="6" fillId="32" borderId="11" xfId="0" applyFont="1" applyFill="1" applyBorder="1" applyAlignment="1" applyProtection="1">
      <alignment horizontal="left"/>
      <protection hidden="1"/>
    </xf>
    <xf numFmtId="0" fontId="0" fillId="2" borderId="31" xfId="0" applyFill="1" applyBorder="1" applyProtection="1">
      <protection hidden="1"/>
    </xf>
    <xf numFmtId="0" fontId="6" fillId="32" borderId="32" xfId="0" applyFont="1" applyFill="1" applyBorder="1" applyAlignment="1" applyProtection="1">
      <alignment horizontal="left"/>
      <protection hidden="1"/>
    </xf>
    <xf numFmtId="0" fontId="8" fillId="32" borderId="32" xfId="0" applyFont="1" applyFill="1" applyBorder="1" applyAlignment="1" applyProtection="1">
      <alignment horizontal="center"/>
      <protection hidden="1"/>
    </xf>
    <xf numFmtId="0" fontId="0" fillId="2" borderId="31" xfId="0" applyFill="1" applyBorder="1" applyAlignment="1" applyProtection="1">
      <alignment vertical="top"/>
      <protection hidden="1"/>
    </xf>
    <xf numFmtId="0" fontId="8" fillId="32" borderId="32" xfId="0" applyFont="1" applyFill="1" applyBorder="1" applyAlignment="1" applyProtection="1">
      <alignment horizontal="center" vertical="top"/>
      <protection hidden="1"/>
    </xf>
    <xf numFmtId="174" fontId="11" fillId="32" borderId="33" xfId="3" applyNumberFormat="1" applyFont="1" applyFill="1" applyBorder="1" applyAlignment="1" applyProtection="1">
      <alignment horizontal="left"/>
      <protection hidden="1"/>
    </xf>
    <xf numFmtId="0" fontId="0" fillId="32" borderId="32" xfId="0" applyFill="1" applyBorder="1" applyProtection="1">
      <protection hidden="1"/>
    </xf>
    <xf numFmtId="0" fontId="92" fillId="32" borderId="32" xfId="0" applyFont="1" applyFill="1" applyBorder="1" applyAlignment="1" applyProtection="1">
      <alignment horizontal="center"/>
      <protection hidden="1"/>
    </xf>
    <xf numFmtId="0" fontId="0" fillId="2" borderId="34" xfId="0" applyFill="1" applyBorder="1" applyProtection="1">
      <protection hidden="1"/>
    </xf>
    <xf numFmtId="0" fontId="6" fillId="32" borderId="28" xfId="0" applyFont="1" applyFill="1" applyBorder="1" applyAlignment="1" applyProtection="1">
      <alignment horizontal="left"/>
      <protection hidden="1"/>
    </xf>
    <xf numFmtId="0" fontId="95" fillId="32" borderId="0" xfId="0" applyFont="1" applyFill="1" applyBorder="1" applyAlignment="1" applyProtection="1">
      <alignment horizontal="left" vertical="top"/>
      <protection hidden="1"/>
    </xf>
    <xf numFmtId="0" fontId="95" fillId="32" borderId="32" xfId="0" applyFont="1" applyFill="1" applyBorder="1" applyAlignment="1" applyProtection="1">
      <alignment horizontal="center" vertical="top"/>
      <protection hidden="1"/>
    </xf>
    <xf numFmtId="175" fontId="0" fillId="2" borderId="0" xfId="0" applyNumberFormat="1" applyFill="1" applyProtection="1">
      <protection hidden="1"/>
    </xf>
    <xf numFmtId="0" fontId="15" fillId="32" borderId="0" xfId="0" applyFont="1" applyFill="1" applyBorder="1" applyAlignment="1" applyProtection="1">
      <alignment horizontal="left"/>
      <protection hidden="1"/>
    </xf>
    <xf numFmtId="174" fontId="11" fillId="32" borderId="0" xfId="3" applyNumberFormat="1" applyFont="1" applyFill="1" applyBorder="1" applyProtection="1">
      <protection hidden="1"/>
    </xf>
    <xf numFmtId="174" fontId="11" fillId="32" borderId="32" xfId="3" applyNumberFormat="1" applyFont="1" applyFill="1" applyBorder="1" applyAlignment="1" applyProtection="1">
      <alignment horizontal="center"/>
      <protection hidden="1"/>
    </xf>
    <xf numFmtId="0" fontId="97" fillId="32" borderId="0" xfId="0" applyFont="1" applyFill="1" applyBorder="1" applyAlignment="1" applyProtection="1">
      <alignment vertical="top"/>
      <protection hidden="1"/>
    </xf>
    <xf numFmtId="175" fontId="99" fillId="32" borderId="6" xfId="3" applyNumberFormat="1" applyFont="1" applyFill="1" applyBorder="1" applyAlignment="1" applyProtection="1">
      <alignment horizontal="center" vertical="center"/>
      <protection hidden="1"/>
    </xf>
    <xf numFmtId="0" fontId="98" fillId="32" borderId="0" xfId="0" applyFont="1" applyFill="1" applyBorder="1" applyProtection="1">
      <protection hidden="1"/>
    </xf>
    <xf numFmtId="0" fontId="94" fillId="32" borderId="0" xfId="0" applyFont="1" applyFill="1" applyBorder="1" applyProtection="1">
      <protection hidden="1"/>
    </xf>
    <xf numFmtId="0" fontId="98" fillId="32" borderId="35"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6" fillId="32" borderId="0" xfId="0" applyFont="1" applyFill="1" applyBorder="1" applyAlignment="1" applyProtection="1">
      <alignment horizontal="right"/>
      <protection hidden="1"/>
    </xf>
    <xf numFmtId="0" fontId="6" fillId="32" borderId="0" xfId="0" applyFont="1" applyFill="1" applyBorder="1" applyAlignment="1" applyProtection="1">
      <alignment horizontal="right" vertical="top"/>
      <protection hidden="1"/>
    </xf>
    <xf numFmtId="0" fontId="9" fillId="4" borderId="1" xfId="0" applyFont="1" applyFill="1" applyBorder="1" applyAlignment="1" applyProtection="1">
      <alignment horizontal="center"/>
      <protection locked="0" hidden="1"/>
    </xf>
    <xf numFmtId="3" fontId="13" fillId="4" borderId="1" xfId="0" applyNumberFormat="1" applyFont="1" applyFill="1" applyBorder="1" applyAlignment="1" applyProtection="1">
      <alignment horizontal="center"/>
      <protection locked="0" hidden="1"/>
    </xf>
    <xf numFmtId="175" fontId="99" fillId="32" borderId="6" xfId="3" applyNumberFormat="1" applyFont="1" applyFill="1" applyBorder="1" applyAlignment="1" applyProtection="1">
      <alignment vertical="center"/>
      <protection hidden="1"/>
    </xf>
    <xf numFmtId="1" fontId="102" fillId="32" borderId="0" xfId="4" applyNumberFormat="1" applyFont="1" applyFill="1" applyBorder="1" applyAlignment="1" applyProtection="1">
      <alignment horizontal="center"/>
      <protection hidden="1"/>
    </xf>
    <xf numFmtId="0" fontId="6" fillId="32" borderId="0" xfId="0" applyFont="1" applyFill="1" applyBorder="1" applyAlignment="1" applyProtection="1">
      <alignment horizontal="left"/>
      <protection hidden="1"/>
    </xf>
    <xf numFmtId="0" fontId="102"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left"/>
      <protection hidden="1"/>
    </xf>
    <xf numFmtId="0" fontId="15" fillId="32" borderId="0" xfId="0" applyFont="1" applyFill="1" applyBorder="1" applyProtection="1">
      <protection locked="0" hidden="1"/>
    </xf>
    <xf numFmtId="175" fontId="99" fillId="32" borderId="0" xfId="3" applyNumberFormat="1" applyFont="1" applyFill="1" applyBorder="1" applyAlignment="1" applyProtection="1">
      <alignment horizontal="center" vertical="center"/>
      <protection hidden="1"/>
    </xf>
    <xf numFmtId="176" fontId="19" fillId="2" borderId="0" xfId="0" applyNumberFormat="1" applyFont="1" applyFill="1" applyProtection="1">
      <protection hidden="1"/>
    </xf>
    <xf numFmtId="176" fontId="0" fillId="2" borderId="0" xfId="0" applyNumberFormat="1" applyFill="1" applyProtection="1">
      <protection hidden="1"/>
    </xf>
    <xf numFmtId="216" fontId="0" fillId="2" borderId="0" xfId="0" applyNumberFormat="1" applyFill="1" applyProtection="1">
      <protection hidden="1"/>
    </xf>
    <xf numFmtId="217" fontId="0" fillId="2" borderId="0" xfId="0" applyNumberFormat="1" applyFill="1" applyProtection="1">
      <protection hidden="1"/>
    </xf>
    <xf numFmtId="176" fontId="105" fillId="0" borderId="0" xfId="0" applyNumberFormat="1" applyFont="1" applyFill="1" applyBorder="1" applyAlignment="1">
      <alignment horizontal="center" vertical="center"/>
    </xf>
    <xf numFmtId="176" fontId="96" fillId="0" borderId="0" xfId="0" applyNumberFormat="1" applyFont="1" applyFill="1" applyBorder="1" applyAlignment="1">
      <alignment horizontal="center" vertical="center"/>
    </xf>
    <xf numFmtId="0" fontId="105" fillId="0" borderId="0" xfId="0" applyFont="1" applyFill="1" applyBorder="1" applyAlignment="1">
      <alignment vertical="center"/>
    </xf>
    <xf numFmtId="176" fontId="96" fillId="0" borderId="42" xfId="0" applyNumberFormat="1" applyFont="1" applyFill="1" applyBorder="1" applyAlignment="1">
      <alignment horizontal="center" vertical="center"/>
    </xf>
    <xf numFmtId="176" fontId="96" fillId="0" borderId="1" xfId="0" applyNumberFormat="1" applyFont="1" applyFill="1" applyBorder="1" applyAlignment="1">
      <alignment horizontal="center" vertical="center"/>
    </xf>
    <xf numFmtId="176" fontId="64" fillId="0" borderId="1" xfId="0" applyNumberFormat="1" applyFont="1" applyFill="1" applyBorder="1" applyAlignment="1">
      <alignment horizontal="center" vertical="center"/>
    </xf>
    <xf numFmtId="176" fontId="96" fillId="4" borderId="42" xfId="0" applyNumberFormat="1" applyFont="1" applyFill="1" applyBorder="1" applyAlignment="1">
      <alignment horizontal="center" vertical="center"/>
    </xf>
    <xf numFmtId="176" fontId="96" fillId="4" borderId="1" xfId="0" applyNumberFormat="1" applyFont="1" applyFill="1" applyBorder="1" applyAlignment="1">
      <alignment horizontal="center" vertical="center"/>
    </xf>
    <xf numFmtId="176" fontId="64" fillId="0" borderId="42" xfId="0" applyNumberFormat="1" applyFont="1" applyFill="1" applyBorder="1" applyAlignment="1">
      <alignment horizontal="center" vertical="center"/>
    </xf>
    <xf numFmtId="176" fontId="96" fillId="0" borderId="44" xfId="0" applyNumberFormat="1" applyFont="1" applyFill="1" applyBorder="1" applyAlignment="1">
      <alignment horizontal="center" vertical="center"/>
    </xf>
    <xf numFmtId="176" fontId="96" fillId="0" borderId="45" xfId="0" applyNumberFormat="1" applyFont="1" applyFill="1" applyBorder="1" applyAlignment="1">
      <alignment horizontal="center" vertical="center"/>
    </xf>
    <xf numFmtId="176" fontId="64" fillId="0" borderId="45" xfId="0" applyNumberFormat="1" applyFont="1" applyFill="1" applyBorder="1" applyAlignment="1">
      <alignment horizontal="center" vertical="center"/>
    </xf>
    <xf numFmtId="176" fontId="64" fillId="0" borderId="44" xfId="0" applyNumberFormat="1" applyFont="1" applyFill="1" applyBorder="1" applyAlignment="1">
      <alignment horizontal="center" vertical="center"/>
    </xf>
    <xf numFmtId="176" fontId="96" fillId="4" borderId="44" xfId="0" applyNumberFormat="1" applyFont="1" applyFill="1" applyBorder="1" applyAlignment="1">
      <alignment horizontal="center" vertical="center"/>
    </xf>
    <xf numFmtId="176" fontId="96" fillId="4" borderId="45" xfId="0" applyNumberFormat="1" applyFont="1" applyFill="1" applyBorder="1" applyAlignment="1">
      <alignment horizontal="center" vertical="center"/>
    </xf>
    <xf numFmtId="176" fontId="105" fillId="0" borderId="48" xfId="0" applyNumberFormat="1" applyFont="1" applyFill="1" applyBorder="1" applyAlignment="1">
      <alignment vertical="center"/>
    </xf>
    <xf numFmtId="176" fontId="96" fillId="0" borderId="1" xfId="0" applyNumberFormat="1" applyFont="1" applyFill="1" applyBorder="1" applyAlignment="1">
      <alignment horizontal="center" vertical="center" wrapText="1"/>
    </xf>
    <xf numFmtId="176" fontId="64" fillId="0" borderId="1" xfId="424" applyNumberFormat="1" applyFont="1" applyFill="1" applyBorder="1" applyAlignment="1">
      <alignment horizontal="center" vertical="center"/>
    </xf>
    <xf numFmtId="176" fontId="105" fillId="0" borderId="49" xfId="0" applyNumberFormat="1" applyFont="1" applyFill="1" applyBorder="1" applyAlignment="1">
      <alignment vertical="center"/>
    </xf>
    <xf numFmtId="176" fontId="96" fillId="0" borderId="45" xfId="0" applyNumberFormat="1" applyFont="1" applyFill="1" applyBorder="1" applyAlignment="1">
      <alignment horizontal="center" vertical="center" wrapText="1"/>
    </xf>
    <xf numFmtId="0" fontId="106" fillId="0" borderId="48" xfId="0" applyFont="1" applyFill="1" applyBorder="1" applyAlignment="1">
      <alignment vertical="center"/>
    </xf>
    <xf numFmtId="0" fontId="106" fillId="0" borderId="49" xfId="0" applyFont="1" applyFill="1" applyBorder="1" applyAlignment="1">
      <alignment vertical="center"/>
    </xf>
    <xf numFmtId="176" fontId="96" fillId="0" borderId="42" xfId="0" applyNumberFormat="1" applyFont="1" applyFill="1" applyBorder="1" applyAlignment="1">
      <alignment horizontal="center" vertical="center" wrapText="1"/>
    </xf>
    <xf numFmtId="176" fontId="96" fillId="0" borderId="44" xfId="0" applyNumberFormat="1" applyFont="1" applyFill="1" applyBorder="1" applyAlignment="1">
      <alignment horizontal="center" vertical="center" wrapText="1"/>
    </xf>
    <xf numFmtId="176" fontId="96" fillId="0" borderId="0" xfId="0" applyNumberFormat="1" applyFont="1" applyFill="1" applyBorder="1" applyAlignment="1">
      <alignment horizontal="center" vertical="center" wrapText="1"/>
    </xf>
    <xf numFmtId="176" fontId="64" fillId="0" borderId="0" xfId="424" applyNumberFormat="1" applyFont="1" applyBorder="1" applyAlignment="1">
      <alignment horizontal="center" vertical="center"/>
    </xf>
    <xf numFmtId="176" fontId="64" fillId="0" borderId="42" xfId="424" applyNumberFormat="1" applyFont="1" applyFill="1" applyBorder="1" applyAlignment="1">
      <alignment horizontal="center" vertical="center"/>
    </xf>
    <xf numFmtId="176" fontId="105" fillId="34" borderId="1" xfId="0" applyNumberFormat="1" applyFont="1" applyFill="1" applyBorder="1" applyAlignment="1">
      <alignment vertical="center" wrapText="1"/>
    </xf>
    <xf numFmtId="176" fontId="96" fillId="0" borderId="5" xfId="0" applyNumberFormat="1" applyFont="1" applyFill="1" applyBorder="1" applyAlignment="1">
      <alignment horizontal="center" vertical="center"/>
    </xf>
    <xf numFmtId="176" fontId="105" fillId="34" borderId="5" xfId="0" applyNumberFormat="1" applyFont="1" applyFill="1" applyBorder="1" applyAlignment="1">
      <alignment vertical="center" wrapText="1"/>
    </xf>
    <xf numFmtId="176" fontId="105" fillId="34" borderId="42" xfId="0" applyNumberFormat="1" applyFont="1" applyFill="1" applyBorder="1" applyAlignment="1">
      <alignment vertical="center" wrapText="1"/>
    </xf>
    <xf numFmtId="176" fontId="105" fillId="34" borderId="43" xfId="0" applyNumberFormat="1" applyFont="1" applyFill="1" applyBorder="1" applyAlignment="1">
      <alignment vertical="center" wrapText="1"/>
    </xf>
    <xf numFmtId="176" fontId="64" fillId="0" borderId="43" xfId="0" applyNumberFormat="1" applyFont="1" applyFill="1" applyBorder="1" applyAlignment="1">
      <alignment horizontal="center" vertical="center"/>
    </xf>
    <xf numFmtId="176" fontId="64" fillId="0" borderId="46" xfId="0" applyNumberFormat="1" applyFont="1" applyFill="1" applyBorder="1" applyAlignment="1">
      <alignment horizontal="center" vertical="center"/>
    </xf>
    <xf numFmtId="176" fontId="96" fillId="0" borderId="43" xfId="0" applyNumberFormat="1" applyFont="1" applyFill="1" applyBorder="1" applyAlignment="1">
      <alignment horizontal="center" vertical="center"/>
    </xf>
    <xf numFmtId="176" fontId="96" fillId="0" borderId="46" xfId="0" applyNumberFormat="1" applyFont="1" applyFill="1" applyBorder="1" applyAlignment="1">
      <alignment horizontal="center" vertical="center"/>
    </xf>
    <xf numFmtId="176" fontId="105" fillId="34" borderId="4" xfId="0" applyNumberFormat="1" applyFont="1" applyFill="1" applyBorder="1" applyAlignment="1">
      <alignment vertical="center" wrapText="1"/>
    </xf>
    <xf numFmtId="176" fontId="96" fillId="0" borderId="52" xfId="0" applyNumberFormat="1" applyFont="1" applyFill="1" applyBorder="1" applyAlignment="1">
      <alignment horizontal="center" vertical="center"/>
    </xf>
    <xf numFmtId="176" fontId="96" fillId="0" borderId="43" xfId="0" applyNumberFormat="1" applyFont="1" applyFill="1" applyBorder="1" applyAlignment="1">
      <alignment horizontal="center" vertical="center" wrapText="1"/>
    </xf>
    <xf numFmtId="176" fontId="96" fillId="0" borderId="46" xfId="0" applyNumberFormat="1" applyFont="1" applyFill="1" applyBorder="1" applyAlignment="1">
      <alignment horizontal="center" vertical="center" wrapText="1"/>
    </xf>
    <xf numFmtId="176" fontId="105" fillId="34" borderId="53" xfId="0" applyNumberFormat="1" applyFont="1" applyFill="1" applyBorder="1" applyAlignment="1">
      <alignment vertical="center" wrapText="1"/>
    </xf>
    <xf numFmtId="176" fontId="64" fillId="27" borderId="43" xfId="0" applyNumberFormat="1" applyFont="1" applyFill="1" applyBorder="1" applyAlignment="1">
      <alignment horizontal="center" vertical="center"/>
    </xf>
    <xf numFmtId="176" fontId="64" fillId="27" borderId="46" xfId="0" applyNumberFormat="1" applyFont="1" applyFill="1" applyBorder="1" applyAlignment="1">
      <alignment horizontal="center" vertical="center"/>
    </xf>
    <xf numFmtId="176" fontId="96" fillId="4" borderId="43" xfId="0" applyNumberFormat="1" applyFont="1" applyFill="1" applyBorder="1" applyAlignment="1">
      <alignment horizontal="center" vertical="center"/>
    </xf>
    <xf numFmtId="176" fontId="96" fillId="4" borderId="46" xfId="0" applyNumberFormat="1" applyFont="1" applyFill="1" applyBorder="1" applyAlignment="1">
      <alignment horizontal="center" vertical="center"/>
    </xf>
    <xf numFmtId="176" fontId="105" fillId="34" borderId="57" xfId="0" applyNumberFormat="1" applyFont="1" applyFill="1" applyBorder="1" applyAlignment="1">
      <alignment vertical="center" wrapText="1"/>
    </xf>
    <xf numFmtId="176" fontId="64" fillId="0" borderId="54" xfId="0" applyNumberFormat="1" applyFont="1" applyFill="1" applyBorder="1" applyAlignment="1">
      <alignment horizontal="center" vertical="center"/>
    </xf>
    <xf numFmtId="176" fontId="64" fillId="0" borderId="56" xfId="0" applyNumberFormat="1" applyFont="1" applyFill="1" applyBorder="1" applyAlignment="1">
      <alignment horizontal="center" vertical="center"/>
    </xf>
    <xf numFmtId="176" fontId="64" fillId="0" borderId="57" xfId="0" applyNumberFormat="1" applyFont="1" applyFill="1" applyBorder="1" applyAlignment="1">
      <alignment horizontal="center" vertical="center"/>
    </xf>
    <xf numFmtId="176" fontId="64" fillId="0" borderId="58" xfId="0" applyNumberFormat="1" applyFont="1" applyFill="1" applyBorder="1" applyAlignment="1">
      <alignment horizontal="center" vertical="center"/>
    </xf>
    <xf numFmtId="176" fontId="64" fillId="0" borderId="53" xfId="0" applyNumberFormat="1" applyFont="1" applyFill="1" applyBorder="1" applyAlignment="1">
      <alignment horizontal="center" vertical="center"/>
    </xf>
    <xf numFmtId="176" fontId="64" fillId="0" borderId="49" xfId="0" applyNumberFormat="1" applyFont="1" applyFill="1" applyBorder="1" applyAlignment="1">
      <alignment horizontal="center" vertical="center"/>
    </xf>
    <xf numFmtId="176" fontId="96" fillId="0" borderId="5" xfId="0" applyNumberFormat="1" applyFont="1" applyFill="1" applyBorder="1" applyAlignment="1">
      <alignment horizontal="center" vertical="center" wrapText="1"/>
    </xf>
    <xf numFmtId="0" fontId="105" fillId="0" borderId="48" xfId="0" applyFont="1" applyBorder="1" applyAlignment="1">
      <alignment vertical="center"/>
    </xf>
    <xf numFmtId="0" fontId="105" fillId="0" borderId="49" xfId="0" applyFont="1" applyBorder="1" applyAlignment="1">
      <alignment vertical="center"/>
    </xf>
    <xf numFmtId="0" fontId="105" fillId="0" borderId="48" xfId="0" applyFont="1" applyFill="1" applyBorder="1" applyAlignment="1">
      <alignment horizontal="left" vertical="center" wrapText="1"/>
    </xf>
    <xf numFmtId="0" fontId="106" fillId="0" borderId="48" xfId="0" applyFont="1" applyFill="1" applyBorder="1" applyAlignment="1">
      <alignment horizontal="left" vertical="center" wrapText="1"/>
    </xf>
    <xf numFmtId="0" fontId="106" fillId="0" borderId="48" xfId="0" applyFont="1" applyFill="1" applyBorder="1" applyAlignment="1">
      <alignment horizontal="left" vertical="center"/>
    </xf>
    <xf numFmtId="0" fontId="106" fillId="0" borderId="49" xfId="0" applyFont="1" applyFill="1" applyBorder="1" applyAlignment="1">
      <alignment horizontal="left" vertical="center" wrapText="1"/>
    </xf>
    <xf numFmtId="176" fontId="64" fillId="0" borderId="43" xfId="424" applyNumberFormat="1" applyFont="1" applyFill="1" applyBorder="1" applyAlignment="1">
      <alignment horizontal="center" vertical="center"/>
    </xf>
    <xf numFmtId="176" fontId="64" fillId="0" borderId="44" xfId="424" applyNumberFormat="1" applyFont="1" applyFill="1" applyBorder="1" applyAlignment="1">
      <alignment horizontal="center" vertical="center"/>
    </xf>
    <xf numFmtId="176" fontId="64" fillId="0" borderId="45" xfId="424" applyNumberFormat="1" applyFont="1" applyFill="1" applyBorder="1" applyAlignment="1">
      <alignment horizontal="center" vertical="center"/>
    </xf>
    <xf numFmtId="176" fontId="64" fillId="0" borderId="46" xfId="424" applyNumberFormat="1" applyFont="1" applyFill="1" applyBorder="1" applyAlignment="1">
      <alignment horizontal="center" vertical="center"/>
    </xf>
    <xf numFmtId="176" fontId="96" fillId="4" borderId="4" xfId="0" applyNumberFormat="1" applyFont="1" applyFill="1" applyBorder="1" applyAlignment="1">
      <alignment horizontal="center" vertical="center"/>
    </xf>
    <xf numFmtId="176" fontId="96" fillId="4" borderId="47" xfId="0" applyNumberFormat="1" applyFont="1" applyFill="1" applyBorder="1" applyAlignment="1">
      <alignment horizontal="center" vertical="center"/>
    </xf>
    <xf numFmtId="176" fontId="96" fillId="0" borderId="52" xfId="0" applyNumberFormat="1" applyFont="1" applyFill="1" applyBorder="1" applyAlignment="1">
      <alignment horizontal="center" vertical="center" wrapText="1"/>
    </xf>
    <xf numFmtId="0" fontId="105" fillId="34" borderId="51" xfId="0" applyFont="1" applyFill="1" applyBorder="1" applyAlignment="1">
      <alignment vertical="center" wrapText="1"/>
    </xf>
    <xf numFmtId="0" fontId="105" fillId="0" borderId="50" xfId="0" applyFont="1" applyFill="1" applyBorder="1" applyAlignment="1">
      <alignment vertical="center" wrapText="1"/>
    </xf>
    <xf numFmtId="0" fontId="105" fillId="34" borderId="1" xfId="0" applyFont="1" applyFill="1" applyBorder="1" applyAlignment="1">
      <alignment vertical="center" wrapText="1"/>
    </xf>
    <xf numFmtId="175" fontId="96" fillId="0" borderId="1" xfId="3" applyNumberFormat="1" applyFont="1" applyFill="1" applyBorder="1" applyAlignment="1">
      <alignment horizontal="center" vertical="center" wrapText="1"/>
    </xf>
    <xf numFmtId="176" fontId="64" fillId="4" borderId="43" xfId="0" applyNumberFormat="1" applyFont="1" applyFill="1" applyBorder="1" applyAlignment="1">
      <alignment horizontal="center" vertical="center"/>
    </xf>
    <xf numFmtId="176" fontId="64" fillId="4" borderId="46" xfId="0" applyNumberFormat="1" applyFont="1" applyFill="1" applyBorder="1" applyAlignment="1">
      <alignment horizontal="center" vertical="center"/>
    </xf>
    <xf numFmtId="176" fontId="64" fillId="4" borderId="43" xfId="424" applyNumberFormat="1" applyFont="1" applyFill="1" applyBorder="1" applyAlignment="1">
      <alignment horizontal="center" vertical="center"/>
    </xf>
    <xf numFmtId="176" fontId="64" fillId="4" borderId="46" xfId="424" applyNumberFormat="1" applyFont="1" applyFill="1" applyBorder="1" applyAlignment="1">
      <alignment horizontal="center" vertical="center"/>
    </xf>
    <xf numFmtId="176" fontId="96" fillId="4" borderId="1" xfId="0" applyNumberFormat="1" applyFont="1" applyFill="1" applyBorder="1" applyAlignment="1">
      <alignment horizontal="center" vertical="center" wrapText="1"/>
    </xf>
    <xf numFmtId="176" fontId="96" fillId="4" borderId="45" xfId="0" applyNumberFormat="1" applyFont="1" applyFill="1" applyBorder="1" applyAlignment="1">
      <alignment horizontal="center" vertical="center" wrapText="1"/>
    </xf>
    <xf numFmtId="176" fontId="96" fillId="4" borderId="43" xfId="0" applyNumberFormat="1" applyFont="1" applyFill="1" applyBorder="1" applyAlignment="1">
      <alignment horizontal="center" vertical="center" wrapText="1"/>
    </xf>
    <xf numFmtId="176" fontId="96" fillId="4" borderId="46" xfId="0" applyNumberFormat="1" applyFont="1" applyFill="1" applyBorder="1" applyAlignment="1">
      <alignment horizontal="center" vertical="center" wrapText="1"/>
    </xf>
    <xf numFmtId="176" fontId="64" fillId="4" borderId="1" xfId="424" applyNumberFormat="1" applyFont="1" applyFill="1" applyBorder="1" applyAlignment="1">
      <alignment horizontal="center" vertical="center"/>
    </xf>
    <xf numFmtId="176" fontId="64" fillId="4" borderId="45" xfId="424" applyNumberFormat="1" applyFont="1" applyFill="1" applyBorder="1" applyAlignment="1">
      <alignment horizontal="center" vertical="center"/>
    </xf>
    <xf numFmtId="176" fontId="96" fillId="4" borderId="42" xfId="0" applyNumberFormat="1" applyFont="1" applyFill="1" applyBorder="1" applyAlignment="1">
      <alignment horizontal="center" vertical="center" wrapText="1"/>
    </xf>
    <xf numFmtId="176" fontId="96" fillId="4" borderId="44" xfId="0" applyNumberFormat="1" applyFont="1" applyFill="1" applyBorder="1" applyAlignment="1">
      <alignment horizontal="center" vertical="center" wrapText="1"/>
    </xf>
    <xf numFmtId="175" fontId="96" fillId="4" borderId="1" xfId="3" applyNumberFormat="1" applyFont="1" applyFill="1" applyBorder="1" applyAlignment="1">
      <alignment horizontal="center" vertical="center" wrapText="1"/>
    </xf>
    <xf numFmtId="176" fontId="105" fillId="0" borderId="0" xfId="0" applyNumberFormat="1" applyFont="1" applyFill="1" applyBorder="1" applyAlignment="1">
      <alignment vertical="center"/>
    </xf>
    <xf numFmtId="176" fontId="96" fillId="4" borderId="0" xfId="0" applyNumberFormat="1" applyFont="1" applyFill="1" applyBorder="1" applyAlignment="1">
      <alignment horizontal="center" vertical="center"/>
    </xf>
    <xf numFmtId="176" fontId="64" fillId="4" borderId="0" xfId="0" applyNumberFormat="1" applyFont="1" applyFill="1" applyBorder="1" applyAlignment="1">
      <alignment horizontal="center" vertical="center"/>
    </xf>
    <xf numFmtId="176" fontId="96" fillId="4" borderId="0" xfId="0" applyNumberFormat="1" applyFont="1" applyFill="1" applyBorder="1" applyAlignment="1">
      <alignment horizontal="center" vertical="center" wrapText="1"/>
    </xf>
    <xf numFmtId="176" fontId="64" fillId="27" borderId="0" xfId="0" applyNumberFormat="1" applyFont="1" applyFill="1" applyBorder="1" applyAlignment="1">
      <alignment horizontal="center" vertical="center"/>
    </xf>
    <xf numFmtId="0" fontId="106" fillId="0" borderId="0" xfId="0" applyFont="1" applyFill="1" applyBorder="1" applyAlignment="1">
      <alignment vertical="center"/>
    </xf>
    <xf numFmtId="176" fontId="64" fillId="0" borderId="0" xfId="0" applyNumberFormat="1" applyFont="1" applyFill="1" applyBorder="1" applyAlignment="1">
      <alignment horizontal="center" vertical="center"/>
    </xf>
    <xf numFmtId="0" fontId="105" fillId="0" borderId="0" xfId="0" applyFont="1" applyBorder="1" applyAlignment="1">
      <alignment vertical="center"/>
    </xf>
    <xf numFmtId="176" fontId="64" fillId="4" borderId="0" xfId="424" applyNumberFormat="1" applyFont="1" applyFill="1" applyBorder="1" applyAlignment="1">
      <alignment horizontal="center" vertical="center"/>
    </xf>
    <xf numFmtId="176" fontId="105" fillId="0" borderId="59" xfId="0" applyNumberFormat="1" applyFont="1" applyFill="1" applyBorder="1" applyAlignment="1">
      <alignment vertical="center"/>
    </xf>
    <xf numFmtId="0" fontId="20" fillId="0" borderId="0" xfId="0" applyFont="1" applyBorder="1" applyAlignment="1">
      <alignment horizontal="center" vertical="center"/>
    </xf>
    <xf numFmtId="0" fontId="105" fillId="34" borderId="51" xfId="0" applyFont="1" applyFill="1" applyBorder="1" applyAlignment="1" applyProtection="1">
      <alignment vertical="center" wrapText="1"/>
      <protection hidden="1"/>
    </xf>
    <xf numFmtId="0" fontId="105" fillId="34" borderId="1" xfId="0" applyFont="1" applyFill="1" applyBorder="1" applyAlignment="1" applyProtection="1">
      <alignment vertical="center" wrapText="1"/>
      <protection hidden="1"/>
    </xf>
    <xf numFmtId="0" fontId="105" fillId="0" borderId="50" xfId="0" applyFont="1" applyFill="1" applyBorder="1" applyAlignment="1" applyProtection="1">
      <alignment vertical="center" wrapText="1"/>
      <protection hidden="1"/>
    </xf>
    <xf numFmtId="175" fontId="96" fillId="0" borderId="1" xfId="3" applyNumberFormat="1" applyFont="1" applyFill="1" applyBorder="1" applyAlignment="1" applyProtection="1">
      <alignment horizontal="center" vertical="center" wrapText="1"/>
      <protection hidden="1"/>
    </xf>
    <xf numFmtId="175" fontId="96" fillId="4" borderId="1" xfId="3" applyNumberFormat="1" applyFont="1" applyFill="1" applyBorder="1" applyAlignment="1" applyProtection="1">
      <alignment horizontal="center" vertical="center" wrapText="1"/>
      <protection hidden="1"/>
    </xf>
    <xf numFmtId="0" fontId="105" fillId="0" borderId="48" xfId="0" applyFont="1" applyFill="1" applyBorder="1" applyAlignment="1" applyProtection="1">
      <alignment horizontal="left" vertical="center" wrapText="1"/>
      <protection hidden="1"/>
    </xf>
    <xf numFmtId="176" fontId="105" fillId="0" borderId="48" xfId="0" applyNumberFormat="1" applyFont="1" applyFill="1" applyBorder="1" applyAlignment="1" applyProtection="1">
      <alignment vertical="center"/>
      <protection hidden="1"/>
    </xf>
    <xf numFmtId="0" fontId="0" fillId="32" borderId="0" xfId="0" applyFill="1" applyBorder="1" applyProtection="1"/>
    <xf numFmtId="0" fontId="111" fillId="0" borderId="1" xfId="0" applyFont="1" applyBorder="1" applyAlignment="1" applyProtection="1">
      <alignment horizontal="center" vertical="center"/>
      <protection locked="0"/>
    </xf>
    <xf numFmtId="0" fontId="112" fillId="0" borderId="1" xfId="0" applyFont="1" applyBorder="1" applyAlignment="1" applyProtection="1">
      <alignment horizontal="center" vertical="center" textRotation="90" wrapText="1"/>
      <protection locked="0"/>
    </xf>
    <xf numFmtId="0" fontId="111" fillId="0" borderId="1" xfId="0" applyFont="1" applyBorder="1" applyAlignment="1" applyProtection="1">
      <alignment horizontal="center" vertical="center" textRotation="90" wrapText="1"/>
      <protection locked="0"/>
    </xf>
    <xf numFmtId="0" fontId="0" fillId="0" borderId="0" xfId="0" applyProtection="1">
      <protection locked="0"/>
    </xf>
    <xf numFmtId="0" fontId="111" fillId="0" borderId="1" xfId="0" applyFont="1" applyBorder="1" applyAlignment="1" applyProtection="1">
      <alignment horizontal="left" vertical="center" wrapText="1"/>
      <protection locked="0"/>
    </xf>
    <xf numFmtId="1" fontId="111" fillId="0" borderId="1" xfId="0" applyNumberFormat="1" applyFont="1" applyBorder="1" applyAlignment="1" applyProtection="1">
      <alignment horizontal="center" vertical="center"/>
      <protection locked="0"/>
    </xf>
    <xf numFmtId="1" fontId="112" fillId="0" borderId="1" xfId="0" applyNumberFormat="1" applyFont="1" applyBorder="1" applyAlignment="1" applyProtection="1">
      <alignment horizontal="center" vertical="center"/>
      <protection locked="0"/>
    </xf>
    <xf numFmtId="0" fontId="111" fillId="33" borderId="1" xfId="0" applyFont="1" applyFill="1" applyBorder="1" applyAlignment="1" applyProtection="1">
      <alignment horizontal="left" vertical="center" wrapText="1"/>
      <protection locked="0"/>
    </xf>
    <xf numFmtId="0" fontId="0" fillId="0" borderId="28" xfId="0" applyBorder="1" applyAlignment="1" applyProtection="1">
      <alignment wrapText="1"/>
      <protection locked="0"/>
    </xf>
    <xf numFmtId="0" fontId="0" fillId="0" borderId="28" xfId="0" applyBorder="1" applyAlignment="1"/>
    <xf numFmtId="4" fontId="111" fillId="0" borderId="1" xfId="0" applyNumberFormat="1" applyFont="1" applyBorder="1" applyAlignment="1" applyProtection="1">
      <alignment horizontal="center" vertical="center"/>
      <protection locked="0"/>
    </xf>
    <xf numFmtId="1" fontId="116" fillId="37" borderId="1" xfId="0" applyNumberFormat="1" applyFont="1" applyFill="1" applyBorder="1" applyAlignment="1" applyProtection="1">
      <alignment horizontal="center"/>
      <protection locked="0"/>
    </xf>
    <xf numFmtId="3" fontId="116" fillId="37" borderId="1"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xf>
    <xf numFmtId="3" fontId="116" fillId="3" borderId="1" xfId="0" applyNumberFormat="1" applyFont="1" applyFill="1" applyBorder="1" applyAlignment="1" applyProtection="1">
      <alignment horizontal="center"/>
    </xf>
    <xf numFmtId="1" fontId="115" fillId="32" borderId="1" xfId="0" applyNumberFormat="1" applyFont="1" applyFill="1" applyBorder="1" applyAlignment="1" applyProtection="1">
      <alignment horizontal="center"/>
    </xf>
    <xf numFmtId="3" fontId="116" fillId="32" borderId="1" xfId="0" applyNumberFormat="1" applyFont="1" applyFill="1" applyBorder="1" applyAlignment="1" applyProtection="1">
      <alignment horizontal="center"/>
    </xf>
    <xf numFmtId="1" fontId="115" fillId="39" borderId="5" xfId="0" applyNumberFormat="1" applyFont="1" applyFill="1" applyBorder="1" applyAlignment="1" applyProtection="1">
      <alignment horizontal="center"/>
    </xf>
    <xf numFmtId="3" fontId="115" fillId="32" borderId="1" xfId="0" applyNumberFormat="1" applyFont="1" applyFill="1" applyBorder="1" applyAlignment="1" applyProtection="1">
      <alignment horizontal="center"/>
    </xf>
    <xf numFmtId="3" fontId="115" fillId="32" borderId="1" xfId="0" applyNumberFormat="1" applyFont="1" applyFill="1" applyBorder="1" applyAlignment="1" applyProtection="1"/>
    <xf numFmtId="9" fontId="0" fillId="37" borderId="1" xfId="0" applyNumberFormat="1" applyFont="1" applyFill="1" applyBorder="1" applyProtection="1"/>
    <xf numFmtId="174" fontId="133" fillId="0" borderId="76" xfId="3" applyNumberFormat="1" applyFont="1" applyBorder="1" applyAlignment="1">
      <alignment horizontal="center" vertical="center"/>
    </xf>
    <xf numFmtId="0" fontId="0" fillId="0" borderId="3" xfId="0" applyBorder="1"/>
    <xf numFmtId="174" fontId="133" fillId="0" borderId="3" xfId="3" applyNumberFormat="1" applyFont="1" applyBorder="1" applyAlignment="1">
      <alignment horizontal="center" vertical="center"/>
    </xf>
    <xf numFmtId="174" fontId="133" fillId="0" borderId="27" xfId="3" applyNumberFormat="1" applyFont="1" applyBorder="1" applyAlignment="1">
      <alignment horizontal="center" vertical="center"/>
    </xf>
    <xf numFmtId="0" fontId="134" fillId="0" borderId="3" xfId="0" applyFont="1" applyBorder="1" applyAlignment="1">
      <alignment vertical="center" wrapText="1"/>
    </xf>
    <xf numFmtId="0" fontId="134" fillId="0" borderId="77" xfId="0" applyFont="1" applyBorder="1" applyAlignment="1">
      <alignment vertical="center" wrapText="1"/>
    </xf>
    <xf numFmtId="174" fontId="133" fillId="0" borderId="78" xfId="3" applyNumberFormat="1" applyFont="1" applyBorder="1"/>
    <xf numFmtId="174" fontId="0" fillId="0" borderId="79" xfId="3" applyNumberFormat="1" applyFont="1" applyBorder="1"/>
    <xf numFmtId="174" fontId="133" fillId="0" borderId="79" xfId="3" applyNumberFormat="1" applyFont="1" applyBorder="1"/>
    <xf numFmtId="174" fontId="133" fillId="0" borderId="77" xfId="3" applyNumberFormat="1" applyFont="1" applyBorder="1" applyAlignment="1">
      <alignment horizontal="center" vertical="center"/>
    </xf>
    <xf numFmtId="174" fontId="0" fillId="0" borderId="77" xfId="3" applyNumberFormat="1" applyFont="1" applyBorder="1"/>
    <xf numFmtId="174" fontId="0" fillId="0" borderId="3" xfId="3" applyNumberFormat="1" applyFont="1" applyBorder="1"/>
    <xf numFmtId="174" fontId="133" fillId="0" borderId="3" xfId="3" applyNumberFormat="1" applyFont="1" applyBorder="1"/>
    <xf numFmtId="174" fontId="133" fillId="0" borderId="77" xfId="3" applyNumberFormat="1" applyFont="1" applyBorder="1"/>
    <xf numFmtId="174" fontId="0" fillId="0" borderId="78" xfId="3" applyNumberFormat="1" applyFont="1" applyBorder="1"/>
    <xf numFmtId="174" fontId="133" fillId="0" borderId="79" xfId="3" applyNumberFormat="1" applyFont="1" applyBorder="1" applyAlignment="1">
      <alignment horizontal="center" vertical="center"/>
    </xf>
    <xf numFmtId="174" fontId="133" fillId="0" borderId="3" xfId="3" applyNumberFormat="1" applyFont="1" applyBorder="1" applyAlignment="1">
      <alignment vertical="center"/>
    </xf>
    <xf numFmtId="0" fontId="13" fillId="0" borderId="26" xfId="0" applyFont="1" applyBorder="1" applyAlignment="1">
      <alignment horizontal="center"/>
    </xf>
    <xf numFmtId="0" fontId="13" fillId="0" borderId="12" xfId="0" applyFont="1" applyBorder="1" applyAlignment="1">
      <alignment horizontal="center"/>
    </xf>
    <xf numFmtId="0" fontId="13" fillId="0" borderId="27" xfId="0" applyFont="1" applyBorder="1" applyAlignment="1">
      <alignment horizontal="center"/>
    </xf>
    <xf numFmtId="0" fontId="13" fillId="0" borderId="0" xfId="0" applyFont="1"/>
    <xf numFmtId="0" fontId="13" fillId="0" borderId="3" xfId="0" applyFont="1" applyBorder="1" applyAlignment="1">
      <alignment horizontal="center"/>
    </xf>
    <xf numFmtId="0" fontId="111" fillId="0" borderId="0" xfId="0" applyFont="1" applyFill="1"/>
    <xf numFmtId="0" fontId="111" fillId="0" borderId="0" xfId="0" applyFont="1"/>
    <xf numFmtId="0" fontId="111" fillId="0" borderId="1" xfId="0" applyFont="1" applyFill="1" applyBorder="1" applyAlignment="1">
      <alignment horizontal="center" vertical="center" wrapText="1"/>
    </xf>
    <xf numFmtId="0" fontId="111" fillId="0" borderId="1" xfId="0" applyFont="1" applyFill="1" applyBorder="1"/>
    <xf numFmtId="0" fontId="111" fillId="0" borderId="1" xfId="0" applyFont="1" applyFill="1" applyBorder="1" applyAlignment="1">
      <alignment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xf>
    <xf numFmtId="0" fontId="111" fillId="0" borderId="1" xfId="0" applyFont="1" applyBorder="1" applyAlignment="1">
      <alignment horizontal="center" vertical="center"/>
    </xf>
    <xf numFmtId="49" fontId="111" fillId="0" borderId="1" xfId="0" applyNumberFormat="1" applyFont="1" applyFill="1" applyBorder="1" applyAlignment="1">
      <alignment horizontal="center"/>
    </xf>
    <xf numFmtId="49" fontId="111" fillId="0" borderId="1" xfId="0" applyNumberFormat="1" applyFont="1" applyFill="1" applyBorder="1" applyAlignment="1">
      <alignment horizontal="center" vertical="center"/>
    </xf>
    <xf numFmtId="0" fontId="111" fillId="33" borderId="1" xfId="0" applyFont="1" applyFill="1" applyBorder="1" applyAlignment="1">
      <alignment horizontal="center" vertical="center" wrapText="1"/>
    </xf>
    <xf numFmtId="0" fontId="111" fillId="33" borderId="1" xfId="0" applyFont="1" applyFill="1" applyBorder="1" applyAlignment="1">
      <alignment horizontal="center"/>
    </xf>
    <xf numFmtId="0" fontId="112" fillId="0" borderId="1" xfId="0" applyFont="1" applyFill="1" applyBorder="1" applyAlignment="1">
      <alignment vertical="center" wrapText="1"/>
    </xf>
    <xf numFmtId="0" fontId="111" fillId="0" borderId="70"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1" xfId="0" applyFont="1" applyFill="1" applyBorder="1" applyAlignment="1">
      <alignment horizontal="center" vertical="center" wrapText="1"/>
    </xf>
    <xf numFmtId="49" fontId="111" fillId="0" borderId="1" xfId="0" applyNumberFormat="1" applyFont="1" applyFill="1" applyBorder="1" applyAlignment="1">
      <alignment horizontal="center" vertical="center" wrapText="1"/>
    </xf>
    <xf numFmtId="0" fontId="111" fillId="0" borderId="1" xfId="0" applyFont="1" applyFill="1" applyBorder="1" applyAlignment="1">
      <alignment horizontal="center" wrapText="1"/>
    </xf>
    <xf numFmtId="0" fontId="112" fillId="0" borderId="0" xfId="0" applyFont="1" applyFill="1" applyAlignment="1"/>
    <xf numFmtId="0" fontId="111" fillId="0" borderId="1" xfId="0" applyFont="1" applyBorder="1" applyAlignment="1">
      <alignment horizontal="center"/>
    </xf>
    <xf numFmtId="0" fontId="111" fillId="0" borderId="1" xfId="0" applyFont="1" applyFill="1" applyBorder="1" applyAlignment="1">
      <alignment horizontal="left" vertical="center" wrapText="1"/>
    </xf>
    <xf numFmtId="0" fontId="111" fillId="0" borderId="1" xfId="0" applyFont="1" applyBorder="1" applyAlignment="1">
      <alignment horizontal="center" vertical="center" wrapText="1"/>
    </xf>
    <xf numFmtId="49" fontId="111" fillId="0" borderId="1" xfId="0" applyNumberFormat="1" applyFont="1" applyBorder="1" applyAlignment="1">
      <alignment horizontal="center"/>
    </xf>
    <xf numFmtId="0" fontId="111" fillId="0" borderId="1" xfId="0" applyFont="1" applyBorder="1"/>
    <xf numFmtId="0" fontId="111" fillId="0" borderId="1" xfId="0" applyFont="1" applyFill="1" applyBorder="1" applyAlignment="1">
      <alignment wrapText="1"/>
    </xf>
    <xf numFmtId="17" fontId="111" fillId="0" borderId="1" xfId="0" applyNumberFormat="1" applyFont="1" applyFill="1" applyBorder="1" applyAlignment="1">
      <alignment horizontal="center" vertical="center" wrapText="1"/>
    </xf>
    <xf numFmtId="16" fontId="111" fillId="0" borderId="1" xfId="0" applyNumberFormat="1" applyFont="1" applyFill="1" applyBorder="1" applyAlignment="1">
      <alignment horizontal="center" vertical="center" wrapText="1"/>
    </xf>
    <xf numFmtId="0" fontId="138" fillId="0" borderId="1" xfId="0" applyFont="1" applyFill="1" applyBorder="1" applyAlignment="1">
      <alignment horizontal="center" vertical="center" wrapText="1"/>
    </xf>
    <xf numFmtId="0" fontId="111" fillId="0" borderId="1" xfId="0" applyFont="1" applyFill="1" applyBorder="1" applyAlignment="1">
      <alignment horizontal="left"/>
    </xf>
    <xf numFmtId="0" fontId="111" fillId="0" borderId="0" xfId="0" applyFont="1" applyFill="1" applyBorder="1" applyAlignment="1">
      <alignment wrapText="1"/>
    </xf>
    <xf numFmtId="0" fontId="111" fillId="0" borderId="1" xfId="0" applyFont="1" applyFill="1" applyBorder="1" applyAlignment="1">
      <alignment horizontal="center" vertical="top" wrapText="1"/>
    </xf>
    <xf numFmtId="0" fontId="111" fillId="0" borderId="1" xfId="0" applyFont="1" applyFill="1" applyBorder="1" applyAlignment="1">
      <alignment horizontal="center" vertical="top"/>
    </xf>
    <xf numFmtId="0" fontId="111" fillId="0" borderId="0" xfId="0" applyFont="1" applyFill="1" applyBorder="1"/>
    <xf numFmtId="0" fontId="138" fillId="0" borderId="1" xfId="0" applyFont="1" applyFill="1" applyBorder="1" applyAlignment="1">
      <alignment horizontal="center"/>
    </xf>
    <xf numFmtId="0" fontId="111" fillId="0" borderId="1" xfId="0" applyFont="1" applyFill="1" applyBorder="1" applyAlignment="1">
      <alignment horizontal="left" wrapText="1"/>
    </xf>
    <xf numFmtId="0" fontId="0" fillId="0" borderId="0" xfId="0" applyFont="1" applyFill="1"/>
    <xf numFmtId="0" fontId="112" fillId="0" borderId="28" xfId="0" applyFont="1" applyFill="1" applyBorder="1" applyAlignment="1">
      <alignment horizontal="center" vertical="center"/>
    </xf>
    <xf numFmtId="0" fontId="111" fillId="0" borderId="1" xfId="0" applyFont="1" applyFill="1" applyBorder="1" applyAlignment="1">
      <alignment vertical="center"/>
    </xf>
    <xf numFmtId="0" fontId="111" fillId="0" borderId="0" xfId="0" applyFont="1" applyFill="1" applyAlignment="1">
      <alignment horizontal="center" vertical="center"/>
    </xf>
    <xf numFmtId="0" fontId="111" fillId="0" borderId="0" xfId="0" applyFont="1" applyFill="1" applyAlignment="1">
      <alignment vertical="top" wrapText="1"/>
    </xf>
    <xf numFmtId="0" fontId="112" fillId="0" borderId="0" xfId="0" applyFont="1" applyBorder="1" applyAlignment="1">
      <alignment horizontal="center" wrapText="1"/>
    </xf>
    <xf numFmtId="0" fontId="111" fillId="0" borderId="0"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0" xfId="0" applyFont="1" applyAlignment="1">
      <alignment horizontal="center" vertical="center"/>
    </xf>
    <xf numFmtId="0" fontId="111" fillId="0" borderId="0" xfId="0" applyFont="1" applyAlignment="1">
      <alignment horizontal="left" vertical="center"/>
    </xf>
    <xf numFmtId="0" fontId="111" fillId="0" borderId="70" xfId="0" applyFont="1" applyFill="1" applyBorder="1" applyAlignment="1">
      <alignment horizontal="center" vertical="center"/>
    </xf>
    <xf numFmtId="0" fontId="111" fillId="0" borderId="0" xfId="0" applyFont="1" applyAlignment="1">
      <alignment wrapText="1"/>
    </xf>
    <xf numFmtId="0" fontId="111" fillId="0" borderId="0" xfId="0" applyFont="1" applyFill="1" applyBorder="1" applyAlignment="1"/>
    <xf numFmtId="0" fontId="111" fillId="0" borderId="0" xfId="0" applyFont="1" applyFill="1" applyBorder="1" applyAlignment="1">
      <alignment vertical="center" wrapText="1"/>
    </xf>
    <xf numFmtId="16" fontId="111" fillId="0" borderId="1" xfId="0" applyNumberFormat="1" applyFont="1" applyFill="1" applyBorder="1" applyAlignment="1">
      <alignment horizontal="center" vertical="center"/>
    </xf>
    <xf numFmtId="0" fontId="111" fillId="0" borderId="1" xfId="0" applyFont="1" applyBorder="1" applyAlignment="1">
      <alignment vertical="center"/>
    </xf>
    <xf numFmtId="0" fontId="111" fillId="0" borderId="76" xfId="0" applyFont="1" applyBorder="1" applyAlignment="1">
      <alignment horizontal="center" vertical="center" wrapText="1"/>
    </xf>
    <xf numFmtId="0" fontId="111" fillId="0" borderId="0" xfId="0" applyFont="1" applyAlignment="1">
      <alignment horizontal="left"/>
    </xf>
    <xf numFmtId="0" fontId="138" fillId="0" borderId="1" xfId="0" applyFont="1" applyBorder="1" applyAlignment="1">
      <alignment horizontal="center" vertical="center" wrapText="1"/>
    </xf>
    <xf numFmtId="0" fontId="111" fillId="0" borderId="31" xfId="0" applyFont="1" applyBorder="1"/>
    <xf numFmtId="0" fontId="121" fillId="0" borderId="1" xfId="0" applyFont="1" applyBorder="1" applyAlignment="1">
      <alignment horizontal="center" vertical="center"/>
    </xf>
    <xf numFmtId="0" fontId="121" fillId="0" borderId="1" xfId="0" applyFont="1" applyBorder="1" applyAlignment="1">
      <alignment horizontal="center" vertical="center" wrapText="1"/>
    </xf>
    <xf numFmtId="0" fontId="121" fillId="0" borderId="1" xfId="0" applyFont="1" applyBorder="1" applyAlignment="1">
      <alignment vertical="center" wrapText="1"/>
    </xf>
    <xf numFmtId="178" fontId="0" fillId="37" borderId="1" xfId="0" applyNumberFormat="1" applyFont="1" applyFill="1" applyBorder="1" applyProtection="1"/>
    <xf numFmtId="1" fontId="116"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6"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16" fillId="0" borderId="0" xfId="0" applyFont="1" applyBorder="1" applyProtection="1">
      <protection locked="0"/>
    </xf>
    <xf numFmtId="0" fontId="115" fillId="0" borderId="0" xfId="0" applyFont="1" applyBorder="1" applyAlignment="1" applyProtection="1">
      <alignment horizontal="right"/>
      <protection locked="0"/>
    </xf>
    <xf numFmtId="0" fontId="116" fillId="0" borderId="0" xfId="0" applyFont="1" applyProtection="1">
      <protection locked="0"/>
    </xf>
    <xf numFmtId="0" fontId="116" fillId="0" borderId="0" xfId="0" applyFont="1" applyBorder="1" applyAlignment="1" applyProtection="1">
      <alignment vertical="center"/>
      <protection locked="0"/>
    </xf>
    <xf numFmtId="0" fontId="114" fillId="0" borderId="0" xfId="0" applyFont="1" applyBorder="1" applyProtection="1">
      <protection locked="0"/>
    </xf>
    <xf numFmtId="0" fontId="115" fillId="33" borderId="1" xfId="0" applyFont="1" applyFill="1" applyBorder="1" applyProtection="1">
      <protection locked="0"/>
    </xf>
    <xf numFmtId="0" fontId="116" fillId="33" borderId="0" xfId="0" applyFont="1" applyFill="1" applyBorder="1" applyProtection="1">
      <protection locked="0"/>
    </xf>
    <xf numFmtId="0" fontId="116" fillId="0" borderId="1" xfId="0" applyFont="1" applyBorder="1" applyAlignment="1" applyProtection="1">
      <alignment horizontal="left"/>
      <protection locked="0"/>
    </xf>
    <xf numFmtId="0" fontId="119" fillId="33" borderId="1" xfId="0" applyFont="1" applyFill="1" applyBorder="1" applyAlignment="1" applyProtection="1">
      <alignment horizontal="center"/>
      <protection locked="0"/>
    </xf>
    <xf numFmtId="0" fontId="115" fillId="4" borderId="1" xfId="0" applyFont="1" applyFill="1" applyBorder="1" applyProtection="1">
      <protection locked="0"/>
    </xf>
    <xf numFmtId="0" fontId="116" fillId="33" borderId="0" xfId="0" applyFont="1" applyFill="1" applyProtection="1">
      <protection locked="0"/>
    </xf>
    <xf numFmtId="10" fontId="116" fillId="0" borderId="0" xfId="0" applyNumberFormat="1" applyFont="1" applyProtection="1">
      <protection locked="0"/>
    </xf>
    <xf numFmtId="0" fontId="116" fillId="0" borderId="1" xfId="0" applyFont="1" applyBorder="1" applyProtection="1">
      <protection locked="0"/>
    </xf>
    <xf numFmtId="178" fontId="115" fillId="4" borderId="1" xfId="4" applyNumberFormat="1" applyFont="1" applyFill="1" applyBorder="1" applyProtection="1">
      <protection locked="0"/>
    </xf>
    <xf numFmtId="178" fontId="115" fillId="33" borderId="0" xfId="4" applyNumberFormat="1" applyFont="1" applyFill="1" applyBorder="1" applyProtection="1">
      <protection locked="0"/>
    </xf>
    <xf numFmtId="3" fontId="115" fillId="33" borderId="1" xfId="0" applyNumberFormat="1" applyFont="1" applyFill="1" applyBorder="1" applyProtection="1">
      <protection locked="0"/>
    </xf>
    <xf numFmtId="3" fontId="115" fillId="33" borderId="0" xfId="0" applyNumberFormat="1" applyFont="1" applyFill="1" applyBorder="1" applyProtection="1">
      <protection locked="0"/>
    </xf>
    <xf numFmtId="175" fontId="115" fillId="33" borderId="0" xfId="3" applyNumberFormat="1" applyFont="1" applyFill="1" applyProtection="1">
      <protection locked="0"/>
    </xf>
    <xf numFmtId="0" fontId="116" fillId="0" borderId="1" xfId="0" applyFont="1" applyFill="1" applyBorder="1" applyProtection="1">
      <protection locked="0"/>
    </xf>
    <xf numFmtId="176" fontId="115" fillId="4" borderId="70" xfId="0" applyNumberFormat="1" applyFont="1" applyFill="1" applyBorder="1" applyAlignment="1" applyProtection="1">
      <alignment horizontal="center"/>
      <protection locked="0"/>
    </xf>
    <xf numFmtId="9" fontId="115" fillId="33" borderId="0" xfId="4" applyFont="1" applyFill="1" applyBorder="1" applyProtection="1">
      <protection locked="0"/>
    </xf>
    <xf numFmtId="1" fontId="115" fillId="33" borderId="0" xfId="4" applyNumberFormat="1" applyFont="1" applyFill="1" applyBorder="1" applyProtection="1">
      <protection locked="0"/>
    </xf>
    <xf numFmtId="0" fontId="116" fillId="33" borderId="1" xfId="0" applyFont="1" applyFill="1" applyBorder="1" applyProtection="1">
      <protection locked="0"/>
    </xf>
    <xf numFmtId="3" fontId="116" fillId="33" borderId="1" xfId="0" applyNumberFormat="1" applyFont="1" applyFill="1" applyBorder="1" applyProtection="1">
      <protection locked="0"/>
    </xf>
    <xf numFmtId="175" fontId="115" fillId="4" borderId="1" xfId="3" applyNumberFormat="1" applyFont="1" applyFill="1" applyBorder="1" applyAlignment="1" applyProtection="1">
      <alignment horizontal="center"/>
      <protection locked="0"/>
    </xf>
    <xf numFmtId="0" fontId="116" fillId="0" borderId="1" xfId="0" applyFont="1" applyBorder="1" applyAlignment="1" applyProtection="1">
      <alignment horizontal="left" vertical="top"/>
      <protection locked="0"/>
    </xf>
    <xf numFmtId="0" fontId="116" fillId="0" borderId="0" xfId="0" applyFont="1" applyBorder="1" applyAlignment="1" applyProtection="1">
      <alignment horizontal="center"/>
      <protection locked="0"/>
    </xf>
    <xf numFmtId="0" fontId="115" fillId="5" borderId="0" xfId="0" applyFont="1" applyFill="1" applyAlignment="1" applyProtection="1">
      <alignment horizontal="center"/>
      <protection locked="0"/>
    </xf>
    <xf numFmtId="3" fontId="116" fillId="0" borderId="1" xfId="0" applyNumberFormat="1" applyFont="1" applyBorder="1" applyProtection="1">
      <protection locked="0"/>
    </xf>
    <xf numFmtId="2" fontId="116" fillId="0" borderId="1" xfId="0" applyNumberFormat="1" applyFont="1" applyBorder="1" applyProtection="1">
      <protection locked="0"/>
    </xf>
    <xf numFmtId="4" fontId="116" fillId="0" borderId="1" xfId="0" applyNumberFormat="1" applyFont="1" applyBorder="1" applyProtection="1">
      <protection locked="0"/>
    </xf>
    <xf numFmtId="9" fontId="116" fillId="33" borderId="1" xfId="4" applyFont="1" applyFill="1" applyBorder="1" applyProtection="1">
      <protection locked="0"/>
    </xf>
    <xf numFmtId="4" fontId="116" fillId="33" borderId="1" xfId="0" applyNumberFormat="1" applyFont="1" applyFill="1" applyBorder="1" applyProtection="1">
      <protection locked="0"/>
    </xf>
    <xf numFmtId="1" fontId="116" fillId="33" borderId="1" xfId="0" applyNumberFormat="1" applyFont="1" applyFill="1" applyBorder="1" applyProtection="1">
      <protection locked="0"/>
    </xf>
    <xf numFmtId="0" fontId="116" fillId="36" borderId="1" xfId="0" applyFont="1" applyFill="1" applyBorder="1" applyProtection="1">
      <protection locked="0"/>
    </xf>
    <xf numFmtId="9" fontId="116" fillId="36" borderId="1" xfId="4" applyFont="1" applyFill="1" applyBorder="1" applyProtection="1">
      <protection locked="0"/>
    </xf>
    <xf numFmtId="0" fontId="116" fillId="36" borderId="0" xfId="0" applyFont="1" applyFill="1" applyProtection="1">
      <protection locked="0"/>
    </xf>
    <xf numFmtId="175" fontId="116" fillId="0" borderId="0" xfId="3" applyNumberFormat="1" applyFont="1" applyProtection="1">
      <protection locked="0"/>
    </xf>
    <xf numFmtId="175" fontId="116" fillId="0" borderId="0" xfId="0" applyNumberFormat="1" applyFont="1" applyProtection="1">
      <protection locked="0"/>
    </xf>
    <xf numFmtId="2" fontId="116" fillId="33" borderId="0" xfId="0" applyNumberFormat="1" applyFont="1" applyFill="1" applyBorder="1" applyProtection="1">
      <protection locked="0"/>
    </xf>
    <xf numFmtId="4" fontId="116" fillId="33" borderId="0" xfId="0" applyNumberFormat="1" applyFont="1" applyFill="1" applyBorder="1" applyProtection="1">
      <protection locked="0"/>
    </xf>
    <xf numFmtId="9" fontId="116" fillId="33" borderId="0" xfId="4" applyFont="1" applyFill="1" applyBorder="1" applyProtection="1">
      <protection locked="0"/>
    </xf>
    <xf numFmtId="3" fontId="116" fillId="33" borderId="0" xfId="0" applyNumberFormat="1" applyFont="1" applyFill="1" applyBorder="1" applyProtection="1">
      <protection locked="0"/>
    </xf>
    <xf numFmtId="0" fontId="115" fillId="0" borderId="1" xfId="0" applyFont="1" applyBorder="1" applyProtection="1">
      <protection locked="0"/>
    </xf>
    <xf numFmtId="3" fontId="115" fillId="4" borderId="1" xfId="0" applyNumberFormat="1" applyFont="1" applyFill="1" applyBorder="1" applyProtection="1">
      <protection locked="0"/>
    </xf>
    <xf numFmtId="3" fontId="116" fillId="33" borderId="0" xfId="0" applyNumberFormat="1" applyFont="1" applyFill="1" applyProtection="1">
      <protection locked="0"/>
    </xf>
    <xf numFmtId="9" fontId="115" fillId="37" borderId="4" xfId="4" applyFont="1" applyFill="1" applyBorder="1" applyProtection="1"/>
    <xf numFmtId="3" fontId="116" fillId="37" borderId="1" xfId="0" applyNumberFormat="1" applyFont="1" applyFill="1" applyBorder="1" applyProtection="1"/>
    <xf numFmtId="9" fontId="115" fillId="37" borderId="1" xfId="4" applyFont="1" applyFill="1" applyBorder="1" applyProtection="1"/>
    <xf numFmtId="1" fontId="115" fillId="37" borderId="1" xfId="4" applyNumberFormat="1" applyFont="1" applyFill="1" applyBorder="1" applyProtection="1"/>
    <xf numFmtId="0" fontId="135" fillId="0" borderId="0" xfId="0" applyFont="1" applyProtection="1">
      <protection locked="0"/>
    </xf>
    <xf numFmtId="0" fontId="0" fillId="37" borderId="1" xfId="0" applyFill="1" applyBorder="1" applyProtection="1">
      <protection locked="0"/>
    </xf>
    <xf numFmtId="172" fontId="0" fillId="37" borderId="1" xfId="3" applyFont="1" applyFill="1" applyBorder="1" applyProtection="1">
      <protection locked="0"/>
    </xf>
    <xf numFmtId="172" fontId="0" fillId="33" borderId="1" xfId="3" applyFont="1" applyFill="1" applyBorder="1" applyProtection="1">
      <protection locked="0"/>
    </xf>
    <xf numFmtId="0" fontId="13" fillId="0" borderId="1" xfId="0" applyFont="1" applyBorder="1" applyProtection="1">
      <protection locked="0"/>
    </xf>
    <xf numFmtId="0" fontId="133" fillId="0" borderId="71" xfId="0" applyFont="1" applyBorder="1" applyAlignment="1" applyProtection="1">
      <alignment horizontal="center"/>
    </xf>
    <xf numFmtId="0" fontId="134" fillId="0" borderId="1" xfId="0" applyFont="1" applyBorder="1" applyAlignment="1" applyProtection="1">
      <alignment vertical="center" wrapText="1"/>
    </xf>
    <xf numFmtId="0" fontId="133" fillId="0" borderId="4" xfId="0" applyFont="1" applyBorder="1" applyAlignment="1" applyProtection="1">
      <alignment horizontal="center"/>
    </xf>
    <xf numFmtId="0" fontId="133" fillId="0" borderId="1" xfId="0" applyFont="1" applyBorder="1" applyAlignment="1" applyProtection="1">
      <alignment horizontal="center" vertical="center" wrapText="1"/>
    </xf>
    <xf numFmtId="0" fontId="133" fillId="0" borderId="4" xfId="0" applyFont="1" applyBorder="1" applyAlignment="1" applyProtection="1">
      <alignment horizontal="center" wrapText="1"/>
    </xf>
    <xf numFmtId="172" fontId="0" fillId="37" borderId="1" xfId="3" applyFont="1" applyFill="1" applyBorder="1" applyProtection="1"/>
    <xf numFmtId="172" fontId="13" fillId="40" borderId="1" xfId="0" applyNumberFormat="1" applyFont="1" applyFill="1" applyBorder="1" applyProtection="1"/>
    <xf numFmtId="172"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15" fillId="38" borderId="0" xfId="0" applyNumberFormat="1" applyFont="1" applyFill="1" applyBorder="1" applyAlignment="1" applyProtection="1">
      <alignment horizontal="center" vertical="center" wrapText="1"/>
      <protection locked="0"/>
    </xf>
    <xf numFmtId="0" fontId="101" fillId="0" borderId="0" xfId="0" applyFont="1" applyProtection="1">
      <protection locked="0"/>
    </xf>
    <xf numFmtId="1" fontId="116" fillId="3" borderId="1" xfId="0" applyNumberFormat="1" applyFont="1" applyFill="1" applyBorder="1" applyAlignment="1" applyProtection="1">
      <alignment wrapText="1"/>
      <protection locked="0"/>
    </xf>
    <xf numFmtId="1" fontId="115" fillId="32" borderId="5"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protection locked="0"/>
    </xf>
    <xf numFmtId="3" fontId="116" fillId="32" borderId="0" xfId="0" applyNumberFormat="1" applyFont="1" applyFill="1" applyBorder="1" applyAlignment="1" applyProtection="1">
      <alignment horizontal="center"/>
      <protection locked="0"/>
    </xf>
    <xf numFmtId="1" fontId="116" fillId="3" borderId="1" xfId="0" applyNumberFormat="1" applyFont="1" applyFill="1" applyBorder="1" applyProtection="1">
      <protection locked="0"/>
    </xf>
    <xf numFmtId="0" fontId="13" fillId="33" borderId="1" xfId="0" applyFont="1" applyFill="1" applyBorder="1" applyAlignment="1" applyProtection="1">
      <alignment vertical="center" wrapText="1"/>
      <protection locked="0"/>
    </xf>
    <xf numFmtId="0" fontId="115" fillId="39" borderId="1" xfId="0" applyFont="1" applyFill="1" applyBorder="1" applyProtection="1">
      <protection locked="0"/>
    </xf>
    <xf numFmtId="1" fontId="115" fillId="39" borderId="5" xfId="0" applyNumberFormat="1" applyFont="1" applyFill="1" applyBorder="1" applyAlignment="1" applyProtection="1">
      <alignment horizontal="center"/>
      <protection locked="0"/>
    </xf>
    <xf numFmtId="3" fontId="115" fillId="32" borderId="0" xfId="0" applyNumberFormat="1" applyFont="1" applyFill="1" applyBorder="1" applyAlignment="1" applyProtection="1">
      <alignment horizontal="center"/>
      <protection locked="0"/>
    </xf>
    <xf numFmtId="178" fontId="0" fillId="0" borderId="0" xfId="4" applyNumberFormat="1" applyFont="1" applyProtection="1">
      <protection locked="0"/>
    </xf>
    <xf numFmtId="0" fontId="116" fillId="3" borderId="1" xfId="0" applyFont="1" applyFill="1" applyBorder="1" applyAlignment="1" applyProtection="1">
      <alignment wrapText="1"/>
      <protection locked="0"/>
    </xf>
    <xf numFmtId="0" fontId="116" fillId="3" borderId="1" xfId="0" applyFont="1" applyFill="1" applyBorder="1" applyProtection="1">
      <protection locked="0"/>
    </xf>
    <xf numFmtId="3" fontId="115" fillId="32" borderId="0" xfId="0" applyNumberFormat="1" applyFont="1" applyFill="1" applyBorder="1" applyAlignment="1" applyProtection="1">
      <protection locked="0"/>
    </xf>
    <xf numFmtId="1" fontId="115"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9" xfId="0" applyFill="1" applyBorder="1" applyProtection="1">
      <protection locked="0"/>
    </xf>
    <xf numFmtId="0" fontId="0" fillId="32" borderId="30" xfId="0" applyFill="1" applyBorder="1" applyProtection="1">
      <protection locked="0"/>
    </xf>
    <xf numFmtId="0" fontId="102"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6" fillId="32" borderId="11" xfId="0" applyFont="1" applyFill="1" applyBorder="1" applyAlignment="1" applyProtection="1">
      <alignment horizontal="left"/>
      <protection locked="0"/>
    </xf>
    <xf numFmtId="0" fontId="0" fillId="32" borderId="31"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2"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5"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1" xfId="0" applyFill="1" applyBorder="1" applyAlignment="1" applyProtection="1">
      <alignment wrapText="1"/>
      <protection locked="0"/>
    </xf>
    <xf numFmtId="0" fontId="6" fillId="32" borderId="32"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10" fillId="37" borderId="1" xfId="0" applyFont="1" applyFill="1" applyBorder="1" applyAlignment="1" applyProtection="1">
      <alignment horizontal="center" vertical="center"/>
      <protection locked="0"/>
    </xf>
    <xf numFmtId="0" fontId="15" fillId="32" borderId="31" xfId="0" applyFont="1" applyFill="1" applyBorder="1" applyAlignment="1" applyProtection="1">
      <alignment horizontal="center" wrapText="1"/>
      <protection locked="0"/>
    </xf>
    <xf numFmtId="0" fontId="12" fillId="32" borderId="0" xfId="0" applyFont="1" applyFill="1" applyBorder="1" applyAlignment="1" applyProtection="1">
      <alignment horizontal="center"/>
      <protection locked="0"/>
    </xf>
    <xf numFmtId="0" fontId="15" fillId="32" borderId="0" xfId="0" applyFont="1" applyFill="1" applyBorder="1" applyAlignment="1" applyProtection="1">
      <alignment vertical="top" wrapText="1"/>
      <protection locked="0"/>
    </xf>
    <xf numFmtId="0" fontId="15" fillId="32" borderId="0" xfId="0" applyFont="1" applyFill="1" applyBorder="1" applyAlignment="1" applyProtection="1">
      <protection locked="0"/>
    </xf>
    <xf numFmtId="0" fontId="113" fillId="32" borderId="0" xfId="0" applyFont="1" applyFill="1" applyBorder="1" applyAlignment="1" applyProtection="1">
      <alignment vertical="top" wrapText="1"/>
      <protection locked="0"/>
    </xf>
    <xf numFmtId="0" fontId="74" fillId="32" borderId="0" xfId="0" applyFont="1" applyFill="1" applyBorder="1" applyProtection="1">
      <protection locked="0"/>
    </xf>
    <xf numFmtId="0" fontId="118" fillId="37" borderId="70" xfId="0" applyFont="1" applyFill="1" applyBorder="1" applyProtection="1">
      <protection locked="0"/>
    </xf>
    <xf numFmtId="3" fontId="101"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5" fillId="37" borderId="0" xfId="0" applyFont="1" applyFill="1" applyBorder="1" applyAlignment="1" applyProtection="1">
      <protection locked="0"/>
    </xf>
    <xf numFmtId="0" fontId="92"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protection locked="0"/>
    </xf>
    <xf numFmtId="175" fontId="99" fillId="32" borderId="0" xfId="3" applyNumberFormat="1" applyFont="1" applyFill="1" applyBorder="1" applyAlignment="1" applyProtection="1">
      <alignment horizontal="center" vertical="center"/>
      <protection locked="0"/>
    </xf>
    <xf numFmtId="0" fontId="15" fillId="32" borderId="0" xfId="0" applyFont="1" applyFill="1" applyBorder="1" applyAlignment="1" applyProtection="1">
      <alignment horizontal="right"/>
      <protection locked="0"/>
    </xf>
    <xf numFmtId="0" fontId="17" fillId="32" borderId="0" xfId="0" applyFont="1" applyFill="1" applyBorder="1" applyProtection="1">
      <protection locked="0"/>
    </xf>
    <xf numFmtId="0" fontId="0" fillId="2" borderId="0" xfId="0" applyFill="1" applyBorder="1" applyProtection="1">
      <protection locked="0"/>
    </xf>
    <xf numFmtId="175" fontId="99" fillId="32" borderId="0" xfId="3" applyNumberFormat="1" applyFont="1" applyFill="1" applyBorder="1" applyAlignment="1" applyProtection="1">
      <alignment horizontal="left" vertical="center"/>
      <protection locked="0"/>
    </xf>
    <xf numFmtId="0" fontId="101" fillId="32" borderId="0" xfId="0" applyFont="1" applyFill="1" applyBorder="1" applyProtection="1">
      <protection locked="0"/>
    </xf>
    <xf numFmtId="0" fontId="124" fillId="32" borderId="0" xfId="0" applyFont="1" applyFill="1" applyBorder="1" applyProtection="1">
      <protection locked="0"/>
    </xf>
    <xf numFmtId="14" fontId="130" fillId="37" borderId="6" xfId="0" applyNumberFormat="1" applyFont="1" applyFill="1" applyBorder="1" applyAlignment="1" applyProtection="1">
      <alignment horizontal="center" vertical="center"/>
      <protection locked="0"/>
    </xf>
    <xf numFmtId="0" fontId="122" fillId="32" borderId="0" xfId="0" applyFont="1" applyFill="1" applyBorder="1" applyProtection="1">
      <protection locked="0"/>
    </xf>
    <xf numFmtId="0" fontId="117" fillId="32" borderId="0" xfId="0" applyFont="1" applyFill="1" applyBorder="1" applyAlignment="1" applyProtection="1">
      <alignment horizontal="center"/>
      <protection locked="0"/>
    </xf>
    <xf numFmtId="0" fontId="126" fillId="32" borderId="6" xfId="0" applyFont="1" applyFill="1" applyBorder="1" applyAlignment="1" applyProtection="1">
      <alignment horizontal="left" vertical="center"/>
      <protection locked="0"/>
    </xf>
    <xf numFmtId="0" fontId="74"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protection locked="0"/>
    </xf>
    <xf numFmtId="0" fontId="128" fillId="32" borderId="0" xfId="0" applyFont="1" applyFill="1" applyBorder="1" applyAlignment="1" applyProtection="1">
      <alignment vertical="center"/>
      <protection locked="0"/>
    </xf>
    <xf numFmtId="0" fontId="132" fillId="32" borderId="0" xfId="0" applyFont="1" applyFill="1" applyBorder="1" applyAlignment="1" applyProtection="1">
      <alignment horizontal="center" vertical="center"/>
      <protection locked="0"/>
    </xf>
    <xf numFmtId="0" fontId="128" fillId="32" borderId="0" xfId="0" applyFont="1" applyFill="1" applyBorder="1" applyAlignment="1" applyProtection="1">
      <alignment horizontal="right" vertical="center"/>
      <protection locked="0"/>
    </xf>
    <xf numFmtId="0" fontId="128" fillId="32" borderId="0" xfId="0" applyFont="1" applyFill="1" applyBorder="1" applyProtection="1">
      <protection locked="0"/>
    </xf>
    <xf numFmtId="0" fontId="128" fillId="32" borderId="0" xfId="0" applyFont="1" applyFill="1" applyBorder="1" applyAlignment="1" applyProtection="1">
      <alignment horizontal="right"/>
      <protection locked="0"/>
    </xf>
    <xf numFmtId="0" fontId="15" fillId="32" borderId="0" xfId="0" applyFont="1" applyFill="1" applyBorder="1" applyProtection="1">
      <protection locked="0"/>
    </xf>
    <xf numFmtId="0" fontId="98" fillId="32" borderId="0" xfId="0" applyFont="1" applyFill="1" applyBorder="1" applyProtection="1">
      <protection locked="0"/>
    </xf>
    <xf numFmtId="0" fontId="13" fillId="32" borderId="0" xfId="0" applyFont="1" applyFill="1" applyBorder="1" applyProtection="1">
      <protection locked="0"/>
    </xf>
    <xf numFmtId="0" fontId="102" fillId="32" borderId="0" xfId="0" applyFont="1" applyFill="1" applyBorder="1" applyAlignment="1" applyProtection="1">
      <alignment horizontal="center"/>
      <protection locked="0"/>
    </xf>
    <xf numFmtId="0" fontId="42" fillId="32" borderId="0" xfId="0" applyFont="1" applyFill="1" applyBorder="1" applyProtection="1">
      <protection locked="0"/>
    </xf>
    <xf numFmtId="0" fontId="13"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7" fillId="32" borderId="31" xfId="0" applyFont="1" applyFill="1" applyBorder="1" applyProtection="1">
      <protection locked="0"/>
    </xf>
    <xf numFmtId="0" fontId="6" fillId="32" borderId="31" xfId="0" applyFont="1" applyFill="1" applyBorder="1" applyAlignment="1" applyProtection="1">
      <alignment horizontal="left"/>
      <protection locked="0"/>
    </xf>
    <xf numFmtId="0" fontId="95" fillId="32" borderId="0" xfId="0" applyFont="1" applyFill="1" applyBorder="1" applyAlignment="1" applyProtection="1">
      <alignment horizontal="left" vertical="top"/>
      <protection locked="0"/>
    </xf>
    <xf numFmtId="0" fontId="95" fillId="32" borderId="0" xfId="0" applyFont="1" applyFill="1" applyBorder="1" applyAlignment="1" applyProtection="1">
      <alignment horizontal="center" vertical="top"/>
      <protection locked="0"/>
    </xf>
    <xf numFmtId="0" fontId="6" fillId="32" borderId="34" xfId="0" applyFont="1" applyFill="1" applyBorder="1" applyAlignment="1" applyProtection="1">
      <alignment horizontal="left"/>
      <protection locked="0"/>
    </xf>
    <xf numFmtId="0" fontId="6" fillId="32" borderId="28" xfId="0" applyFont="1" applyFill="1" applyBorder="1" applyAlignment="1" applyProtection="1">
      <alignment horizontal="left"/>
      <protection locked="0"/>
    </xf>
    <xf numFmtId="0" fontId="120" fillId="32" borderId="28" xfId="0" applyFont="1" applyFill="1" applyBorder="1" applyAlignment="1" applyProtection="1">
      <alignment horizontal="center"/>
      <protection locked="0"/>
    </xf>
    <xf numFmtId="0" fontId="6" fillId="32" borderId="35" xfId="0" applyFont="1" applyFill="1" applyBorder="1" applyAlignment="1" applyProtection="1">
      <alignment horizontal="left"/>
      <protection locked="0"/>
    </xf>
    <xf numFmtId="1" fontId="130" fillId="4" borderId="6" xfId="0" applyNumberFormat="1" applyFont="1" applyFill="1" applyBorder="1" applyAlignment="1" applyProtection="1">
      <alignment horizontal="center" vertical="center"/>
    </xf>
    <xf numFmtId="1" fontId="131" fillId="4" borderId="6" xfId="0" applyNumberFormat="1" applyFont="1" applyFill="1" applyBorder="1" applyAlignment="1" applyProtection="1">
      <alignment horizontal="center" vertical="center"/>
    </xf>
    <xf numFmtId="0" fontId="74" fillId="32" borderId="6" xfId="0" applyFont="1" applyFill="1" applyBorder="1" applyAlignment="1" applyProtection="1">
      <alignment horizontal="center" vertical="center"/>
    </xf>
    <xf numFmtId="0" fontId="127" fillId="32" borderId="6"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3"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74" fillId="32" borderId="6" xfId="0" applyFont="1" applyFill="1" applyBorder="1" applyAlignment="1" applyProtection="1">
      <alignment horizontal="center"/>
      <protection locked="0"/>
    </xf>
    <xf numFmtId="0" fontId="125" fillId="32" borderId="6" xfId="0" applyFont="1" applyFill="1" applyBorder="1" applyAlignment="1" applyProtection="1">
      <alignment horizontal="center" vertical="center" wrapText="1"/>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center"/>
      <protection locked="0"/>
    </xf>
    <xf numFmtId="0" fontId="13" fillId="2" borderId="0" xfId="0" applyFont="1" applyFill="1" applyAlignment="1" applyProtection="1">
      <alignment horizontal="left" wrapText="1"/>
      <protection locked="0"/>
    </xf>
    <xf numFmtId="0" fontId="6" fillId="32" borderId="0" xfId="0" applyFont="1" applyFill="1" applyBorder="1" applyAlignment="1" applyProtection="1">
      <alignment horizontal="left"/>
      <protection locked="0"/>
    </xf>
    <xf numFmtId="0" fontId="74"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vertic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3" fillId="2" borderId="0" xfId="0" applyFont="1" applyFill="1" applyAlignment="1" applyProtection="1">
      <alignment horizontal="left" wrapText="1"/>
      <protection locked="0"/>
    </xf>
    <xf numFmtId="0" fontId="13" fillId="2" borderId="0" xfId="0" applyFont="1" applyFill="1" applyAlignment="1" applyProtection="1">
      <alignment horizontal="left" wrapText="1"/>
      <protection locked="0"/>
    </xf>
    <xf numFmtId="0" fontId="17" fillId="32" borderId="0" xfId="0" applyFont="1" applyFill="1" applyBorder="1" applyAlignment="1" applyProtection="1">
      <alignment horizontal="center"/>
      <protection locked="0"/>
    </xf>
    <xf numFmtId="0" fontId="103" fillId="32" borderId="0" xfId="0" applyFont="1" applyFill="1" applyBorder="1" applyAlignment="1" applyProtection="1">
      <alignment horizontal="center"/>
      <protection locked="0"/>
    </xf>
    <xf numFmtId="0" fontId="107" fillId="37" borderId="26"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107" fillId="37" borderId="12" xfId="0" applyFont="1" applyFill="1" applyBorder="1" applyAlignment="1" applyProtection="1">
      <alignment horizontal="left" vertical="top"/>
      <protection locked="0"/>
    </xf>
    <xf numFmtId="0" fontId="107" fillId="37" borderId="27"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0" fillId="0" borderId="43" xfId="0" applyBorder="1"/>
    <xf numFmtId="0" fontId="0" fillId="0" borderId="45" xfId="0" applyBorder="1"/>
    <xf numFmtId="0" fontId="0" fillId="0" borderId="46" xfId="0" applyBorder="1"/>
    <xf numFmtId="0" fontId="103" fillId="0" borderId="39" xfId="0" applyFont="1" applyBorder="1" applyAlignment="1"/>
    <xf numFmtId="0" fontId="103" fillId="0" borderId="40" xfId="0" applyFont="1" applyBorder="1" applyAlignment="1"/>
    <xf numFmtId="0" fontId="103" fillId="0" borderId="41" xfId="0" applyFont="1" applyBorder="1" applyAlignment="1"/>
    <xf numFmtId="0" fontId="0" fillId="0" borderId="4" xfId="0" applyBorder="1"/>
    <xf numFmtId="0" fontId="0" fillId="0" borderId="47" xfId="0" applyBorder="1"/>
    <xf numFmtId="0" fontId="13" fillId="0" borderId="1" xfId="0" applyFont="1" applyBorder="1" applyAlignment="1">
      <alignment horizontal="center" wrapText="1"/>
    </xf>
    <xf numFmtId="0" fontId="13" fillId="0" borderId="4" xfId="0" applyFont="1" applyBorder="1" applyAlignment="1">
      <alignment horizontal="center" wrapText="1"/>
    </xf>
    <xf numFmtId="0" fontId="13" fillId="0" borderId="43" xfId="0" applyFont="1" applyBorder="1" applyAlignment="1">
      <alignment horizontal="center" wrapText="1"/>
    </xf>
    <xf numFmtId="0" fontId="6" fillId="32" borderId="0" xfId="0" applyFont="1" applyFill="1" applyBorder="1" applyAlignment="1" applyProtection="1">
      <alignment horizontal="center" vertical="center"/>
      <protection locked="0"/>
    </xf>
    <xf numFmtId="0" fontId="15" fillId="32" borderId="0" xfId="0" applyFont="1" applyFill="1" applyBorder="1" applyAlignment="1" applyProtection="1">
      <alignment horizontal="center"/>
      <protection locked="0"/>
    </xf>
    <xf numFmtId="0" fontId="15" fillId="32" borderId="0" xfId="0" applyFont="1" applyFill="1" applyBorder="1" applyAlignment="1" applyProtection="1">
      <alignment horizontal="center" vertical="center"/>
      <protection locked="0"/>
    </xf>
    <xf numFmtId="0" fontId="13" fillId="37" borderId="42" xfId="0" applyFont="1" applyFill="1" applyBorder="1" applyAlignment="1">
      <alignment wrapText="1"/>
    </xf>
    <xf numFmtId="0" fontId="13" fillId="37" borderId="1" xfId="0" applyFont="1" applyFill="1" applyBorder="1" applyAlignment="1">
      <alignment horizontal="center" wrapText="1"/>
    </xf>
    <xf numFmtId="0" fontId="13" fillId="37" borderId="42" xfId="0" applyFont="1" applyFill="1" applyBorder="1"/>
    <xf numFmtId="0" fontId="0" fillId="37" borderId="1" xfId="0" applyFill="1" applyBorder="1"/>
    <xf numFmtId="0" fontId="13" fillId="37" borderId="44" xfId="0" applyFont="1" applyFill="1" applyBorder="1"/>
    <xf numFmtId="0" fontId="0" fillId="37" borderId="45" xfId="0" applyFill="1" applyBorder="1"/>
    <xf numFmtId="16" fontId="0" fillId="0" borderId="0" xfId="0" applyNumberFormat="1"/>
    <xf numFmtId="0" fontId="13"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left" vertical="top"/>
      <protection locked="0"/>
    </xf>
    <xf numFmtId="175" fontId="9" fillId="37" borderId="6" xfId="3" applyNumberFormat="1" applyFont="1" applyFill="1" applyBorder="1" applyProtection="1">
      <protection locked="0"/>
    </xf>
    <xf numFmtId="0" fontId="10" fillId="32" borderId="0" xfId="0" applyFont="1" applyFill="1" applyBorder="1" applyProtection="1">
      <protection locked="0"/>
    </xf>
    <xf numFmtId="175" fontId="9" fillId="37" borderId="73" xfId="3" applyNumberFormat="1" applyFont="1" applyFill="1" applyBorder="1" applyProtection="1">
      <protection locked="0"/>
    </xf>
    <xf numFmtId="175" fontId="8" fillId="32" borderId="0" xfId="3" applyNumberFormat="1" applyFont="1" applyFill="1" applyBorder="1" applyAlignment="1" applyProtection="1">
      <alignment horizontal="center" vertical="center"/>
      <protection locked="0"/>
    </xf>
    <xf numFmtId="180" fontId="9" fillId="37" borderId="6" xfId="3" applyNumberFormat="1" applyFont="1" applyFill="1" applyBorder="1" applyProtection="1">
      <protection locked="0"/>
    </xf>
    <xf numFmtId="0" fontId="8" fillId="32" borderId="7" xfId="0" applyFont="1" applyFill="1" applyBorder="1" applyAlignment="1" applyProtection="1">
      <protection locked="0"/>
    </xf>
    <xf numFmtId="180" fontId="9" fillId="4" borderId="6" xfId="3" applyNumberFormat="1" applyFont="1" applyFill="1" applyBorder="1" applyProtection="1"/>
    <xf numFmtId="0" fontId="10" fillId="32" borderId="0" xfId="0" applyFont="1" applyFill="1" applyBorder="1" applyAlignment="1" applyProtection="1">
      <alignment horizontal="center"/>
    </xf>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92" fillId="32" borderId="0" xfId="0" applyFont="1" applyFill="1" applyBorder="1" applyAlignment="1" applyProtection="1">
      <alignment horizontal="left"/>
      <protection locked="0"/>
    </xf>
    <xf numFmtId="0" fontId="92" fillId="32" borderId="0" xfId="0" applyFont="1" applyFill="1" applyBorder="1" applyAlignment="1" applyProtection="1">
      <alignment horizontal="left"/>
    </xf>
    <xf numFmtId="172" fontId="102" fillId="37" borderId="1" xfId="3" applyFont="1" applyFill="1" applyBorder="1"/>
    <xf numFmtId="175" fontId="102" fillId="37" borderId="1" xfId="3" applyNumberFormat="1" applyFont="1" applyFill="1" applyBorder="1" applyAlignment="1">
      <alignment vertical="center"/>
    </xf>
    <xf numFmtId="172" fontId="102" fillId="37" borderId="1" xfId="3" applyFont="1" applyFill="1" applyBorder="1" applyAlignment="1">
      <alignment horizontal="center"/>
    </xf>
    <xf numFmtId="178" fontId="102" fillId="37" borderId="1" xfId="3" applyNumberFormat="1" applyFont="1" applyFill="1" applyBorder="1" applyAlignment="1">
      <alignment horizontal="center"/>
    </xf>
    <xf numFmtId="172" fontId="102" fillId="32" borderId="1" xfId="3" applyFont="1" applyFill="1" applyBorder="1" applyAlignment="1" applyProtection="1">
      <alignment horizontal="center"/>
      <protection locked="0"/>
    </xf>
    <xf numFmtId="178" fontId="102" fillId="37" borderId="1" xfId="3" applyNumberFormat="1" applyFont="1" applyFill="1" applyBorder="1" applyAlignment="1">
      <alignment horizontal="center" vertical="center"/>
    </xf>
    <xf numFmtId="175" fontId="102" fillId="32" borderId="1" xfId="3" applyNumberFormat="1" applyFont="1" applyFill="1" applyBorder="1" applyAlignment="1" applyProtection="1">
      <alignment horizontal="center" vertical="center"/>
      <protection locked="0"/>
    </xf>
    <xf numFmtId="175" fontId="142" fillId="37" borderId="1" xfId="3" applyNumberFormat="1" applyFont="1" applyFill="1" applyBorder="1" applyAlignment="1" applyProtection="1">
      <alignment horizontal="center" vertical="center"/>
      <protection locked="0"/>
    </xf>
    <xf numFmtId="175" fontId="102" fillId="32" borderId="0" xfId="3" applyNumberFormat="1" applyFont="1" applyFill="1" applyBorder="1" applyAlignment="1" applyProtection="1">
      <alignment horizontal="center" vertical="center"/>
      <protection locked="0"/>
    </xf>
    <xf numFmtId="175" fontId="102" fillId="32" borderId="0" xfId="3" applyNumberFormat="1" applyFont="1" applyFill="1" applyBorder="1" applyAlignment="1" applyProtection="1">
      <alignment vertical="center"/>
      <protection locked="0"/>
    </xf>
    <xf numFmtId="175" fontId="142" fillId="37" borderId="1" xfId="3" applyNumberFormat="1" applyFont="1" applyFill="1" applyBorder="1" applyAlignment="1" applyProtection="1">
      <alignment vertical="center"/>
      <protection locked="0"/>
    </xf>
    <xf numFmtId="0" fontId="143" fillId="32" borderId="0" xfId="0" applyFont="1" applyFill="1" applyBorder="1" applyProtection="1">
      <protection locked="0"/>
    </xf>
    <xf numFmtId="0" fontId="102" fillId="0" borderId="54" xfId="0" applyFont="1" applyFill="1" applyBorder="1" applyAlignment="1" applyProtection="1">
      <alignment horizontal="center" vertical="center"/>
      <protection locked="0"/>
    </xf>
    <xf numFmtId="0" fontId="102" fillId="0" borderId="55" xfId="0" applyFont="1" applyFill="1" applyBorder="1" applyAlignment="1" applyProtection="1">
      <alignment horizontal="center" vertical="center"/>
      <protection locked="0"/>
    </xf>
    <xf numFmtId="0" fontId="102" fillId="0" borderId="55" xfId="0" applyFont="1" applyBorder="1" applyAlignment="1">
      <alignment horizontal="center" vertical="center" wrapText="1"/>
    </xf>
    <xf numFmtId="0" fontId="102" fillId="0" borderId="56" xfId="0" applyFont="1" applyBorder="1" applyAlignment="1">
      <alignment horizontal="center" vertical="center" wrapText="1"/>
    </xf>
    <xf numFmtId="0" fontId="15" fillId="37" borderId="84" xfId="0" applyFont="1" applyFill="1" applyBorder="1" applyAlignment="1" applyProtection="1">
      <protection locked="0"/>
    </xf>
    <xf numFmtId="172" fontId="102" fillId="32" borderId="43" xfId="3" applyFont="1" applyFill="1" applyBorder="1" applyAlignment="1" applyProtection="1">
      <alignment horizontal="center" vertical="top" wrapText="1"/>
      <protection locked="0"/>
    </xf>
    <xf numFmtId="0" fontId="102" fillId="37" borderId="42" xfId="0" applyFont="1" applyFill="1" applyBorder="1"/>
    <xf numFmtId="0" fontId="102" fillId="0" borderId="44" xfId="0" applyFont="1" applyFill="1" applyBorder="1"/>
    <xf numFmtId="172" fontId="102" fillId="0" borderId="45" xfId="3" applyFont="1" applyFill="1" applyBorder="1" applyAlignment="1"/>
    <xf numFmtId="175" fontId="102" fillId="0" borderId="45" xfId="3" applyNumberFormat="1" applyFont="1" applyFill="1" applyBorder="1" applyAlignment="1">
      <alignment horizontal="center"/>
    </xf>
    <xf numFmtId="172" fontId="102" fillId="0" borderId="45" xfId="3" applyFont="1" applyFill="1" applyBorder="1" applyAlignment="1">
      <alignment horizontal="center"/>
    </xf>
    <xf numFmtId="0" fontId="102" fillId="0" borderId="45" xfId="0" applyFont="1" applyFill="1" applyBorder="1" applyAlignment="1" applyProtection="1">
      <alignment horizontal="center" wrapText="1"/>
      <protection locked="0"/>
    </xf>
    <xf numFmtId="172" fontId="102" fillId="0" borderId="46" xfId="3" applyFont="1" applyFill="1" applyBorder="1" applyAlignment="1">
      <alignment horizontal="center"/>
    </xf>
    <xf numFmtId="0" fontId="126" fillId="32" borderId="8" xfId="0" applyFont="1" applyFill="1" applyBorder="1" applyAlignment="1" applyProtection="1">
      <alignment horizontal="center" vertical="center"/>
      <protection locked="0"/>
    </xf>
    <xf numFmtId="0" fontId="126" fillId="32" borderId="9" xfId="0" applyFont="1" applyFill="1" applyBorder="1" applyAlignment="1" applyProtection="1">
      <alignment horizontal="center" vertical="center"/>
      <protection locked="0"/>
    </xf>
    <xf numFmtId="0" fontId="127" fillId="32" borderId="6" xfId="0" applyFont="1" applyFill="1" applyBorder="1" applyAlignment="1" applyProtection="1">
      <alignment horizontal="center"/>
    </xf>
    <xf numFmtId="0" fontId="15" fillId="32" borderId="0" xfId="0" applyFont="1" applyFill="1" applyBorder="1" applyAlignment="1" applyProtection="1">
      <alignment horizontal="center" vertical="top" wrapText="1"/>
      <protection locked="0"/>
    </xf>
    <xf numFmtId="175" fontId="9" fillId="4" borderId="75" xfId="3" applyNumberFormat="1" applyFont="1" applyFill="1" applyBorder="1" applyAlignment="1" applyProtection="1">
      <alignment horizontal="center" vertical="center"/>
    </xf>
    <xf numFmtId="175" fontId="9" fillId="4" borderId="74" xfId="3" applyNumberFormat="1" applyFont="1" applyFill="1" applyBorder="1" applyAlignment="1" applyProtection="1">
      <alignment horizontal="center" vertical="center"/>
    </xf>
    <xf numFmtId="0" fontId="74" fillId="32" borderId="6" xfId="0" applyFont="1" applyFill="1" applyBorder="1" applyAlignment="1" applyProtection="1">
      <alignment horizontal="center"/>
      <protection locked="0"/>
    </xf>
    <xf numFmtId="0" fontId="74" fillId="32" borderId="6" xfId="0" applyFont="1" applyFill="1" applyBorder="1" applyAlignment="1" applyProtection="1">
      <alignment horizontal="center"/>
    </xf>
    <xf numFmtId="0" fontId="126" fillId="32" borderId="6" xfId="0" applyFont="1" applyFill="1" applyBorder="1" applyAlignment="1" applyProtection="1">
      <alignment horizontal="center" vertical="center"/>
      <protection locked="0"/>
    </xf>
    <xf numFmtId="0" fontId="125" fillId="32" borderId="6" xfId="0" applyFont="1" applyFill="1" applyBorder="1" applyAlignment="1" applyProtection="1">
      <alignment horizontal="center" vertical="center" wrapText="1"/>
      <protection locked="0"/>
    </xf>
    <xf numFmtId="0" fontId="74" fillId="32" borderId="6" xfId="0" applyFont="1" applyFill="1" applyBorder="1" applyAlignment="1" applyProtection="1">
      <alignment horizontal="center" vertical="center"/>
      <protection locked="0"/>
    </xf>
    <xf numFmtId="175" fontId="99" fillId="32" borderId="31" xfId="3" applyNumberFormat="1" applyFont="1" applyFill="1" applyBorder="1" applyAlignment="1" applyProtection="1">
      <alignment horizontal="center" vertical="center" wrapText="1"/>
      <protection locked="0"/>
    </xf>
    <xf numFmtId="175" fontId="99" fillId="32" borderId="0" xfId="3" applyNumberFormat="1" applyFont="1" applyFill="1" applyBorder="1" applyAlignment="1" applyProtection="1">
      <alignment horizontal="center" vertical="center" wrapText="1"/>
      <protection locked="0"/>
    </xf>
    <xf numFmtId="175" fontId="99" fillId="32" borderId="32" xfId="3" applyNumberFormat="1" applyFont="1" applyFill="1" applyBorder="1" applyAlignment="1" applyProtection="1">
      <alignment horizontal="center" vertical="center" wrapText="1"/>
      <protection locked="0"/>
    </xf>
    <xf numFmtId="0" fontId="15" fillId="35" borderId="26" xfId="0" applyFont="1" applyFill="1" applyBorder="1" applyAlignment="1" applyProtection="1">
      <alignment horizontal="center" vertical="center" wrapText="1"/>
      <protection locked="0"/>
    </xf>
    <xf numFmtId="0" fontId="15" fillId="35" borderId="27" xfId="0" applyFont="1" applyFill="1" applyBorder="1" applyAlignment="1" applyProtection="1">
      <alignment horizontal="center" vertical="center" wrapText="1"/>
      <protection locked="0"/>
    </xf>
    <xf numFmtId="0" fontId="74" fillId="32" borderId="6" xfId="0" applyFont="1" applyFill="1" applyBorder="1" applyAlignment="1" applyProtection="1">
      <alignment horizontal="center" vertical="center" wrapText="1"/>
      <protection locked="0"/>
    </xf>
    <xf numFmtId="0" fontId="0" fillId="32" borderId="0" xfId="0" applyFill="1" applyBorder="1" applyAlignment="1" applyProtection="1">
      <alignment horizontal="center" wrapText="1"/>
      <protection locked="0"/>
    </xf>
    <xf numFmtId="0" fontId="0" fillId="32" borderId="69" xfId="0" applyFill="1" applyBorder="1" applyAlignment="1" applyProtection="1">
      <alignment horizontal="center" wrapText="1"/>
      <protection locked="0"/>
    </xf>
    <xf numFmtId="0" fontId="15" fillId="35" borderId="66" xfId="0" applyFont="1" applyFill="1" applyBorder="1" applyAlignment="1" applyProtection="1">
      <alignment horizontal="center" vertical="center" wrapText="1"/>
      <protection locked="0"/>
    </xf>
    <xf numFmtId="0" fontId="15" fillId="35" borderId="67" xfId="0" applyFont="1" applyFill="1" applyBorder="1" applyAlignment="1" applyProtection="1">
      <alignment horizontal="center" vertical="center" wrapText="1"/>
      <protection locked="0"/>
    </xf>
    <xf numFmtId="0" fontId="15" fillId="35" borderId="68"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center"/>
      <protection locked="0"/>
    </xf>
    <xf numFmtId="0" fontId="110" fillId="4" borderId="1" xfId="0" applyFont="1" applyFill="1" applyBorder="1" applyAlignment="1" applyProtection="1">
      <alignment horizontal="center"/>
      <protection locked="0"/>
    </xf>
    <xf numFmtId="0" fontId="8" fillId="32" borderId="1" xfId="0" applyFont="1" applyFill="1" applyBorder="1" applyAlignment="1" applyProtection="1">
      <alignment horizontal="center"/>
      <protection locked="0"/>
    </xf>
    <xf numFmtId="0" fontId="15" fillId="35" borderId="12" xfId="0" applyFont="1" applyFill="1" applyBorder="1" applyAlignment="1" applyProtection="1">
      <alignment horizontal="center" vertical="center" wrapText="1"/>
      <protection locked="0"/>
    </xf>
    <xf numFmtId="0" fontId="17" fillId="32" borderId="31"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172" fontId="132" fillId="4" borderId="4" xfId="3" applyFont="1" applyFill="1" applyBorder="1" applyAlignment="1" applyProtection="1">
      <alignment horizontal="center"/>
    </xf>
    <xf numFmtId="172" fontId="132" fillId="4" borderId="5" xfId="3" applyFont="1" applyFill="1" applyBorder="1" applyAlignment="1" applyProtection="1">
      <alignment horizontal="center"/>
    </xf>
    <xf numFmtId="172" fontId="132" fillId="4" borderId="1" xfId="3" applyFont="1" applyFill="1" applyBorder="1" applyAlignment="1" applyProtection="1">
      <alignment horizontal="center"/>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center" vertical="center"/>
      <protection locked="0"/>
    </xf>
    <xf numFmtId="0" fontId="74" fillId="32" borderId="31"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103" fillId="32" borderId="0" xfId="0" applyFont="1" applyFill="1" applyBorder="1" applyAlignment="1" applyProtection="1">
      <alignment horizontal="center" vertical="center" wrapText="1"/>
      <protection locked="0"/>
    </xf>
    <xf numFmtId="0" fontId="17" fillId="32" borderId="0" xfId="0" applyFont="1" applyFill="1" applyBorder="1" applyAlignment="1" applyProtection="1">
      <alignment horizontal="center" wrapText="1"/>
      <protection locked="0"/>
    </xf>
    <xf numFmtId="0" fontId="74" fillId="32" borderId="8" xfId="0" applyFont="1" applyFill="1" applyBorder="1" applyAlignment="1" applyProtection="1">
      <alignment horizontal="center"/>
      <protection locked="0"/>
    </xf>
    <xf numFmtId="0" fontId="74" fillId="32" borderId="9" xfId="0" applyFont="1" applyFill="1" applyBorder="1" applyAlignment="1" applyProtection="1">
      <alignment horizontal="center"/>
      <protection locked="0"/>
    </xf>
    <xf numFmtId="0" fontId="74" fillId="32" borderId="80" xfId="0" applyFont="1" applyFill="1" applyBorder="1" applyAlignment="1" applyProtection="1">
      <alignment horizontal="center" vertical="center"/>
      <protection locked="0"/>
    </xf>
    <xf numFmtId="0" fontId="74" fillId="32" borderId="81" xfId="0" applyFont="1" applyFill="1" applyBorder="1" applyAlignment="1" applyProtection="1">
      <alignment horizontal="center" vertical="center"/>
      <protection locked="0"/>
    </xf>
    <xf numFmtId="0" fontId="74" fillId="32" borderId="82" xfId="0" applyFont="1" applyFill="1" applyBorder="1" applyAlignment="1" applyProtection="1">
      <alignment horizontal="center" vertical="center"/>
      <protection locked="0"/>
    </xf>
    <xf numFmtId="0" fontId="74" fillId="32" borderId="83" xfId="0" applyFont="1" applyFill="1" applyBorder="1" applyAlignment="1" applyProtection="1">
      <alignment horizontal="center" vertical="center"/>
      <protection locked="0"/>
    </xf>
    <xf numFmtId="0" fontId="128" fillId="32" borderId="4" xfId="0" applyFont="1" applyFill="1" applyBorder="1" applyAlignment="1" applyProtection="1">
      <alignment horizontal="center" vertical="center"/>
      <protection locked="0"/>
    </xf>
    <xf numFmtId="0" fontId="128" fillId="32" borderId="5" xfId="0" applyFont="1" applyFill="1" applyBorder="1" applyAlignment="1" applyProtection="1">
      <alignment horizontal="center" vertical="center"/>
      <protection locked="0"/>
    </xf>
    <xf numFmtId="172" fontId="132" fillId="4" borderId="4" xfId="3" applyFont="1" applyFill="1" applyBorder="1" applyAlignment="1" applyProtection="1">
      <alignment horizontal="center" vertical="center"/>
    </xf>
    <xf numFmtId="172" fontId="132" fillId="4" borderId="5" xfId="3" applyFont="1" applyFill="1" applyBorder="1" applyAlignment="1" applyProtection="1">
      <alignment horizontal="center" vertical="center"/>
    </xf>
    <xf numFmtId="0" fontId="128" fillId="32" borderId="1" xfId="0" applyFont="1" applyFill="1" applyBorder="1" applyAlignment="1" applyProtection="1">
      <alignment horizontal="center" vertical="center"/>
      <protection locked="0"/>
    </xf>
    <xf numFmtId="172" fontId="132" fillId="4" borderId="1" xfId="3" applyFont="1" applyFill="1" applyBorder="1" applyAlignment="1" applyProtection="1">
      <alignment horizontal="center" vertical="center"/>
    </xf>
    <xf numFmtId="0" fontId="128" fillId="32" borderId="1" xfId="0" applyFont="1" applyFill="1" applyBorder="1" applyAlignment="1" applyProtection="1">
      <alignment horizontal="center"/>
      <protection locked="0"/>
    </xf>
    <xf numFmtId="215" fontId="6" fillId="32" borderId="28" xfId="0" applyNumberFormat="1" applyFont="1" applyFill="1" applyBorder="1" applyAlignment="1" applyProtection="1">
      <alignment horizontal="left"/>
      <protection locked="0"/>
    </xf>
    <xf numFmtId="3" fontId="8" fillId="33" borderId="26" xfId="4" applyNumberFormat="1" applyFont="1" applyFill="1" applyBorder="1" applyAlignment="1" applyProtection="1">
      <alignment horizontal="center"/>
    </xf>
    <xf numFmtId="3" fontId="8" fillId="33" borderId="27" xfId="4" applyNumberFormat="1" applyFont="1" applyFill="1" applyBorder="1" applyAlignment="1" applyProtection="1">
      <alignment horizontal="center"/>
    </xf>
    <xf numFmtId="0" fontId="110" fillId="4" borderId="26" xfId="3" applyNumberFormat="1" applyFont="1" applyFill="1" applyBorder="1" applyAlignment="1" applyProtection="1">
      <alignment horizontal="center" vertical="center"/>
    </xf>
    <xf numFmtId="0" fontId="110" fillId="4" borderId="27" xfId="3" applyNumberFormat="1" applyFont="1" applyFill="1" applyBorder="1" applyAlignment="1" applyProtection="1">
      <alignment horizontal="center" vertical="center"/>
    </xf>
    <xf numFmtId="0" fontId="110" fillId="37" borderId="1" xfId="0" applyFont="1" applyFill="1" applyBorder="1" applyAlignment="1" applyProtection="1">
      <alignment horizontal="left" vertical="center"/>
      <protection locked="0"/>
    </xf>
    <xf numFmtId="177" fontId="110" fillId="37" borderId="1" xfId="3" applyNumberFormat="1" applyFont="1" applyFill="1" applyBorder="1" applyAlignment="1" applyProtection="1">
      <alignment horizontal="center" vertical="center"/>
      <protection locked="0"/>
    </xf>
    <xf numFmtId="0" fontId="141"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92" fillId="37" borderId="1" xfId="0" applyFont="1" applyFill="1" applyBorder="1" applyAlignment="1" applyProtection="1">
      <alignment horizontal="left" vertical="center" wrapText="1"/>
      <protection locked="0"/>
    </xf>
    <xf numFmtId="0" fontId="129" fillId="37" borderId="1" xfId="0" applyFont="1" applyFill="1" applyBorder="1" applyAlignment="1" applyProtection="1">
      <alignment horizontal="left" vertical="center" wrapText="1"/>
      <protection locked="0"/>
    </xf>
    <xf numFmtId="0" fontId="15" fillId="32" borderId="32" xfId="0" applyFont="1" applyFill="1" applyBorder="1" applyAlignment="1" applyProtection="1">
      <alignment horizontal="center" vertical="center"/>
      <protection locked="0"/>
    </xf>
    <xf numFmtId="0" fontId="15" fillId="35" borderId="26" xfId="0" applyFont="1" applyFill="1" applyBorder="1" applyAlignment="1" applyProtection="1">
      <alignment horizontal="center" vertical="center"/>
      <protection locked="0"/>
    </xf>
    <xf numFmtId="0" fontId="15" fillId="35" borderId="12" xfId="0" applyFont="1" applyFill="1" applyBorder="1" applyAlignment="1" applyProtection="1">
      <alignment horizontal="center" vertical="center"/>
      <protection locked="0"/>
    </xf>
    <xf numFmtId="0" fontId="15" fillId="35" borderId="27" xfId="0" applyFont="1" applyFill="1" applyBorder="1" applyAlignment="1" applyProtection="1">
      <alignment horizontal="center" vertical="center"/>
      <protection locked="0"/>
    </xf>
    <xf numFmtId="0" fontId="6" fillId="32" borderId="32"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4" xfId="4" applyNumberFormat="1" applyFont="1" applyFill="1" applyBorder="1" applyAlignment="1" applyProtection="1">
      <alignment horizontal="center" vertical="center" wrapText="1"/>
      <protection locked="0"/>
    </xf>
    <xf numFmtId="3" fontId="9" fillId="37" borderId="5" xfId="4" applyNumberFormat="1" applyFont="1" applyFill="1" applyBorder="1" applyAlignment="1" applyProtection="1">
      <alignment horizontal="center" vertical="center" wrapText="1"/>
      <protection locked="0"/>
    </xf>
    <xf numFmtId="0" fontId="7" fillId="31" borderId="26" xfId="0" applyFont="1" applyFill="1" applyBorder="1" applyAlignment="1" applyProtection="1">
      <alignment horizontal="center" vertical="center" wrapText="1"/>
      <protection locked="0"/>
    </xf>
    <xf numFmtId="0" fontId="7" fillId="31" borderId="12" xfId="0" applyFont="1" applyFill="1" applyBorder="1" applyAlignment="1" applyProtection="1">
      <alignment horizontal="center" vertical="center" wrapText="1"/>
      <protection locked="0"/>
    </xf>
    <xf numFmtId="0" fontId="7" fillId="31" borderId="27" xfId="0" applyFont="1" applyFill="1" applyBorder="1" applyAlignment="1" applyProtection="1">
      <alignment horizontal="center" vertical="center" wrapText="1"/>
      <protection locked="0"/>
    </xf>
    <xf numFmtId="3" fontId="8" fillId="32" borderId="1" xfId="4" applyNumberFormat="1" applyFont="1" applyFill="1" applyBorder="1" applyAlignment="1" applyProtection="1">
      <alignment horizontal="center" vertical="center" wrapText="1"/>
    </xf>
    <xf numFmtId="0" fontId="100" fillId="32" borderId="0" xfId="0" applyFont="1" applyFill="1" applyBorder="1" applyAlignment="1" applyProtection="1">
      <alignment horizontal="left"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5" fillId="32" borderId="32" xfId="0" applyFont="1" applyFill="1" applyBorder="1" applyAlignment="1" applyProtection="1">
      <alignment horizontal="left" vertical="center"/>
      <protection locked="0"/>
    </xf>
    <xf numFmtId="0" fontId="91" fillId="37" borderId="1" xfId="0" applyFont="1" applyFill="1" applyBorder="1" applyAlignment="1" applyProtection="1">
      <alignment horizontal="center"/>
      <protection locked="0"/>
    </xf>
    <xf numFmtId="0" fontId="125" fillId="32" borderId="8" xfId="0" applyFont="1" applyFill="1" applyBorder="1" applyAlignment="1" applyProtection="1">
      <alignment horizontal="center" vertical="center" wrapText="1"/>
      <protection locked="0"/>
    </xf>
    <xf numFmtId="0" fontId="125" fillId="32" borderId="9" xfId="0" applyFont="1" applyFill="1" applyBorder="1" applyAlignment="1" applyProtection="1">
      <alignment horizontal="center" vertical="center" wrapText="1"/>
      <protection locked="0"/>
    </xf>
    <xf numFmtId="0" fontId="128" fillId="32" borderId="4" xfId="0" applyFont="1" applyFill="1" applyBorder="1" applyAlignment="1" applyProtection="1">
      <alignment horizontal="center"/>
      <protection locked="0"/>
    </xf>
    <xf numFmtId="0" fontId="128" fillId="32" borderId="5" xfId="0" applyFont="1" applyFill="1" applyBorder="1" applyAlignment="1" applyProtection="1">
      <alignment horizontal="center"/>
      <protection locked="0"/>
    </xf>
    <xf numFmtId="172" fontId="139" fillId="4" borderId="1" xfId="3" applyFont="1" applyFill="1" applyBorder="1" applyAlignment="1" applyProtection="1">
      <alignment horizontal="center"/>
    </xf>
    <xf numFmtId="1" fontId="115" fillId="38" borderId="71" xfId="0" applyNumberFormat="1" applyFont="1" applyFill="1" applyBorder="1" applyAlignment="1" applyProtection="1">
      <alignment horizontal="center" vertical="center" wrapText="1"/>
      <protection locked="0"/>
    </xf>
    <xf numFmtId="1" fontId="115" fillId="38" borderId="70" xfId="0" applyNumberFormat="1" applyFont="1" applyFill="1" applyBorder="1" applyAlignment="1" applyProtection="1">
      <alignment horizontal="center" vertical="center" wrapText="1"/>
      <protection locked="0"/>
    </xf>
    <xf numFmtId="1" fontId="115" fillId="38" borderId="1"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top" wrapText="1"/>
      <protection locked="0"/>
    </xf>
    <xf numFmtId="1" fontId="115" fillId="38" borderId="70"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center" wrapText="1"/>
      <protection locked="0"/>
    </xf>
    <xf numFmtId="1" fontId="115" fillId="38" borderId="4" xfId="0" applyNumberFormat="1" applyFont="1" applyFill="1" applyBorder="1" applyAlignment="1" applyProtection="1">
      <alignment horizontal="center" vertical="center"/>
      <protection locked="0"/>
    </xf>
    <xf numFmtId="1" fontId="115" fillId="38" borderId="10" xfId="0" applyNumberFormat="1" applyFont="1" applyFill="1" applyBorder="1" applyAlignment="1" applyProtection="1">
      <alignment horizontal="center" vertical="center"/>
      <protection locked="0"/>
    </xf>
    <xf numFmtId="1" fontId="115" fillId="38" borderId="5" xfId="0" applyNumberFormat="1" applyFont="1" applyFill="1" applyBorder="1" applyAlignment="1" applyProtection="1">
      <alignment horizontal="center" vertical="center"/>
      <protection locked="0"/>
    </xf>
    <xf numFmtId="1" fontId="115" fillId="38" borderId="71" xfId="0" applyNumberFormat="1" applyFont="1" applyFill="1" applyBorder="1" applyAlignment="1" applyProtection="1">
      <alignment horizontal="center" vertical="center"/>
      <protection locked="0"/>
    </xf>
    <xf numFmtId="1" fontId="115" fillId="38" borderId="70" xfId="0" applyNumberFormat="1" applyFont="1" applyFill="1" applyBorder="1" applyAlignment="1" applyProtection="1">
      <alignment horizontal="center" vertical="center"/>
      <protection locked="0"/>
    </xf>
    <xf numFmtId="1" fontId="115" fillId="38" borderId="4" xfId="0" applyNumberFormat="1" applyFont="1" applyFill="1" applyBorder="1" applyAlignment="1" applyProtection="1">
      <alignment horizontal="center"/>
      <protection locked="0"/>
    </xf>
    <xf numFmtId="1" fontId="115" fillId="38" borderId="10" xfId="0" applyNumberFormat="1" applyFont="1" applyFill="1" applyBorder="1" applyAlignment="1" applyProtection="1">
      <alignment horizontal="center"/>
      <protection locked="0"/>
    </xf>
    <xf numFmtId="1" fontId="115" fillId="38" borderId="5" xfId="0" applyNumberFormat="1" applyFont="1" applyFill="1" applyBorder="1" applyAlignment="1" applyProtection="1">
      <alignment horizontal="center"/>
      <protection locked="0"/>
    </xf>
    <xf numFmtId="1" fontId="115" fillId="38" borderId="1" xfId="0" applyNumberFormat="1"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vertical="center"/>
      <protection locked="0"/>
    </xf>
    <xf numFmtId="1" fontId="115" fillId="38" borderId="30" xfId="0" applyNumberFormat="1" applyFont="1" applyFill="1" applyBorder="1" applyAlignment="1" applyProtection="1">
      <alignment horizontal="center" vertical="center"/>
      <protection locked="0"/>
    </xf>
    <xf numFmtId="1" fontId="115" fillId="38" borderId="11" xfId="0" applyNumberFormat="1" applyFont="1" applyFill="1" applyBorder="1" applyAlignment="1" applyProtection="1">
      <alignment horizontal="center" vertical="center"/>
      <protection locked="0"/>
    </xf>
    <xf numFmtId="0" fontId="115" fillId="38" borderId="71" xfId="0" applyFont="1" applyFill="1" applyBorder="1" applyAlignment="1" applyProtection="1">
      <alignment horizontal="center" vertical="center" wrapText="1"/>
      <protection locked="0"/>
    </xf>
    <xf numFmtId="0" fontId="115" fillId="38" borderId="70" xfId="0"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protection locked="0"/>
    </xf>
    <xf numFmtId="1" fontId="115" fillId="38" borderId="30" xfId="0" applyNumberFormat="1" applyFont="1" applyFill="1" applyBorder="1" applyAlignment="1" applyProtection="1">
      <alignment horizontal="center"/>
      <protection locked="0"/>
    </xf>
    <xf numFmtId="1" fontId="115" fillId="38" borderId="11" xfId="0" applyNumberFormat="1" applyFont="1" applyFill="1" applyBorder="1" applyAlignment="1" applyProtection="1">
      <alignment horizontal="center"/>
      <protection locked="0"/>
    </xf>
    <xf numFmtId="1" fontId="115" fillId="38" borderId="71" xfId="0" applyNumberFormat="1" applyFont="1" applyFill="1" applyBorder="1" applyAlignment="1" applyProtection="1">
      <alignment horizontal="center" wrapText="1"/>
      <protection locked="0"/>
    </xf>
    <xf numFmtId="1" fontId="115" fillId="38" borderId="70" xfId="0" applyNumberFormat="1" applyFont="1" applyFill="1" applyBorder="1" applyAlignment="1" applyProtection="1">
      <alignment horizontal="center" wrapText="1"/>
      <protection locked="0"/>
    </xf>
    <xf numFmtId="1" fontId="115" fillId="38" borderId="4" xfId="0" applyNumberFormat="1" applyFont="1" applyFill="1" applyBorder="1" applyAlignment="1" applyProtection="1">
      <alignment horizontal="center" wrapText="1"/>
      <protection locked="0"/>
    </xf>
    <xf numFmtId="1" fontId="115" fillId="38" borderId="10" xfId="0" applyNumberFormat="1" applyFont="1" applyFill="1" applyBorder="1" applyAlignment="1" applyProtection="1">
      <alignment horizontal="center" wrapText="1"/>
      <protection locked="0"/>
    </xf>
    <xf numFmtId="1" fontId="115" fillId="38" borderId="5" xfId="0" applyNumberFormat="1" applyFont="1" applyFill="1" applyBorder="1" applyAlignment="1" applyProtection="1">
      <alignment horizontal="center" wrapText="1"/>
      <protection locked="0"/>
    </xf>
    <xf numFmtId="0" fontId="0" fillId="37" borderId="71" xfId="0" applyFont="1" applyFill="1" applyBorder="1" applyAlignment="1" applyProtection="1">
      <alignment horizontal="center" vertical="center" wrapText="1"/>
    </xf>
    <xf numFmtId="0" fontId="0" fillId="37" borderId="72" xfId="0" applyFont="1" applyFill="1" applyBorder="1" applyAlignment="1" applyProtection="1">
      <alignment horizontal="center" vertical="center" wrapText="1"/>
    </xf>
    <xf numFmtId="0" fontId="0" fillId="37" borderId="70" xfId="0" applyFont="1" applyFill="1" applyBorder="1" applyAlignment="1" applyProtection="1">
      <alignment horizontal="center" vertical="center" wrapText="1"/>
    </xf>
    <xf numFmtId="0" fontId="115" fillId="38" borderId="71" xfId="0" applyFont="1" applyFill="1" applyBorder="1" applyAlignment="1" applyProtection="1">
      <alignment horizontal="center" wrapText="1"/>
      <protection locked="0"/>
    </xf>
    <xf numFmtId="0" fontId="115" fillId="38" borderId="70" xfId="0" applyFont="1" applyFill="1" applyBorder="1" applyAlignment="1" applyProtection="1">
      <alignment horizontal="center" wrapText="1"/>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33" fillId="0" borderId="1" xfId="0" applyFont="1" applyBorder="1" applyAlignment="1" applyProtection="1">
      <alignment horizontal="center"/>
    </xf>
    <xf numFmtId="0" fontId="133" fillId="0" borderId="1" xfId="0" applyFont="1" applyBorder="1" applyAlignment="1" applyProtection="1">
      <alignment horizontal="center" wrapText="1"/>
    </xf>
    <xf numFmtId="0" fontId="133" fillId="0" borderId="1" xfId="0" applyFont="1" applyBorder="1" applyAlignment="1" applyProtection="1">
      <alignment horizontal="center" vertical="center"/>
    </xf>
    <xf numFmtId="0" fontId="13" fillId="0" borderId="71" xfId="0" applyFont="1" applyBorder="1" applyAlignment="1" applyProtection="1">
      <alignment horizontal="center" wrapText="1"/>
      <protection locked="0"/>
    </xf>
    <xf numFmtId="0" fontId="13" fillId="0" borderId="70" xfId="0" applyFont="1" applyBorder="1" applyAlignment="1" applyProtection="1">
      <alignment horizontal="center" wrapText="1"/>
      <protection locked="0"/>
    </xf>
    <xf numFmtId="0" fontId="13" fillId="33" borderId="71" xfId="0" applyFont="1" applyFill="1" applyBorder="1" applyAlignment="1" applyProtection="1">
      <alignment horizontal="center" wrapText="1"/>
      <protection locked="0"/>
    </xf>
    <xf numFmtId="0" fontId="13" fillId="33" borderId="70" xfId="0" applyFont="1" applyFill="1" applyBorder="1" applyAlignment="1" applyProtection="1">
      <alignment horizontal="center" wrapText="1"/>
      <protection locked="0"/>
    </xf>
    <xf numFmtId="0" fontId="116" fillId="0" borderId="1" xfId="0" applyFont="1" applyBorder="1" applyAlignment="1" applyProtection="1">
      <alignment horizontal="center" vertical="center"/>
      <protection locked="0"/>
    </xf>
    <xf numFmtId="0" fontId="116" fillId="35" borderId="34" xfId="0" applyFont="1" applyFill="1" applyBorder="1" applyAlignment="1" applyProtection="1">
      <alignment horizontal="center"/>
      <protection locked="0"/>
    </xf>
    <xf numFmtId="0" fontId="116" fillId="35" borderId="28" xfId="0" applyFont="1" applyFill="1" applyBorder="1" applyAlignment="1" applyProtection="1">
      <alignment horizontal="center"/>
      <protection locked="0"/>
    </xf>
    <xf numFmtId="0" fontId="116" fillId="35" borderId="0" xfId="0" applyFont="1" applyFill="1" applyBorder="1" applyAlignment="1" applyProtection="1">
      <alignment horizontal="center"/>
      <protection locked="0"/>
    </xf>
    <xf numFmtId="0" fontId="116" fillId="35" borderId="0" xfId="0" applyFont="1" applyFill="1" applyAlignment="1" applyProtection="1">
      <alignment horizontal="center"/>
      <protection locked="0"/>
    </xf>
    <xf numFmtId="0" fontId="13" fillId="0" borderId="0" xfId="0" applyFont="1" applyBorder="1" applyAlignment="1" applyProtection="1">
      <alignment horizontal="center" wrapText="1"/>
    </xf>
    <xf numFmtId="0" fontId="112" fillId="0" borderId="0" xfId="0" applyFont="1" applyFill="1" applyAlignment="1">
      <alignment horizontal="center" vertical="center" wrapText="1"/>
    </xf>
    <xf numFmtId="0" fontId="112" fillId="0" borderId="0" xfId="0" applyFont="1" applyFill="1" applyAlignment="1">
      <alignment horizontal="center"/>
    </xf>
    <xf numFmtId="0" fontId="111" fillId="0" borderId="71"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0" xfId="0" applyFont="1" applyFill="1" applyBorder="1" applyAlignment="1">
      <alignment horizontal="center"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10" xfId="0" applyFont="1" applyFill="1" applyBorder="1" applyAlignment="1">
      <alignment horizontal="center"/>
    </xf>
    <xf numFmtId="0" fontId="111" fillId="0" borderId="5" xfId="0" applyFont="1" applyFill="1" applyBorder="1" applyAlignment="1">
      <alignment horizontal="center"/>
    </xf>
    <xf numFmtId="0" fontId="111" fillId="0" borderId="0" xfId="0" applyFont="1" applyAlignment="1">
      <alignment horizontal="center" wrapText="1"/>
    </xf>
    <xf numFmtId="0" fontId="112" fillId="0" borderId="0" xfId="0" applyFont="1" applyFill="1" applyAlignment="1">
      <alignment horizontal="center" wrapText="1"/>
    </xf>
    <xf numFmtId="0" fontId="111" fillId="0" borderId="4" xfId="0"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11" fillId="0" borderId="0" xfId="0" applyFont="1" applyFill="1" applyAlignment="1">
      <alignment horizontal="left" vertical="top" wrapText="1"/>
    </xf>
    <xf numFmtId="0" fontId="111" fillId="0" borderId="71" xfId="0" applyFont="1" applyFill="1" applyBorder="1" applyAlignment="1">
      <alignment horizontal="center" wrapText="1"/>
    </xf>
    <xf numFmtId="0" fontId="111" fillId="0" borderId="70" xfId="0" applyFont="1" applyFill="1" applyBorder="1" applyAlignment="1">
      <alignment horizontal="center" wrapText="1"/>
    </xf>
    <xf numFmtId="0" fontId="111" fillId="0" borderId="4" xfId="0" applyFont="1" applyFill="1" applyBorder="1" applyAlignment="1">
      <alignment horizontal="center" wrapText="1"/>
    </xf>
    <xf numFmtId="0" fontId="111" fillId="0" borderId="10" xfId="0" applyFont="1" applyFill="1" applyBorder="1" applyAlignment="1">
      <alignment horizontal="center" wrapText="1"/>
    </xf>
    <xf numFmtId="0" fontId="111" fillId="0" borderId="5" xfId="0" applyFont="1" applyFill="1" applyBorder="1" applyAlignment="1">
      <alignment horizontal="center" wrapText="1"/>
    </xf>
    <xf numFmtId="0" fontId="111" fillId="0" borderId="0" xfId="0" applyFont="1" applyFill="1" applyAlignment="1">
      <alignment horizontal="center" wrapText="1"/>
    </xf>
    <xf numFmtId="0" fontId="111" fillId="0" borderId="71" xfId="0" applyFont="1" applyBorder="1" applyAlignment="1">
      <alignment horizontal="center" vertical="center"/>
    </xf>
    <xf numFmtId="0" fontId="111" fillId="0" borderId="70" xfId="0" applyFont="1" applyBorder="1" applyAlignment="1">
      <alignment horizontal="center" vertical="center"/>
    </xf>
    <xf numFmtId="0" fontId="111" fillId="0" borderId="71" xfId="0" applyFont="1" applyFill="1" applyBorder="1" applyAlignment="1">
      <alignment horizontal="center" vertical="center"/>
    </xf>
    <xf numFmtId="0" fontId="111" fillId="0" borderId="72" xfId="0" applyFont="1" applyFill="1" applyBorder="1" applyAlignment="1">
      <alignment horizontal="center" vertical="center"/>
    </xf>
    <xf numFmtId="0" fontId="111" fillId="0" borderId="70" xfId="0" applyFont="1" applyFill="1" applyBorder="1" applyAlignment="1">
      <alignment horizontal="center" vertical="center"/>
    </xf>
    <xf numFmtId="0" fontId="111" fillId="0" borderId="1" xfId="0" applyFont="1" applyBorder="1" applyAlignment="1">
      <alignment horizontal="center"/>
    </xf>
    <xf numFmtId="0" fontId="111" fillId="0" borderId="34" xfId="0" applyFont="1" applyBorder="1" applyAlignment="1">
      <alignment horizontal="center"/>
    </xf>
    <xf numFmtId="0" fontId="111" fillId="0" borderId="35" xfId="0" applyFont="1" applyBorder="1" applyAlignment="1">
      <alignment horizontal="center"/>
    </xf>
    <xf numFmtId="0" fontId="111" fillId="0" borderId="0" xfId="0" applyFont="1" applyFill="1" applyAlignment="1">
      <alignment horizontal="justify" wrapText="1"/>
    </xf>
    <xf numFmtId="0" fontId="111" fillId="0" borderId="4" xfId="0" applyFont="1" applyFill="1" applyBorder="1" applyAlignment="1">
      <alignment horizontal="center" vertical="center"/>
    </xf>
    <xf numFmtId="0" fontId="111" fillId="0" borderId="10" xfId="0" applyFont="1" applyFill="1" applyBorder="1" applyAlignment="1">
      <alignment horizontal="center" vertical="center"/>
    </xf>
    <xf numFmtId="0" fontId="111" fillId="0" borderId="5" xfId="0" applyFont="1" applyFill="1" applyBorder="1" applyAlignment="1">
      <alignment horizontal="center" vertical="center"/>
    </xf>
    <xf numFmtId="0" fontId="111" fillId="0" borderId="71" xfId="0" applyFont="1" applyBorder="1" applyAlignment="1">
      <alignment horizontal="center" vertical="center" wrapText="1"/>
    </xf>
    <xf numFmtId="0" fontId="111" fillId="0" borderId="70" xfId="0" applyFont="1" applyBorder="1" applyAlignment="1">
      <alignment horizontal="center" vertical="center" wrapText="1"/>
    </xf>
    <xf numFmtId="0" fontId="111" fillId="0" borderId="71" xfId="0" applyFont="1" applyFill="1" applyBorder="1" applyAlignment="1">
      <alignment horizontal="center" vertical="top" wrapText="1"/>
    </xf>
    <xf numFmtId="0" fontId="111" fillId="0" borderId="70" xfId="0" applyFont="1" applyFill="1" applyBorder="1" applyAlignment="1">
      <alignment horizontal="center" vertical="top" wrapText="1"/>
    </xf>
    <xf numFmtId="0" fontId="111" fillId="0" borderId="71" xfId="0" applyFont="1" applyFill="1" applyBorder="1" applyAlignment="1">
      <alignment horizontal="left" wrapText="1"/>
    </xf>
    <xf numFmtId="0" fontId="111" fillId="0" borderId="70" xfId="0" applyFont="1" applyFill="1" applyBorder="1" applyAlignment="1">
      <alignment horizontal="left" wrapText="1"/>
    </xf>
    <xf numFmtId="0" fontId="111" fillId="0" borderId="29" xfId="0" applyFont="1" applyFill="1" applyBorder="1" applyAlignment="1">
      <alignment horizontal="center" wrapText="1"/>
    </xf>
    <xf numFmtId="0" fontId="111" fillId="0" borderId="30" xfId="0" applyFont="1" applyFill="1" applyBorder="1" applyAlignment="1">
      <alignment horizontal="center" wrapText="1"/>
    </xf>
    <xf numFmtId="0" fontId="111" fillId="0" borderId="0" xfId="0" applyFont="1" applyFill="1" applyAlignment="1">
      <alignment horizontal="center" vertical="center" wrapText="1"/>
    </xf>
    <xf numFmtId="0" fontId="112" fillId="0" borderId="71" xfId="0" applyFont="1" applyFill="1" applyBorder="1" applyAlignment="1">
      <alignment horizontal="center" vertical="center" wrapText="1"/>
    </xf>
    <xf numFmtId="0" fontId="112" fillId="0" borderId="72" xfId="0" applyFont="1" applyFill="1" applyBorder="1" applyAlignment="1">
      <alignment horizontal="center" vertical="center" wrapText="1"/>
    </xf>
    <xf numFmtId="0" fontId="112" fillId="0" borderId="70" xfId="0" applyFont="1" applyFill="1" applyBorder="1" applyAlignment="1">
      <alignment horizontal="center" vertical="center" wrapText="1"/>
    </xf>
    <xf numFmtId="0" fontId="111" fillId="0" borderId="10" xfId="0" applyFont="1" applyFill="1" applyBorder="1" applyAlignment="1">
      <alignment horizontal="center" vertical="center" wrapText="1"/>
    </xf>
    <xf numFmtId="0" fontId="112" fillId="0" borderId="0" xfId="0" applyFont="1" applyBorder="1" applyAlignment="1">
      <alignment horizontal="center" vertical="top" wrapText="1"/>
    </xf>
    <xf numFmtId="0" fontId="111" fillId="0" borderId="71" xfId="0" applyFont="1" applyFill="1" applyBorder="1" applyAlignment="1">
      <alignment horizontal="left" vertical="center" wrapText="1"/>
    </xf>
    <xf numFmtId="0" fontId="111" fillId="0" borderId="70" xfId="0" applyFont="1" applyFill="1" applyBorder="1" applyAlignment="1">
      <alignment horizontal="left" vertical="center" wrapText="1"/>
    </xf>
    <xf numFmtId="0" fontId="111" fillId="0" borderId="29" xfId="0" applyFont="1" applyFill="1" applyBorder="1" applyAlignment="1">
      <alignment horizontal="center" vertical="center"/>
    </xf>
    <xf numFmtId="0" fontId="111" fillId="0" borderId="30" xfId="0" applyFont="1" applyFill="1" applyBorder="1" applyAlignment="1">
      <alignment horizontal="center" vertical="center"/>
    </xf>
    <xf numFmtId="0" fontId="111" fillId="0" borderId="11" xfId="0" applyFont="1" applyFill="1" applyBorder="1" applyAlignment="1">
      <alignment horizontal="center" vertical="center"/>
    </xf>
    <xf numFmtId="0" fontId="111" fillId="0" borderId="0" xfId="0" applyFont="1" applyFill="1" applyAlignment="1">
      <alignment horizontal="justify" vertical="center" wrapText="1"/>
    </xf>
    <xf numFmtId="0" fontId="111" fillId="0" borderId="0" xfId="0" applyFont="1" applyFill="1" applyAlignment="1">
      <alignment horizontal="left" wrapText="1"/>
    </xf>
    <xf numFmtId="0" fontId="111" fillId="0" borderId="0" xfId="0" applyFont="1" applyFill="1" applyBorder="1" applyAlignment="1">
      <alignment horizontal="center" vertical="center" wrapText="1"/>
    </xf>
    <xf numFmtId="0" fontId="111" fillId="0" borderId="0" xfId="0" applyFont="1" applyAlignment="1">
      <alignment horizontal="left" wrapText="1"/>
    </xf>
    <xf numFmtId="0" fontId="111" fillId="0" borderId="30" xfId="0" applyFont="1" applyBorder="1" applyAlignment="1">
      <alignment horizontal="left" wrapText="1"/>
    </xf>
    <xf numFmtId="0" fontId="138" fillId="0" borderId="1" xfId="0" applyFont="1" applyBorder="1" applyAlignment="1">
      <alignment horizontal="center" vertical="center" wrapText="1"/>
    </xf>
    <xf numFmtId="0" fontId="138" fillId="0" borderId="1" xfId="0" applyFont="1" applyBorder="1" applyAlignment="1">
      <alignment horizontal="center" vertical="center"/>
    </xf>
    <xf numFmtId="0" fontId="112" fillId="0" borderId="0" xfId="0" applyFont="1" applyAlignment="1">
      <alignment horizontal="center" wrapText="1"/>
    </xf>
    <xf numFmtId="0" fontId="111" fillId="0" borderId="1" xfId="0" applyFont="1" applyBorder="1" applyAlignment="1">
      <alignment horizontal="center" vertical="center"/>
    </xf>
    <xf numFmtId="0" fontId="138" fillId="0" borderId="4" xfId="0" applyFont="1" applyBorder="1" applyAlignment="1">
      <alignment horizontal="center" vertical="center" wrapText="1"/>
    </xf>
    <xf numFmtId="0" fontId="112" fillId="0" borderId="1" xfId="0" applyFont="1" applyFill="1" applyBorder="1" applyAlignment="1">
      <alignment horizontal="center" vertical="center"/>
    </xf>
    <xf numFmtId="0" fontId="8" fillId="32" borderId="0" xfId="0" applyFont="1" applyFill="1" applyBorder="1" applyAlignment="1" applyProtection="1">
      <alignment horizontal="left"/>
      <protection hidden="1"/>
    </xf>
    <xf numFmtId="0" fontId="8" fillId="32" borderId="7" xfId="0" applyFont="1" applyFill="1" applyBorder="1" applyAlignment="1" applyProtection="1">
      <alignment horizontal="left"/>
      <protection hidden="1"/>
    </xf>
    <xf numFmtId="177" fontId="6" fillId="4" borderId="1" xfId="3" applyNumberFormat="1" applyFont="1" applyFill="1" applyBorder="1" applyAlignment="1" applyProtection="1">
      <alignment horizontal="center"/>
      <protection locked="0" hidden="1"/>
    </xf>
    <xf numFmtId="0" fontId="9" fillId="32" borderId="0" xfId="0" applyFont="1" applyFill="1" applyBorder="1" applyAlignment="1" applyProtection="1">
      <alignment horizontal="center"/>
      <protection locked="0" hidden="1"/>
    </xf>
    <xf numFmtId="3" fontId="9" fillId="4" borderId="1" xfId="4" applyNumberFormat="1" applyFont="1" applyFill="1" applyBorder="1" applyAlignment="1" applyProtection="1">
      <alignment horizontal="center"/>
      <protection locked="0" hidden="1"/>
    </xf>
    <xf numFmtId="0" fontId="100" fillId="32" borderId="0" xfId="0" applyFont="1" applyFill="1" applyBorder="1" applyAlignment="1" applyProtection="1">
      <alignment horizontal="left" vertical="top" wrapText="1"/>
      <protection hidden="1"/>
    </xf>
    <xf numFmtId="0" fontId="100" fillId="32" borderId="32" xfId="0" applyFont="1" applyFill="1" applyBorder="1" applyAlignment="1" applyProtection="1">
      <alignment horizontal="left" vertical="top" wrapText="1"/>
      <protection hidden="1"/>
    </xf>
    <xf numFmtId="0" fontId="100" fillId="32" borderId="28" xfId="0" applyFont="1" applyFill="1" applyBorder="1" applyAlignment="1" applyProtection="1">
      <alignment horizontal="left" vertical="top" wrapText="1"/>
      <protection hidden="1"/>
    </xf>
    <xf numFmtId="0" fontId="100" fillId="32" borderId="35" xfId="0" applyFont="1" applyFill="1" applyBorder="1" applyAlignment="1" applyProtection="1">
      <alignment horizontal="left" vertical="top" wrapText="1"/>
      <protection hidden="1"/>
    </xf>
    <xf numFmtId="0" fontId="6" fillId="32" borderId="0" xfId="0" applyFont="1" applyFill="1" applyBorder="1" applyAlignment="1" applyProtection="1">
      <alignment horizontal="right"/>
      <protection hidden="1"/>
    </xf>
    <xf numFmtId="174" fontId="11" fillId="32" borderId="63" xfId="3" applyNumberFormat="1" applyFont="1" applyFill="1" applyBorder="1" applyAlignment="1" applyProtection="1">
      <protection hidden="1"/>
    </xf>
    <xf numFmtId="174" fontId="11" fillId="32" borderId="64" xfId="3" applyNumberFormat="1" applyFont="1" applyFill="1" applyBorder="1" applyAlignment="1" applyProtection="1">
      <protection hidden="1"/>
    </xf>
    <xf numFmtId="174" fontId="11" fillId="32" borderId="65" xfId="3" applyNumberFormat="1" applyFont="1" applyFill="1" applyBorder="1" applyAlignment="1" applyProtection="1">
      <protection hidden="1"/>
    </xf>
    <xf numFmtId="3" fontId="9" fillId="32" borderId="4" xfId="4" applyNumberFormat="1" applyFont="1" applyFill="1" applyBorder="1" applyAlignment="1" applyProtection="1">
      <alignment horizontal="center"/>
      <protection hidden="1"/>
    </xf>
    <xf numFmtId="3" fontId="9" fillId="32" borderId="10" xfId="4" applyNumberFormat="1" applyFont="1" applyFill="1" applyBorder="1" applyAlignment="1" applyProtection="1">
      <alignment horizontal="center"/>
      <protection hidden="1"/>
    </xf>
    <xf numFmtId="3" fontId="9" fillId="32" borderId="5" xfId="4" applyNumberFormat="1" applyFont="1" applyFill="1" applyBorder="1" applyAlignment="1" applyProtection="1">
      <alignment horizontal="center"/>
      <protection hidden="1"/>
    </xf>
    <xf numFmtId="178" fontId="9" fillId="32" borderId="4" xfId="4" applyNumberFormat="1" applyFont="1" applyFill="1" applyBorder="1" applyAlignment="1" applyProtection="1">
      <alignment horizontal="center"/>
      <protection hidden="1"/>
    </xf>
    <xf numFmtId="178" fontId="9" fillId="32" borderId="10" xfId="4" applyNumberFormat="1" applyFont="1" applyFill="1" applyBorder="1" applyAlignment="1" applyProtection="1">
      <alignment horizontal="center"/>
      <protection hidden="1"/>
    </xf>
    <xf numFmtId="178" fontId="9" fillId="32" borderId="5" xfId="4" applyNumberFormat="1" applyFont="1" applyFill="1" applyBorder="1" applyAlignment="1" applyProtection="1">
      <alignment horizontal="center"/>
      <protection hidden="1"/>
    </xf>
    <xf numFmtId="0" fontId="15" fillId="4" borderId="4" xfId="0" applyFont="1" applyFill="1" applyBorder="1" applyAlignment="1" applyProtection="1">
      <alignment horizontal="left"/>
      <protection locked="0"/>
    </xf>
    <xf numFmtId="0" fontId="15" fillId="4" borderId="10" xfId="0" applyFont="1" applyFill="1" applyBorder="1" applyAlignment="1" applyProtection="1">
      <alignment horizontal="left"/>
      <protection locked="0"/>
    </xf>
    <xf numFmtId="0" fontId="15" fillId="4" borderId="5" xfId="0" applyFont="1" applyFill="1" applyBorder="1" applyAlignment="1" applyProtection="1">
      <alignment horizontal="left"/>
      <protection locked="0"/>
    </xf>
    <xf numFmtId="0" fontId="103" fillId="32" borderId="0" xfId="0" applyFont="1" applyFill="1" applyBorder="1" applyAlignment="1" applyProtection="1">
      <alignment horizontal="center"/>
      <protection hidden="1"/>
    </xf>
    <xf numFmtId="0" fontId="8" fillId="4" borderId="29" xfId="0" applyFont="1" applyFill="1" applyBorder="1" applyAlignment="1" applyProtection="1">
      <alignment horizontal="left" vertical="top"/>
      <protection locked="0" hidden="1"/>
    </xf>
    <xf numFmtId="0" fontId="8" fillId="4" borderId="30" xfId="0" applyFont="1" applyFill="1" applyBorder="1" applyAlignment="1" applyProtection="1">
      <alignment horizontal="left" vertical="top"/>
      <protection locked="0" hidden="1"/>
    </xf>
    <xf numFmtId="0" fontId="8" fillId="4" borderId="11" xfId="0" applyFont="1" applyFill="1" applyBorder="1" applyAlignment="1" applyProtection="1">
      <alignment horizontal="left" vertical="top"/>
      <protection locked="0" hidden="1"/>
    </xf>
    <xf numFmtId="0" fontId="8" fillId="4" borderId="31" xfId="0" applyFont="1" applyFill="1" applyBorder="1" applyAlignment="1" applyProtection="1">
      <alignment horizontal="left" vertical="top"/>
      <protection locked="0" hidden="1"/>
    </xf>
    <xf numFmtId="0" fontId="8" fillId="4" borderId="0" xfId="0" applyFont="1" applyFill="1" applyBorder="1" applyAlignment="1" applyProtection="1">
      <alignment horizontal="left" vertical="top"/>
      <protection locked="0" hidden="1"/>
    </xf>
    <xf numFmtId="0" fontId="8" fillId="4" borderId="32" xfId="0" applyFont="1" applyFill="1" applyBorder="1" applyAlignment="1" applyProtection="1">
      <alignment horizontal="left" vertical="top"/>
      <protection locked="0" hidden="1"/>
    </xf>
    <xf numFmtId="0" fontId="8" fillId="4" borderId="34" xfId="0" applyFont="1" applyFill="1" applyBorder="1" applyAlignment="1" applyProtection="1">
      <alignment horizontal="left" vertical="top"/>
      <protection locked="0" hidden="1"/>
    </xf>
    <xf numFmtId="0" fontId="8" fillId="4" borderId="28" xfId="0" applyFont="1" applyFill="1" applyBorder="1" applyAlignment="1" applyProtection="1">
      <alignment horizontal="left" vertical="top"/>
      <protection locked="0" hidden="1"/>
    </xf>
    <xf numFmtId="0" fontId="8" fillId="4" borderId="35" xfId="0" applyFont="1" applyFill="1" applyBorder="1" applyAlignment="1" applyProtection="1">
      <alignment horizontal="left" vertical="top"/>
      <protection locked="0" hidden="1"/>
    </xf>
    <xf numFmtId="0" fontId="15" fillId="32" borderId="0" xfId="0" applyFont="1" applyFill="1" applyBorder="1" applyAlignment="1" applyProtection="1">
      <alignment horizontal="left"/>
      <protection hidden="1"/>
    </xf>
    <xf numFmtId="0" fontId="15" fillId="32" borderId="7" xfId="0" applyFont="1" applyFill="1" applyBorder="1" applyAlignment="1" applyProtection="1">
      <alignment horizontal="left"/>
      <protection hidden="1"/>
    </xf>
    <xf numFmtId="3" fontId="9" fillId="4" borderId="4" xfId="4" applyNumberFormat="1" applyFont="1" applyFill="1" applyBorder="1" applyAlignment="1" applyProtection="1">
      <alignment horizontal="center"/>
      <protection locked="0" hidden="1"/>
    </xf>
    <xf numFmtId="3" fontId="9" fillId="4" borderId="10" xfId="4" applyNumberFormat="1" applyFont="1" applyFill="1" applyBorder="1" applyAlignment="1" applyProtection="1">
      <alignment horizontal="center"/>
      <protection locked="0" hidden="1"/>
    </xf>
    <xf numFmtId="3" fontId="9" fillId="4" borderId="5" xfId="4" applyNumberFormat="1" applyFont="1" applyFill="1" applyBorder="1" applyAlignment="1" applyProtection="1">
      <alignment horizontal="center"/>
      <protection locked="0" hidden="1"/>
    </xf>
    <xf numFmtId="0" fontId="6" fillId="32" borderId="0" xfId="0" applyFont="1" applyFill="1" applyBorder="1" applyAlignment="1" applyProtection="1">
      <alignment horizontal="left"/>
      <protection locked="0" hidden="1"/>
    </xf>
    <xf numFmtId="0" fontId="95" fillId="32" borderId="0" xfId="0" applyFont="1" applyFill="1" applyBorder="1" applyAlignment="1" applyProtection="1">
      <alignment horizontal="left" vertical="top"/>
      <protection locked="0" hidden="1"/>
    </xf>
    <xf numFmtId="215" fontId="6" fillId="32" borderId="28" xfId="0" applyNumberFormat="1" applyFont="1" applyFill="1" applyBorder="1" applyAlignment="1" applyProtection="1">
      <alignment horizontal="left"/>
      <protection hidden="1"/>
    </xf>
    <xf numFmtId="0" fontId="15" fillId="32" borderId="1" xfId="0" applyFont="1" applyFill="1" applyBorder="1" applyAlignment="1" applyProtection="1">
      <alignment horizontal="left" vertical="top" wrapText="1"/>
      <protection hidden="1"/>
    </xf>
    <xf numFmtId="175" fontId="6" fillId="32" borderId="8" xfId="3" applyNumberFormat="1" applyFont="1" applyFill="1" applyBorder="1" applyAlignment="1" applyProtection="1">
      <alignment horizontal="center"/>
      <protection hidden="1"/>
    </xf>
    <xf numFmtId="175" fontId="6" fillId="32" borderId="9" xfId="3" applyNumberFormat="1" applyFont="1" applyFill="1" applyBorder="1" applyAlignment="1" applyProtection="1">
      <alignment horizontal="center"/>
      <protection hidden="1"/>
    </xf>
    <xf numFmtId="0" fontId="15" fillId="4" borderId="26" xfId="3" applyNumberFormat="1" applyFont="1" applyFill="1" applyBorder="1" applyAlignment="1" applyProtection="1">
      <alignment horizontal="center" vertical="center"/>
      <protection hidden="1"/>
    </xf>
    <xf numFmtId="0" fontId="15" fillId="4" borderId="27" xfId="3" applyNumberFormat="1" applyFont="1" applyFill="1" applyBorder="1" applyAlignment="1" applyProtection="1">
      <alignment horizontal="center" vertical="center"/>
      <protection hidden="1"/>
    </xf>
    <xf numFmtId="0" fontId="7" fillId="31" borderId="60" xfId="0" applyFont="1" applyFill="1" applyBorder="1" applyAlignment="1" applyProtection="1">
      <alignment horizontal="center" vertical="center" wrapText="1"/>
      <protection hidden="1"/>
    </xf>
    <xf numFmtId="0" fontId="7" fillId="31" borderId="61" xfId="0" applyFont="1" applyFill="1" applyBorder="1" applyAlignment="1" applyProtection="1">
      <alignment horizontal="center" vertical="center" wrapText="1"/>
      <protection hidden="1"/>
    </xf>
    <xf numFmtId="0" fontId="7" fillId="31" borderId="62" xfId="0" applyFont="1" applyFill="1" applyBorder="1" applyAlignment="1" applyProtection="1">
      <alignment horizontal="center" vertical="center" wrapText="1"/>
      <protection hidden="1"/>
    </xf>
    <xf numFmtId="175" fontId="6" fillId="32" borderId="6" xfId="3" applyNumberFormat="1" applyFont="1" applyFill="1" applyBorder="1" applyAlignment="1" applyProtection="1">
      <alignment horizontal="center"/>
      <protection hidden="1"/>
    </xf>
    <xf numFmtId="0" fontId="0" fillId="32" borderId="0" xfId="0" applyFill="1" applyBorder="1" applyAlignment="1" applyProtection="1">
      <alignment horizontal="center"/>
      <protection hidden="1"/>
    </xf>
    <xf numFmtId="0" fontId="0" fillId="0" borderId="0" xfId="0" applyBorder="1" applyAlignment="1">
      <alignment wrapText="1"/>
    </xf>
    <xf numFmtId="0" fontId="0" fillId="0" borderId="0" xfId="0" applyAlignment="1">
      <alignment wrapText="1"/>
    </xf>
    <xf numFmtId="176" fontId="105" fillId="34" borderId="39" xfId="0" applyNumberFormat="1" applyFont="1" applyFill="1" applyBorder="1" applyAlignment="1">
      <alignment horizontal="center" vertical="center"/>
    </xf>
    <xf numFmtId="176" fontId="105" fillId="34" borderId="40" xfId="0" applyNumberFormat="1" applyFont="1" applyFill="1" applyBorder="1" applyAlignment="1">
      <alignment horizontal="center" vertical="center"/>
    </xf>
    <xf numFmtId="176" fontId="105" fillId="34" borderId="41" xfId="0" applyNumberFormat="1" applyFont="1" applyFill="1" applyBorder="1" applyAlignment="1">
      <alignment horizontal="center" vertical="center"/>
    </xf>
    <xf numFmtId="176" fontId="105" fillId="34" borderId="54" xfId="0" applyNumberFormat="1" applyFont="1" applyFill="1" applyBorder="1" applyAlignment="1">
      <alignment horizontal="center" vertical="center"/>
    </xf>
    <xf numFmtId="176" fontId="105" fillId="34" borderId="55" xfId="0" applyNumberFormat="1" applyFont="1" applyFill="1" applyBorder="1" applyAlignment="1">
      <alignment horizontal="center" vertical="center"/>
    </xf>
    <xf numFmtId="176" fontId="105" fillId="34" borderId="56" xfId="0" applyNumberFormat="1" applyFont="1" applyFill="1" applyBorder="1" applyAlignment="1">
      <alignment horizontal="center" vertical="center"/>
    </xf>
    <xf numFmtId="176" fontId="105" fillId="34" borderId="51" xfId="0" applyNumberFormat="1" applyFont="1" applyFill="1" applyBorder="1" applyAlignment="1">
      <alignment horizontal="center" vertical="center"/>
    </xf>
    <xf numFmtId="176" fontId="105" fillId="34" borderId="37" xfId="0" applyNumberFormat="1" applyFont="1" applyFill="1" applyBorder="1" applyAlignment="1">
      <alignment horizontal="center" vertical="center"/>
    </xf>
    <xf numFmtId="176" fontId="105" fillId="34" borderId="38" xfId="0" applyNumberFormat="1" applyFont="1" applyFill="1" applyBorder="1" applyAlignment="1">
      <alignment horizontal="center" vertical="center"/>
    </xf>
    <xf numFmtId="0" fontId="105" fillId="34" borderId="51" xfId="0" applyFont="1" applyFill="1" applyBorder="1" applyAlignment="1">
      <alignment horizontal="center" vertical="center" wrapText="1"/>
    </xf>
    <xf numFmtId="0" fontId="105" fillId="34" borderId="50" xfId="0" applyFont="1" applyFill="1" applyBorder="1" applyAlignment="1">
      <alignment horizontal="center" vertical="center" wrapText="1"/>
    </xf>
    <xf numFmtId="0" fontId="104" fillId="4" borderId="0" xfId="0" applyFont="1" applyFill="1" applyBorder="1" applyAlignment="1">
      <alignment horizontal="center" vertical="center"/>
    </xf>
  </cellXfs>
  <cellStyles count="428">
    <cellStyle name="_x000d__x000a_JournalTemplate=C:\COMFO\CTALK\JOURSTD.TPL_x000d__x000a_LbStateAddress=3 3 0 251 1 89 2 311_x000d__x000a_LbStateJou" xfId="411" xr:uid="{00000000-0005-0000-0000-000000000000}"/>
    <cellStyle name="_15.03.07 план кредиты на 2007 год (1)" xfId="6" xr:uid="{00000000-0005-0000-0000-000001000000}"/>
    <cellStyle name="_999" xfId="7" xr:uid="{00000000-0005-0000-0000-000002000000}"/>
    <cellStyle name="_999_2pr" xfId="8" xr:uid="{00000000-0005-0000-0000-000003000000}"/>
    <cellStyle name="_999_bln" xfId="9" xr:uid="{00000000-0005-0000-0000-000004000000}"/>
    <cellStyle name="_999_BLNMIX" xfId="10" xr:uid="{00000000-0005-0000-0000-000005000000}"/>
    <cellStyle name="_999_BLNREST" xfId="11" xr:uid="{00000000-0005-0000-0000-000006000000}"/>
    <cellStyle name="_dlq_ruslana_2" xfId="12" xr:uid="{00000000-0005-0000-0000-000007000000}"/>
    <cellStyle name="_fin model IHMZ 16_02_2008" xfId="13" xr:uid="{00000000-0005-0000-0000-000008000000}"/>
    <cellStyle name="_адм бюджет" xfId="14" xr:uid="{00000000-0005-0000-0000-000009000000}"/>
    <cellStyle name="_бюджет Армавирский" xfId="15" xr:uid="{00000000-0005-0000-0000-00000A000000}"/>
    <cellStyle name="_Доплата возврат" xfId="16" xr:uid="{00000000-0005-0000-0000-00000B000000}"/>
    <cellStyle name="_Инфо по Байконысу для АО" xfId="17" xr:uid="{00000000-0005-0000-0000-00000C000000}"/>
    <cellStyle name="_Копия Инфо по доходам на 01 06 07г  (1) (2)" xfId="18" xr:uid="{00000000-0005-0000-0000-00000D000000}"/>
    <cellStyle name="_кредиты домашнее на 02.04.2007г.," xfId="19" xr:uid="{00000000-0005-0000-0000-00000E000000}"/>
    <cellStyle name="_кредиты домашнее на 16.03.2007г.," xfId="20" xr:uid="{00000000-0005-0000-0000-00000F000000}"/>
    <cellStyle name="_Лист в финансовая модель Аслан" xfId="21" xr:uid="{00000000-0005-0000-0000-000010000000}"/>
    <cellStyle name="_опер свод 9" xfId="22" xr:uid="{00000000-0005-0000-0000-000011000000}"/>
    <cellStyle name="_опер.свод.8" xfId="23" xr:uid="{00000000-0005-0000-0000-000012000000}"/>
    <cellStyle name="_продажи" xfId="24" xr:uid="{00000000-0005-0000-0000-000013000000}"/>
    <cellStyle name="_ФЗО АО (1)" xfId="25" xr:uid="{00000000-0005-0000-0000-000014000000}"/>
    <cellStyle name="_финансовая модель Дрожиловка 3" xfId="26" xr:uid="{00000000-0005-0000-0000-000015000000}"/>
    <cellStyle name="=C:\WINNT35\SYSTEM32\COMMAND.COM" xfId="27" xr:uid="{00000000-0005-0000-0000-000016000000}"/>
    <cellStyle name="1 000 K?_laroux" xfId="28" xr:uid="{00000000-0005-0000-0000-000017000000}"/>
    <cellStyle name="1 000 Kc_laroux" xfId="29" xr:uid="{00000000-0005-0000-0000-000018000000}"/>
    <cellStyle name="1 000 Ke_laroux" xfId="30" xr:uid="{00000000-0005-0000-0000-000019000000}"/>
    <cellStyle name="1Normal" xfId="31" xr:uid="{00000000-0005-0000-0000-00001A000000}"/>
    <cellStyle name="20% - Accent1" xfId="32" xr:uid="{00000000-0005-0000-0000-00001B000000}"/>
    <cellStyle name="20% - Accent2" xfId="33" xr:uid="{00000000-0005-0000-0000-00001C000000}"/>
    <cellStyle name="20% - Accent3" xfId="34" xr:uid="{00000000-0005-0000-0000-00001D000000}"/>
    <cellStyle name="20% - Accent4" xfId="35" xr:uid="{00000000-0005-0000-0000-00001E000000}"/>
    <cellStyle name="20% - Accent5" xfId="36" xr:uid="{00000000-0005-0000-0000-00001F000000}"/>
    <cellStyle name="20% - Accent6" xfId="37" xr:uid="{00000000-0005-0000-0000-000020000000}"/>
    <cellStyle name="40% - Accent1" xfId="38" xr:uid="{00000000-0005-0000-0000-000021000000}"/>
    <cellStyle name="40% - Accent2" xfId="39" xr:uid="{00000000-0005-0000-0000-000022000000}"/>
    <cellStyle name="40% - Accent3" xfId="40" xr:uid="{00000000-0005-0000-0000-000023000000}"/>
    <cellStyle name="40% - Accent4" xfId="41" xr:uid="{00000000-0005-0000-0000-000024000000}"/>
    <cellStyle name="40% - Accent5" xfId="42" xr:uid="{00000000-0005-0000-0000-000025000000}"/>
    <cellStyle name="40% - Accent6" xfId="43" xr:uid="{00000000-0005-0000-0000-000026000000}"/>
    <cellStyle name="6-0" xfId="44" xr:uid="{00000000-0005-0000-0000-000027000000}"/>
    <cellStyle name="60% - Accent1" xfId="45" xr:uid="{00000000-0005-0000-0000-000028000000}"/>
    <cellStyle name="60% - Accent2" xfId="46" xr:uid="{00000000-0005-0000-0000-000029000000}"/>
    <cellStyle name="60% - Accent3" xfId="47" xr:uid="{00000000-0005-0000-0000-00002A000000}"/>
    <cellStyle name="60% - Accent4" xfId="48" xr:uid="{00000000-0005-0000-0000-00002B000000}"/>
    <cellStyle name="60% - Accent5" xfId="49" xr:uid="{00000000-0005-0000-0000-00002C000000}"/>
    <cellStyle name="60% - Accent6" xfId="50" xr:uid="{00000000-0005-0000-0000-00002D000000}"/>
    <cellStyle name="Äåíåæíûé_laroux" xfId="51" xr:uid="{00000000-0005-0000-0000-00002E000000}"/>
    <cellStyle name="Accent1" xfId="52" xr:uid="{00000000-0005-0000-0000-00002F000000}"/>
    <cellStyle name="Accent2" xfId="53" xr:uid="{00000000-0005-0000-0000-000030000000}"/>
    <cellStyle name="Accent3" xfId="54" xr:uid="{00000000-0005-0000-0000-000031000000}"/>
    <cellStyle name="Accent4" xfId="55" xr:uid="{00000000-0005-0000-0000-000032000000}"/>
    <cellStyle name="Accent5" xfId="56" xr:uid="{00000000-0005-0000-0000-000033000000}"/>
    <cellStyle name="Accent6" xfId="57" xr:uid="{00000000-0005-0000-0000-000034000000}"/>
    <cellStyle name="alternate" xfId="58" xr:uid="{00000000-0005-0000-0000-000035000000}"/>
    <cellStyle name="Bad" xfId="59" xr:uid="{00000000-0005-0000-0000-000036000000}"/>
    <cellStyle name="Calc Currency (0)" xfId="60" xr:uid="{00000000-0005-0000-0000-000037000000}"/>
    <cellStyle name="Calc Currency (2)" xfId="61" xr:uid="{00000000-0005-0000-0000-000038000000}"/>
    <cellStyle name="Calc Percent (0)" xfId="62" xr:uid="{00000000-0005-0000-0000-000039000000}"/>
    <cellStyle name="Calc Percent (1)" xfId="63" xr:uid="{00000000-0005-0000-0000-00003A000000}"/>
    <cellStyle name="Calc Percent (2)" xfId="64" xr:uid="{00000000-0005-0000-0000-00003B000000}"/>
    <cellStyle name="Calc Units (0)" xfId="65" xr:uid="{00000000-0005-0000-0000-00003C000000}"/>
    <cellStyle name="Calc Units (1)" xfId="66" xr:uid="{00000000-0005-0000-0000-00003D000000}"/>
    <cellStyle name="Calc Units (2)" xfId="67" xr:uid="{00000000-0005-0000-0000-00003E000000}"/>
    <cellStyle name="Calculation" xfId="68" xr:uid="{00000000-0005-0000-0000-00003F000000}"/>
    <cellStyle name="cárky [0]_laroux" xfId="69" xr:uid="{00000000-0005-0000-0000-000040000000}"/>
    <cellStyle name="cárky_laroux" xfId="70" xr:uid="{00000000-0005-0000-0000-000041000000}"/>
    <cellStyle name="Cena" xfId="71" xr:uid="{00000000-0005-0000-0000-000042000000}"/>
    <cellStyle name="Check" xfId="72" xr:uid="{00000000-0005-0000-0000-000043000000}"/>
    <cellStyle name="Check Cell" xfId="73" xr:uid="{00000000-0005-0000-0000-000044000000}"/>
    <cellStyle name="column - Style1" xfId="74" xr:uid="{00000000-0005-0000-0000-000045000000}"/>
    <cellStyle name="Comma [00]" xfId="75" xr:uid="{00000000-0005-0000-0000-000047000000}"/>
    <cellStyle name="Comma 2" xfId="76" xr:uid="{00000000-0005-0000-0000-000048000000}"/>
    <cellStyle name="Comma0" xfId="77" xr:uid="{00000000-0005-0000-0000-00004A000000}"/>
    <cellStyle name="Currency [00]" xfId="78" xr:uid="{00000000-0005-0000-0000-00004C000000}"/>
    <cellStyle name="Date" xfId="79" xr:uid="{00000000-0005-0000-0000-00004E000000}"/>
    <cellStyle name="DateTime" xfId="80" xr:uid="{00000000-0005-0000-0000-00004F000000}"/>
    <cellStyle name="Deviant" xfId="81" xr:uid="{00000000-0005-0000-0000-000050000000}"/>
    <cellStyle name="done" xfId="82" xr:uid="{00000000-0005-0000-0000-000051000000}"/>
    <cellStyle name="Dziesiêtny [0]_1" xfId="83" xr:uid="{00000000-0005-0000-0000-000052000000}"/>
    <cellStyle name="Dziesiêtny_1" xfId="84" xr:uid="{00000000-0005-0000-0000-000053000000}"/>
    <cellStyle name="Euro" xfId="85" xr:uid="{00000000-0005-0000-0000-000054000000}"/>
    <cellStyle name="Explanatory Text" xfId="86" xr:uid="{00000000-0005-0000-0000-000055000000}"/>
    <cellStyle name="Factor" xfId="87" xr:uid="{00000000-0005-0000-0000-000056000000}"/>
    <cellStyle name="Flag" xfId="88" xr:uid="{00000000-0005-0000-0000-000057000000}"/>
    <cellStyle name="Format Number Column" xfId="89" xr:uid="{00000000-0005-0000-0000-000058000000}"/>
    <cellStyle name="From" xfId="90" xr:uid="{00000000-0005-0000-0000-000059000000}"/>
    <cellStyle name="Good" xfId="91" xr:uid="{00000000-0005-0000-0000-00005A000000}"/>
    <cellStyle name="Grey" xfId="92" xr:uid="{00000000-0005-0000-0000-00005B000000}"/>
    <cellStyle name="Header1" xfId="93" xr:uid="{00000000-0005-0000-0000-00005C000000}"/>
    <cellStyle name="Header2" xfId="94" xr:uid="{00000000-0005-0000-0000-00005D000000}"/>
    <cellStyle name="Heading 1" xfId="95" xr:uid="{00000000-0005-0000-0000-00005E000000}"/>
    <cellStyle name="Heading 2" xfId="96" xr:uid="{00000000-0005-0000-0000-00005F000000}"/>
    <cellStyle name="Heading 3" xfId="97" xr:uid="{00000000-0005-0000-0000-000060000000}"/>
    <cellStyle name="Heading 4" xfId="98" xr:uid="{00000000-0005-0000-0000-000061000000}"/>
    <cellStyle name="Hyperlink" xfId="412" xr:uid="{00000000-0005-0000-0000-000062000000}"/>
    <cellStyle name="Iau?iue_Cialnn. cca-ec" xfId="413" xr:uid="{00000000-0005-0000-0000-000063000000}"/>
    <cellStyle name="Îáû÷íûé_MOBI sample" xfId="99" xr:uid="{00000000-0005-0000-0000-000064000000}"/>
    <cellStyle name="Îáű÷íűé_Ńĺáĺńňîčěîńňü" xfId="414" xr:uid="{00000000-0005-0000-0000-000065000000}"/>
    <cellStyle name="Input" xfId="100" xr:uid="{00000000-0005-0000-0000-000066000000}"/>
    <cellStyle name="Input [yellow]" xfId="101" xr:uid="{00000000-0005-0000-0000-000067000000}"/>
    <cellStyle name="Input_%" xfId="102" xr:uid="{00000000-0005-0000-0000-000068000000}"/>
    <cellStyle name="KPMG Heading 1" xfId="103" xr:uid="{00000000-0005-0000-0000-000069000000}"/>
    <cellStyle name="KPMG Heading 2" xfId="104" xr:uid="{00000000-0005-0000-0000-00006A000000}"/>
    <cellStyle name="KPMG Heading 3" xfId="105" xr:uid="{00000000-0005-0000-0000-00006B000000}"/>
    <cellStyle name="KPMG Heading 4" xfId="106" xr:uid="{00000000-0005-0000-0000-00006C000000}"/>
    <cellStyle name="KPMG Normal" xfId="107" xr:uid="{00000000-0005-0000-0000-00006D000000}"/>
    <cellStyle name="KPMG Normal Text" xfId="108" xr:uid="{00000000-0005-0000-0000-00006E000000}"/>
    <cellStyle name="KPMG Normal_Sheet1" xfId="109" xr:uid="{00000000-0005-0000-0000-00006F000000}"/>
    <cellStyle name="Linked Cell" xfId="110" xr:uid="{00000000-0005-0000-0000-000070000000}"/>
    <cellStyle name="MarketRates" xfId="111" xr:uid="{00000000-0005-0000-0000-000071000000}"/>
    <cellStyle name="Milliers [0]_JULY97" xfId="112" xr:uid="{00000000-0005-0000-0000-000072000000}"/>
    <cellStyle name="Milliers_JULY97" xfId="113" xr:uid="{00000000-0005-0000-0000-000073000000}"/>
    <cellStyle name="Monétaire [0]_JULY97" xfId="114" xr:uid="{00000000-0005-0000-0000-000074000000}"/>
    <cellStyle name="Monétaire_JULY97" xfId="115" xr:uid="{00000000-0005-0000-0000-000075000000}"/>
    <cellStyle name="Neutral" xfId="116" xr:uid="{00000000-0005-0000-0000-000076000000}"/>
    <cellStyle name="New" xfId="117" xr:uid="{00000000-0005-0000-0000-000077000000}"/>
    <cellStyle name="Norma11l" xfId="118" xr:uid="{00000000-0005-0000-0000-000078000000}"/>
    <cellStyle name="Normal - Style1" xfId="119" xr:uid="{00000000-0005-0000-0000-000079000000}"/>
    <cellStyle name="Normal 2" xfId="120" xr:uid="{00000000-0005-0000-0000-00007A000000}"/>
    <cellStyle name="normální_Rozvaha - aktiva" xfId="121" xr:uid="{00000000-0005-0000-0000-00007C000000}"/>
    <cellStyle name="Normalny_0" xfId="122" xr:uid="{00000000-0005-0000-0000-00007D000000}"/>
    <cellStyle name="normбlnм_laroux" xfId="123" xr:uid="{00000000-0005-0000-0000-00007E000000}"/>
    <cellStyle name="Note" xfId="124" xr:uid="{00000000-0005-0000-0000-00007F000000}"/>
    <cellStyle name="Nun??c [0]_Nlalnniceinnu" xfId="415" xr:uid="{00000000-0005-0000-0000-000080000000}"/>
    <cellStyle name="Nun??c_Nlalnniceinnu" xfId="416" xr:uid="{00000000-0005-0000-0000-000081000000}"/>
    <cellStyle name="Ňűń˙÷č [0]_Ńĺáĺńňîčěîńňü" xfId="417" xr:uid="{00000000-0005-0000-0000-000082000000}"/>
    <cellStyle name="Ňűń˙÷č_Ńĺáĺńňîčěîńňü" xfId="418" xr:uid="{00000000-0005-0000-0000-000083000000}"/>
    <cellStyle name="Option" xfId="125" xr:uid="{00000000-0005-0000-0000-000084000000}"/>
    <cellStyle name="Output" xfId="126" xr:uid="{00000000-0005-0000-0000-000085000000}"/>
    <cellStyle name="Percent [2]" xfId="127" xr:uid="{00000000-0005-0000-0000-000086000000}"/>
    <cellStyle name="Percent 2" xfId="128" xr:uid="{00000000-0005-0000-0000-000087000000}"/>
    <cellStyle name="Pick Up" xfId="129" xr:uid="{00000000-0005-0000-0000-000089000000}"/>
    <cellStyle name="Price" xfId="130" xr:uid="{00000000-0005-0000-0000-00008A000000}"/>
    <cellStyle name="Range_0_5" xfId="131" xr:uid="{00000000-0005-0000-0000-00008B000000}"/>
    <cellStyle name="Rows - Style2" xfId="132" xr:uid="{00000000-0005-0000-0000-00008C000000}"/>
    <cellStyle name="Seitenüberschrift" xfId="133" xr:uid="{00000000-0005-0000-0000-00008D000000}"/>
    <cellStyle name="Style 1" xfId="134" xr:uid="{00000000-0005-0000-0000-00008E000000}"/>
    <cellStyle name="Style 21" xfId="135" xr:uid="{00000000-0005-0000-0000-00008F000000}"/>
    <cellStyle name="Style 22" xfId="136" xr:uid="{00000000-0005-0000-0000-000090000000}"/>
    <cellStyle name="Style 23" xfId="137" xr:uid="{00000000-0005-0000-0000-000091000000}"/>
    <cellStyle name="Style 24" xfId="138" xr:uid="{00000000-0005-0000-0000-000092000000}"/>
    <cellStyle name="Style 25" xfId="139" xr:uid="{00000000-0005-0000-0000-000093000000}"/>
    <cellStyle name="Style 26" xfId="140" xr:uid="{00000000-0005-0000-0000-000094000000}"/>
    <cellStyle name="Style 27" xfId="141" xr:uid="{00000000-0005-0000-0000-000095000000}"/>
    <cellStyle name="Style 28" xfId="142" xr:uid="{00000000-0005-0000-0000-000096000000}"/>
    <cellStyle name="Style 29" xfId="143" xr:uid="{00000000-0005-0000-0000-000097000000}"/>
    <cellStyle name="Style 30" xfId="144" xr:uid="{00000000-0005-0000-0000-000098000000}"/>
    <cellStyle name="Style 31" xfId="145" xr:uid="{00000000-0005-0000-0000-000099000000}"/>
    <cellStyle name="Style 32" xfId="146" xr:uid="{00000000-0005-0000-0000-00009A000000}"/>
    <cellStyle name="Style 33" xfId="147" xr:uid="{00000000-0005-0000-0000-00009B000000}"/>
    <cellStyle name="Style 34" xfId="148" xr:uid="{00000000-0005-0000-0000-00009C000000}"/>
    <cellStyle name="Style 35" xfId="149" xr:uid="{00000000-0005-0000-0000-00009D000000}"/>
    <cellStyle name="Style 36" xfId="150" xr:uid="{00000000-0005-0000-0000-00009E000000}"/>
    <cellStyle name="STYLE1 - Style1" xfId="151" xr:uid="{00000000-0005-0000-0000-00009F000000}"/>
    <cellStyle name="Text - Style3" xfId="152" xr:uid="{00000000-0005-0000-0000-0000A0000000}"/>
    <cellStyle name="Tickmark" xfId="153" xr:uid="{00000000-0005-0000-0000-0000A1000000}"/>
    <cellStyle name="Time" xfId="154" xr:uid="{00000000-0005-0000-0000-0000A2000000}"/>
    <cellStyle name="Title" xfId="155" xr:uid="{00000000-0005-0000-0000-0000A3000000}"/>
    <cellStyle name="To" xfId="156" xr:uid="{00000000-0005-0000-0000-0000A4000000}"/>
    <cellStyle name="Total" xfId="157" xr:uid="{00000000-0005-0000-0000-0000A5000000}"/>
    <cellStyle name="Unit" xfId="158" xr:uid="{00000000-0005-0000-0000-0000A6000000}"/>
    <cellStyle name="Vars - Style4" xfId="159" xr:uid="{00000000-0005-0000-0000-0000A7000000}"/>
    <cellStyle name="VarsIn - Style5" xfId="160" xr:uid="{00000000-0005-0000-0000-0000A8000000}"/>
    <cellStyle name="Währung [0]_laroux" xfId="161" xr:uid="{00000000-0005-0000-0000-0000A9000000}"/>
    <cellStyle name="Währung_laroux" xfId="162" xr:uid="{00000000-0005-0000-0000-0000AA000000}"/>
    <cellStyle name="Walutowy [0]_1" xfId="163" xr:uid="{00000000-0005-0000-0000-0000AB000000}"/>
    <cellStyle name="Walutowy_1" xfId="164" xr:uid="{00000000-0005-0000-0000-0000AC000000}"/>
    <cellStyle name="Warning Text" xfId="165" xr:uid="{00000000-0005-0000-0000-0000AD000000}"/>
    <cellStyle name="WIP" xfId="166" xr:uid="{00000000-0005-0000-0000-0000AE000000}"/>
    <cellStyle name="Zero" xfId="167" xr:uid="{00000000-0005-0000-0000-0000AF000000}"/>
    <cellStyle name="Баланс ИПК &quot;ШАРК&quot; (в рублях)" xfId="168" xr:uid="{00000000-0005-0000-0000-0000B0000000}"/>
    <cellStyle name="Гиперссылка 2" xfId="169" xr:uid="{00000000-0005-0000-0000-0000B1000000}"/>
    <cellStyle name="Денежный 2" xfId="170" xr:uid="{00000000-0005-0000-0000-0000B2000000}"/>
    <cellStyle name="КАНДАГАЧ тел3-33-96" xfId="219" xr:uid="{00000000-0005-0000-0000-0000B3000000}"/>
    <cellStyle name="КАНДАГАЧ тел3-33-96 2" xfId="419" xr:uid="{00000000-0005-0000-0000-0000B4000000}"/>
    <cellStyle name="КАНДАГАЧ тел3-33-96 2 2" xfId="420" xr:uid="{00000000-0005-0000-0000-0000B5000000}"/>
    <cellStyle name="КАНДАГАЧ тел3-33-96 3" xfId="421" xr:uid="{00000000-0005-0000-0000-0000B6000000}"/>
    <cellStyle name="КАНДАГАЧ тел3-33-96 4" xfId="422" xr:uid="{00000000-0005-0000-0000-0000B7000000}"/>
    <cellStyle name="Обычный" xfId="0" builtinId="0"/>
    <cellStyle name="Обычный 10" xfId="171" xr:uid="{00000000-0005-0000-0000-0000B9000000}"/>
    <cellStyle name="Обычный 10 2" xfId="172" xr:uid="{00000000-0005-0000-0000-0000BA000000}"/>
    <cellStyle name="Обычный 11" xfId="220" xr:uid="{00000000-0005-0000-0000-0000BB000000}"/>
    <cellStyle name="Обычный 11 2" xfId="221" xr:uid="{00000000-0005-0000-0000-0000BC000000}"/>
    <cellStyle name="Обычный 12" xfId="222" xr:uid="{00000000-0005-0000-0000-0000BD000000}"/>
    <cellStyle name="Обычный 12 2" xfId="223" xr:uid="{00000000-0005-0000-0000-0000BE000000}"/>
    <cellStyle name="Обычный 13" xfId="224" xr:uid="{00000000-0005-0000-0000-0000BF000000}"/>
    <cellStyle name="Обычный 13 2" xfId="225" xr:uid="{00000000-0005-0000-0000-0000C0000000}"/>
    <cellStyle name="Обычный 14" xfId="226" xr:uid="{00000000-0005-0000-0000-0000C1000000}"/>
    <cellStyle name="Обычный 14 2" xfId="227" xr:uid="{00000000-0005-0000-0000-0000C2000000}"/>
    <cellStyle name="Обычный 15" xfId="228" xr:uid="{00000000-0005-0000-0000-0000C3000000}"/>
    <cellStyle name="Обычный 15 2" xfId="229" xr:uid="{00000000-0005-0000-0000-0000C4000000}"/>
    <cellStyle name="Обычный 15 3" xfId="230" xr:uid="{00000000-0005-0000-0000-0000C5000000}"/>
    <cellStyle name="Обычный 15 4" xfId="231" xr:uid="{00000000-0005-0000-0000-0000C6000000}"/>
    <cellStyle name="Обычный 15 5" xfId="232" xr:uid="{00000000-0005-0000-0000-0000C7000000}"/>
    <cellStyle name="Обычный 15 6" xfId="233" xr:uid="{00000000-0005-0000-0000-0000C8000000}"/>
    <cellStyle name="Обычный 16" xfId="234" xr:uid="{00000000-0005-0000-0000-0000C9000000}"/>
    <cellStyle name="Обычный 16 2" xfId="235" xr:uid="{00000000-0005-0000-0000-0000CA000000}"/>
    <cellStyle name="Обычный 16 3" xfId="236" xr:uid="{00000000-0005-0000-0000-0000CB000000}"/>
    <cellStyle name="Обычный 16 4" xfId="237" xr:uid="{00000000-0005-0000-0000-0000CC000000}"/>
    <cellStyle name="Обычный 16 5" xfId="238" xr:uid="{00000000-0005-0000-0000-0000CD000000}"/>
    <cellStyle name="Обычный 16 6" xfId="239" xr:uid="{00000000-0005-0000-0000-0000CE000000}"/>
    <cellStyle name="Обычный 17" xfId="240" xr:uid="{00000000-0005-0000-0000-0000CF000000}"/>
    <cellStyle name="Обычный 17 2" xfId="241" xr:uid="{00000000-0005-0000-0000-0000D0000000}"/>
    <cellStyle name="Обычный 17 3" xfId="242" xr:uid="{00000000-0005-0000-0000-0000D1000000}"/>
    <cellStyle name="Обычный 17 4" xfId="243" xr:uid="{00000000-0005-0000-0000-0000D2000000}"/>
    <cellStyle name="Обычный 17 5" xfId="244" xr:uid="{00000000-0005-0000-0000-0000D3000000}"/>
    <cellStyle name="Обычный 17 6" xfId="245" xr:uid="{00000000-0005-0000-0000-0000D4000000}"/>
    <cellStyle name="Обычный 18" xfId="246" xr:uid="{00000000-0005-0000-0000-0000D5000000}"/>
    <cellStyle name="Обычный 19" xfId="247" xr:uid="{00000000-0005-0000-0000-0000D6000000}"/>
    <cellStyle name="Обычный 19 2" xfId="248" xr:uid="{00000000-0005-0000-0000-0000D7000000}"/>
    <cellStyle name="Обычный 19 3" xfId="249" xr:uid="{00000000-0005-0000-0000-0000D8000000}"/>
    <cellStyle name="Обычный 19 4" xfId="250" xr:uid="{00000000-0005-0000-0000-0000D9000000}"/>
    <cellStyle name="Обычный 19 5" xfId="251" xr:uid="{00000000-0005-0000-0000-0000DA000000}"/>
    <cellStyle name="Обычный 19 6" xfId="252" xr:uid="{00000000-0005-0000-0000-0000DB000000}"/>
    <cellStyle name="Обычный 2" xfId="5" xr:uid="{00000000-0005-0000-0000-0000DC000000}"/>
    <cellStyle name="Обычный 2 10" xfId="253" xr:uid="{00000000-0005-0000-0000-0000DD000000}"/>
    <cellStyle name="Обычный 2 11" xfId="254" xr:uid="{00000000-0005-0000-0000-0000DE000000}"/>
    <cellStyle name="Обычный 2 12" xfId="1" xr:uid="{00000000-0005-0000-0000-0000DF000000}"/>
    <cellStyle name="Обычный 2 12 2" xfId="255" xr:uid="{00000000-0005-0000-0000-0000E0000000}"/>
    <cellStyle name="Обычный 2 12 2 2" xfId="256" xr:uid="{00000000-0005-0000-0000-0000E1000000}"/>
    <cellStyle name="Обычный 2 12 2 3" xfId="257" xr:uid="{00000000-0005-0000-0000-0000E2000000}"/>
    <cellStyle name="Обычный 2 12 2 4" xfId="258" xr:uid="{00000000-0005-0000-0000-0000E3000000}"/>
    <cellStyle name="Обычный 2 12 2 5" xfId="259" xr:uid="{00000000-0005-0000-0000-0000E4000000}"/>
    <cellStyle name="Обычный 2 12 2 6" xfId="260" xr:uid="{00000000-0005-0000-0000-0000E5000000}"/>
    <cellStyle name="Обычный 2 12 3" xfId="261" xr:uid="{00000000-0005-0000-0000-0000E6000000}"/>
    <cellStyle name="Обычный 2 12 4" xfId="262" xr:uid="{00000000-0005-0000-0000-0000E7000000}"/>
    <cellStyle name="Обычный 2 12 5" xfId="263" xr:uid="{00000000-0005-0000-0000-0000E8000000}"/>
    <cellStyle name="Обычный 2 12 6" xfId="264" xr:uid="{00000000-0005-0000-0000-0000E9000000}"/>
    <cellStyle name="Обычный 2 13" xfId="265" xr:uid="{00000000-0005-0000-0000-0000EA000000}"/>
    <cellStyle name="Обычный 2 14" xfId="266" xr:uid="{00000000-0005-0000-0000-0000EB000000}"/>
    <cellStyle name="Обычный 2 15" xfId="267" xr:uid="{00000000-0005-0000-0000-0000EC000000}"/>
    <cellStyle name="Обычный 2 16" xfId="268" xr:uid="{00000000-0005-0000-0000-0000ED000000}"/>
    <cellStyle name="Обычный 2 17" xfId="269" xr:uid="{00000000-0005-0000-0000-0000EE000000}"/>
    <cellStyle name="Обычный 2 18" xfId="270" xr:uid="{00000000-0005-0000-0000-0000EF000000}"/>
    <cellStyle name="Обычный 2 19" xfId="271" xr:uid="{00000000-0005-0000-0000-0000F0000000}"/>
    <cellStyle name="Обычный 2 2" xfId="173" xr:uid="{00000000-0005-0000-0000-0000F1000000}"/>
    <cellStyle name="Обычный 2 2 10" xfId="272" xr:uid="{00000000-0005-0000-0000-0000F2000000}"/>
    <cellStyle name="Обычный 2 2 11" xfId="273" xr:uid="{00000000-0005-0000-0000-0000F3000000}"/>
    <cellStyle name="Обычный 2 2 12" xfId="274" xr:uid="{00000000-0005-0000-0000-0000F4000000}"/>
    <cellStyle name="Обычный 2 2 12 2" xfId="275" xr:uid="{00000000-0005-0000-0000-0000F5000000}"/>
    <cellStyle name="Обычный 2 2 12 2 2" xfId="276" xr:uid="{00000000-0005-0000-0000-0000F6000000}"/>
    <cellStyle name="Обычный 2 2 12 2 3" xfId="277" xr:uid="{00000000-0005-0000-0000-0000F7000000}"/>
    <cellStyle name="Обычный 2 2 12 2 4" xfId="278" xr:uid="{00000000-0005-0000-0000-0000F8000000}"/>
    <cellStyle name="Обычный 2 2 12 2 5" xfId="279" xr:uid="{00000000-0005-0000-0000-0000F9000000}"/>
    <cellStyle name="Обычный 2 2 12 2 6" xfId="280" xr:uid="{00000000-0005-0000-0000-0000FA000000}"/>
    <cellStyle name="Обычный 2 2 12 3" xfId="281" xr:uid="{00000000-0005-0000-0000-0000FB000000}"/>
    <cellStyle name="Обычный 2 2 12 4" xfId="282" xr:uid="{00000000-0005-0000-0000-0000FC000000}"/>
    <cellStyle name="Обычный 2 2 12 5" xfId="283" xr:uid="{00000000-0005-0000-0000-0000FD000000}"/>
    <cellStyle name="Обычный 2 2 12 6" xfId="284" xr:uid="{00000000-0005-0000-0000-0000FE000000}"/>
    <cellStyle name="Обычный 2 2 13" xfId="285" xr:uid="{00000000-0005-0000-0000-0000FF000000}"/>
    <cellStyle name="Обычный 2 2 14" xfId="286" xr:uid="{00000000-0005-0000-0000-000000010000}"/>
    <cellStyle name="Обычный 2 2 15" xfId="287" xr:uid="{00000000-0005-0000-0000-000001010000}"/>
    <cellStyle name="Обычный 2 2 16" xfId="288" xr:uid="{00000000-0005-0000-0000-000002010000}"/>
    <cellStyle name="Обычный 2 2 17" xfId="289" xr:uid="{00000000-0005-0000-0000-000003010000}"/>
    <cellStyle name="Обычный 2 2 18" xfId="290" xr:uid="{00000000-0005-0000-0000-000004010000}"/>
    <cellStyle name="Обычный 2 2 2" xfId="174" xr:uid="{00000000-0005-0000-0000-000005010000}"/>
    <cellStyle name="Обычный 2 2 2 2" xfId="291" xr:uid="{00000000-0005-0000-0000-000006010000}"/>
    <cellStyle name="Обычный 2 2 2 2 2" xfId="292" xr:uid="{00000000-0005-0000-0000-000007010000}"/>
    <cellStyle name="Обычный 2 2 2 2 2 2" xfId="293" xr:uid="{00000000-0005-0000-0000-000008010000}"/>
    <cellStyle name="Обычный 2 2 2 2 2 3" xfId="294" xr:uid="{00000000-0005-0000-0000-000009010000}"/>
    <cellStyle name="Обычный 2 2 2 2 2 4" xfId="295" xr:uid="{00000000-0005-0000-0000-00000A010000}"/>
    <cellStyle name="Обычный 2 2 2 2 2 5" xfId="296" xr:uid="{00000000-0005-0000-0000-00000B010000}"/>
    <cellStyle name="Обычный 2 2 2 2 2 6" xfId="297" xr:uid="{00000000-0005-0000-0000-00000C010000}"/>
    <cellStyle name="Обычный 2 2 2 2 3" xfId="298" xr:uid="{00000000-0005-0000-0000-00000D010000}"/>
    <cellStyle name="Обычный 2 2 2 2 4" xfId="299" xr:uid="{00000000-0005-0000-0000-00000E010000}"/>
    <cellStyle name="Обычный 2 2 2 2 5" xfId="300" xr:uid="{00000000-0005-0000-0000-00000F010000}"/>
    <cellStyle name="Обычный 2 2 2 2 6" xfId="301" xr:uid="{00000000-0005-0000-0000-000010010000}"/>
    <cellStyle name="Обычный 2 2 2 3" xfId="302" xr:uid="{00000000-0005-0000-0000-000011010000}"/>
    <cellStyle name="Обычный 2 2 2 4" xfId="303" xr:uid="{00000000-0005-0000-0000-000012010000}"/>
    <cellStyle name="Обычный 2 2 2 5" xfId="304" xr:uid="{00000000-0005-0000-0000-000013010000}"/>
    <cellStyle name="Обычный 2 2 2 6" xfId="305" xr:uid="{00000000-0005-0000-0000-000014010000}"/>
    <cellStyle name="Обычный 2 2 2 7" xfId="306" xr:uid="{00000000-0005-0000-0000-000015010000}"/>
    <cellStyle name="Обычный 2 2 2 8" xfId="307" xr:uid="{00000000-0005-0000-0000-000016010000}"/>
    <cellStyle name="Обычный 2 2 2 9" xfId="308" xr:uid="{00000000-0005-0000-0000-000017010000}"/>
    <cellStyle name="Обычный 2 2 2_Расчеты" xfId="309" xr:uid="{00000000-0005-0000-0000-000018010000}"/>
    <cellStyle name="Обычный 2 2 3" xfId="310" xr:uid="{00000000-0005-0000-0000-000019010000}"/>
    <cellStyle name="Обычный 2 2 4" xfId="311" xr:uid="{00000000-0005-0000-0000-00001A010000}"/>
    <cellStyle name="Обычный 2 2 5" xfId="312" xr:uid="{00000000-0005-0000-0000-00001B010000}"/>
    <cellStyle name="Обычный 2 2 6" xfId="313" xr:uid="{00000000-0005-0000-0000-00001C010000}"/>
    <cellStyle name="Обычный 2 2 7" xfId="314" xr:uid="{00000000-0005-0000-0000-00001D010000}"/>
    <cellStyle name="Обычный 2 2 8" xfId="315" xr:uid="{00000000-0005-0000-0000-00001E010000}"/>
    <cellStyle name="Обычный 2 2 9" xfId="316" xr:uid="{00000000-0005-0000-0000-00001F010000}"/>
    <cellStyle name="Обычный 2 2_Расчеты" xfId="317" xr:uid="{00000000-0005-0000-0000-000020010000}"/>
    <cellStyle name="Обычный 2 20" xfId="318" xr:uid="{00000000-0005-0000-0000-000021010000}"/>
    <cellStyle name="Обычный 2 3" xfId="319" xr:uid="{00000000-0005-0000-0000-000022010000}"/>
    <cellStyle name="Обычный 2 3 2" xfId="320" xr:uid="{00000000-0005-0000-0000-000023010000}"/>
    <cellStyle name="Обычный 2 3 2 2" xfId="321" xr:uid="{00000000-0005-0000-0000-000024010000}"/>
    <cellStyle name="Обычный 2 3 2 2 2" xfId="322" xr:uid="{00000000-0005-0000-0000-000025010000}"/>
    <cellStyle name="Обычный 2 3 2 2 3" xfId="323" xr:uid="{00000000-0005-0000-0000-000026010000}"/>
    <cellStyle name="Обычный 2 3 2 2 4" xfId="324" xr:uid="{00000000-0005-0000-0000-000027010000}"/>
    <cellStyle name="Обычный 2 3 2 2 5" xfId="325" xr:uid="{00000000-0005-0000-0000-000028010000}"/>
    <cellStyle name="Обычный 2 3 2 2 6" xfId="326" xr:uid="{00000000-0005-0000-0000-000029010000}"/>
    <cellStyle name="Обычный 2 3 2 3" xfId="327" xr:uid="{00000000-0005-0000-0000-00002A010000}"/>
    <cellStyle name="Обычный 2 3 2 4" xfId="328" xr:uid="{00000000-0005-0000-0000-00002B010000}"/>
    <cellStyle name="Обычный 2 3 2 5" xfId="329" xr:uid="{00000000-0005-0000-0000-00002C010000}"/>
    <cellStyle name="Обычный 2 3 2 6" xfId="330" xr:uid="{00000000-0005-0000-0000-00002D010000}"/>
    <cellStyle name="Обычный 2 3 3" xfId="331" xr:uid="{00000000-0005-0000-0000-00002E010000}"/>
    <cellStyle name="Обычный 2 3 4" xfId="332" xr:uid="{00000000-0005-0000-0000-00002F010000}"/>
    <cellStyle name="Обычный 2 3 5" xfId="333" xr:uid="{00000000-0005-0000-0000-000030010000}"/>
    <cellStyle name="Обычный 2 3 6" xfId="334" xr:uid="{00000000-0005-0000-0000-000031010000}"/>
    <cellStyle name="Обычный 2 3 7" xfId="335" xr:uid="{00000000-0005-0000-0000-000032010000}"/>
    <cellStyle name="Обычный 2 3 8" xfId="336" xr:uid="{00000000-0005-0000-0000-000033010000}"/>
    <cellStyle name="Обычный 2 3 9" xfId="337" xr:uid="{00000000-0005-0000-0000-000034010000}"/>
    <cellStyle name="Обычный 2 4" xfId="338" xr:uid="{00000000-0005-0000-0000-000035010000}"/>
    <cellStyle name="Обычный 2 5" xfId="339" xr:uid="{00000000-0005-0000-0000-000036010000}"/>
    <cellStyle name="Обычный 2 6" xfId="340" xr:uid="{00000000-0005-0000-0000-000037010000}"/>
    <cellStyle name="Обычный 2 7" xfId="341" xr:uid="{00000000-0005-0000-0000-000038010000}"/>
    <cellStyle name="Обычный 2 8" xfId="342" xr:uid="{00000000-0005-0000-0000-000039010000}"/>
    <cellStyle name="Обычный 2 9" xfId="175" xr:uid="{00000000-0005-0000-0000-00003A010000}"/>
    <cellStyle name="Обычный 20" xfId="343" xr:uid="{00000000-0005-0000-0000-00003B010000}"/>
    <cellStyle name="Обычный 20 2" xfId="344" xr:uid="{00000000-0005-0000-0000-00003C010000}"/>
    <cellStyle name="Обычный 21" xfId="345" xr:uid="{00000000-0005-0000-0000-00003D010000}"/>
    <cellStyle name="Обычный 21 2" xfId="346" xr:uid="{00000000-0005-0000-0000-00003E010000}"/>
    <cellStyle name="Обычный 21 3" xfId="347" xr:uid="{00000000-0005-0000-0000-00003F010000}"/>
    <cellStyle name="Обычный 21 4" xfId="348" xr:uid="{00000000-0005-0000-0000-000040010000}"/>
    <cellStyle name="Обычный 21 5" xfId="349" xr:uid="{00000000-0005-0000-0000-000041010000}"/>
    <cellStyle name="Обычный 21 6" xfId="350" xr:uid="{00000000-0005-0000-0000-000042010000}"/>
    <cellStyle name="Обычный 22" xfId="351" xr:uid="{00000000-0005-0000-0000-000043010000}"/>
    <cellStyle name="Обычный 23" xfId="352" xr:uid="{00000000-0005-0000-0000-000044010000}"/>
    <cellStyle name="Обычный 24" xfId="353" xr:uid="{00000000-0005-0000-0000-000045010000}"/>
    <cellStyle name="Обычный 24 2" xfId="354" xr:uid="{00000000-0005-0000-0000-000046010000}"/>
    <cellStyle name="Обычный 24 3" xfId="355" xr:uid="{00000000-0005-0000-0000-000047010000}"/>
    <cellStyle name="Обычный 24 4" xfId="356" xr:uid="{00000000-0005-0000-0000-000048010000}"/>
    <cellStyle name="Обычный 24 5" xfId="357" xr:uid="{00000000-0005-0000-0000-000049010000}"/>
    <cellStyle name="Обычный 24 6" xfId="358" xr:uid="{00000000-0005-0000-0000-00004A010000}"/>
    <cellStyle name="Обычный 25" xfId="359" xr:uid="{00000000-0005-0000-0000-00004B010000}"/>
    <cellStyle name="Обычный 26" xfId="360" xr:uid="{00000000-0005-0000-0000-00004C010000}"/>
    <cellStyle name="Обычный 27" xfId="361" xr:uid="{00000000-0005-0000-0000-00004D010000}"/>
    <cellStyle name="Обычный 28" xfId="362" xr:uid="{00000000-0005-0000-0000-00004E010000}"/>
    <cellStyle name="Обычный 29" xfId="363" xr:uid="{00000000-0005-0000-0000-00004F010000}"/>
    <cellStyle name="Обычный 3" xfId="176" xr:uid="{00000000-0005-0000-0000-000050010000}"/>
    <cellStyle name="Обычный 3 2" xfId="177" xr:uid="{00000000-0005-0000-0000-000051010000}"/>
    <cellStyle name="Обычный 3 2 10" xfId="364" xr:uid="{00000000-0005-0000-0000-000052010000}"/>
    <cellStyle name="Обычный 3 3" xfId="365" xr:uid="{00000000-0005-0000-0000-000053010000}"/>
    <cellStyle name="Обычный 3 8" xfId="366" xr:uid="{00000000-0005-0000-0000-000054010000}"/>
    <cellStyle name="Обычный 30" xfId="367" xr:uid="{00000000-0005-0000-0000-000055010000}"/>
    <cellStyle name="Обычный 31" xfId="368" xr:uid="{00000000-0005-0000-0000-000056010000}"/>
    <cellStyle name="Обычный 32" xfId="369" xr:uid="{00000000-0005-0000-0000-000057010000}"/>
    <cellStyle name="Обычный 33" xfId="409" xr:uid="{00000000-0005-0000-0000-000058010000}"/>
    <cellStyle name="Обычный 34" xfId="426" xr:uid="{00000000-0005-0000-0000-000059010000}"/>
    <cellStyle name="Обычный 35" xfId="427" xr:uid="{00000000-0005-0000-0000-00005A010000}"/>
    <cellStyle name="Обычный 4" xfId="178" xr:uid="{00000000-0005-0000-0000-00005B010000}"/>
    <cellStyle name="Обычный 4 10" xfId="370" xr:uid="{00000000-0005-0000-0000-00005C010000}"/>
    <cellStyle name="Обычный 4 2" xfId="371" xr:uid="{00000000-0005-0000-0000-00005D010000}"/>
    <cellStyle name="Обычный 4 3" xfId="372" xr:uid="{00000000-0005-0000-0000-00005E010000}"/>
    <cellStyle name="Обычный 4 4" xfId="373" xr:uid="{00000000-0005-0000-0000-00005F010000}"/>
    <cellStyle name="Обычный 4 5" xfId="374" xr:uid="{00000000-0005-0000-0000-000060010000}"/>
    <cellStyle name="Обычный 4 6" xfId="375" xr:uid="{00000000-0005-0000-0000-000061010000}"/>
    <cellStyle name="Обычный 4 7" xfId="376" xr:uid="{00000000-0005-0000-0000-000062010000}"/>
    <cellStyle name="Обычный 4 8" xfId="377" xr:uid="{00000000-0005-0000-0000-000063010000}"/>
    <cellStyle name="Обычный 4 9" xfId="378" xr:uid="{00000000-0005-0000-0000-000064010000}"/>
    <cellStyle name="Обычный 5" xfId="179" xr:uid="{00000000-0005-0000-0000-000065010000}"/>
    <cellStyle name="Обычный 5 2" xfId="379" xr:uid="{00000000-0005-0000-0000-000066010000}"/>
    <cellStyle name="Обычный 5 6" xfId="380" xr:uid="{00000000-0005-0000-0000-000067010000}"/>
    <cellStyle name="Обычный 6" xfId="180" xr:uid="{00000000-0005-0000-0000-000068010000}"/>
    <cellStyle name="Обычный 6 2" xfId="381" xr:uid="{00000000-0005-0000-0000-000069010000}"/>
    <cellStyle name="Обычный 6 7" xfId="382" xr:uid="{00000000-0005-0000-0000-00006A010000}"/>
    <cellStyle name="Обычный 7" xfId="181" xr:uid="{00000000-0005-0000-0000-00006B010000}"/>
    <cellStyle name="Обычный 7 2" xfId="383" xr:uid="{00000000-0005-0000-0000-00006C010000}"/>
    <cellStyle name="Обычный 7 6" xfId="384" xr:uid="{00000000-0005-0000-0000-00006D010000}"/>
    <cellStyle name="Обычный 8" xfId="182" xr:uid="{00000000-0005-0000-0000-00006E010000}"/>
    <cellStyle name="Обычный 8 2" xfId="183" xr:uid="{00000000-0005-0000-0000-00006F010000}"/>
    <cellStyle name="Обычный 8 5" xfId="385" xr:uid="{00000000-0005-0000-0000-000070010000}"/>
    <cellStyle name="Обычный 9" xfId="184" xr:uid="{00000000-0005-0000-0000-000071010000}"/>
    <cellStyle name="Обычный 9 2" xfId="386" xr:uid="{00000000-0005-0000-0000-000072010000}"/>
    <cellStyle name="Обычный 9 4" xfId="387" xr:uid="{00000000-0005-0000-0000-000073010000}"/>
    <cellStyle name="Обычный_зерновые 1" xfId="424" xr:uid="{00000000-0005-0000-0000-000074010000}"/>
    <cellStyle name="Процентный" xfId="4" builtinId="5"/>
    <cellStyle name="Процентный 10" xfId="388" xr:uid="{00000000-0005-0000-0000-000076010000}"/>
    <cellStyle name="Процентный 11" xfId="423" xr:uid="{00000000-0005-0000-0000-000077010000}"/>
    <cellStyle name="Процентный 2" xfId="185" xr:uid="{00000000-0005-0000-0000-000078010000}"/>
    <cellStyle name="Процентный 2 2" xfId="2" xr:uid="{00000000-0005-0000-0000-000079010000}"/>
    <cellStyle name="Процентный 2 2 2" xfId="186" xr:uid="{00000000-0005-0000-0000-00007A010000}"/>
    <cellStyle name="Процентный 2 3" xfId="218" xr:uid="{00000000-0005-0000-0000-00007B010000}"/>
    <cellStyle name="Процентный 3" xfId="187" xr:uid="{00000000-0005-0000-0000-00007C010000}"/>
    <cellStyle name="Процентный 4" xfId="188" xr:uid="{00000000-0005-0000-0000-00007D010000}"/>
    <cellStyle name="Процентный 4 2" xfId="389" xr:uid="{00000000-0005-0000-0000-00007E010000}"/>
    <cellStyle name="Процентный 5" xfId="189" xr:uid="{00000000-0005-0000-0000-00007F010000}"/>
    <cellStyle name="Процентный 6" xfId="390" xr:uid="{00000000-0005-0000-0000-000080010000}"/>
    <cellStyle name="Процентный 7" xfId="391" xr:uid="{00000000-0005-0000-0000-000081010000}"/>
    <cellStyle name="Процентный 8" xfId="392" xr:uid="{00000000-0005-0000-0000-000082010000}"/>
    <cellStyle name="Процентный 8 2" xfId="393" xr:uid="{00000000-0005-0000-0000-000083010000}"/>
    <cellStyle name="Процентный 9" xfId="394" xr:uid="{00000000-0005-0000-0000-000084010000}"/>
    <cellStyle name="Стиль 1" xfId="190" xr:uid="{00000000-0005-0000-0000-000085010000}"/>
    <cellStyle name="Тысячи [0]" xfId="395" xr:uid="{00000000-0005-0000-0000-000086010000}"/>
    <cellStyle name="Тысячи_010SN05" xfId="191" xr:uid="{00000000-0005-0000-0000-000087010000}"/>
    <cellStyle name="Финансовый" xfId="3" builtinId="3"/>
    <cellStyle name="Финансовый [0] 2" xfId="192" xr:uid="{00000000-0005-0000-0000-000089010000}"/>
    <cellStyle name="Финансовый [0] 3" xfId="193" xr:uid="{00000000-0005-0000-0000-00008A010000}"/>
    <cellStyle name="Финансовый 10" xfId="194" xr:uid="{00000000-0005-0000-0000-00008B010000}"/>
    <cellStyle name="Финансовый 11" xfId="195" xr:uid="{00000000-0005-0000-0000-00008C010000}"/>
    <cellStyle name="Финансовый 12" xfId="196" xr:uid="{00000000-0005-0000-0000-00008D010000}"/>
    <cellStyle name="Финансовый 13" xfId="197" xr:uid="{00000000-0005-0000-0000-00008E010000}"/>
    <cellStyle name="Финансовый 14" xfId="198" xr:uid="{00000000-0005-0000-0000-00008F010000}"/>
    <cellStyle name="Финансовый 15" xfId="396" xr:uid="{00000000-0005-0000-0000-000090010000}"/>
    <cellStyle name="Финансовый 16" xfId="199" xr:uid="{00000000-0005-0000-0000-000091010000}"/>
    <cellStyle name="Финансовый 16 2" xfId="200" xr:uid="{00000000-0005-0000-0000-000092010000}"/>
    <cellStyle name="Финансовый 17" xfId="397" xr:uid="{00000000-0005-0000-0000-000093010000}"/>
    <cellStyle name="Финансовый 18" xfId="398" xr:uid="{00000000-0005-0000-0000-000094010000}"/>
    <cellStyle name="Финансовый 19" xfId="399" xr:uid="{00000000-0005-0000-0000-000095010000}"/>
    <cellStyle name="Финансовый 2" xfId="201" xr:uid="{00000000-0005-0000-0000-000096010000}"/>
    <cellStyle name="Финансовый 2 2" xfId="202" xr:uid="{00000000-0005-0000-0000-000097010000}"/>
    <cellStyle name="Финансовый 2 2 2" xfId="400" xr:uid="{00000000-0005-0000-0000-000098010000}"/>
    <cellStyle name="Финансовый 2 3" xfId="401" xr:uid="{00000000-0005-0000-0000-000099010000}"/>
    <cellStyle name="Финансовый 2 3 2" xfId="203" xr:uid="{00000000-0005-0000-0000-00009A010000}"/>
    <cellStyle name="Финансовый 20" xfId="204" xr:uid="{00000000-0005-0000-0000-00009B010000}"/>
    <cellStyle name="Финансовый 21" xfId="410" xr:uid="{00000000-0005-0000-0000-00009C010000}"/>
    <cellStyle name="Финансовый 22" xfId="425" xr:uid="{00000000-0005-0000-0000-00009D010000}"/>
    <cellStyle name="Финансовый 3" xfId="205" xr:uid="{00000000-0005-0000-0000-00009E010000}"/>
    <cellStyle name="Финансовый 3 2" xfId="402" xr:uid="{00000000-0005-0000-0000-00009F010000}"/>
    <cellStyle name="Финансовый 3 3" xfId="403" xr:uid="{00000000-0005-0000-0000-0000A0010000}"/>
    <cellStyle name="Финансовый 4" xfId="206" xr:uid="{00000000-0005-0000-0000-0000A1010000}"/>
    <cellStyle name="Финансовый 4 2" xfId="404" xr:uid="{00000000-0005-0000-0000-0000A2010000}"/>
    <cellStyle name="Финансовый 5" xfId="207" xr:uid="{00000000-0005-0000-0000-0000A3010000}"/>
    <cellStyle name="Финансовый 5 2" xfId="405" xr:uid="{00000000-0005-0000-0000-0000A4010000}"/>
    <cellStyle name="Финансовый 6" xfId="208" xr:uid="{00000000-0005-0000-0000-0000A5010000}"/>
    <cellStyle name="Финансовый 6 2" xfId="406" xr:uid="{00000000-0005-0000-0000-0000A6010000}"/>
    <cellStyle name="Финансовый 7" xfId="209" xr:uid="{00000000-0005-0000-0000-0000A7010000}"/>
    <cellStyle name="Финансовый 7 2" xfId="210" xr:uid="{00000000-0005-0000-0000-0000A8010000}"/>
    <cellStyle name="Финансовый 8" xfId="211" xr:uid="{00000000-0005-0000-0000-0000A9010000}"/>
    <cellStyle name="Финансовый 8 2" xfId="407" xr:uid="{00000000-0005-0000-0000-0000AA010000}"/>
    <cellStyle name="Финансовый 9" xfId="212" xr:uid="{00000000-0005-0000-0000-0000AB010000}"/>
    <cellStyle name="Финансовый 9 2" xfId="408" xr:uid="{00000000-0005-0000-0000-0000AC010000}"/>
    <cellStyle name="桁区切り [0.00]_PERSONAL" xfId="213" xr:uid="{00000000-0005-0000-0000-0000AD010000}"/>
    <cellStyle name="桁区切り_PERSONAL" xfId="214" xr:uid="{00000000-0005-0000-0000-0000AE010000}"/>
    <cellStyle name="標準_PERSONAL" xfId="215" xr:uid="{00000000-0005-0000-0000-0000AF010000}"/>
    <cellStyle name="通貨 [0.00]_PERSONAL" xfId="216" xr:uid="{00000000-0005-0000-0000-0000B0010000}"/>
    <cellStyle name="通貨_PERSONAL" xfId="217" xr:uid="{00000000-0005-0000-0000-0000B1010000}"/>
  </cellStyles>
  <dxfs count="17">
    <dxf>
      <font>
        <color theme="8" tint="0.79998168889431442"/>
      </font>
    </dxf>
    <dxf>
      <font>
        <color rgb="FFB7F5FB"/>
      </font>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s>
</file>

<file path=xl/ctrlProps/ctrlProp1.xml><?xml version="1.0" encoding="utf-8"?>
<formControlPr xmlns="http://schemas.microsoft.com/office/spreadsheetml/2009/9/main" objectType="Drop" dropLines="14" dropStyle="combo" dx="15" fmlaLink="$D$9" fmlaRange="'Справочник районов'!$B$2:$B$15" noThreeD="1" sel="0" val="0"/>
</file>

<file path=xl/ctrlProps/ctrlProp10.xml><?xml version="1.0" encoding="utf-8"?>
<formControlPr xmlns="http://schemas.microsoft.com/office/spreadsheetml/2009/9/main" objectType="Drop" dropLines="27" dropStyle="combo" dx="15" fmlaLink="$I$30" fmlaRange="'Справочник районов'!#REF!" noThreeD="1" sel="0" val="0"/>
</file>

<file path=xl/ctrlProps/ctrlProp11.xml><?xml version="1.0" encoding="utf-8"?>
<formControlPr xmlns="http://schemas.microsoft.com/office/spreadsheetml/2009/9/main" objectType="Drop" dropLines="27" dropStyle="combo" dx="15" fmlaLink="$I$32" fmlaRange="'Справочник районов'!#REF!" noThreeD="1" sel="0" val="0"/>
</file>

<file path=xl/ctrlProps/ctrlProp12.xml><?xml version="1.0" encoding="utf-8"?>
<formControlPr xmlns="http://schemas.microsoft.com/office/spreadsheetml/2009/9/main" objectType="Drop" dropLines="27" dropStyle="combo" dx="15" fmlaLink="$I$34" fmlaRange="'Справочник районов'!#REF!" noThreeD="1" sel="0" val="0"/>
</file>

<file path=xl/ctrlProps/ctrlProp13.xml><?xml version="1.0" encoding="utf-8"?>
<formControlPr xmlns="http://schemas.microsoft.com/office/spreadsheetml/2009/9/main" objectType="Drop" dropLines="27" dropStyle="combo" dx="15" fmlaLink="$I$36" fmlaRange="'Справочник районов'!#REF!" noThreeD="1" sel="0" val="0"/>
</file>

<file path=xl/ctrlProps/ctrlProp14.xml><?xml version="1.0" encoding="utf-8"?>
<formControlPr xmlns="http://schemas.microsoft.com/office/spreadsheetml/2009/9/main" objectType="Drop" dropLines="27" dropStyle="combo" dx="15" fmlaLink="$I$38" fmlaRange="'Справочник районов'!#REF!" noThreeD="1" sel="0" val="0"/>
</file>

<file path=xl/ctrlProps/ctrlProp2.xml><?xml version="1.0" encoding="utf-8"?>
<formControlPr xmlns="http://schemas.microsoft.com/office/spreadsheetml/2009/9/main" objectType="Drop" dropLines="14" dropStyle="combo" dx="15" fmlaLink="$D$7" fmlaRange="'Справочник районов'!$B$2:$B$15" noThreeD="1" sel="1" val="0"/>
</file>

<file path=xl/ctrlProps/ctrlProp3.xml><?xml version="1.0" encoding="utf-8"?>
<formControlPr xmlns="http://schemas.microsoft.com/office/spreadsheetml/2009/9/main" objectType="Drop" dropLines="20" dropStyle="combo" dx="15" fmlaLink="$D$9" fmlaRange="'Справочник районов'!$B$18:$B$37" noThreeD="1" sel="3" val="0"/>
</file>

<file path=xl/ctrlProps/ctrlProp4.xml><?xml version="1.0" encoding="utf-8"?>
<formControlPr xmlns="http://schemas.microsoft.com/office/spreadsheetml/2009/9/main" objectType="Drop" dropLines="5" dropStyle="combo" dx="15" fmlaLink="$D$11" fmlaRange="'Доходы раст-во (для сведения)'!$B$15:$B$20" noThreeD="1" sel="2" val="0"/>
</file>

<file path=xl/ctrlProps/ctrlProp5.xml><?xml version="1.0" encoding="utf-8"?>
<formControlPr xmlns="http://schemas.microsoft.com/office/spreadsheetml/2009/9/main" objectType="Drop" dropLines="27" dropStyle="combo" dx="15" fmlaLink="$I$20" fmlaRange="'Справочник районов'!#REF!" noThreeD="1" sel="0" val="0"/>
</file>

<file path=xl/ctrlProps/ctrlProp6.xml><?xml version="1.0" encoding="utf-8"?>
<formControlPr xmlns="http://schemas.microsoft.com/office/spreadsheetml/2009/9/main" objectType="Drop" dropLines="27" dropStyle="combo" dx="15" fmlaLink="$I$22" fmlaRange="'Справочник районов'!#REF!" noThreeD="1" sel="0" val="0"/>
</file>

<file path=xl/ctrlProps/ctrlProp7.xml><?xml version="1.0" encoding="utf-8"?>
<formControlPr xmlns="http://schemas.microsoft.com/office/spreadsheetml/2009/9/main" objectType="Drop" dropLines="27" dropStyle="combo" dx="15" fmlaLink="$I$24" fmlaRange="'Справочник районов'!#REF!" noThreeD="1" sel="0" val="0"/>
</file>

<file path=xl/ctrlProps/ctrlProp8.xml><?xml version="1.0" encoding="utf-8"?>
<formControlPr xmlns="http://schemas.microsoft.com/office/spreadsheetml/2009/9/main" objectType="Drop" dropLines="27" dropStyle="combo" dx="15" fmlaLink="$I$26" fmlaRange="'Справочник районов'!#REF!" noThreeD="1" sel="0" val="0"/>
</file>

<file path=xl/ctrlProps/ctrlProp9.xml><?xml version="1.0" encoding="utf-8"?>
<formControlPr xmlns="http://schemas.microsoft.com/office/spreadsheetml/2009/9/main" objectType="Drop" dropLines="27" dropStyle="combo" dx="15" fmlaLink="$I$28" fmlaRange="'Справочник районов'!#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7</xdr:row>
          <xdr:rowOff>182880</xdr:rowOff>
        </xdr:from>
        <xdr:to>
          <xdr:col>5</xdr:col>
          <xdr:colOff>381000</xdr:colOff>
          <xdr:row>8</xdr:row>
          <xdr:rowOff>297180</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0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1</xdr:colOff>
      <xdr:row>2</xdr:row>
      <xdr:rowOff>0</xdr:rowOff>
    </xdr:from>
    <xdr:to>
      <xdr:col>3</xdr:col>
      <xdr:colOff>317319</xdr:colOff>
      <xdr:row>3</xdr:row>
      <xdr:rowOff>74340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235928" y="334537"/>
          <a:ext cx="2536902" cy="250901"/>
        </a:xfrm>
        <a:prstGeom prst="rect">
          <a:avLst/>
        </a:prstGeom>
        <a:scene3d>
          <a:camera prst="orthographicFront"/>
          <a:lightRig rig="threePt" dir="t"/>
        </a:scene3d>
        <a:sp3d prstMaterial="dkEdge"/>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190500</xdr:rowOff>
        </xdr:from>
        <xdr:to>
          <xdr:col>6</xdr:col>
          <xdr:colOff>746760</xdr:colOff>
          <xdr:row>7</xdr:row>
          <xdr:rowOff>38100</xdr:rowOff>
        </xdr:to>
        <xdr:sp macro="" textlink="">
          <xdr:nvSpPr>
            <xdr:cNvPr id="14341" name="Drop Down 5" hidden="1">
              <a:extLst>
                <a:ext uri="{63B3BB69-23CF-44E3-9099-C40C66FF867C}">
                  <a14:compatExt spid="_x0000_s14341"/>
                </a:ext>
                <a:ext uri="{FF2B5EF4-FFF2-40B4-BE49-F238E27FC236}">
                  <a16:creationId xmlns:a16="http://schemas.microsoft.com/office/drawing/2014/main" id="{00000000-0008-0000-08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213360</xdr:rowOff>
        </xdr:from>
        <xdr:to>
          <xdr:col>6</xdr:col>
          <xdr:colOff>731520</xdr:colOff>
          <xdr:row>9</xdr:row>
          <xdr:rowOff>60960</xdr:rowOff>
        </xdr:to>
        <xdr:sp macro="" textlink="">
          <xdr:nvSpPr>
            <xdr:cNvPr id="14342" name="Drop Down 6" hidden="1">
              <a:extLst>
                <a:ext uri="{63B3BB69-23CF-44E3-9099-C40C66FF867C}">
                  <a14:compatExt spid="_x0000_s14342"/>
                </a:ext>
                <a:ext uri="{FF2B5EF4-FFF2-40B4-BE49-F238E27FC236}">
                  <a16:creationId xmlns:a16="http://schemas.microsoft.com/office/drawing/2014/main" id="{00000000-0008-0000-0800-00000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2</xdr:col>
      <xdr:colOff>0</xdr:colOff>
      <xdr:row>2</xdr:row>
      <xdr:rowOff>0</xdr:rowOff>
    </xdr:from>
    <xdr:to>
      <xdr:col>3</xdr:col>
      <xdr:colOff>195304</xdr:colOff>
      <xdr:row>3</xdr:row>
      <xdr:rowOff>56030</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829235" y="347382"/>
          <a:ext cx="2324422" cy="246530"/>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7620</xdr:rowOff>
        </xdr:from>
        <xdr:to>
          <xdr:col>6</xdr:col>
          <xdr:colOff>731520</xdr:colOff>
          <xdr:row>11</xdr:row>
          <xdr:rowOff>76200</xdr:rowOff>
        </xdr:to>
        <xdr:sp macro="" textlink="">
          <xdr:nvSpPr>
            <xdr:cNvPr id="14354" name="Drop Down 18" hidden="1">
              <a:extLst>
                <a:ext uri="{63B3BB69-23CF-44E3-9099-C40C66FF867C}">
                  <a14:compatExt spid="_x0000_s14354"/>
                </a:ext>
                <a:ext uri="{FF2B5EF4-FFF2-40B4-BE49-F238E27FC236}">
                  <a16:creationId xmlns:a16="http://schemas.microsoft.com/office/drawing/2014/main" id="{00000000-0008-0000-0800-00001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18</xdr:row>
          <xdr:rowOff>144780</xdr:rowOff>
        </xdr:from>
        <xdr:to>
          <xdr:col>8</xdr:col>
          <xdr:colOff>982980</xdr:colOff>
          <xdr:row>20</xdr:row>
          <xdr:rowOff>7620</xdr:rowOff>
        </xdr:to>
        <xdr:sp macro="" textlink="">
          <xdr:nvSpPr>
            <xdr:cNvPr id="14355" name="Drop Down 19" hidden="1">
              <a:extLst>
                <a:ext uri="{63B3BB69-23CF-44E3-9099-C40C66FF867C}">
                  <a14:compatExt spid="_x0000_s14355"/>
                </a:ext>
                <a:ext uri="{FF2B5EF4-FFF2-40B4-BE49-F238E27FC236}">
                  <a16:creationId xmlns:a16="http://schemas.microsoft.com/office/drawing/2014/main" id="{00000000-0008-0000-0800-00001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21</xdr:row>
          <xdr:rowOff>0</xdr:rowOff>
        </xdr:from>
        <xdr:to>
          <xdr:col>8</xdr:col>
          <xdr:colOff>975360</xdr:colOff>
          <xdr:row>22</xdr:row>
          <xdr:rowOff>22860</xdr:rowOff>
        </xdr:to>
        <xdr:sp macro="" textlink="">
          <xdr:nvSpPr>
            <xdr:cNvPr id="14358" name="Drop Down 22" hidden="1">
              <a:extLst>
                <a:ext uri="{63B3BB69-23CF-44E3-9099-C40C66FF867C}">
                  <a14:compatExt spid="_x0000_s14358"/>
                </a:ext>
                <a:ext uri="{FF2B5EF4-FFF2-40B4-BE49-F238E27FC236}">
                  <a16:creationId xmlns:a16="http://schemas.microsoft.com/office/drawing/2014/main" id="{00000000-0008-0000-0800-00001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23</xdr:row>
          <xdr:rowOff>0</xdr:rowOff>
        </xdr:from>
        <xdr:to>
          <xdr:col>8</xdr:col>
          <xdr:colOff>975360</xdr:colOff>
          <xdr:row>24</xdr:row>
          <xdr:rowOff>22860</xdr:rowOff>
        </xdr:to>
        <xdr:sp macro="" textlink="">
          <xdr:nvSpPr>
            <xdr:cNvPr id="14359" name="Drop Down 23" hidden="1">
              <a:extLst>
                <a:ext uri="{63B3BB69-23CF-44E3-9099-C40C66FF867C}">
                  <a14:compatExt spid="_x0000_s14359"/>
                </a:ext>
                <a:ext uri="{FF2B5EF4-FFF2-40B4-BE49-F238E27FC236}">
                  <a16:creationId xmlns:a16="http://schemas.microsoft.com/office/drawing/2014/main" id="{00000000-0008-0000-0800-000017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24</xdr:row>
          <xdr:rowOff>182880</xdr:rowOff>
        </xdr:from>
        <xdr:to>
          <xdr:col>8</xdr:col>
          <xdr:colOff>982980</xdr:colOff>
          <xdr:row>26</xdr:row>
          <xdr:rowOff>7620</xdr:rowOff>
        </xdr:to>
        <xdr:sp macro="" textlink="">
          <xdr:nvSpPr>
            <xdr:cNvPr id="14360" name="Drop Down 24" hidden="1">
              <a:extLst>
                <a:ext uri="{63B3BB69-23CF-44E3-9099-C40C66FF867C}">
                  <a14:compatExt spid="_x0000_s14360"/>
                </a:ext>
                <a:ext uri="{FF2B5EF4-FFF2-40B4-BE49-F238E27FC236}">
                  <a16:creationId xmlns:a16="http://schemas.microsoft.com/office/drawing/2014/main" id="{00000000-0008-0000-0800-00001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27</xdr:row>
          <xdr:rowOff>0</xdr:rowOff>
        </xdr:from>
        <xdr:to>
          <xdr:col>8</xdr:col>
          <xdr:colOff>982980</xdr:colOff>
          <xdr:row>28</xdr:row>
          <xdr:rowOff>22860</xdr:rowOff>
        </xdr:to>
        <xdr:sp macro="" textlink="">
          <xdr:nvSpPr>
            <xdr:cNvPr id="14361" name="Drop Down 25" hidden="1">
              <a:extLst>
                <a:ext uri="{63B3BB69-23CF-44E3-9099-C40C66FF867C}">
                  <a14:compatExt spid="_x0000_s14361"/>
                </a:ext>
                <a:ext uri="{FF2B5EF4-FFF2-40B4-BE49-F238E27FC236}">
                  <a16:creationId xmlns:a16="http://schemas.microsoft.com/office/drawing/2014/main" id="{00000000-0008-0000-0800-00001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28</xdr:row>
          <xdr:rowOff>99060</xdr:rowOff>
        </xdr:from>
        <xdr:to>
          <xdr:col>8</xdr:col>
          <xdr:colOff>982980</xdr:colOff>
          <xdr:row>30</xdr:row>
          <xdr:rowOff>22860</xdr:rowOff>
        </xdr:to>
        <xdr:sp macro="" textlink="">
          <xdr:nvSpPr>
            <xdr:cNvPr id="14362" name="Drop Down 26" hidden="1">
              <a:extLst>
                <a:ext uri="{63B3BB69-23CF-44E3-9099-C40C66FF867C}">
                  <a14:compatExt spid="_x0000_s14362"/>
                </a:ext>
                <a:ext uri="{FF2B5EF4-FFF2-40B4-BE49-F238E27FC236}">
                  <a16:creationId xmlns:a16="http://schemas.microsoft.com/office/drawing/2014/main" id="{00000000-0008-0000-0800-00001A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31</xdr:row>
          <xdr:rowOff>7620</xdr:rowOff>
        </xdr:from>
        <xdr:to>
          <xdr:col>8</xdr:col>
          <xdr:colOff>982980</xdr:colOff>
          <xdr:row>32</xdr:row>
          <xdr:rowOff>30480</xdr:rowOff>
        </xdr:to>
        <xdr:sp macro="" textlink="">
          <xdr:nvSpPr>
            <xdr:cNvPr id="14363" name="Drop Down 27" hidden="1">
              <a:extLst>
                <a:ext uri="{63B3BB69-23CF-44E3-9099-C40C66FF867C}">
                  <a14:compatExt spid="_x0000_s14363"/>
                </a:ext>
                <a:ext uri="{FF2B5EF4-FFF2-40B4-BE49-F238E27FC236}">
                  <a16:creationId xmlns:a16="http://schemas.microsoft.com/office/drawing/2014/main" id="{00000000-0008-0000-0800-00001B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33</xdr:row>
          <xdr:rowOff>7620</xdr:rowOff>
        </xdr:from>
        <xdr:to>
          <xdr:col>8</xdr:col>
          <xdr:colOff>982980</xdr:colOff>
          <xdr:row>34</xdr:row>
          <xdr:rowOff>30480</xdr:rowOff>
        </xdr:to>
        <xdr:sp macro="" textlink="">
          <xdr:nvSpPr>
            <xdr:cNvPr id="14365" name="Drop Down 29" hidden="1">
              <a:extLst>
                <a:ext uri="{63B3BB69-23CF-44E3-9099-C40C66FF867C}">
                  <a14:compatExt spid="_x0000_s14365"/>
                </a:ext>
                <a:ext uri="{FF2B5EF4-FFF2-40B4-BE49-F238E27FC236}">
                  <a16:creationId xmlns:a16="http://schemas.microsoft.com/office/drawing/2014/main" id="{00000000-0008-0000-0800-00001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35</xdr:row>
          <xdr:rowOff>0</xdr:rowOff>
        </xdr:from>
        <xdr:to>
          <xdr:col>8</xdr:col>
          <xdr:colOff>990600</xdr:colOff>
          <xdr:row>36</xdr:row>
          <xdr:rowOff>22860</xdr:rowOff>
        </xdr:to>
        <xdr:sp macro="" textlink="">
          <xdr:nvSpPr>
            <xdr:cNvPr id="14366" name="Drop Down 30" hidden="1">
              <a:extLst>
                <a:ext uri="{63B3BB69-23CF-44E3-9099-C40C66FF867C}">
                  <a14:compatExt spid="_x0000_s14366"/>
                </a:ext>
                <a:ext uri="{FF2B5EF4-FFF2-40B4-BE49-F238E27FC236}">
                  <a16:creationId xmlns:a16="http://schemas.microsoft.com/office/drawing/2014/main" id="{00000000-0008-0000-0800-00001E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525780</xdr:colOff>
          <xdr:row>36</xdr:row>
          <xdr:rowOff>83820</xdr:rowOff>
        </xdr:from>
        <xdr:to>
          <xdr:col>8</xdr:col>
          <xdr:colOff>998220</xdr:colOff>
          <xdr:row>38</xdr:row>
          <xdr:rowOff>7620</xdr:rowOff>
        </xdr:to>
        <xdr:sp macro="" textlink="">
          <xdr:nvSpPr>
            <xdr:cNvPr id="14367" name="Drop Down 31" hidden="1">
              <a:extLst>
                <a:ext uri="{63B3BB69-23CF-44E3-9099-C40C66FF867C}">
                  <a14:compatExt spid="_x0000_s14367"/>
                </a:ext>
                <a:ext uri="{FF2B5EF4-FFF2-40B4-BE49-F238E27FC236}">
                  <a16:creationId xmlns:a16="http://schemas.microsoft.com/office/drawing/2014/main" id="{00000000-0008-0000-0800-00001F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22861</xdr:colOff>
      <xdr:row>33</xdr:row>
      <xdr:rowOff>7620</xdr:rowOff>
    </xdr:from>
    <xdr:to>
      <xdr:col>7</xdr:col>
      <xdr:colOff>129540</xdr:colOff>
      <xdr:row>81</xdr:row>
      <xdr:rowOff>77261</xdr:rowOff>
    </xdr:to>
    <xdr:pic>
      <xdr:nvPicPr>
        <xdr:cNvPr id="2" name="Рисунок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1" y="6284595"/>
          <a:ext cx="4812029" cy="784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499721</xdr:colOff>
      <xdr:row>33</xdr:row>
      <xdr:rowOff>8283</xdr:rowOff>
    </xdr:from>
    <xdr:to>
      <xdr:col>14</xdr:col>
      <xdr:colOff>306705</xdr:colOff>
      <xdr:row>81</xdr:row>
      <xdr:rowOff>133371</xdr:rowOff>
    </xdr:to>
    <xdr:pic>
      <xdr:nvPicPr>
        <xdr:cNvPr id="3" name="Рисунок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5071" y="6285258"/>
          <a:ext cx="4902859" cy="789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vmlDrawing" Target="../drawings/vmlDrawing4.v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omments" Target="../comments4.xml"/><Relationship Id="rId2" Type="http://schemas.openxmlformats.org/officeDocument/2006/relationships/drawing" Target="../drawings/drawing2.xml"/><Relationship Id="rId16" Type="http://schemas.openxmlformats.org/officeDocument/2006/relationships/ctrlProp" Target="../ctrlProps/ctrlProp14.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2">
    <tabColor rgb="FFFFFF00"/>
    <pageSetUpPr fitToPage="1"/>
  </sheetPr>
  <dimension ref="A1:AL162"/>
  <sheetViews>
    <sheetView tabSelected="1" view="pageBreakPreview" topLeftCell="A7" zoomScale="85" zoomScaleNormal="85" zoomScaleSheetLayoutView="85" workbookViewId="0">
      <selection activeCell="C19" sqref="C19"/>
    </sheetView>
  </sheetViews>
  <sheetFormatPr defaultColWidth="9.109375" defaultRowHeight="13.2"/>
  <cols>
    <col min="1" max="1" width="3.5546875" style="194" customWidth="1"/>
    <col min="2" max="2" width="3.5546875" style="194" customWidth="1" collapsed="1"/>
    <col min="3" max="3" width="32.44140625" style="194" customWidth="1" collapsed="1"/>
    <col min="4" max="4" width="21.44140625" style="194" customWidth="1" collapsed="1"/>
    <col min="5" max="5" width="12.6640625" style="194" customWidth="1" collapsed="1"/>
    <col min="6" max="6" width="15.5546875" style="194" customWidth="1" collapsed="1"/>
    <col min="7" max="7" width="14.5546875" style="194" customWidth="1" collapsed="1"/>
    <col min="8" max="8" width="20.88671875" style="194" customWidth="1" collapsed="1"/>
    <col min="9" max="9" width="23" style="194" customWidth="1" collapsed="1"/>
    <col min="10" max="10" width="14.88671875" style="194" customWidth="1" collapsed="1"/>
    <col min="11" max="11" width="13.33203125" style="194" customWidth="1" collapsed="1"/>
    <col min="12" max="12" width="21" style="194" customWidth="1" collapsed="1"/>
    <col min="13" max="13" width="11.44140625" style="194" customWidth="1" collapsed="1"/>
    <col min="14" max="14" width="11.109375" style="194" customWidth="1" collapsed="1"/>
    <col min="15" max="15" width="11.44140625" style="194" customWidth="1" collapsed="1"/>
    <col min="16" max="16" width="12.33203125" style="194" customWidth="1" collapsed="1"/>
    <col min="17" max="17" width="8.109375" style="194" customWidth="1" collapsed="1"/>
    <col min="18" max="18" width="8.88671875" style="389"/>
    <col min="19" max="19" width="10.33203125" style="389" bestFit="1" customWidth="1"/>
    <col min="20" max="22" width="8.88671875" style="389"/>
    <col min="23" max="32" width="0" style="389" hidden="1" customWidth="1"/>
    <col min="33" max="34" width="0" style="465" hidden="1" customWidth="1"/>
    <col min="35" max="35" width="0" style="389" hidden="1" customWidth="1"/>
    <col min="36" max="38" width="8.88671875" style="389" customWidth="1"/>
    <col min="39" max="16384" width="9.109375" style="194"/>
  </cols>
  <sheetData>
    <row r="1" spans="1:38">
      <c r="A1" s="389"/>
      <c r="B1" s="389"/>
      <c r="C1" s="389"/>
      <c r="D1" s="389"/>
      <c r="E1" s="389"/>
      <c r="F1" s="389"/>
      <c r="G1" s="389"/>
      <c r="H1" s="389"/>
      <c r="I1" s="389"/>
      <c r="J1" s="389"/>
      <c r="K1" s="389"/>
      <c r="L1" s="389"/>
      <c r="M1" s="389"/>
      <c r="N1" s="389"/>
      <c r="O1" s="389"/>
      <c r="P1" s="389"/>
      <c r="Q1" s="389"/>
    </row>
    <row r="2" spans="1:38" ht="13.8">
      <c r="A2" s="389"/>
      <c r="B2" s="390"/>
      <c r="C2" s="391"/>
      <c r="D2" s="391"/>
      <c r="E2" s="391"/>
      <c r="F2" s="391"/>
      <c r="G2" s="391"/>
      <c r="H2" s="391"/>
      <c r="I2" s="391"/>
      <c r="J2" s="391"/>
      <c r="K2" s="391"/>
      <c r="L2" s="392"/>
      <c r="M2" s="392"/>
      <c r="N2" s="393"/>
      <c r="O2" s="393"/>
      <c r="P2" s="393"/>
      <c r="Q2" s="394"/>
    </row>
    <row r="3" spans="1:38" ht="13.8">
      <c r="A3" s="389"/>
      <c r="B3" s="395"/>
      <c r="C3" s="396"/>
      <c r="D3" s="396"/>
      <c r="E3" s="396"/>
      <c r="F3" s="396"/>
      <c r="G3" s="396"/>
      <c r="H3" s="396"/>
      <c r="I3" s="396"/>
      <c r="J3" s="396"/>
      <c r="K3" s="396"/>
      <c r="L3" s="396"/>
      <c r="M3" s="396"/>
      <c r="N3" s="396"/>
      <c r="O3" s="396"/>
      <c r="P3" s="472"/>
      <c r="Q3" s="397"/>
    </row>
    <row r="4" spans="1:38" ht="13.8">
      <c r="A4" s="389"/>
      <c r="B4" s="395"/>
      <c r="C4" s="396"/>
      <c r="D4" s="303"/>
      <c r="E4" s="303"/>
      <c r="F4" s="303"/>
      <c r="G4" s="303"/>
      <c r="H4" s="303"/>
      <c r="I4" s="303"/>
      <c r="J4" s="303"/>
      <c r="K4" s="398"/>
      <c r="L4" s="303"/>
      <c r="M4" s="304"/>
      <c r="N4" s="472"/>
      <c r="O4" s="472"/>
      <c r="P4" s="472"/>
      <c r="Q4" s="397"/>
    </row>
    <row r="5" spans="1:38" ht="31.2">
      <c r="A5" s="389"/>
      <c r="B5" s="395"/>
      <c r="C5" s="399" t="s">
        <v>342</v>
      </c>
      <c r="D5" s="607" t="s">
        <v>423</v>
      </c>
      <c r="E5" s="607"/>
      <c r="F5" s="607"/>
      <c r="G5" s="607"/>
      <c r="H5" s="607"/>
      <c r="I5" s="400"/>
      <c r="J5" s="584" t="s">
        <v>422</v>
      </c>
      <c r="K5" s="584"/>
      <c r="L5" s="613"/>
      <c r="M5" s="608">
        <v>44075</v>
      </c>
      <c r="N5" s="608"/>
      <c r="O5" s="608"/>
      <c r="P5" s="608"/>
      <c r="Q5" s="397"/>
      <c r="Y5" s="389">
        <v>100</v>
      </c>
    </row>
    <row r="6" spans="1:38" ht="16.2" thickBot="1">
      <c r="A6" s="389"/>
      <c r="B6" s="395"/>
      <c r="C6" s="399"/>
      <c r="D6" s="399"/>
      <c r="E6" s="399"/>
      <c r="F6" s="399"/>
      <c r="G6" s="399"/>
      <c r="H6" s="399"/>
      <c r="I6" s="400"/>
      <c r="J6" s="500"/>
      <c r="K6" s="500"/>
      <c r="L6" s="500"/>
      <c r="M6" s="500"/>
      <c r="N6" s="500"/>
      <c r="O6" s="500"/>
      <c r="P6" s="500"/>
      <c r="Q6" s="397"/>
      <c r="Z6" s="389" t="s">
        <v>797</v>
      </c>
      <c r="AA6" s="389" t="s">
        <v>798</v>
      </c>
      <c r="AB6" s="486">
        <v>0.09</v>
      </c>
      <c r="AC6" s="486">
        <v>0</v>
      </c>
    </row>
    <row r="7" spans="1:38" ht="16.2" thickBot="1">
      <c r="A7" s="389"/>
      <c r="B7" s="395"/>
      <c r="C7" s="399"/>
      <c r="D7" s="399"/>
      <c r="E7" s="399"/>
      <c r="F7" s="399"/>
      <c r="G7" s="399"/>
      <c r="H7" s="399"/>
      <c r="I7" s="399"/>
      <c r="J7" s="614" t="s">
        <v>344</v>
      </c>
      <c r="K7" s="615"/>
      <c r="L7" s="615"/>
      <c r="M7" s="615"/>
      <c r="N7" s="615"/>
      <c r="O7" s="615"/>
      <c r="P7" s="616"/>
      <c r="Q7" s="397"/>
      <c r="X7" s="389">
        <v>1</v>
      </c>
      <c r="Y7" s="389" t="s">
        <v>797</v>
      </c>
      <c r="Z7" s="509">
        <v>0.25</v>
      </c>
      <c r="AA7" s="509">
        <v>0.2</v>
      </c>
      <c r="AB7" s="486">
        <v>0.17</v>
      </c>
      <c r="AC7" s="486">
        <v>0.1</v>
      </c>
    </row>
    <row r="8" spans="1:38" ht="15">
      <c r="A8" s="389"/>
      <c r="B8" s="395"/>
      <c r="C8" s="302"/>
      <c r="D8" s="303"/>
      <c r="E8" s="303"/>
      <c r="F8" s="303"/>
      <c r="G8" s="303"/>
      <c r="H8" s="303"/>
      <c r="I8" s="401"/>
      <c r="J8" s="401"/>
      <c r="K8" s="401"/>
      <c r="L8" s="401"/>
      <c r="M8" s="472"/>
      <c r="N8" s="472"/>
      <c r="O8" s="472"/>
      <c r="P8" s="472"/>
      <c r="Q8" s="397"/>
      <c r="X8" s="389">
        <v>2</v>
      </c>
      <c r="Y8" s="389" t="s">
        <v>798</v>
      </c>
      <c r="Z8" s="509">
        <v>0.26</v>
      </c>
      <c r="AA8" s="509">
        <v>0.21</v>
      </c>
    </row>
    <row r="9" spans="1:38" ht="63.75" customHeight="1">
      <c r="A9" s="389"/>
      <c r="B9" s="395"/>
      <c r="C9" s="513" t="s">
        <v>8</v>
      </c>
      <c r="D9" s="609"/>
      <c r="E9" s="609"/>
      <c r="F9" s="609"/>
      <c r="G9" s="609"/>
      <c r="H9" s="609"/>
      <c r="I9" s="396"/>
      <c r="J9" s="610" t="s">
        <v>827</v>
      </c>
      <c r="K9" s="610"/>
      <c r="L9" s="610"/>
      <c r="M9" s="610"/>
      <c r="N9" s="617"/>
      <c r="O9" s="618">
        <f>'Кред история'!E10</f>
        <v>20</v>
      </c>
      <c r="P9" s="618"/>
      <c r="Q9" s="397"/>
      <c r="X9" s="389">
        <v>3</v>
      </c>
      <c r="Z9" s="509">
        <v>0.27</v>
      </c>
      <c r="AA9" s="509">
        <v>0.22</v>
      </c>
      <c r="AG9" s="465" t="s">
        <v>798</v>
      </c>
      <c r="AH9" s="465" t="s">
        <v>797</v>
      </c>
    </row>
    <row r="10" spans="1:38" ht="14.4" customHeight="1">
      <c r="A10" s="389"/>
      <c r="B10" s="395"/>
      <c r="C10" s="474"/>
      <c r="D10" s="475"/>
      <c r="E10" s="475"/>
      <c r="F10" s="475"/>
      <c r="G10" s="475"/>
      <c r="H10" s="475"/>
      <c r="I10" s="396"/>
      <c r="J10" s="476"/>
      <c r="K10" s="476"/>
      <c r="L10" s="476"/>
      <c r="M10" s="476"/>
      <c r="N10" s="476"/>
      <c r="O10" s="476"/>
      <c r="P10" s="476"/>
      <c r="Q10" s="397"/>
      <c r="X10" s="389">
        <v>4</v>
      </c>
      <c r="Z10" s="509">
        <v>0.28000000000000003</v>
      </c>
      <c r="AA10" s="509">
        <v>0.23</v>
      </c>
      <c r="AG10" s="465">
        <v>20</v>
      </c>
      <c r="AH10" s="465">
        <v>25</v>
      </c>
    </row>
    <row r="11" spans="1:38" s="301" customFormat="1" ht="25.2" customHeight="1">
      <c r="A11" s="402"/>
      <c r="B11" s="403"/>
      <c r="C11" s="474" t="s">
        <v>445</v>
      </c>
      <c r="D11" s="611"/>
      <c r="E11" s="612"/>
      <c r="F11" s="612"/>
      <c r="G11" s="612"/>
      <c r="H11" s="396"/>
      <c r="I11" s="469"/>
      <c r="J11" s="610" t="s">
        <v>443</v>
      </c>
      <c r="K11" s="610"/>
      <c r="L11" s="610"/>
      <c r="M11" s="511"/>
      <c r="N11" s="511"/>
      <c r="O11" s="619">
        <v>50000000</v>
      </c>
      <c r="P11" s="620"/>
      <c r="Q11" s="404"/>
      <c r="R11" s="402"/>
      <c r="S11" s="402"/>
      <c r="T11" s="402"/>
      <c r="U11" s="402"/>
      <c r="V11" s="402"/>
      <c r="W11" s="402"/>
      <c r="X11" s="389">
        <v>5</v>
      </c>
      <c r="Y11" s="402"/>
      <c r="Z11" s="509">
        <v>0.28999999999999998</v>
      </c>
      <c r="AA11" s="509">
        <v>0.24</v>
      </c>
      <c r="AB11" s="402"/>
      <c r="AC11" s="402"/>
      <c r="AD11" s="402"/>
      <c r="AE11" s="485">
        <v>0.09</v>
      </c>
      <c r="AF11" s="402"/>
      <c r="AG11" s="466">
        <v>21</v>
      </c>
      <c r="AH11" s="466">
        <v>26</v>
      </c>
      <c r="AI11" s="402"/>
      <c r="AJ11" s="402"/>
      <c r="AK11" s="402"/>
      <c r="AL11" s="402"/>
    </row>
    <row r="12" spans="1:38" ht="11.25" customHeight="1">
      <c r="A12" s="389"/>
      <c r="B12" s="395"/>
      <c r="C12" s="474"/>
      <c r="D12" s="396"/>
      <c r="E12" s="396"/>
      <c r="F12" s="396"/>
      <c r="G12" s="396"/>
      <c r="H12" s="396"/>
      <c r="I12" s="304"/>
      <c r="J12" s="476"/>
      <c r="K12" s="476"/>
      <c r="L12" s="476"/>
      <c r="M12" s="472"/>
      <c r="N12" s="472"/>
      <c r="O12" s="472"/>
      <c r="P12" s="472"/>
      <c r="Q12" s="397"/>
      <c r="X12" s="389">
        <v>6</v>
      </c>
      <c r="Z12" s="509">
        <v>0.3</v>
      </c>
      <c r="AA12" s="509">
        <v>0.25</v>
      </c>
      <c r="AE12" s="486">
        <v>0.17</v>
      </c>
      <c r="AG12" s="465">
        <v>22</v>
      </c>
      <c r="AH12" s="465">
        <v>27</v>
      </c>
    </row>
    <row r="13" spans="1:38" ht="15.6">
      <c r="A13" s="389"/>
      <c r="B13" s="395"/>
      <c r="C13" s="474"/>
      <c r="D13" s="512"/>
      <c r="E13" s="512"/>
      <c r="F13" s="512"/>
      <c r="G13" s="512"/>
      <c r="H13" s="396"/>
      <c r="I13" s="304"/>
      <c r="J13" s="583" t="s">
        <v>444</v>
      </c>
      <c r="K13" s="583"/>
      <c r="L13" s="628"/>
      <c r="M13" s="624">
        <f>150000000</f>
        <v>150000000</v>
      </c>
      <c r="N13" s="624"/>
      <c r="O13" s="624"/>
      <c r="P13" s="624"/>
      <c r="Q13" s="397"/>
      <c r="X13" s="389">
        <v>7</v>
      </c>
      <c r="Z13" s="509">
        <v>0.31</v>
      </c>
      <c r="AA13" s="509">
        <v>0.26</v>
      </c>
      <c r="AG13" s="466">
        <v>23</v>
      </c>
      <c r="AH13" s="466">
        <v>28</v>
      </c>
    </row>
    <row r="14" spans="1:38" ht="15" customHeight="1">
      <c r="A14" s="389"/>
      <c r="B14" s="395"/>
      <c r="C14" s="396"/>
      <c r="D14" s="396"/>
      <c r="E14" s="474"/>
      <c r="F14" s="396"/>
      <c r="G14" s="396"/>
      <c r="H14" s="396"/>
      <c r="I14" s="625"/>
      <c r="J14" s="625"/>
      <c r="K14" s="625"/>
      <c r="L14" s="625"/>
      <c r="M14" s="625"/>
      <c r="N14" s="625"/>
      <c r="O14" s="625"/>
      <c r="P14" s="625"/>
      <c r="Q14" s="397"/>
      <c r="X14" s="389">
        <v>8</v>
      </c>
      <c r="Z14" s="509">
        <v>0.32</v>
      </c>
      <c r="AA14" s="509">
        <v>0.27</v>
      </c>
      <c r="AG14" s="466">
        <v>25</v>
      </c>
      <c r="AH14" s="466">
        <v>30</v>
      </c>
    </row>
    <row r="15" spans="1:38" ht="19.95" customHeight="1">
      <c r="A15" s="389"/>
      <c r="B15" s="395"/>
      <c r="C15" s="405"/>
      <c r="D15" s="406"/>
      <c r="E15" s="406"/>
      <c r="F15" s="406"/>
      <c r="G15" s="303"/>
      <c r="H15" s="303"/>
      <c r="I15" s="625"/>
      <c r="J15" s="625"/>
      <c r="K15" s="625"/>
      <c r="L15" s="625"/>
      <c r="M15" s="625"/>
      <c r="N15" s="625"/>
      <c r="O15" s="625"/>
      <c r="P15" s="625"/>
      <c r="Q15" s="397"/>
      <c r="X15" s="389">
        <v>9</v>
      </c>
      <c r="Z15" s="509">
        <v>0.33</v>
      </c>
      <c r="AA15" s="509">
        <v>0.28000000000000003</v>
      </c>
      <c r="AG15" s="465">
        <v>26</v>
      </c>
      <c r="AH15" s="465">
        <v>31</v>
      </c>
    </row>
    <row r="16" spans="1:38" ht="33" customHeight="1">
      <c r="A16" s="389"/>
      <c r="B16" s="395"/>
      <c r="C16" s="399" t="s">
        <v>343</v>
      </c>
      <c r="D16" s="407">
        <v>26</v>
      </c>
      <c r="E16" s="408"/>
      <c r="F16" s="555"/>
      <c r="G16" s="626"/>
      <c r="H16" s="627"/>
      <c r="I16" s="303"/>
      <c r="J16" s="583" t="s">
        <v>780</v>
      </c>
      <c r="K16" s="583"/>
      <c r="L16" s="583"/>
      <c r="M16" s="498"/>
      <c r="N16" s="510"/>
      <c r="O16" s="629">
        <v>1</v>
      </c>
      <c r="P16" s="629"/>
      <c r="Q16" s="397"/>
      <c r="X16" s="389">
        <v>10</v>
      </c>
      <c r="Z16" s="509">
        <v>0.34</v>
      </c>
      <c r="AA16" s="509">
        <v>0.28999999999999998</v>
      </c>
      <c r="AG16" s="466">
        <v>27</v>
      </c>
      <c r="AH16" s="466">
        <v>32</v>
      </c>
    </row>
    <row r="17" spans="1:34" ht="14.4" thickBot="1">
      <c r="A17" s="389"/>
      <c r="B17" s="395"/>
      <c r="C17" s="405"/>
      <c r="D17" s="406"/>
      <c r="E17" s="409"/>
      <c r="F17" s="409"/>
      <c r="G17" s="303"/>
      <c r="H17" s="303"/>
      <c r="I17" s="303"/>
      <c r="J17" s="303"/>
      <c r="K17" s="303"/>
      <c r="L17" s="303"/>
      <c r="M17" s="303"/>
      <c r="N17" s="303"/>
      <c r="O17" s="303"/>
      <c r="P17" s="303"/>
      <c r="Q17" s="397"/>
      <c r="Z17" s="509">
        <v>0.35</v>
      </c>
      <c r="AA17" s="509">
        <v>0.3</v>
      </c>
      <c r="AG17" s="465">
        <v>28</v>
      </c>
      <c r="AH17" s="465">
        <v>33</v>
      </c>
    </row>
    <row r="18" spans="1:34" ht="42" thickBot="1">
      <c r="A18" s="389"/>
      <c r="B18" s="395"/>
      <c r="C18" s="539" t="s">
        <v>835</v>
      </c>
      <c r="D18" s="540" t="s">
        <v>836</v>
      </c>
      <c r="E18" s="541" t="s">
        <v>837</v>
      </c>
      <c r="F18" s="541" t="s">
        <v>812</v>
      </c>
      <c r="G18" s="541" t="s">
        <v>838</v>
      </c>
      <c r="H18" s="541" t="s">
        <v>839</v>
      </c>
      <c r="I18" s="541" t="s">
        <v>840</v>
      </c>
      <c r="J18" s="541" t="s">
        <v>841</v>
      </c>
      <c r="K18" s="541" t="s">
        <v>842</v>
      </c>
      <c r="L18" s="542" t="s">
        <v>843</v>
      </c>
      <c r="M18" s="410"/>
      <c r="N18" s="302"/>
      <c r="O18" s="302"/>
      <c r="P18" s="302"/>
      <c r="Q18" s="397"/>
      <c r="S18" s="508"/>
      <c r="T18" s="508"/>
      <c r="U18" s="508"/>
      <c r="V18" s="508"/>
      <c r="W18" s="508"/>
      <c r="X18" s="508"/>
      <c r="Y18" s="508"/>
      <c r="Z18" s="509">
        <v>0.4</v>
      </c>
      <c r="AA18" s="509">
        <v>0.35</v>
      </c>
      <c r="AB18" s="478"/>
      <c r="AC18" s="478"/>
      <c r="AG18" s="465">
        <v>32</v>
      </c>
      <c r="AH18" s="465">
        <v>37</v>
      </c>
    </row>
    <row r="19" spans="1:34" ht="41.4">
      <c r="A19" s="389"/>
      <c r="B19" s="395"/>
      <c r="C19" s="539" t="s">
        <v>835</v>
      </c>
      <c r="D19" s="540" t="s">
        <v>836</v>
      </c>
      <c r="E19" s="541" t="s">
        <v>837</v>
      </c>
      <c r="F19" s="541" t="s">
        <v>812</v>
      </c>
      <c r="G19" s="541" t="s">
        <v>838</v>
      </c>
      <c r="H19" s="541" t="s">
        <v>839</v>
      </c>
      <c r="I19" s="541" t="s">
        <v>840</v>
      </c>
      <c r="J19" s="541" t="s">
        <v>841</v>
      </c>
      <c r="K19" s="541" t="s">
        <v>842</v>
      </c>
      <c r="L19" s="542" t="s">
        <v>843</v>
      </c>
      <c r="M19" s="410"/>
      <c r="N19" s="302"/>
      <c r="O19" s="302"/>
      <c r="P19" s="302"/>
      <c r="Q19" s="397"/>
      <c r="S19" s="508"/>
      <c r="T19" s="508"/>
      <c r="U19" s="508"/>
      <c r="V19" s="508"/>
      <c r="W19" s="508"/>
      <c r="X19" s="508"/>
      <c r="Y19" s="508"/>
      <c r="Z19" s="509">
        <v>0.4</v>
      </c>
      <c r="AA19" s="509">
        <v>0.35</v>
      </c>
      <c r="AB19" s="471"/>
      <c r="AC19" s="471"/>
      <c r="AG19" s="465">
        <v>32</v>
      </c>
      <c r="AH19" s="465">
        <v>37</v>
      </c>
    </row>
    <row r="20" spans="1:34" ht="15.6">
      <c r="A20" s="389"/>
      <c r="B20" s="395"/>
      <c r="C20" s="543" t="s">
        <v>801</v>
      </c>
      <c r="D20" s="527">
        <v>1000000</v>
      </c>
      <c r="E20" s="528">
        <v>2</v>
      </c>
      <c r="F20" s="529" t="s">
        <v>798</v>
      </c>
      <c r="G20" s="530">
        <v>0.22</v>
      </c>
      <c r="H20" s="531">
        <f>G20*D20</f>
        <v>220000</v>
      </c>
      <c r="I20" s="531">
        <f>D20-H20</f>
        <v>780000</v>
      </c>
      <c r="J20" s="532">
        <v>0.17</v>
      </c>
      <c r="K20" s="532">
        <v>0.1</v>
      </c>
      <c r="L20" s="544">
        <f>IF(K20=0%,(D20/E20+D20*J20),(D20/E20+D20*(J20-K20)))</f>
        <v>570000</v>
      </c>
      <c r="M20" s="410"/>
      <c r="N20" s="302"/>
      <c r="O20" s="302"/>
      <c r="P20" s="302"/>
      <c r="Q20" s="397"/>
      <c r="S20" s="508"/>
      <c r="T20" s="508"/>
      <c r="U20" s="508"/>
      <c r="V20" s="508"/>
      <c r="W20" s="508"/>
      <c r="X20" s="508"/>
      <c r="Y20" s="508"/>
      <c r="Z20" s="509">
        <v>0.41</v>
      </c>
      <c r="AA20" s="509">
        <v>0.36</v>
      </c>
      <c r="AB20" s="471"/>
      <c r="AC20" s="471"/>
      <c r="AG20" s="466">
        <v>33</v>
      </c>
      <c r="AH20" s="466">
        <v>38</v>
      </c>
    </row>
    <row r="21" spans="1:34" ht="15.6">
      <c r="A21" s="389"/>
      <c r="B21" s="395"/>
      <c r="C21" s="545" t="s">
        <v>802</v>
      </c>
      <c r="D21" s="527">
        <v>2000000</v>
      </c>
      <c r="E21" s="528">
        <v>8</v>
      </c>
      <c r="F21" s="529" t="s">
        <v>797</v>
      </c>
      <c r="G21" s="530">
        <v>0.25</v>
      </c>
      <c r="H21" s="531">
        <f t="shared" ref="H21:H29" si="0">G21*D21</f>
        <v>500000</v>
      </c>
      <c r="I21" s="531">
        <f t="shared" ref="I21:I29" si="1">D21-H21</f>
        <v>1500000</v>
      </c>
      <c r="J21" s="532">
        <v>0.17</v>
      </c>
      <c r="K21" s="532">
        <v>0</v>
      </c>
      <c r="L21" s="544">
        <f>IF(K21=0%,(D21/E21+D21*J21),(D21/E21+D21*(J21-K21)))</f>
        <v>590000</v>
      </c>
      <c r="M21" s="410"/>
      <c r="N21" s="302"/>
      <c r="O21" s="302"/>
      <c r="P21" s="302"/>
      <c r="Q21" s="397"/>
      <c r="S21" s="508"/>
      <c r="T21" s="508"/>
      <c r="U21" s="508"/>
      <c r="V21" s="508"/>
      <c r="W21" s="508"/>
      <c r="X21" s="508"/>
      <c r="Y21" s="508"/>
      <c r="Z21" s="509">
        <v>0.42</v>
      </c>
      <c r="AA21" s="509">
        <v>0.37</v>
      </c>
      <c r="AB21" s="471"/>
      <c r="AC21" s="471"/>
      <c r="AG21" s="465">
        <v>34</v>
      </c>
      <c r="AH21" s="465">
        <v>39</v>
      </c>
    </row>
    <row r="22" spans="1:34" ht="15.6">
      <c r="A22" s="389"/>
      <c r="B22" s="395"/>
      <c r="C22" s="545" t="s">
        <v>800</v>
      </c>
      <c r="D22" s="527">
        <v>50000000</v>
      </c>
      <c r="E22" s="528">
        <v>3</v>
      </c>
      <c r="F22" s="529" t="s">
        <v>797</v>
      </c>
      <c r="G22" s="530">
        <v>0.28000000000000003</v>
      </c>
      <c r="H22" s="531">
        <f t="shared" si="0"/>
        <v>14000000.000000002</v>
      </c>
      <c r="I22" s="531">
        <f t="shared" si="1"/>
        <v>36000000</v>
      </c>
      <c r="J22" s="532">
        <v>0.09</v>
      </c>
      <c r="K22" s="532">
        <v>0.1</v>
      </c>
      <c r="L22" s="544">
        <f>IF(K22=0%,(D22/E22+D22*J22),(D22/E22+D22*(J22-K22)))</f>
        <v>16166666.666666666</v>
      </c>
      <c r="M22" s="410"/>
      <c r="N22" s="302"/>
      <c r="O22" s="302"/>
      <c r="P22" s="302"/>
      <c r="Q22" s="397"/>
      <c r="S22" s="508"/>
      <c r="T22" s="508"/>
      <c r="U22" s="508"/>
      <c r="V22" s="508"/>
      <c r="W22" s="508"/>
      <c r="X22" s="508"/>
      <c r="Y22" s="508"/>
      <c r="Z22" s="509">
        <v>0.43</v>
      </c>
      <c r="AA22" s="509">
        <v>0.38</v>
      </c>
      <c r="AB22" s="477"/>
      <c r="AC22" s="477"/>
    </row>
    <row r="23" spans="1:34" ht="15.6">
      <c r="A23" s="389"/>
      <c r="B23" s="395"/>
      <c r="C23" s="545" t="s">
        <v>828</v>
      </c>
      <c r="D23" s="527">
        <v>88888888</v>
      </c>
      <c r="E23" s="528">
        <v>2</v>
      </c>
      <c r="F23" s="529" t="s">
        <v>797</v>
      </c>
      <c r="G23" s="530">
        <v>0.28999999999999998</v>
      </c>
      <c r="H23" s="531">
        <f t="shared" si="0"/>
        <v>25777777.52</v>
      </c>
      <c r="I23" s="531">
        <f t="shared" si="1"/>
        <v>63111110.480000004</v>
      </c>
      <c r="J23" s="532">
        <v>0.17</v>
      </c>
      <c r="K23" s="532">
        <v>0.1</v>
      </c>
      <c r="L23" s="544">
        <f t="shared" ref="L23:L29" si="2">IF(K23=0%,(D23/E23+D23*J23),(D23/E23+D23*(J23-K23)))</f>
        <v>50666666.159999996</v>
      </c>
      <c r="M23" s="410"/>
      <c r="N23" s="302"/>
      <c r="O23" s="302"/>
      <c r="P23" s="302"/>
      <c r="Q23" s="397"/>
      <c r="S23" s="508"/>
      <c r="T23" s="508"/>
      <c r="U23" s="508"/>
      <c r="V23" s="508"/>
      <c r="W23" s="508"/>
      <c r="X23" s="508"/>
      <c r="Y23" s="508"/>
      <c r="Z23" s="509">
        <v>0.44</v>
      </c>
      <c r="AA23" s="509">
        <v>0.39</v>
      </c>
      <c r="AB23" s="478"/>
      <c r="AC23" s="478"/>
    </row>
    <row r="24" spans="1:34" ht="15.6">
      <c r="A24" s="389"/>
      <c r="B24" s="395"/>
      <c r="C24" s="545" t="s">
        <v>829</v>
      </c>
      <c r="D24" s="527">
        <v>5000000</v>
      </c>
      <c r="E24" s="528">
        <v>5</v>
      </c>
      <c r="F24" s="529" t="s">
        <v>797</v>
      </c>
      <c r="G24" s="530">
        <v>0.28999999999999998</v>
      </c>
      <c r="H24" s="531">
        <f t="shared" si="0"/>
        <v>1450000</v>
      </c>
      <c r="I24" s="531">
        <f t="shared" si="1"/>
        <v>3550000</v>
      </c>
      <c r="J24" s="532">
        <v>0.17</v>
      </c>
      <c r="K24" s="532">
        <v>0.1</v>
      </c>
      <c r="L24" s="544">
        <f t="shared" si="2"/>
        <v>1350000</v>
      </c>
      <c r="M24" s="410"/>
      <c r="N24" s="302"/>
      <c r="O24" s="302"/>
      <c r="P24" s="302"/>
      <c r="Q24" s="397"/>
      <c r="S24" s="508"/>
      <c r="T24" s="508"/>
      <c r="U24" s="508"/>
      <c r="V24" s="508"/>
      <c r="W24" s="508"/>
      <c r="X24" s="508"/>
      <c r="Y24" s="508"/>
      <c r="Z24" s="509">
        <v>0.45</v>
      </c>
      <c r="AA24" s="509">
        <v>0.4</v>
      </c>
      <c r="AB24" s="478"/>
      <c r="AC24" s="478"/>
    </row>
    <row r="25" spans="1:34" ht="15.6">
      <c r="A25" s="389"/>
      <c r="B25" s="395"/>
      <c r="C25" s="545" t="s">
        <v>830</v>
      </c>
      <c r="D25" s="527"/>
      <c r="E25" s="528">
        <v>2</v>
      </c>
      <c r="F25" s="529" t="s">
        <v>797</v>
      </c>
      <c r="G25" s="530">
        <v>0.3</v>
      </c>
      <c r="H25" s="531">
        <f t="shared" si="0"/>
        <v>0</v>
      </c>
      <c r="I25" s="531">
        <f t="shared" si="1"/>
        <v>0</v>
      </c>
      <c r="J25" s="532">
        <v>0.17</v>
      </c>
      <c r="K25" s="532">
        <v>0</v>
      </c>
      <c r="L25" s="544">
        <f t="shared" si="2"/>
        <v>0</v>
      </c>
      <c r="M25" s="410"/>
      <c r="N25" s="302"/>
      <c r="O25" s="302"/>
      <c r="P25" s="302"/>
      <c r="Q25" s="397"/>
      <c r="S25" s="508"/>
      <c r="T25" s="508"/>
      <c r="U25" s="508"/>
      <c r="V25" s="508"/>
      <c r="W25" s="508"/>
      <c r="X25" s="508"/>
      <c r="Y25" s="508"/>
      <c r="Z25" s="509">
        <v>0.46</v>
      </c>
      <c r="AA25" s="509">
        <v>0.41</v>
      </c>
      <c r="AB25" s="478"/>
      <c r="AC25" s="478"/>
    </row>
    <row r="26" spans="1:34" ht="15.6">
      <c r="A26" s="389"/>
      <c r="B26" s="395"/>
      <c r="C26" s="545" t="s">
        <v>831</v>
      </c>
      <c r="D26" s="527"/>
      <c r="E26" s="528">
        <v>2</v>
      </c>
      <c r="F26" s="529" t="s">
        <v>797</v>
      </c>
      <c r="G26" s="530">
        <v>0.3</v>
      </c>
      <c r="H26" s="531">
        <f t="shared" si="0"/>
        <v>0</v>
      </c>
      <c r="I26" s="531">
        <f t="shared" si="1"/>
        <v>0</v>
      </c>
      <c r="J26" s="532">
        <v>0.17</v>
      </c>
      <c r="K26" s="532">
        <v>0.1</v>
      </c>
      <c r="L26" s="544">
        <f t="shared" si="2"/>
        <v>0</v>
      </c>
      <c r="M26" s="410"/>
      <c r="N26" s="302"/>
      <c r="O26" s="302"/>
      <c r="P26" s="302"/>
      <c r="Q26" s="397"/>
      <c r="S26" s="508"/>
      <c r="T26" s="508"/>
      <c r="U26" s="508"/>
      <c r="V26" s="508"/>
      <c r="W26" s="508"/>
      <c r="X26" s="508"/>
      <c r="Y26" s="508"/>
      <c r="Z26" s="509">
        <v>0.47</v>
      </c>
      <c r="AA26" s="509">
        <v>0.42</v>
      </c>
      <c r="AB26" s="478"/>
      <c r="AC26" s="478"/>
    </row>
    <row r="27" spans="1:34" ht="15.6">
      <c r="A27" s="389"/>
      <c r="B27" s="395"/>
      <c r="C27" s="545" t="s">
        <v>832</v>
      </c>
      <c r="D27" s="527"/>
      <c r="E27" s="528">
        <v>2</v>
      </c>
      <c r="F27" s="529" t="s">
        <v>797</v>
      </c>
      <c r="G27" s="530">
        <v>0.28999999999999998</v>
      </c>
      <c r="H27" s="531">
        <f t="shared" si="0"/>
        <v>0</v>
      </c>
      <c r="I27" s="531">
        <f t="shared" si="1"/>
        <v>0</v>
      </c>
      <c r="J27" s="532">
        <v>0.17</v>
      </c>
      <c r="K27" s="532">
        <v>0.1</v>
      </c>
      <c r="L27" s="544">
        <f t="shared" si="2"/>
        <v>0</v>
      </c>
      <c r="M27" s="410"/>
      <c r="N27" s="302"/>
      <c r="O27" s="302"/>
      <c r="P27" s="302"/>
      <c r="Q27" s="397"/>
      <c r="S27" s="508"/>
      <c r="T27" s="508"/>
      <c r="U27" s="508"/>
      <c r="V27" s="508"/>
      <c r="W27" s="508"/>
      <c r="X27" s="508"/>
      <c r="Y27" s="508"/>
      <c r="Z27" s="509">
        <v>0.48</v>
      </c>
      <c r="AA27" s="509">
        <v>0.43</v>
      </c>
      <c r="AB27" s="478"/>
      <c r="AC27" s="478"/>
    </row>
    <row r="28" spans="1:34" ht="15.6">
      <c r="A28" s="389"/>
      <c r="B28" s="395"/>
      <c r="C28" s="545" t="s">
        <v>833</v>
      </c>
      <c r="D28" s="527">
        <v>1000000</v>
      </c>
      <c r="E28" s="528">
        <v>2</v>
      </c>
      <c r="F28" s="529" t="s">
        <v>797</v>
      </c>
      <c r="G28" s="530">
        <v>0.3</v>
      </c>
      <c r="H28" s="531">
        <f t="shared" si="0"/>
        <v>300000</v>
      </c>
      <c r="I28" s="531">
        <f t="shared" si="1"/>
        <v>700000</v>
      </c>
      <c r="J28" s="532">
        <v>0.17</v>
      </c>
      <c r="K28" s="532">
        <v>0.1</v>
      </c>
      <c r="L28" s="544">
        <f>IF(K28=0%,(D28/E28+D28*J28),(D28/E28+D28*(J28-K28)))</f>
        <v>570000</v>
      </c>
      <c r="M28" s="410"/>
      <c r="N28" s="302"/>
      <c r="O28" s="302"/>
      <c r="P28" s="302"/>
      <c r="Q28" s="397"/>
      <c r="S28" s="508"/>
      <c r="T28" s="508"/>
      <c r="U28" s="508"/>
      <c r="V28" s="508"/>
      <c r="W28" s="508"/>
      <c r="X28" s="508"/>
      <c r="Y28" s="508"/>
      <c r="Z28" s="509">
        <v>0.49</v>
      </c>
      <c r="AA28" s="509">
        <v>0.44</v>
      </c>
      <c r="AB28" s="478"/>
      <c r="AC28" s="478"/>
    </row>
    <row r="29" spans="1:34" ht="15.6">
      <c r="A29" s="389"/>
      <c r="B29" s="395"/>
      <c r="C29" s="545" t="s">
        <v>834</v>
      </c>
      <c r="D29" s="527"/>
      <c r="E29" s="528">
        <v>2</v>
      </c>
      <c r="F29" s="529" t="s">
        <v>798</v>
      </c>
      <c r="G29" s="530">
        <v>0.23</v>
      </c>
      <c r="H29" s="531">
        <f t="shared" si="0"/>
        <v>0</v>
      </c>
      <c r="I29" s="531">
        <f t="shared" si="1"/>
        <v>0</v>
      </c>
      <c r="J29" s="532">
        <v>0.17</v>
      </c>
      <c r="K29" s="532">
        <v>0.1</v>
      </c>
      <c r="L29" s="544">
        <f t="shared" si="2"/>
        <v>0</v>
      </c>
      <c r="M29" s="410"/>
      <c r="N29" s="302"/>
      <c r="O29" s="302"/>
      <c r="P29" s="302"/>
      <c r="Q29" s="397"/>
      <c r="S29" s="508"/>
      <c r="T29" s="508"/>
      <c r="U29" s="508"/>
      <c r="V29" s="508"/>
      <c r="W29" s="508"/>
      <c r="X29" s="508"/>
      <c r="Y29" s="508"/>
      <c r="Z29" s="509"/>
      <c r="AA29" s="509">
        <v>0.45</v>
      </c>
      <c r="AB29" s="478"/>
      <c r="AC29" s="478"/>
    </row>
    <row r="30" spans="1:34" ht="32.25" customHeight="1" thickBot="1">
      <c r="A30" s="389"/>
      <c r="B30" s="395"/>
      <c r="C30" s="546" t="s">
        <v>808</v>
      </c>
      <c r="D30" s="547">
        <f>SUM(D20:D29)</f>
        <v>147888888</v>
      </c>
      <c r="E30" s="548"/>
      <c r="F30" s="547"/>
      <c r="G30" s="547"/>
      <c r="H30" s="547">
        <f t="shared" ref="H30" si="3">SUM(H20:H29)</f>
        <v>42247777.520000003</v>
      </c>
      <c r="I30" s="549">
        <f>SUM(I20:I29)</f>
        <v>105641110.48</v>
      </c>
      <c r="J30" s="550"/>
      <c r="K30" s="550"/>
      <c r="L30" s="551">
        <f>SUM(L20:L29)</f>
        <v>69913332.826666653</v>
      </c>
      <c r="M30" s="410"/>
      <c r="N30" s="302"/>
      <c r="O30" s="302"/>
      <c r="P30" s="302"/>
      <c r="Q30" s="397"/>
      <c r="S30" s="478"/>
      <c r="T30" s="478"/>
      <c r="U30" s="478"/>
      <c r="V30" s="478"/>
      <c r="W30" s="478"/>
      <c r="X30" s="478"/>
      <c r="Y30" s="478"/>
      <c r="Z30" s="509"/>
      <c r="AA30" s="509">
        <v>0.46</v>
      </c>
      <c r="AB30" s="478"/>
      <c r="AC30" s="478"/>
      <c r="AG30" s="466"/>
      <c r="AH30" s="466"/>
    </row>
    <row r="31" spans="1:34" ht="15.6">
      <c r="A31" s="389"/>
      <c r="B31" s="395"/>
      <c r="C31" s="574"/>
      <c r="D31" s="574"/>
      <c r="E31" s="574"/>
      <c r="F31" s="574"/>
      <c r="G31" s="499"/>
      <c r="H31" s="303"/>
      <c r="I31" s="412"/>
      <c r="J31" s="412"/>
      <c r="K31" s="412"/>
      <c r="L31" s="412"/>
      <c r="M31" s="302"/>
      <c r="N31" s="302"/>
      <c r="O31" s="302"/>
      <c r="P31" s="302"/>
      <c r="Q31" s="397"/>
      <c r="AG31" s="466">
        <v>45</v>
      </c>
      <c r="AH31" s="466">
        <v>50</v>
      </c>
    </row>
    <row r="32" spans="1:34" ht="15.75" customHeight="1">
      <c r="A32" s="389"/>
      <c r="B32" s="395"/>
      <c r="C32" s="574" t="s">
        <v>844</v>
      </c>
      <c r="D32" s="574"/>
      <c r="E32" s="575" t="str">
        <f>IF((SUM(I20:I29)+O11)&lt;150000000,"НЕТ","ДА")</f>
        <v>ДА</v>
      </c>
      <c r="F32" s="575"/>
      <c r="G32" s="499"/>
      <c r="H32" s="303"/>
      <c r="I32" s="411" t="s">
        <v>421</v>
      </c>
      <c r="J32" s="411"/>
      <c r="K32" s="411"/>
      <c r="L32" s="576">
        <f>L33+N33+P33</f>
        <v>1850</v>
      </c>
      <c r="M32" s="576"/>
      <c r="N32" s="576"/>
      <c r="O32" s="576"/>
      <c r="P32" s="576"/>
      <c r="Q32" s="397"/>
      <c r="AG32" s="465">
        <v>46</v>
      </c>
      <c r="AH32" s="465">
        <v>51</v>
      </c>
    </row>
    <row r="33" spans="1:38" ht="15.75" customHeight="1">
      <c r="A33" s="389"/>
      <c r="B33" s="395"/>
      <c r="C33" s="303"/>
      <c r="D33" s="303"/>
      <c r="E33" s="303"/>
      <c r="F33" s="303"/>
      <c r="G33" s="303"/>
      <c r="H33" s="302"/>
      <c r="I33" s="555" t="s">
        <v>418</v>
      </c>
      <c r="J33" s="555"/>
      <c r="K33" s="413" t="s">
        <v>420</v>
      </c>
      <c r="L33" s="414">
        <v>300</v>
      </c>
      <c r="M33" s="413" t="s">
        <v>419</v>
      </c>
      <c r="N33" s="414">
        <v>1500</v>
      </c>
      <c r="O33" s="413" t="s">
        <v>438</v>
      </c>
      <c r="P33" s="414">
        <v>50</v>
      </c>
      <c r="Q33" s="397"/>
      <c r="S33" s="415"/>
      <c r="AG33" s="466">
        <v>47</v>
      </c>
      <c r="AH33" s="466">
        <v>52</v>
      </c>
    </row>
    <row r="34" spans="1:38" ht="15" customHeight="1">
      <c r="A34" s="389"/>
      <c r="B34" s="395"/>
      <c r="C34" s="302"/>
      <c r="D34" s="302"/>
      <c r="E34" s="302"/>
      <c r="F34" s="302"/>
      <c r="G34" s="302"/>
      <c r="H34" s="302"/>
      <c r="I34" s="302"/>
      <c r="J34" s="302"/>
      <c r="K34" s="302"/>
      <c r="L34" s="302"/>
      <c r="M34" s="302"/>
      <c r="N34" s="302"/>
      <c r="O34" s="302"/>
      <c r="P34" s="302"/>
      <c r="Q34" s="397"/>
      <c r="S34" s="416"/>
      <c r="AG34" s="465">
        <v>48</v>
      </c>
      <c r="AH34" s="465">
        <v>53</v>
      </c>
    </row>
    <row r="35" spans="1:38" ht="15.6">
      <c r="A35" s="389"/>
      <c r="B35" s="578" t="s">
        <v>799</v>
      </c>
      <c r="C35" s="579"/>
      <c r="D35" s="579"/>
      <c r="E35" s="579"/>
      <c r="F35" s="579"/>
      <c r="G35" s="579"/>
      <c r="H35" s="579"/>
      <c r="I35" s="579"/>
      <c r="J35" s="579"/>
      <c r="K35" s="579"/>
      <c r="L35" s="579"/>
      <c r="M35" s="579"/>
      <c r="N35" s="479"/>
      <c r="O35" s="479"/>
      <c r="P35" s="479"/>
      <c r="Q35" s="397"/>
      <c r="AG35" s="466">
        <v>49</v>
      </c>
      <c r="AH35" s="466">
        <v>54</v>
      </c>
    </row>
    <row r="36" spans="1:38" ht="15.6" thickBot="1">
      <c r="A36" s="389"/>
      <c r="B36" s="395"/>
      <c r="C36" s="302"/>
      <c r="D36" s="303"/>
      <c r="E36" s="303"/>
      <c r="F36" s="302"/>
      <c r="G36" s="303"/>
      <c r="H36" s="303"/>
      <c r="I36" s="303"/>
      <c r="J36" s="303"/>
      <c r="K36" s="303"/>
      <c r="L36" s="303"/>
      <c r="M36" s="472"/>
      <c r="N36" s="304"/>
      <c r="O36" s="304"/>
      <c r="P36" s="304"/>
      <c r="Q36" s="397"/>
      <c r="AG36" s="465">
        <v>50</v>
      </c>
      <c r="AH36" s="465">
        <v>55</v>
      </c>
    </row>
    <row r="37" spans="1:38" s="301" customFormat="1" ht="34.950000000000003" customHeight="1" thickBot="1">
      <c r="A37" s="402"/>
      <c r="B37" s="403"/>
      <c r="C37" s="566" t="s">
        <v>71</v>
      </c>
      <c r="D37" s="567"/>
      <c r="E37" s="469"/>
      <c r="F37" s="566" t="s">
        <v>86</v>
      </c>
      <c r="G37" s="577"/>
      <c r="H37" s="577"/>
      <c r="I37" s="577"/>
      <c r="J37" s="567"/>
      <c r="K37" s="469"/>
      <c r="L37" s="571" t="s">
        <v>229</v>
      </c>
      <c r="M37" s="572"/>
      <c r="N37" s="572"/>
      <c r="O37" s="572"/>
      <c r="P37" s="573"/>
      <c r="Q37" s="404"/>
      <c r="R37" s="402"/>
      <c r="S37" s="402"/>
      <c r="T37" s="389"/>
      <c r="U37" s="389"/>
      <c r="V37" s="389"/>
      <c r="W37" s="389"/>
      <c r="X37" s="402"/>
      <c r="Y37" s="402"/>
      <c r="Z37" s="402"/>
      <c r="AA37" s="402"/>
      <c r="AB37" s="402"/>
      <c r="AC37" s="402"/>
      <c r="AD37" s="402"/>
      <c r="AE37" s="402"/>
      <c r="AF37" s="402"/>
      <c r="AG37" s="466">
        <v>51</v>
      </c>
      <c r="AH37" s="466">
        <v>56</v>
      </c>
      <c r="AI37" s="402"/>
      <c r="AJ37" s="402"/>
      <c r="AK37" s="402"/>
      <c r="AL37" s="402"/>
    </row>
    <row r="38" spans="1:38" ht="22.95" customHeight="1">
      <c r="A38" s="389"/>
      <c r="B38" s="395"/>
      <c r="C38" s="569" t="s">
        <v>345</v>
      </c>
      <c r="D38" s="303"/>
      <c r="E38" s="303"/>
      <c r="F38" s="303"/>
      <c r="G38" s="303"/>
      <c r="H38" s="303"/>
      <c r="I38" s="303"/>
      <c r="J38" s="303"/>
      <c r="K38" s="303"/>
      <c r="L38" s="569" t="s">
        <v>350</v>
      </c>
      <c r="M38" s="472"/>
      <c r="N38" s="569" t="s">
        <v>346</v>
      </c>
      <c r="O38" s="304"/>
      <c r="P38" s="569" t="s">
        <v>347</v>
      </c>
      <c r="Q38" s="397"/>
      <c r="AG38" s="465">
        <v>52</v>
      </c>
      <c r="AH38" s="465">
        <v>57</v>
      </c>
    </row>
    <row r="39" spans="1:38" ht="15">
      <c r="A39" s="389"/>
      <c r="B39" s="395"/>
      <c r="C39" s="569"/>
      <c r="D39" s="417"/>
      <c r="E39" s="303"/>
      <c r="F39" s="401" t="s">
        <v>377</v>
      </c>
      <c r="G39" s="303"/>
      <c r="H39" s="401" t="s">
        <v>378</v>
      </c>
      <c r="I39" s="302"/>
      <c r="J39" s="401" t="s">
        <v>424</v>
      </c>
      <c r="K39" s="303"/>
      <c r="L39" s="570"/>
      <c r="M39" s="303"/>
      <c r="N39" s="570"/>
      <c r="O39" s="304"/>
      <c r="P39" s="570"/>
      <c r="Q39" s="397"/>
      <c r="AG39" s="466">
        <v>53</v>
      </c>
      <c r="AH39" s="466">
        <v>58</v>
      </c>
    </row>
    <row r="40" spans="1:38" ht="15.6">
      <c r="A40" s="389"/>
      <c r="B40" s="395"/>
      <c r="C40" s="418" t="s">
        <v>72</v>
      </c>
      <c r="D40" s="514">
        <v>700</v>
      </c>
      <c r="E40" s="470" t="s">
        <v>70</v>
      </c>
      <c r="F40" s="518">
        <v>22</v>
      </c>
      <c r="G40" s="406"/>
      <c r="H40" s="518">
        <v>20</v>
      </c>
      <c r="I40" s="519"/>
      <c r="J40" s="518">
        <v>18</v>
      </c>
      <c r="K40" s="304" t="s">
        <v>74</v>
      </c>
      <c r="L40" s="518">
        <f>(29.8+25+28.5+30.4+29.4)/5</f>
        <v>28.619999999999997</v>
      </c>
      <c r="M40" s="515"/>
      <c r="N40" s="520">
        <f>(F40+H40+J40)/3</f>
        <v>20</v>
      </c>
      <c r="O40" s="521"/>
      <c r="P40" s="520">
        <f>IF(N40&lt;L40,N40,AVERAGE(L40,N40))</f>
        <v>20</v>
      </c>
      <c r="Q40" s="397"/>
      <c r="AG40" s="465">
        <v>54</v>
      </c>
      <c r="AH40" s="465">
        <v>59</v>
      </c>
    </row>
    <row r="41" spans="1:38" ht="15.6">
      <c r="A41" s="389"/>
      <c r="B41" s="395"/>
      <c r="C41" s="411"/>
      <c r="D41" s="515"/>
      <c r="E41" s="302"/>
      <c r="F41" s="515"/>
      <c r="G41" s="515"/>
      <c r="H41" s="515"/>
      <c r="I41" s="405"/>
      <c r="J41" s="515"/>
      <c r="K41" s="515"/>
      <c r="L41" s="515"/>
      <c r="M41" s="522"/>
      <c r="N41" s="523"/>
      <c r="O41" s="521"/>
      <c r="P41" s="523"/>
      <c r="Q41" s="397"/>
      <c r="AG41" s="466">
        <v>55</v>
      </c>
      <c r="AH41" s="466">
        <v>60</v>
      </c>
    </row>
    <row r="42" spans="1:38" ht="15.6">
      <c r="A42" s="389"/>
      <c r="B42" s="395"/>
      <c r="C42" s="418" t="s">
        <v>461</v>
      </c>
      <c r="D42" s="514">
        <v>500</v>
      </c>
      <c r="E42" s="470" t="s">
        <v>70</v>
      </c>
      <c r="F42" s="518">
        <v>15</v>
      </c>
      <c r="G42" s="515"/>
      <c r="H42" s="518">
        <v>16</v>
      </c>
      <c r="I42" s="519"/>
      <c r="J42" s="518">
        <v>17</v>
      </c>
      <c r="K42" s="304" t="s">
        <v>74</v>
      </c>
      <c r="L42" s="518">
        <v>15</v>
      </c>
      <c r="M42" s="515"/>
      <c r="N42" s="520">
        <f>(F42+H42+J42)/3</f>
        <v>16</v>
      </c>
      <c r="O42" s="521"/>
      <c r="P42" s="520">
        <f>IF(N42&lt;L42,N42,AVERAGE(L42,N42))</f>
        <v>15.5</v>
      </c>
      <c r="Q42" s="397"/>
      <c r="AG42" s="465">
        <v>56</v>
      </c>
      <c r="AH42" s="465">
        <v>61</v>
      </c>
    </row>
    <row r="43" spans="1:38" ht="15.6">
      <c r="A43" s="389"/>
      <c r="B43" s="395"/>
      <c r="C43" s="411"/>
      <c r="D43" s="515"/>
      <c r="E43" s="302"/>
      <c r="F43" s="515"/>
      <c r="G43" s="515"/>
      <c r="H43" s="515"/>
      <c r="I43" s="405"/>
      <c r="J43" s="515"/>
      <c r="K43" s="515"/>
      <c r="L43" s="515"/>
      <c r="M43" s="304"/>
      <c r="N43" s="523"/>
      <c r="O43" s="521"/>
      <c r="P43" s="523"/>
      <c r="Q43" s="397"/>
      <c r="AG43" s="466">
        <v>57</v>
      </c>
      <c r="AH43" s="466">
        <v>62</v>
      </c>
    </row>
    <row r="44" spans="1:38" ht="15.6">
      <c r="A44" s="389"/>
      <c r="B44" s="395"/>
      <c r="C44" s="418"/>
      <c r="D44" s="514"/>
      <c r="E44" s="470" t="s">
        <v>70</v>
      </c>
      <c r="F44" s="518"/>
      <c r="G44" s="515"/>
      <c r="H44" s="518"/>
      <c r="I44" s="519"/>
      <c r="J44" s="518"/>
      <c r="K44" s="304" t="s">
        <v>74</v>
      </c>
      <c r="L44" s="518"/>
      <c r="M44" s="515"/>
      <c r="N44" s="520">
        <f>(F44+H44+J44)/3</f>
        <v>0</v>
      </c>
      <c r="O44" s="521"/>
      <c r="P44" s="520">
        <f>IF(N44&lt;L44,N44,AVERAGE(L44,N44))</f>
        <v>0</v>
      </c>
      <c r="Q44" s="397"/>
      <c r="AG44" s="465">
        <v>58</v>
      </c>
      <c r="AH44" s="465">
        <v>63</v>
      </c>
    </row>
    <row r="45" spans="1:38" ht="15">
      <c r="A45" s="389"/>
      <c r="B45" s="395"/>
      <c r="C45" s="472"/>
      <c r="D45" s="515"/>
      <c r="E45" s="302"/>
      <c r="F45" s="515"/>
      <c r="G45" s="515"/>
      <c r="H45" s="515"/>
      <c r="I45" s="515"/>
      <c r="J45" s="515"/>
      <c r="K45" s="304"/>
      <c r="L45" s="515"/>
      <c r="M45" s="304"/>
      <c r="N45" s="524"/>
      <c r="O45" s="521"/>
      <c r="P45" s="524"/>
      <c r="Q45" s="397"/>
      <c r="AG45" s="466">
        <v>59</v>
      </c>
      <c r="AH45" s="466">
        <v>64</v>
      </c>
    </row>
    <row r="46" spans="1:38" ht="15.6">
      <c r="A46" s="389"/>
      <c r="B46" s="395"/>
      <c r="C46" s="418"/>
      <c r="D46" s="514"/>
      <c r="E46" s="470" t="s">
        <v>70</v>
      </c>
      <c r="F46" s="518"/>
      <c r="G46" s="515"/>
      <c r="H46" s="518"/>
      <c r="I46" s="519"/>
      <c r="J46" s="518"/>
      <c r="K46" s="304" t="s">
        <v>74</v>
      </c>
      <c r="L46" s="518"/>
      <c r="M46" s="515"/>
      <c r="N46" s="520">
        <f>(F46+H46+J46)/3</f>
        <v>0</v>
      </c>
      <c r="O46" s="521"/>
      <c r="P46" s="520">
        <f>IF(N46&lt;L46,N46,AVERAGE(L46,N46))</f>
        <v>0</v>
      </c>
      <c r="Q46" s="397"/>
      <c r="AG46" s="465">
        <v>60</v>
      </c>
      <c r="AH46" s="465">
        <v>65</v>
      </c>
    </row>
    <row r="47" spans="1:38" ht="15">
      <c r="A47" s="389"/>
      <c r="B47" s="395"/>
      <c r="C47" s="302"/>
      <c r="D47" s="515"/>
      <c r="E47" s="302"/>
      <c r="F47" s="515"/>
      <c r="G47" s="515"/>
      <c r="H47" s="515"/>
      <c r="I47" s="515"/>
      <c r="J47" s="525"/>
      <c r="K47" s="419"/>
      <c r="L47" s="525"/>
      <c r="M47" s="525"/>
      <c r="N47" s="526"/>
      <c r="O47" s="521"/>
      <c r="P47" s="526"/>
      <c r="Q47" s="397"/>
      <c r="AG47" s="466">
        <v>61</v>
      </c>
      <c r="AH47" s="466">
        <v>66</v>
      </c>
    </row>
    <row r="48" spans="1:38" ht="15.6">
      <c r="A48" s="389"/>
      <c r="B48" s="395"/>
      <c r="C48" s="418"/>
      <c r="D48" s="514"/>
      <c r="E48" s="470" t="s">
        <v>70</v>
      </c>
      <c r="F48" s="518"/>
      <c r="G48" s="515"/>
      <c r="H48" s="518"/>
      <c r="I48" s="519"/>
      <c r="J48" s="518"/>
      <c r="K48" s="304" t="s">
        <v>74</v>
      </c>
      <c r="L48" s="518"/>
      <c r="M48" s="515"/>
      <c r="N48" s="520">
        <f>(F48+H48+J48)/3</f>
        <v>0</v>
      </c>
      <c r="O48" s="521"/>
      <c r="P48" s="520">
        <f>IF(N48&lt;L48,N48,AVERAGE(L48,N48))</f>
        <v>0</v>
      </c>
      <c r="Q48" s="397"/>
      <c r="AG48" s="465">
        <v>62</v>
      </c>
      <c r="AH48" s="465">
        <v>67</v>
      </c>
    </row>
    <row r="49" spans="1:34" ht="15.6">
      <c r="A49" s="389"/>
      <c r="B49" s="395"/>
      <c r="C49" s="420"/>
      <c r="D49" s="515"/>
      <c r="E49" s="303"/>
      <c r="F49" s="515"/>
      <c r="G49" s="515"/>
      <c r="H49" s="515"/>
      <c r="I49" s="522"/>
      <c r="J49" s="522"/>
      <c r="K49" s="515"/>
      <c r="L49" s="522"/>
      <c r="M49" s="522"/>
      <c r="N49" s="524"/>
      <c r="O49" s="521"/>
      <c r="P49" s="524"/>
      <c r="Q49" s="397"/>
      <c r="AG49" s="466">
        <v>63</v>
      </c>
      <c r="AH49" s="466">
        <v>68</v>
      </c>
    </row>
    <row r="50" spans="1:34" ht="15.6">
      <c r="A50" s="389"/>
      <c r="B50" s="395"/>
      <c r="C50" s="418"/>
      <c r="D50" s="514"/>
      <c r="E50" s="470" t="s">
        <v>70</v>
      </c>
      <c r="F50" s="518"/>
      <c r="G50" s="515"/>
      <c r="H50" s="518"/>
      <c r="I50" s="519"/>
      <c r="J50" s="518"/>
      <c r="K50" s="304" t="s">
        <v>74</v>
      </c>
      <c r="L50" s="518"/>
      <c r="M50" s="515"/>
      <c r="N50" s="520">
        <f>(F50+H50+J50)/3</f>
        <v>0</v>
      </c>
      <c r="O50" s="521"/>
      <c r="P50" s="520">
        <f>IF(N50&lt;L50,N50,AVERAGE(L50,N50))</f>
        <v>0</v>
      </c>
      <c r="Q50" s="397"/>
      <c r="AG50" s="465">
        <v>64</v>
      </c>
      <c r="AH50" s="465">
        <v>69</v>
      </c>
    </row>
    <row r="51" spans="1:34" ht="15">
      <c r="A51" s="389"/>
      <c r="B51" s="395"/>
      <c r="C51" s="303"/>
      <c r="D51" s="515"/>
      <c r="E51" s="302"/>
      <c r="F51" s="515"/>
      <c r="G51" s="515"/>
      <c r="H51" s="515"/>
      <c r="I51" s="522"/>
      <c r="J51" s="515"/>
      <c r="K51" s="304"/>
      <c r="L51" s="515"/>
      <c r="M51" s="515"/>
      <c r="N51" s="523"/>
      <c r="O51" s="521"/>
      <c r="P51" s="523"/>
      <c r="Q51" s="397"/>
      <c r="AG51" s="466">
        <v>65</v>
      </c>
      <c r="AH51" s="466">
        <v>70</v>
      </c>
    </row>
    <row r="52" spans="1:34" ht="15.6">
      <c r="A52" s="389"/>
      <c r="B52" s="395"/>
      <c r="C52" s="418"/>
      <c r="D52" s="514"/>
      <c r="E52" s="470" t="s">
        <v>70</v>
      </c>
      <c r="F52" s="518"/>
      <c r="G52" s="515"/>
      <c r="H52" s="518"/>
      <c r="I52" s="519"/>
      <c r="J52" s="518"/>
      <c r="K52" s="304" t="s">
        <v>74</v>
      </c>
      <c r="L52" s="518"/>
      <c r="M52" s="515"/>
      <c r="N52" s="520">
        <f>(F52+H52+J52)/3</f>
        <v>0</v>
      </c>
      <c r="O52" s="521"/>
      <c r="P52" s="520">
        <f>IF(N52&lt;L52,N52,AVERAGE(L52,N52))</f>
        <v>0</v>
      </c>
      <c r="Q52" s="397"/>
      <c r="AG52" s="465">
        <v>66</v>
      </c>
      <c r="AH52" s="465">
        <v>71</v>
      </c>
    </row>
    <row r="53" spans="1:34" ht="13.8">
      <c r="A53" s="389"/>
      <c r="B53" s="395"/>
      <c r="C53" s="303"/>
      <c r="D53" s="515"/>
      <c r="E53" s="303"/>
      <c r="F53" s="515"/>
      <c r="G53" s="515"/>
      <c r="H53" s="515"/>
      <c r="I53" s="522"/>
      <c r="J53" s="515"/>
      <c r="K53" s="304"/>
      <c r="L53" s="515"/>
      <c r="M53" s="515"/>
      <c r="N53" s="523"/>
      <c r="O53" s="521"/>
      <c r="P53" s="523"/>
      <c r="Q53" s="397"/>
      <c r="AG53" s="466">
        <v>67</v>
      </c>
      <c r="AH53" s="466">
        <v>72</v>
      </c>
    </row>
    <row r="54" spans="1:34" ht="15.6">
      <c r="A54" s="389"/>
      <c r="B54" s="395"/>
      <c r="C54" s="418"/>
      <c r="D54" s="514"/>
      <c r="E54" s="470" t="s">
        <v>70</v>
      </c>
      <c r="F54" s="518"/>
      <c r="G54" s="515"/>
      <c r="H54" s="518"/>
      <c r="I54" s="519"/>
      <c r="J54" s="518"/>
      <c r="K54" s="304" t="s">
        <v>74</v>
      </c>
      <c r="L54" s="518"/>
      <c r="M54" s="515"/>
      <c r="N54" s="520">
        <f>(F54+H54+J54)/3</f>
        <v>0</v>
      </c>
      <c r="O54" s="521"/>
      <c r="P54" s="520">
        <f>IF(N54&lt;L54,N54,AVERAGE(L54,N54))</f>
        <v>0</v>
      </c>
      <c r="Q54" s="397"/>
      <c r="AG54" s="465">
        <v>68</v>
      </c>
      <c r="AH54" s="465">
        <v>73</v>
      </c>
    </row>
    <row r="55" spans="1:34" ht="15.6">
      <c r="A55" s="389"/>
      <c r="B55" s="395"/>
      <c r="C55" s="420"/>
      <c r="D55" s="515"/>
      <c r="E55" s="302"/>
      <c r="F55" s="515"/>
      <c r="G55" s="515"/>
      <c r="H55" s="515"/>
      <c r="I55" s="522"/>
      <c r="J55" s="515"/>
      <c r="K55" s="304"/>
      <c r="L55" s="515"/>
      <c r="M55" s="515"/>
      <c r="N55" s="523"/>
      <c r="O55" s="521"/>
      <c r="P55" s="523"/>
      <c r="Q55" s="397"/>
      <c r="AG55" s="466">
        <v>69</v>
      </c>
      <c r="AH55" s="466">
        <v>74</v>
      </c>
    </row>
    <row r="56" spans="1:34" ht="15.6">
      <c r="A56" s="389"/>
      <c r="B56" s="395"/>
      <c r="C56" s="418"/>
      <c r="D56" s="514"/>
      <c r="E56" s="470" t="s">
        <v>70</v>
      </c>
      <c r="F56" s="518"/>
      <c r="G56" s="515"/>
      <c r="H56" s="518"/>
      <c r="I56" s="519"/>
      <c r="J56" s="518"/>
      <c r="K56" s="304" t="s">
        <v>74</v>
      </c>
      <c r="L56" s="518"/>
      <c r="M56" s="515"/>
      <c r="N56" s="520">
        <f>(F56+H56+J56)/3</f>
        <v>0</v>
      </c>
      <c r="O56" s="521"/>
      <c r="P56" s="520">
        <f>IF(N56&lt;L56,N56,AVERAGE(L56,N56))</f>
        <v>0</v>
      </c>
      <c r="Q56" s="397"/>
      <c r="AG56" s="465">
        <v>70</v>
      </c>
      <c r="AH56" s="465">
        <v>75</v>
      </c>
    </row>
    <row r="57" spans="1:34" ht="15.6">
      <c r="A57" s="389"/>
      <c r="B57" s="395"/>
      <c r="C57" s="420"/>
      <c r="D57" s="515"/>
      <c r="E57" s="302"/>
      <c r="F57" s="515"/>
      <c r="G57" s="515"/>
      <c r="H57" s="515"/>
      <c r="I57" s="522"/>
      <c r="J57" s="515"/>
      <c r="K57" s="304"/>
      <c r="L57" s="515"/>
      <c r="M57" s="515"/>
      <c r="N57" s="523"/>
      <c r="O57" s="521"/>
      <c r="P57" s="523"/>
      <c r="Q57" s="397"/>
      <c r="AG57" s="466">
        <v>71</v>
      </c>
      <c r="AH57" s="466">
        <v>76</v>
      </c>
    </row>
    <row r="58" spans="1:34" ht="15.6">
      <c r="A58" s="389"/>
      <c r="B58" s="395"/>
      <c r="C58" s="418"/>
      <c r="D58" s="516"/>
      <c r="E58" s="470" t="s">
        <v>70</v>
      </c>
      <c r="F58" s="518"/>
      <c r="G58" s="515"/>
      <c r="H58" s="518"/>
      <c r="I58" s="519"/>
      <c r="J58" s="518"/>
      <c r="K58" s="304" t="s">
        <v>74</v>
      </c>
      <c r="L58" s="518"/>
      <c r="M58" s="515"/>
      <c r="N58" s="520">
        <f>(F58+H58+J58)/3</f>
        <v>0</v>
      </c>
      <c r="O58" s="521"/>
      <c r="P58" s="520">
        <f>IF(N58&lt;L58,N58,AVERAGE(L58,N58))</f>
        <v>0</v>
      </c>
      <c r="Q58" s="397"/>
      <c r="AG58" s="465">
        <v>72</v>
      </c>
      <c r="AH58" s="465">
        <v>77</v>
      </c>
    </row>
    <row r="59" spans="1:34" ht="15.6">
      <c r="A59" s="389"/>
      <c r="B59" s="395"/>
      <c r="C59" s="420"/>
      <c r="D59" s="515"/>
      <c r="E59" s="302"/>
      <c r="F59" s="515"/>
      <c r="G59" s="515"/>
      <c r="H59" s="515"/>
      <c r="I59" s="522"/>
      <c r="J59" s="515"/>
      <c r="K59" s="304"/>
      <c r="L59" s="515"/>
      <c r="M59" s="515"/>
      <c r="N59" s="523"/>
      <c r="O59" s="521"/>
      <c r="P59" s="523"/>
      <c r="Q59" s="397"/>
      <c r="AG59" s="466">
        <v>73</v>
      </c>
      <c r="AH59" s="466">
        <v>78</v>
      </c>
    </row>
    <row r="60" spans="1:34" ht="15.6">
      <c r="A60" s="389"/>
      <c r="B60" s="395"/>
      <c r="C60" s="418"/>
      <c r="D60" s="516"/>
      <c r="E60" s="470" t="s">
        <v>70</v>
      </c>
      <c r="F60" s="518"/>
      <c r="G60" s="515"/>
      <c r="H60" s="518"/>
      <c r="I60" s="519"/>
      <c r="J60" s="518"/>
      <c r="K60" s="304" t="s">
        <v>74</v>
      </c>
      <c r="L60" s="518"/>
      <c r="M60" s="515"/>
      <c r="N60" s="520">
        <f>(F60+H60+J60)/3</f>
        <v>0</v>
      </c>
      <c r="O60" s="521"/>
      <c r="P60" s="520">
        <f>IF(N60&lt;L60,N60,AVERAGE(L60,N60))</f>
        <v>0</v>
      </c>
      <c r="Q60" s="397"/>
      <c r="AG60" s="465">
        <v>74</v>
      </c>
      <c r="AH60" s="465">
        <v>79</v>
      </c>
    </row>
    <row r="61" spans="1:34" s="305" customFormat="1" ht="13.8">
      <c r="B61" s="421"/>
      <c r="C61" s="421"/>
      <c r="D61" s="517"/>
      <c r="E61" s="421"/>
      <c r="F61" s="421"/>
      <c r="G61" s="421"/>
      <c r="H61" s="421"/>
      <c r="I61" s="421"/>
      <c r="J61" s="421"/>
      <c r="K61" s="421"/>
      <c r="L61" s="421"/>
      <c r="M61" s="421"/>
      <c r="N61" s="421"/>
      <c r="O61" s="421"/>
      <c r="P61" s="421"/>
      <c r="Q61" s="421"/>
      <c r="AG61" s="466">
        <v>75</v>
      </c>
      <c r="AH61" s="466">
        <v>80</v>
      </c>
    </row>
    <row r="62" spans="1:34" ht="12.75" customHeight="1">
      <c r="A62" s="389"/>
      <c r="B62" s="395"/>
      <c r="C62" s="583" t="s">
        <v>441</v>
      </c>
      <c r="D62" s="556" t="str">
        <f>IF(D40+D42+D44+D46+D48+D50+D52+D54+D56+D58+D60&gt;N33,"Нет","Да")</f>
        <v>Да</v>
      </c>
      <c r="E62" s="584" t="s">
        <v>70</v>
      </c>
      <c r="F62" s="587" t="s">
        <v>362</v>
      </c>
      <c r="G62" s="587"/>
      <c r="H62" s="587"/>
      <c r="I62" s="587"/>
      <c r="J62" s="587"/>
      <c r="K62" s="587"/>
      <c r="L62" s="587"/>
      <c r="M62" s="587"/>
      <c r="N62" s="587"/>
      <c r="O62" s="587"/>
      <c r="P62" s="587"/>
      <c r="Q62" s="397"/>
      <c r="AG62" s="465">
        <v>76</v>
      </c>
      <c r="AH62" s="465">
        <v>81</v>
      </c>
    </row>
    <row r="63" spans="1:34" ht="23.25" customHeight="1">
      <c r="A63" s="389"/>
      <c r="B63" s="395"/>
      <c r="C63" s="583"/>
      <c r="D63" s="557"/>
      <c r="E63" s="584"/>
      <c r="F63" s="587"/>
      <c r="G63" s="587"/>
      <c r="H63" s="587"/>
      <c r="I63" s="587"/>
      <c r="J63" s="587"/>
      <c r="K63" s="587"/>
      <c r="L63" s="587"/>
      <c r="M63" s="587"/>
      <c r="N63" s="587"/>
      <c r="O63" s="587"/>
      <c r="P63" s="587"/>
      <c r="Q63" s="397"/>
      <c r="AG63" s="466">
        <v>77</v>
      </c>
      <c r="AH63" s="466">
        <v>82</v>
      </c>
    </row>
    <row r="64" spans="1:34" ht="15.6">
      <c r="A64" s="389"/>
      <c r="B64" s="395"/>
      <c r="C64" s="422"/>
      <c r="D64" s="303"/>
      <c r="E64" s="422"/>
      <c r="F64" s="417"/>
      <c r="G64" s="417"/>
      <c r="H64" s="417"/>
      <c r="I64" s="417"/>
      <c r="J64" s="417"/>
      <c r="K64" s="417"/>
      <c r="L64" s="417"/>
      <c r="M64" s="417"/>
      <c r="N64" s="417"/>
      <c r="O64" s="417"/>
      <c r="P64" s="417"/>
      <c r="Q64" s="397"/>
      <c r="AG64" s="465">
        <v>78</v>
      </c>
      <c r="AH64" s="465">
        <v>83</v>
      </c>
    </row>
    <row r="65" spans="1:38" ht="12.75" customHeight="1">
      <c r="A65" s="389"/>
      <c r="B65" s="395"/>
      <c r="C65" s="303"/>
      <c r="D65" s="533" t="str">
        <f>C40</f>
        <v>Пшеница</v>
      </c>
      <c r="E65" s="533" t="str">
        <f>C42</f>
        <v>Овес</v>
      </c>
      <c r="F65" s="533">
        <f>C44</f>
        <v>0</v>
      </c>
      <c r="G65" s="533">
        <f>C46</f>
        <v>0</v>
      </c>
      <c r="H65" s="533">
        <f>C48</f>
        <v>0</v>
      </c>
      <c r="I65" s="533">
        <f>C50</f>
        <v>0</v>
      </c>
      <c r="J65" s="533">
        <f>C52</f>
        <v>0</v>
      </c>
      <c r="K65" s="533">
        <f>C54</f>
        <v>0</v>
      </c>
      <c r="L65" s="533">
        <f>C56</f>
        <v>0</v>
      </c>
      <c r="M65" s="533">
        <f>C58</f>
        <v>0</v>
      </c>
      <c r="N65" s="533">
        <f>C60</f>
        <v>0</v>
      </c>
      <c r="O65" s="421"/>
      <c r="P65" s="421"/>
      <c r="Q65" s="397"/>
      <c r="AG65" s="466">
        <v>79</v>
      </c>
      <c r="AH65" s="466">
        <v>84</v>
      </c>
    </row>
    <row r="66" spans="1:38" ht="24" customHeight="1">
      <c r="A66" s="389"/>
      <c r="B66" s="395"/>
      <c r="C66" s="423" t="s">
        <v>360</v>
      </c>
      <c r="D66" s="534">
        <v>200</v>
      </c>
      <c r="E66" s="534"/>
      <c r="F66" s="534"/>
      <c r="G66" s="534"/>
      <c r="H66" s="534"/>
      <c r="I66" s="534"/>
      <c r="J66" s="534"/>
      <c r="K66" s="534"/>
      <c r="L66" s="534"/>
      <c r="M66" s="534"/>
      <c r="N66" s="534"/>
      <c r="O66" s="563"/>
      <c r="P66" s="564"/>
      <c r="Q66" s="565"/>
      <c r="AG66" s="465">
        <v>80</v>
      </c>
      <c r="AH66" s="465">
        <v>85</v>
      </c>
    </row>
    <row r="67" spans="1:38" s="306" customFormat="1" ht="15.6">
      <c r="A67" s="424"/>
      <c r="B67" s="303"/>
      <c r="C67" s="423"/>
      <c r="D67" s="535"/>
      <c r="E67" s="535"/>
      <c r="F67" s="535"/>
      <c r="G67" s="535"/>
      <c r="H67" s="535"/>
      <c r="I67" s="536"/>
      <c r="J67" s="535"/>
      <c r="K67" s="535"/>
      <c r="L67" s="535"/>
      <c r="M67" s="535"/>
      <c r="N67" s="535"/>
      <c r="O67" s="421"/>
      <c r="P67" s="421"/>
      <c r="Q67" s="472"/>
      <c r="R67" s="424"/>
      <c r="S67" s="424"/>
      <c r="T67" s="424"/>
      <c r="U67" s="424"/>
      <c r="V67" s="424"/>
      <c r="W67" s="424"/>
      <c r="X67" s="424"/>
      <c r="Y67" s="424"/>
      <c r="Z67" s="424"/>
      <c r="AA67" s="424"/>
      <c r="AB67" s="424"/>
      <c r="AC67" s="424"/>
      <c r="AD67" s="424"/>
      <c r="AE67" s="424"/>
      <c r="AF67" s="424"/>
      <c r="AG67" s="466">
        <v>81</v>
      </c>
      <c r="AH67" s="466">
        <v>86</v>
      </c>
      <c r="AI67" s="424"/>
      <c r="AJ67" s="424"/>
      <c r="AK67" s="424"/>
      <c r="AL67" s="424"/>
    </row>
    <row r="68" spans="1:38" ht="15.75" customHeight="1">
      <c r="A68" s="389"/>
      <c r="B68" s="395"/>
      <c r="C68" s="588" t="s">
        <v>496</v>
      </c>
      <c r="D68" s="534">
        <v>45000</v>
      </c>
      <c r="E68" s="534"/>
      <c r="F68" s="534"/>
      <c r="G68" s="534"/>
      <c r="H68" s="534"/>
      <c r="I68" s="537"/>
      <c r="J68" s="534"/>
      <c r="K68" s="534"/>
      <c r="L68" s="534"/>
      <c r="M68" s="534"/>
      <c r="N68" s="534"/>
      <c r="O68" s="425"/>
      <c r="P68" s="421"/>
      <c r="Q68" s="397"/>
      <c r="AG68" s="465">
        <v>82</v>
      </c>
      <c r="AH68" s="465">
        <v>87</v>
      </c>
    </row>
    <row r="69" spans="1:38" ht="15.75" customHeight="1">
      <c r="A69" s="389"/>
      <c r="B69" s="395"/>
      <c r="C69" s="588"/>
      <c r="D69" s="538"/>
      <c r="E69" s="538"/>
      <c r="F69" s="538"/>
      <c r="G69" s="538"/>
      <c r="H69" s="538"/>
      <c r="I69" s="538"/>
      <c r="J69" s="538"/>
      <c r="K69" s="538"/>
      <c r="L69" s="538"/>
      <c r="M69" s="538"/>
      <c r="N69" s="535"/>
      <c r="O69" s="425"/>
      <c r="P69" s="421"/>
      <c r="Q69" s="397"/>
      <c r="AG69" s="466">
        <v>83</v>
      </c>
      <c r="AH69" s="466">
        <v>88</v>
      </c>
    </row>
    <row r="70" spans="1:38" ht="15.6">
      <c r="A70" s="389"/>
      <c r="B70" s="395"/>
      <c r="C70" s="423" t="s">
        <v>497</v>
      </c>
      <c r="D70" s="534">
        <v>47970</v>
      </c>
      <c r="E70" s="534"/>
      <c r="F70" s="534"/>
      <c r="G70" s="534"/>
      <c r="H70" s="534"/>
      <c r="I70" s="537"/>
      <c r="J70" s="534"/>
      <c r="K70" s="534"/>
      <c r="L70" s="534"/>
      <c r="M70" s="534"/>
      <c r="N70" s="534"/>
      <c r="O70" s="425"/>
      <c r="P70" s="421"/>
      <c r="Q70" s="397"/>
      <c r="AG70" s="465">
        <v>84</v>
      </c>
      <c r="AH70" s="465">
        <v>89</v>
      </c>
    </row>
    <row r="71" spans="1:38" ht="15.6">
      <c r="A71" s="389"/>
      <c r="B71" s="395"/>
      <c r="C71" s="426"/>
      <c r="D71" s="303"/>
      <c r="E71" s="303"/>
      <c r="F71" s="303"/>
      <c r="G71" s="303"/>
      <c r="H71" s="303"/>
      <c r="I71" s="472"/>
      <c r="J71" s="472"/>
      <c r="K71" s="472"/>
      <c r="L71" s="472"/>
      <c r="M71" s="472"/>
      <c r="N71" s="472"/>
      <c r="O71" s="470"/>
      <c r="P71" s="304"/>
      <c r="Q71" s="397"/>
      <c r="AG71" s="466">
        <v>85</v>
      </c>
      <c r="AH71" s="466">
        <v>90</v>
      </c>
    </row>
    <row r="72" spans="1:38" ht="15.6">
      <c r="A72" s="389"/>
      <c r="B72" s="395"/>
      <c r="C72" s="426"/>
      <c r="D72" s="303"/>
      <c r="E72" s="303"/>
      <c r="F72" s="303"/>
      <c r="G72" s="303"/>
      <c r="H72" s="303"/>
      <c r="I72" s="472"/>
      <c r="J72" s="472"/>
      <c r="K72" s="472"/>
      <c r="L72" s="472"/>
      <c r="M72" s="472"/>
      <c r="N72" s="472"/>
      <c r="O72" s="470"/>
      <c r="P72" s="304"/>
      <c r="Q72" s="397"/>
      <c r="AG72" s="465">
        <v>86</v>
      </c>
      <c r="AH72" s="465">
        <v>91</v>
      </c>
    </row>
    <row r="73" spans="1:38" ht="15.75" customHeight="1">
      <c r="A73" s="389"/>
      <c r="B73" s="585" t="s">
        <v>446</v>
      </c>
      <c r="C73" s="586"/>
      <c r="D73" s="586"/>
      <c r="E73" s="586"/>
      <c r="F73" s="586"/>
      <c r="G73" s="586"/>
      <c r="H73" s="586"/>
      <c r="I73" s="586"/>
      <c r="J73" s="586"/>
      <c r="K73" s="586"/>
      <c r="L73" s="586"/>
      <c r="M73" s="586"/>
      <c r="N73" s="586"/>
      <c r="O73" s="586"/>
      <c r="P73" s="586"/>
      <c r="Q73" s="397"/>
      <c r="AG73" s="466">
        <v>87</v>
      </c>
      <c r="AH73" s="466">
        <v>92</v>
      </c>
    </row>
    <row r="74" spans="1:38" ht="15.75" customHeight="1">
      <c r="A74" s="389"/>
      <c r="B74" s="395"/>
      <c r="C74" s="427" t="s">
        <v>451</v>
      </c>
      <c r="D74" s="473"/>
      <c r="E74" s="473"/>
      <c r="F74" s="428">
        <v>44075</v>
      </c>
      <c r="G74" s="473"/>
      <c r="H74" s="473"/>
      <c r="I74" s="473"/>
      <c r="J74" s="473"/>
      <c r="K74" s="473"/>
      <c r="L74" s="473"/>
      <c r="M74" s="473"/>
      <c r="N74" s="473"/>
      <c r="O74" s="473"/>
      <c r="P74" s="473"/>
      <c r="Q74" s="397"/>
      <c r="AG74" s="465">
        <v>88</v>
      </c>
      <c r="AH74" s="465">
        <v>93</v>
      </c>
    </row>
    <row r="75" spans="1:38" ht="15.75" customHeight="1">
      <c r="A75" s="389"/>
      <c r="B75" s="303"/>
      <c r="C75" s="429"/>
      <c r="D75" s="430"/>
      <c r="E75" s="430"/>
      <c r="F75" s="430"/>
      <c r="G75" s="430"/>
      <c r="H75" s="430"/>
      <c r="I75" s="430"/>
      <c r="J75" s="430"/>
      <c r="K75" s="430"/>
      <c r="L75" s="430"/>
      <c r="M75" s="430"/>
      <c r="N75" s="430"/>
      <c r="O75" s="430"/>
      <c r="P75" s="430"/>
      <c r="Q75" s="472"/>
      <c r="AG75" s="466">
        <v>89</v>
      </c>
      <c r="AH75" s="466">
        <v>94</v>
      </c>
    </row>
    <row r="76" spans="1:38" ht="14.25" customHeight="1">
      <c r="A76" s="389"/>
      <c r="B76" s="303"/>
      <c r="C76" s="562" t="s">
        <v>380</v>
      </c>
      <c r="D76" s="568" t="s">
        <v>426</v>
      </c>
      <c r="E76" s="630" t="s">
        <v>427</v>
      </c>
      <c r="F76" s="631"/>
      <c r="G76" s="591" t="s">
        <v>382</v>
      </c>
      <c r="H76" s="592"/>
      <c r="I76" s="568" t="s">
        <v>426</v>
      </c>
      <c r="J76" s="561" t="s">
        <v>427</v>
      </c>
      <c r="K76" s="561"/>
      <c r="L76" s="562" t="s">
        <v>381</v>
      </c>
      <c r="M76" s="562"/>
      <c r="N76" s="568" t="s">
        <v>426</v>
      </c>
      <c r="O76" s="561" t="s">
        <v>427</v>
      </c>
      <c r="P76" s="561"/>
      <c r="Q76" s="472"/>
      <c r="AG76" s="465">
        <v>90</v>
      </c>
      <c r="AH76" s="465">
        <v>95</v>
      </c>
    </row>
    <row r="77" spans="1:38" ht="32.25" customHeight="1">
      <c r="A77" s="389"/>
      <c r="B77" s="303"/>
      <c r="C77" s="562"/>
      <c r="D77" s="568"/>
      <c r="E77" s="468" t="s">
        <v>428</v>
      </c>
      <c r="F77" s="468" t="s">
        <v>429</v>
      </c>
      <c r="G77" s="593"/>
      <c r="H77" s="594"/>
      <c r="I77" s="568"/>
      <c r="J77" s="468" t="s">
        <v>428</v>
      </c>
      <c r="K77" s="468" t="s">
        <v>429</v>
      </c>
      <c r="L77" s="562"/>
      <c r="M77" s="562"/>
      <c r="N77" s="568"/>
      <c r="O77" s="468" t="s">
        <v>428</v>
      </c>
      <c r="P77" s="468" t="s">
        <v>429</v>
      </c>
      <c r="Q77" s="472"/>
      <c r="AG77" s="466">
        <v>91</v>
      </c>
      <c r="AH77" s="466">
        <v>96</v>
      </c>
    </row>
    <row r="78" spans="1:38" ht="14.4">
      <c r="A78" s="389"/>
      <c r="B78" s="303"/>
      <c r="C78" s="431" t="s">
        <v>393</v>
      </c>
      <c r="D78" s="455">
        <f>'Доходы от животноводства'!B5</f>
        <v>100</v>
      </c>
      <c r="E78" s="456">
        <f>'Доходы от животноводства'!H5</f>
        <v>15</v>
      </c>
      <c r="F78" s="456">
        <f>'Доходы от животноводства'!I5</f>
        <v>1</v>
      </c>
      <c r="G78" s="552" t="s">
        <v>442</v>
      </c>
      <c r="H78" s="553"/>
      <c r="I78" s="455">
        <f>'Доходы от животноводства'!B29</f>
        <v>10</v>
      </c>
      <c r="J78" s="456">
        <f>'Доходы от животноводства'!H29</f>
        <v>1</v>
      </c>
      <c r="K78" s="456">
        <f>'Доходы от животноводства'!I29</f>
        <v>0</v>
      </c>
      <c r="L78" s="560" t="s">
        <v>403</v>
      </c>
      <c r="M78" s="560"/>
      <c r="N78" s="455">
        <f>'Доходы от животноводства'!B18</f>
        <v>10</v>
      </c>
      <c r="O78" s="456">
        <f>'Доходы от животноводства'!H18</f>
        <v>1</v>
      </c>
      <c r="P78" s="456">
        <f>'Доходы от животноводства'!I18</f>
        <v>1</v>
      </c>
      <c r="Q78" s="472"/>
      <c r="AG78" s="465">
        <v>92</v>
      </c>
      <c r="AH78" s="465">
        <v>97</v>
      </c>
    </row>
    <row r="79" spans="1:38" ht="15.75" customHeight="1">
      <c r="A79" s="389"/>
      <c r="B79" s="303"/>
      <c r="C79" s="431" t="s">
        <v>394</v>
      </c>
      <c r="D79" s="455">
        <f>'Доходы от животноводства'!B6</f>
        <v>10</v>
      </c>
      <c r="E79" s="456">
        <f>'Доходы от животноводства'!H6</f>
        <v>1</v>
      </c>
      <c r="F79" s="456">
        <f>'Доходы от животноводства'!I6</f>
        <v>2</v>
      </c>
      <c r="G79" s="552" t="s">
        <v>408</v>
      </c>
      <c r="H79" s="553"/>
      <c r="I79" s="455">
        <f>'Доходы от животноводства'!B30</f>
        <v>20</v>
      </c>
      <c r="J79" s="456">
        <f>'Доходы от животноводства'!H30</f>
        <v>0</v>
      </c>
      <c r="K79" s="456">
        <f>'Доходы от животноводства'!I30</f>
        <v>10</v>
      </c>
      <c r="L79" s="560" t="s">
        <v>406</v>
      </c>
      <c r="M79" s="560"/>
      <c r="N79" s="455">
        <f>'Доходы от животноводства'!B19</f>
        <v>30</v>
      </c>
      <c r="O79" s="456">
        <f>'Доходы от животноводства'!H19</f>
        <v>0</v>
      </c>
      <c r="P79" s="456">
        <f>'Доходы от животноводства'!I19</f>
        <v>1</v>
      </c>
      <c r="Q79" s="472"/>
      <c r="AG79" s="466">
        <v>93</v>
      </c>
      <c r="AH79" s="466">
        <v>98</v>
      </c>
    </row>
    <row r="80" spans="1:38" ht="15.75" customHeight="1">
      <c r="A80" s="389"/>
      <c r="B80" s="303"/>
      <c r="C80" s="431" t="s">
        <v>401</v>
      </c>
      <c r="D80" s="455">
        <f>'Доходы от животноводства'!B7</f>
        <v>20</v>
      </c>
      <c r="E80" s="456">
        <f>'Доходы от животноводства'!H7</f>
        <v>1</v>
      </c>
      <c r="F80" s="456">
        <f>'Доходы от животноводства'!I7</f>
        <v>10</v>
      </c>
      <c r="G80" s="552" t="s">
        <v>409</v>
      </c>
      <c r="H80" s="553"/>
      <c r="I80" s="455">
        <f>'Доходы от животноводства'!B31</f>
        <v>5</v>
      </c>
      <c r="J80" s="456">
        <f>'Доходы от животноводства'!H31</f>
        <v>1</v>
      </c>
      <c r="K80" s="456">
        <f>'Доходы от животноводства'!I31</f>
        <v>0</v>
      </c>
      <c r="L80" s="560" t="s">
        <v>404</v>
      </c>
      <c r="M80" s="560"/>
      <c r="N80" s="455">
        <f>'Доходы от животноводства'!B20</f>
        <v>100</v>
      </c>
      <c r="O80" s="456">
        <f>'Доходы от животноводства'!H20</f>
        <v>25</v>
      </c>
      <c r="P80" s="456">
        <f>'Доходы от животноводства'!I20</f>
        <v>1</v>
      </c>
      <c r="Q80" s="472"/>
      <c r="AG80" s="465">
        <v>94</v>
      </c>
      <c r="AH80" s="465">
        <v>99</v>
      </c>
    </row>
    <row r="81" spans="1:34" ht="15.75" customHeight="1">
      <c r="A81" s="389"/>
      <c r="B81" s="303"/>
      <c r="C81" s="431" t="s">
        <v>402</v>
      </c>
      <c r="D81" s="455">
        <f>'Доходы от животноводства'!B8</f>
        <v>20</v>
      </c>
      <c r="E81" s="456">
        <f>'Доходы от животноводства'!H8</f>
        <v>1</v>
      </c>
      <c r="F81" s="456">
        <f>'Доходы от животноводства'!I8</f>
        <v>10</v>
      </c>
      <c r="G81" s="552" t="s">
        <v>410</v>
      </c>
      <c r="H81" s="553"/>
      <c r="I81" s="455">
        <f>'Доходы от животноводства'!B32</f>
        <v>5</v>
      </c>
      <c r="J81" s="456">
        <f>'Доходы от животноводства'!H32</f>
        <v>2</v>
      </c>
      <c r="K81" s="456">
        <f>'Доходы от животноводства'!I32</f>
        <v>0</v>
      </c>
      <c r="L81" s="560" t="s">
        <v>405</v>
      </c>
      <c r="M81" s="560"/>
      <c r="N81" s="455">
        <f>'Доходы от животноводства'!B21</f>
        <v>30</v>
      </c>
      <c r="O81" s="456">
        <f>'Доходы от животноводства'!H21</f>
        <v>0</v>
      </c>
      <c r="P81" s="456">
        <f>'Доходы от животноводства'!I21</f>
        <v>0</v>
      </c>
      <c r="Q81" s="472"/>
      <c r="AG81" s="466">
        <v>95</v>
      </c>
      <c r="AH81" s="466">
        <v>100</v>
      </c>
    </row>
    <row r="82" spans="1:34" ht="15.75" customHeight="1">
      <c r="A82" s="389"/>
      <c r="B82" s="303"/>
      <c r="C82" s="431" t="s">
        <v>395</v>
      </c>
      <c r="D82" s="455">
        <f>'Доходы от животноводства'!B9</f>
        <v>20</v>
      </c>
      <c r="E82" s="456">
        <f>'Доходы от животноводства'!H9</f>
        <v>1</v>
      </c>
      <c r="F82" s="456">
        <f>'Доходы от животноводства'!I9</f>
        <v>0</v>
      </c>
      <c r="G82" s="552" t="s">
        <v>411</v>
      </c>
      <c r="H82" s="553"/>
      <c r="I82" s="455">
        <f>'Доходы от животноводства'!B33</f>
        <v>5</v>
      </c>
      <c r="J82" s="456">
        <f>'Доходы от животноводства'!H33</f>
        <v>1</v>
      </c>
      <c r="K82" s="456">
        <f>'Доходы от животноводства'!I33</f>
        <v>0</v>
      </c>
      <c r="L82" s="560" t="s">
        <v>415</v>
      </c>
      <c r="M82" s="560"/>
      <c r="N82" s="455">
        <f>'Доходы от животноводства'!B22</f>
        <v>10</v>
      </c>
      <c r="O82" s="456">
        <f>'Доходы от животноводства'!H22</f>
        <v>0</v>
      </c>
      <c r="P82" s="456">
        <f>'Доходы от животноводства'!I22</f>
        <v>1</v>
      </c>
      <c r="Q82" s="472"/>
      <c r="AG82" s="465">
        <v>96</v>
      </c>
    </row>
    <row r="83" spans="1:34" ht="15.75" customHeight="1">
      <c r="A83" s="389"/>
      <c r="B83" s="303"/>
      <c r="C83" s="431" t="s">
        <v>396</v>
      </c>
      <c r="D83" s="455">
        <f>'Доходы от животноводства'!B10</f>
        <v>30</v>
      </c>
      <c r="E83" s="456">
        <f>'Доходы от животноводства'!H10</f>
        <v>0</v>
      </c>
      <c r="F83" s="456">
        <f>'Доходы от животноводства'!I10</f>
        <v>0</v>
      </c>
      <c r="G83" s="552" t="s">
        <v>412</v>
      </c>
      <c r="H83" s="553"/>
      <c r="I83" s="455">
        <f>'Доходы от животноводства'!B34</f>
        <v>30</v>
      </c>
      <c r="J83" s="456">
        <f>'Доходы от животноводства'!H34</f>
        <v>0</v>
      </c>
      <c r="K83" s="456">
        <f>'Доходы от животноводства'!I34</f>
        <v>25</v>
      </c>
      <c r="L83" s="560" t="s">
        <v>416</v>
      </c>
      <c r="M83" s="560"/>
      <c r="N83" s="455">
        <f>'Доходы от животноводства'!B23</f>
        <v>20</v>
      </c>
      <c r="O83" s="456">
        <f>'Доходы от животноводства'!H23</f>
        <v>0</v>
      </c>
      <c r="P83" s="456">
        <f>'Доходы от животноводства'!I23</f>
        <v>1</v>
      </c>
      <c r="Q83" s="472"/>
      <c r="AG83" s="466">
        <v>97</v>
      </c>
      <c r="AH83" s="466"/>
    </row>
    <row r="84" spans="1:34" ht="15.75" customHeight="1">
      <c r="A84" s="389"/>
      <c r="B84" s="303"/>
      <c r="C84" s="431" t="s">
        <v>397</v>
      </c>
      <c r="D84" s="455">
        <f>'Доходы от животноводства'!B11</f>
        <v>40</v>
      </c>
      <c r="E84" s="456">
        <f>'Доходы от животноводства'!H11</f>
        <v>5</v>
      </c>
      <c r="F84" s="456">
        <f>'Доходы от животноводства'!I11</f>
        <v>0</v>
      </c>
      <c r="G84" s="552" t="s">
        <v>413</v>
      </c>
      <c r="H84" s="553"/>
      <c r="I84" s="455">
        <f>'Доходы от животноводства'!B35</f>
        <v>5</v>
      </c>
      <c r="J84" s="456">
        <f>'Доходы от животноводства'!H35</f>
        <v>0</v>
      </c>
      <c r="K84" s="456">
        <f>'Доходы от животноводства'!I35</f>
        <v>1</v>
      </c>
      <c r="L84" s="558" t="s">
        <v>425</v>
      </c>
      <c r="M84" s="558"/>
      <c r="N84" s="559">
        <f>SUM(N78:N83)</f>
        <v>200</v>
      </c>
      <c r="O84" s="554">
        <f t="shared" ref="O84:P84" si="4">SUM(O78:O83)</f>
        <v>26</v>
      </c>
      <c r="P84" s="554">
        <f t="shared" si="4"/>
        <v>5</v>
      </c>
      <c r="Q84" s="472"/>
      <c r="AG84" s="465">
        <v>98</v>
      </c>
    </row>
    <row r="85" spans="1:34" ht="15.75" customHeight="1">
      <c r="A85" s="389"/>
      <c r="B85" s="303"/>
      <c r="C85" s="431" t="s">
        <v>398</v>
      </c>
      <c r="D85" s="455">
        <f>'Доходы от животноводства'!B12</f>
        <v>50</v>
      </c>
      <c r="E85" s="456">
        <f>'Доходы от животноводства'!H12</f>
        <v>5</v>
      </c>
      <c r="F85" s="456">
        <f>'Доходы от животноводства'!I12</f>
        <v>0</v>
      </c>
      <c r="G85" s="552" t="s">
        <v>414</v>
      </c>
      <c r="H85" s="553"/>
      <c r="I85" s="455">
        <f>'Доходы от животноводства'!B36</f>
        <v>5</v>
      </c>
      <c r="J85" s="456">
        <f>'Доходы от животноводства'!H36</f>
        <v>0</v>
      </c>
      <c r="K85" s="456">
        <f>'Доходы от животноводства'!I36</f>
        <v>1</v>
      </c>
      <c r="L85" s="558"/>
      <c r="M85" s="558"/>
      <c r="N85" s="559"/>
      <c r="O85" s="554"/>
      <c r="P85" s="554"/>
      <c r="Q85" s="472"/>
      <c r="AG85" s="466">
        <v>99</v>
      </c>
      <c r="AH85" s="466"/>
    </row>
    <row r="86" spans="1:34" ht="15.75" customHeight="1">
      <c r="A86" s="389"/>
      <c r="B86" s="303"/>
      <c r="C86" s="467" t="s">
        <v>425</v>
      </c>
      <c r="D86" s="457">
        <f>SUM(D78:D85)</f>
        <v>290</v>
      </c>
      <c r="E86" s="458">
        <f t="shared" ref="E86:F86" si="5">SUM(E78:E85)</f>
        <v>29</v>
      </c>
      <c r="F86" s="458">
        <f t="shared" si="5"/>
        <v>23</v>
      </c>
      <c r="G86" s="589" t="s">
        <v>425</v>
      </c>
      <c r="H86" s="590"/>
      <c r="I86" s="457">
        <f>SUM(I78:I85)</f>
        <v>85</v>
      </c>
      <c r="J86" s="458">
        <f t="shared" ref="J86:K86" si="6">SUM(J78:J85)</f>
        <v>5</v>
      </c>
      <c r="K86" s="458">
        <f t="shared" si="6"/>
        <v>37</v>
      </c>
      <c r="L86" s="558"/>
      <c r="M86" s="558"/>
      <c r="N86" s="559"/>
      <c r="O86" s="554"/>
      <c r="P86" s="554"/>
      <c r="Q86" s="472"/>
      <c r="AG86" s="465">
        <v>100</v>
      </c>
    </row>
    <row r="87" spans="1:34" ht="15.75" customHeight="1">
      <c r="A87" s="389"/>
      <c r="B87" s="303"/>
      <c r="C87" s="473"/>
      <c r="D87" s="432"/>
      <c r="E87" s="433"/>
      <c r="F87" s="433"/>
      <c r="G87" s="473"/>
      <c r="H87" s="473"/>
      <c r="I87" s="432"/>
      <c r="J87" s="433"/>
      <c r="K87" s="433"/>
      <c r="L87" s="473"/>
      <c r="M87" s="473"/>
      <c r="N87" s="473"/>
      <c r="O87" s="434"/>
      <c r="P87" s="434"/>
      <c r="Q87" s="472"/>
    </row>
    <row r="88" spans="1:34" ht="15.75" customHeight="1">
      <c r="A88" s="389"/>
      <c r="B88" s="303"/>
      <c r="C88" s="435"/>
      <c r="D88" s="435"/>
      <c r="E88" s="435"/>
      <c r="F88" s="436"/>
      <c r="G88" s="303"/>
      <c r="H88" s="303"/>
      <c r="I88" s="303"/>
      <c r="J88" s="303"/>
      <c r="K88" s="303"/>
      <c r="L88" s="303"/>
      <c r="M88" s="303"/>
      <c r="N88" s="303"/>
      <c r="O88" s="303"/>
      <c r="P88" s="303"/>
      <c r="Q88" s="303"/>
    </row>
    <row r="89" spans="1:34" ht="15.75" customHeight="1">
      <c r="A89" s="389"/>
      <c r="B89" s="303"/>
      <c r="C89" s="435"/>
      <c r="D89" s="595" t="str">
        <f>C76</f>
        <v>КРС</v>
      </c>
      <c r="E89" s="596"/>
      <c r="F89" s="599" t="str">
        <f>G76</f>
        <v>Лошади</v>
      </c>
      <c r="G89" s="599"/>
      <c r="H89" s="601" t="str">
        <f>L76</f>
        <v>МРС</v>
      </c>
      <c r="I89" s="601"/>
      <c r="J89" s="632" t="s">
        <v>399</v>
      </c>
      <c r="K89" s="633"/>
      <c r="L89" s="303"/>
      <c r="M89" s="303"/>
      <c r="N89" s="303"/>
      <c r="O89" s="303"/>
      <c r="P89" s="303"/>
      <c r="Q89" s="303"/>
    </row>
    <row r="90" spans="1:34" ht="15.75" customHeight="1">
      <c r="A90" s="389"/>
      <c r="B90" s="303"/>
      <c r="C90" s="437" t="s">
        <v>794</v>
      </c>
      <c r="D90" s="597">
        <f>'Доходы от животноводства'!O13</f>
        <v>10060000</v>
      </c>
      <c r="E90" s="598"/>
      <c r="F90" s="600">
        <f>'Доходы от животноводства'!O37</f>
        <v>13280000</v>
      </c>
      <c r="G90" s="600"/>
      <c r="H90" s="582">
        <f>'Доходы от животноводства'!O24</f>
        <v>1360000</v>
      </c>
      <c r="I90" s="582"/>
      <c r="J90" s="634">
        <f>D90+F90+H90</f>
        <v>24700000</v>
      </c>
      <c r="K90" s="634"/>
      <c r="L90" s="303"/>
      <c r="M90" s="303"/>
      <c r="N90" s="303"/>
      <c r="O90" s="303"/>
      <c r="P90" s="303"/>
      <c r="Q90" s="303"/>
    </row>
    <row r="91" spans="1:34" ht="15.6">
      <c r="A91" s="389"/>
      <c r="B91" s="395"/>
      <c r="C91" s="438"/>
      <c r="D91" s="303"/>
      <c r="E91" s="303"/>
      <c r="F91" s="303"/>
      <c r="G91" s="303"/>
      <c r="H91" s="303"/>
      <c r="I91" s="472"/>
      <c r="J91" s="472"/>
      <c r="K91" s="472"/>
      <c r="L91" s="472"/>
      <c r="M91" s="472"/>
      <c r="N91" s="472"/>
      <c r="O91" s="470"/>
      <c r="P91" s="304"/>
      <c r="Q91" s="397"/>
    </row>
    <row r="92" spans="1:34" ht="15.6">
      <c r="A92" s="389"/>
      <c r="B92" s="395"/>
      <c r="C92" s="439" t="s">
        <v>795</v>
      </c>
      <c r="D92" s="580">
        <f>'Затраты по животноводству'!C35</f>
        <v>17555150</v>
      </c>
      <c r="E92" s="581"/>
      <c r="F92" s="582">
        <f>'Затраты по животноводству'!C36</f>
        <v>4478097.5</v>
      </c>
      <c r="G92" s="582"/>
      <c r="H92" s="582">
        <f>'Затраты по животноводству'!C37</f>
        <v>2693400</v>
      </c>
      <c r="I92" s="582"/>
      <c r="J92" s="634">
        <f>D92+F92+H92</f>
        <v>24726647.5</v>
      </c>
      <c r="K92" s="634"/>
      <c r="L92" s="472"/>
      <c r="M92" s="472"/>
      <c r="N92" s="472"/>
      <c r="O92" s="470"/>
      <c r="P92" s="304"/>
      <c r="Q92" s="397"/>
    </row>
    <row r="93" spans="1:34" ht="16.2" thickBot="1">
      <c r="A93" s="389"/>
      <c r="B93" s="395"/>
      <c r="C93" s="438"/>
      <c r="D93" s="303"/>
      <c r="E93" s="303"/>
      <c r="F93" s="303"/>
      <c r="G93" s="190"/>
      <c r="H93" s="303"/>
      <c r="I93" s="472"/>
      <c r="J93" s="472"/>
      <c r="K93" s="472"/>
      <c r="L93" s="472"/>
      <c r="M93" s="472"/>
      <c r="N93" s="472"/>
      <c r="O93" s="470"/>
      <c r="P93" s="304"/>
      <c r="Q93" s="397"/>
    </row>
    <row r="94" spans="1:34" ht="18.75" customHeight="1" thickBot="1">
      <c r="A94" s="389"/>
      <c r="B94" s="395"/>
      <c r="C94" s="621" t="s">
        <v>88</v>
      </c>
      <c r="D94" s="622"/>
      <c r="E94" s="622"/>
      <c r="F94" s="622"/>
      <c r="G94" s="622"/>
      <c r="H94" s="622"/>
      <c r="I94" s="622"/>
      <c r="J94" s="622"/>
      <c r="K94" s="622"/>
      <c r="L94" s="622"/>
      <c r="M94" s="622"/>
      <c r="N94" s="622"/>
      <c r="O94" s="622"/>
      <c r="P94" s="623"/>
      <c r="Q94" s="397"/>
    </row>
    <row r="95" spans="1:34" ht="14.4" thickBot="1">
      <c r="A95" s="389"/>
      <c r="B95" s="395"/>
      <c r="C95" s="303"/>
      <c r="D95" s="303"/>
      <c r="E95" s="303"/>
      <c r="F95" s="303"/>
      <c r="G95" s="303"/>
      <c r="H95" s="303"/>
      <c r="I95" s="303"/>
      <c r="J95" s="303"/>
      <c r="K95" s="303"/>
      <c r="L95" s="304"/>
      <c r="M95" s="303"/>
      <c r="N95" s="472"/>
      <c r="O95" s="304"/>
      <c r="P95" s="304"/>
      <c r="Q95" s="397"/>
    </row>
    <row r="96" spans="1:34" ht="16.2" thickBot="1">
      <c r="A96" s="389"/>
      <c r="B96" s="395"/>
      <c r="C96" s="440" t="s">
        <v>162</v>
      </c>
      <c r="D96" s="303"/>
      <c r="E96" s="603">
        <f>'Доходы раст-во (для сведения)'!B173+J90</f>
        <v>75100000</v>
      </c>
      <c r="F96" s="604"/>
      <c r="G96" s="303"/>
      <c r="H96" s="603">
        <f>L30</f>
        <v>69913332.826666653</v>
      </c>
      <c r="I96" s="604"/>
      <c r="J96" s="441" t="s">
        <v>223</v>
      </c>
      <c r="K96" s="442"/>
      <c r="L96" s="443"/>
      <c r="M96" s="442"/>
      <c r="N96" s="472"/>
      <c r="O96" s="303"/>
      <c r="P96" s="304"/>
      <c r="Q96" s="397"/>
    </row>
    <row r="97" spans="1:17" ht="14.4" thickBot="1">
      <c r="A97" s="389"/>
      <c r="B97" s="395"/>
      <c r="C97" s="444"/>
      <c r="D97" s="303"/>
      <c r="E97" s="303"/>
      <c r="F97" s="303"/>
      <c r="G97" s="303"/>
      <c r="H97" s="303"/>
      <c r="I97" s="303"/>
      <c r="J97" s="303"/>
      <c r="K97" s="303"/>
      <c r="L97" s="304"/>
      <c r="M97" s="303"/>
      <c r="N97" s="472"/>
      <c r="O97" s="303"/>
      <c r="P97" s="304"/>
      <c r="Q97" s="397"/>
    </row>
    <row r="98" spans="1:17" ht="16.2" thickBot="1">
      <c r="A98" s="389"/>
      <c r="B98" s="395"/>
      <c r="C98" s="440" t="s">
        <v>75</v>
      </c>
      <c r="D98" s="303"/>
      <c r="E98" s="603">
        <f>(SUM(PRODUCT(D70,D40),PRODUCT(E70,D42),PRODUCT(F70,D44),PRODUCT(G70,D46),PRODUCT(H70,D48),PRODUCT(I70,D50),PRODUCT(J70,D52),PRODUCT(K70,D54),PRODUCT(L70,D56),PRODUCT(M70,D58),PRODUCT(N70,D60)))+J92</f>
        <v>58306147.5</v>
      </c>
      <c r="F98" s="604"/>
      <c r="G98" s="303"/>
      <c r="H98" s="603">
        <f>H96+O9</f>
        <v>69913352.826666653</v>
      </c>
      <c r="I98" s="604"/>
      <c r="J98" s="441" t="s">
        <v>348</v>
      </c>
      <c r="K98" s="442"/>
      <c r="L98" s="443"/>
      <c r="M98" s="442"/>
      <c r="N98" s="445"/>
      <c r="O98" s="442"/>
      <c r="P98" s="304"/>
      <c r="Q98" s="397"/>
    </row>
    <row r="99" spans="1:17" ht="15.6" thickBot="1">
      <c r="A99" s="389"/>
      <c r="B99" s="395"/>
      <c r="C99" s="302"/>
      <c r="D99" s="303"/>
      <c r="E99" s="303"/>
      <c r="F99" s="303"/>
      <c r="G99" s="303"/>
      <c r="H99" s="303"/>
      <c r="I99" s="303"/>
      <c r="J99" s="303"/>
      <c r="K99" s="303"/>
      <c r="L99" s="304"/>
      <c r="M99" s="303"/>
      <c r="N99" s="472"/>
      <c r="O99" s="303"/>
      <c r="P99" s="304"/>
      <c r="Q99" s="397"/>
    </row>
    <row r="100" spans="1:17" ht="16.2" thickBot="1">
      <c r="A100" s="389"/>
      <c r="B100" s="395"/>
      <c r="C100" s="440" t="s">
        <v>76</v>
      </c>
      <c r="D100" s="303"/>
      <c r="E100" s="603">
        <f>E96-E98</f>
        <v>16793852.5</v>
      </c>
      <c r="F100" s="604"/>
      <c r="G100" s="303"/>
      <c r="H100" s="303"/>
      <c r="I100" s="303"/>
      <c r="J100" s="303"/>
      <c r="K100" s="303"/>
      <c r="L100" s="304"/>
      <c r="M100" s="303"/>
      <c r="N100" s="472"/>
      <c r="O100" s="303"/>
      <c r="P100" s="304"/>
      <c r="Q100" s="397"/>
    </row>
    <row r="101" spans="1:17" ht="13.8">
      <c r="A101" s="389"/>
      <c r="B101" s="395"/>
      <c r="C101" s="303"/>
      <c r="D101" s="303"/>
      <c r="E101" s="303"/>
      <c r="F101" s="303"/>
      <c r="G101" s="303"/>
      <c r="H101" s="303"/>
      <c r="I101" s="303"/>
      <c r="J101" s="303"/>
      <c r="K101" s="303"/>
      <c r="L101" s="304"/>
      <c r="M101" s="303"/>
      <c r="N101" s="472"/>
      <c r="O101" s="303"/>
      <c r="P101" s="304"/>
      <c r="Q101" s="397"/>
    </row>
    <row r="102" spans="1:17" ht="14.4" thickBot="1">
      <c r="A102" s="389"/>
      <c r="B102" s="395"/>
      <c r="C102" s="446"/>
      <c r="D102" s="303"/>
      <c r="E102" s="303"/>
      <c r="F102" s="303"/>
      <c r="G102" s="303"/>
      <c r="H102" s="303"/>
      <c r="I102" s="303"/>
      <c r="J102" s="303"/>
      <c r="K102" s="303"/>
      <c r="L102" s="304"/>
      <c r="M102" s="303"/>
      <c r="N102" s="472"/>
      <c r="O102" s="303"/>
      <c r="P102" s="304"/>
      <c r="Q102" s="397"/>
    </row>
    <row r="103" spans="1:17" ht="16.2" thickBot="1">
      <c r="A103" s="389"/>
      <c r="B103" s="447" t="s">
        <v>236</v>
      </c>
      <c r="C103" s="423"/>
      <c r="D103" s="303"/>
      <c r="E103" s="303"/>
      <c r="F103" s="303"/>
      <c r="G103" s="303"/>
      <c r="H103" s="303"/>
      <c r="I103" s="303"/>
      <c r="J103" s="303"/>
      <c r="K103" s="303"/>
      <c r="L103" s="472"/>
      <c r="M103" s="605" t="str">
        <f>IF(AND(I30+M11&lt;M13,H98/E100&lt;0.85,E100&gt;1),"ДА","НЕТ")</f>
        <v>НЕТ</v>
      </c>
      <c r="N103" s="606"/>
      <c r="O103" s="304"/>
      <c r="P103" s="304"/>
      <c r="Q103" s="397"/>
    </row>
    <row r="104" spans="1:17" ht="13.8">
      <c r="A104" s="389"/>
      <c r="B104" s="395"/>
      <c r="C104" s="480"/>
      <c r="D104" s="480"/>
      <c r="E104" s="480"/>
      <c r="F104" s="480"/>
      <c r="G104" s="480"/>
      <c r="H104" s="480"/>
      <c r="I104" s="480"/>
      <c r="J104" s="303"/>
      <c r="K104" s="303"/>
      <c r="L104" s="472"/>
      <c r="M104" s="303"/>
      <c r="N104" s="472"/>
      <c r="O104" s="304"/>
      <c r="P104" s="304"/>
      <c r="Q104" s="397"/>
    </row>
    <row r="105" spans="1:17" ht="14.4" thickBot="1">
      <c r="A105" s="389"/>
      <c r="B105" s="395"/>
      <c r="C105" s="303"/>
      <c r="D105" s="303"/>
      <c r="E105" s="303"/>
      <c r="F105" s="303"/>
      <c r="G105" s="303"/>
      <c r="H105" s="303"/>
      <c r="I105" s="303"/>
      <c r="J105" s="303"/>
      <c r="K105" s="303"/>
      <c r="L105" s="472"/>
      <c r="M105" s="303"/>
      <c r="N105" s="472"/>
      <c r="O105" s="304"/>
      <c r="P105" s="304"/>
      <c r="Q105" s="397"/>
    </row>
    <row r="106" spans="1:17" ht="16.2" thickBot="1">
      <c r="A106" s="389"/>
      <c r="B106" s="448"/>
      <c r="C106" s="449" t="s">
        <v>234</v>
      </c>
      <c r="D106" s="481"/>
      <c r="E106" s="483"/>
      <c r="F106" s="483"/>
      <c r="G106" s="483"/>
      <c r="H106" s="483"/>
      <c r="I106" s="483"/>
      <c r="J106" s="483"/>
      <c r="K106" s="484"/>
      <c r="L106" s="303"/>
      <c r="M106" s="449"/>
      <c r="N106" s="449" t="s">
        <v>349</v>
      </c>
      <c r="O106" s="449"/>
      <c r="P106" s="450"/>
      <c r="Q106" s="397"/>
    </row>
    <row r="107" spans="1:17">
      <c r="A107" s="389"/>
      <c r="B107" s="448"/>
      <c r="C107" s="472"/>
      <c r="D107" s="482"/>
      <c r="E107" s="482"/>
      <c r="F107" s="482"/>
      <c r="G107" s="482"/>
      <c r="H107" s="482"/>
      <c r="I107" s="482"/>
      <c r="J107" s="482"/>
      <c r="K107" s="482"/>
      <c r="L107" s="482"/>
      <c r="M107" s="472"/>
      <c r="N107" s="472" t="s">
        <v>235</v>
      </c>
      <c r="O107" s="602"/>
      <c r="P107" s="602"/>
      <c r="Q107" s="397"/>
    </row>
    <row r="108" spans="1:17">
      <c r="A108" s="389"/>
      <c r="B108" s="451"/>
      <c r="C108" s="452"/>
      <c r="D108" s="452"/>
      <c r="E108" s="452"/>
      <c r="F108" s="452"/>
      <c r="G108" s="452"/>
      <c r="H108" s="452"/>
      <c r="I108" s="452"/>
      <c r="J108" s="452"/>
      <c r="K108" s="452"/>
      <c r="L108" s="452"/>
      <c r="M108" s="452"/>
      <c r="N108" s="452"/>
      <c r="O108" s="452"/>
      <c r="P108" s="453" t="s">
        <v>781</v>
      </c>
      <c r="Q108" s="454"/>
    </row>
    <row r="109" spans="1:17">
      <c r="A109" s="389"/>
      <c r="B109" s="389"/>
      <c r="C109" s="389"/>
      <c r="D109" s="389"/>
      <c r="E109" s="389"/>
      <c r="F109" s="389"/>
      <c r="G109" s="389"/>
      <c r="H109" s="389"/>
      <c r="I109" s="389"/>
      <c r="J109" s="389"/>
      <c r="K109" s="389"/>
      <c r="L109" s="389"/>
      <c r="M109" s="389"/>
      <c r="N109" s="389"/>
      <c r="O109" s="389"/>
      <c r="P109" s="389"/>
      <c r="Q109" s="389"/>
    </row>
    <row r="110" spans="1:17">
      <c r="A110" s="389"/>
      <c r="B110" s="389"/>
      <c r="C110" s="389"/>
      <c r="D110" s="389"/>
      <c r="E110" s="389"/>
      <c r="F110" s="389"/>
      <c r="G110" s="389"/>
      <c r="H110" s="389"/>
      <c r="I110" s="389"/>
      <c r="J110" s="389"/>
      <c r="K110" s="389"/>
      <c r="L110" s="389"/>
      <c r="M110" s="389"/>
      <c r="N110" s="389"/>
      <c r="O110" s="389"/>
      <c r="P110" s="389"/>
      <c r="Q110" s="389"/>
    </row>
    <row r="111" spans="1:17">
      <c r="A111" s="389"/>
      <c r="B111" s="389"/>
      <c r="C111" s="389"/>
      <c r="D111" s="389"/>
      <c r="E111" s="389"/>
      <c r="F111" s="389"/>
      <c r="G111" s="389"/>
      <c r="H111" s="416">
        <f>H98-E100</f>
        <v>53119500.326666653</v>
      </c>
      <c r="I111" s="389"/>
      <c r="J111" s="389"/>
      <c r="K111" s="389"/>
      <c r="L111" s="389"/>
      <c r="M111" s="389"/>
      <c r="N111" s="389"/>
      <c r="O111" s="389"/>
      <c r="P111" s="389"/>
      <c r="Q111" s="389"/>
    </row>
    <row r="112" spans="1:17">
      <c r="A112" s="389"/>
      <c r="B112" s="389"/>
      <c r="C112" s="389"/>
      <c r="D112" s="389"/>
      <c r="E112" s="389"/>
      <c r="F112" s="389"/>
      <c r="G112" s="389"/>
      <c r="H112" s="389"/>
      <c r="I112" s="389"/>
      <c r="J112" s="389"/>
      <c r="K112" s="389"/>
      <c r="L112" s="389"/>
      <c r="M112" s="389"/>
      <c r="N112" s="389"/>
      <c r="O112" s="389"/>
      <c r="P112" s="389"/>
      <c r="Q112" s="389"/>
    </row>
    <row r="113" spans="1:17">
      <c r="A113" s="389"/>
      <c r="B113" s="389"/>
      <c r="C113" s="389"/>
      <c r="D113" s="389"/>
      <c r="E113" s="389"/>
      <c r="F113" s="389"/>
      <c r="G113" s="389"/>
      <c r="H113" s="389"/>
      <c r="I113" s="389"/>
      <c r="J113" s="389"/>
      <c r="K113" s="389"/>
      <c r="L113" s="389"/>
      <c r="M113" s="389"/>
      <c r="N113" s="389"/>
      <c r="O113" s="389"/>
      <c r="P113" s="389"/>
      <c r="Q113" s="389"/>
    </row>
    <row r="114" spans="1:17">
      <c r="A114" s="389"/>
      <c r="B114" s="389"/>
      <c r="C114" s="389"/>
      <c r="D114" s="389"/>
      <c r="E114" s="389"/>
      <c r="F114" s="389"/>
      <c r="G114" s="389"/>
      <c r="H114" s="389"/>
      <c r="I114" s="389"/>
      <c r="J114" s="389"/>
      <c r="K114" s="389"/>
      <c r="L114" s="389"/>
      <c r="M114" s="389"/>
      <c r="N114" s="389"/>
      <c r="O114" s="389"/>
      <c r="P114" s="389"/>
      <c r="Q114" s="389"/>
    </row>
    <row r="115" spans="1:17">
      <c r="A115" s="389"/>
      <c r="B115" s="389"/>
      <c r="C115" s="389"/>
      <c r="D115" s="389"/>
      <c r="E115" s="389"/>
      <c r="F115" s="389"/>
      <c r="G115" s="389"/>
      <c r="H115" s="389"/>
      <c r="I115" s="389"/>
      <c r="J115" s="389"/>
      <c r="K115" s="389"/>
      <c r="L115" s="389"/>
      <c r="M115" s="389"/>
      <c r="N115" s="389"/>
      <c r="O115" s="389"/>
      <c r="P115" s="389"/>
      <c r="Q115" s="389"/>
    </row>
    <row r="116" spans="1:17">
      <c r="A116" s="389"/>
      <c r="B116" s="389"/>
      <c r="C116" s="389"/>
      <c r="D116" s="389"/>
      <c r="E116" s="389"/>
      <c r="F116" s="389"/>
      <c r="G116" s="389"/>
      <c r="H116" s="389"/>
      <c r="I116" s="389"/>
      <c r="J116" s="389"/>
      <c r="K116" s="389"/>
      <c r="L116" s="389"/>
      <c r="M116" s="389"/>
      <c r="N116" s="389"/>
      <c r="O116" s="389"/>
      <c r="P116" s="389"/>
      <c r="Q116" s="389"/>
    </row>
    <row r="117" spans="1:17">
      <c r="A117" s="389"/>
      <c r="B117" s="389"/>
      <c r="C117" s="389"/>
      <c r="D117" s="389"/>
      <c r="E117" s="389"/>
      <c r="F117" s="389"/>
      <c r="G117" s="389"/>
      <c r="H117" s="389"/>
      <c r="I117" s="389"/>
      <c r="J117" s="389"/>
      <c r="K117" s="389"/>
      <c r="L117" s="389"/>
      <c r="M117" s="389"/>
      <c r="N117" s="389"/>
      <c r="O117" s="389"/>
      <c r="P117" s="389"/>
      <c r="Q117" s="389"/>
    </row>
    <row r="118" spans="1:17">
      <c r="A118" s="389"/>
      <c r="B118" s="389"/>
      <c r="C118" s="389"/>
      <c r="D118" s="389"/>
      <c r="E118" s="389"/>
      <c r="F118" s="389"/>
      <c r="G118" s="389"/>
      <c r="H118" s="389"/>
      <c r="I118" s="389"/>
      <c r="J118" s="389"/>
      <c r="K118" s="389"/>
      <c r="L118" s="389"/>
      <c r="M118" s="389"/>
      <c r="N118" s="389"/>
      <c r="O118" s="389"/>
      <c r="P118" s="389"/>
      <c r="Q118" s="389"/>
    </row>
    <row r="119" spans="1:17">
      <c r="A119" s="389"/>
      <c r="B119" s="389"/>
      <c r="C119" s="389"/>
      <c r="D119" s="389"/>
      <c r="E119" s="389"/>
      <c r="F119" s="389"/>
      <c r="G119" s="389"/>
      <c r="H119" s="389"/>
      <c r="I119" s="389"/>
      <c r="J119" s="389"/>
      <c r="K119" s="389"/>
      <c r="L119" s="389"/>
      <c r="M119" s="389"/>
      <c r="N119" s="389"/>
      <c r="O119" s="389"/>
      <c r="P119" s="389"/>
      <c r="Q119" s="389"/>
    </row>
    <row r="120" spans="1:17">
      <c r="A120" s="389"/>
      <c r="B120" s="389"/>
      <c r="C120" s="389"/>
      <c r="D120" s="389"/>
      <c r="E120" s="389"/>
      <c r="F120" s="389"/>
      <c r="G120" s="389"/>
      <c r="H120" s="389"/>
      <c r="I120" s="389"/>
      <c r="J120" s="389"/>
      <c r="K120" s="389"/>
      <c r="L120" s="389"/>
      <c r="M120" s="389"/>
      <c r="N120" s="389"/>
      <c r="O120" s="389"/>
      <c r="P120" s="389"/>
      <c r="Q120" s="389"/>
    </row>
    <row r="121" spans="1:17">
      <c r="A121" s="389"/>
      <c r="B121" s="389"/>
      <c r="C121" s="389"/>
      <c r="D121" s="389"/>
      <c r="E121" s="389"/>
      <c r="F121" s="389"/>
      <c r="G121" s="389"/>
      <c r="H121" s="389"/>
      <c r="I121" s="389"/>
      <c r="J121" s="389"/>
      <c r="K121" s="389"/>
      <c r="L121" s="389"/>
      <c r="M121" s="389"/>
      <c r="N121" s="389"/>
      <c r="O121" s="389"/>
      <c r="P121" s="389"/>
      <c r="Q121" s="389"/>
    </row>
    <row r="122" spans="1:17">
      <c r="A122" s="389"/>
      <c r="B122" s="389"/>
      <c r="C122" s="389"/>
      <c r="D122" s="389"/>
      <c r="E122" s="389"/>
      <c r="F122" s="389"/>
      <c r="G122" s="389"/>
      <c r="H122" s="389"/>
      <c r="I122" s="389"/>
      <c r="J122" s="389"/>
      <c r="K122" s="389"/>
      <c r="L122" s="389"/>
      <c r="M122" s="389"/>
      <c r="N122" s="389"/>
      <c r="O122" s="389"/>
      <c r="P122" s="389"/>
      <c r="Q122" s="389"/>
    </row>
    <row r="123" spans="1:17">
      <c r="A123" s="389"/>
      <c r="B123" s="389"/>
      <c r="C123" s="389"/>
      <c r="D123" s="389"/>
      <c r="E123" s="389"/>
      <c r="F123" s="389"/>
      <c r="G123" s="389"/>
      <c r="H123" s="389"/>
      <c r="I123" s="389"/>
      <c r="J123" s="389"/>
      <c r="K123" s="389"/>
      <c r="L123" s="389"/>
      <c r="M123" s="389"/>
      <c r="N123" s="389"/>
      <c r="O123" s="389"/>
      <c r="P123" s="389"/>
      <c r="Q123" s="389"/>
    </row>
    <row r="124" spans="1:17">
      <c r="A124" s="389"/>
      <c r="B124" s="389"/>
      <c r="C124" s="389"/>
      <c r="D124" s="389"/>
      <c r="E124" s="389"/>
      <c r="F124" s="389"/>
      <c r="G124" s="389"/>
      <c r="H124" s="389"/>
      <c r="I124" s="389"/>
      <c r="J124" s="389"/>
      <c r="K124" s="389"/>
      <c r="L124" s="389"/>
      <c r="M124" s="389"/>
      <c r="N124" s="389"/>
      <c r="O124" s="389"/>
      <c r="P124" s="389"/>
      <c r="Q124" s="389"/>
    </row>
    <row r="125" spans="1:17">
      <c r="A125" s="389"/>
      <c r="B125" s="389"/>
      <c r="C125" s="389"/>
      <c r="D125" s="389"/>
      <c r="E125" s="389"/>
      <c r="F125" s="389"/>
      <c r="G125" s="389"/>
      <c r="H125" s="389"/>
      <c r="I125" s="389"/>
      <c r="J125" s="389"/>
      <c r="K125" s="389"/>
      <c r="L125" s="389"/>
      <c r="M125" s="389"/>
      <c r="N125" s="389"/>
      <c r="O125" s="389"/>
      <c r="P125" s="389"/>
      <c r="Q125" s="389"/>
    </row>
    <row r="126" spans="1:17">
      <c r="A126" s="389"/>
      <c r="B126" s="389"/>
      <c r="C126" s="389"/>
      <c r="D126" s="389"/>
      <c r="E126" s="389"/>
      <c r="F126" s="389"/>
      <c r="G126" s="389"/>
      <c r="H126" s="389"/>
      <c r="I126" s="389"/>
      <c r="J126" s="389"/>
      <c r="K126" s="389"/>
      <c r="L126" s="389"/>
      <c r="M126" s="389"/>
      <c r="N126" s="389"/>
      <c r="O126" s="389"/>
      <c r="P126" s="389"/>
      <c r="Q126" s="389"/>
    </row>
    <row r="127" spans="1:17">
      <c r="A127" s="389"/>
      <c r="B127" s="389"/>
      <c r="C127" s="389"/>
      <c r="D127" s="389"/>
      <c r="E127" s="389"/>
      <c r="F127" s="389"/>
      <c r="G127" s="389"/>
      <c r="H127" s="389"/>
      <c r="I127" s="389"/>
      <c r="J127" s="389"/>
      <c r="K127" s="389"/>
      <c r="L127" s="389"/>
      <c r="M127" s="389"/>
      <c r="N127" s="389"/>
      <c r="O127" s="389"/>
      <c r="P127" s="389"/>
      <c r="Q127" s="389"/>
    </row>
    <row r="128" spans="1:17">
      <c r="A128" s="389"/>
      <c r="B128" s="389"/>
      <c r="C128" s="389"/>
      <c r="D128" s="389"/>
      <c r="E128" s="389"/>
      <c r="F128" s="389"/>
      <c r="G128" s="389"/>
      <c r="H128" s="389"/>
      <c r="I128" s="389"/>
      <c r="J128" s="389"/>
      <c r="K128" s="389"/>
      <c r="L128" s="389"/>
      <c r="M128" s="389"/>
      <c r="N128" s="389"/>
      <c r="O128" s="389"/>
      <c r="P128" s="389"/>
      <c r="Q128" s="389"/>
    </row>
    <row r="129" spans="1:17">
      <c r="A129" s="389"/>
      <c r="B129" s="389"/>
      <c r="C129" s="389"/>
      <c r="D129" s="389"/>
      <c r="E129" s="389"/>
      <c r="F129" s="389"/>
      <c r="G129" s="389"/>
      <c r="H129" s="389"/>
      <c r="I129" s="389"/>
      <c r="J129" s="389"/>
      <c r="K129" s="389"/>
      <c r="L129" s="389"/>
      <c r="M129" s="389"/>
      <c r="N129" s="389"/>
      <c r="O129" s="389"/>
      <c r="P129" s="389"/>
      <c r="Q129" s="389"/>
    </row>
    <row r="130" spans="1:17">
      <c r="A130" s="389"/>
      <c r="B130" s="389"/>
      <c r="C130" s="389"/>
      <c r="D130" s="389"/>
      <c r="E130" s="389"/>
      <c r="F130" s="389"/>
      <c r="G130" s="389"/>
      <c r="H130" s="389"/>
      <c r="I130" s="389"/>
      <c r="J130" s="389"/>
      <c r="K130" s="389"/>
      <c r="L130" s="389"/>
      <c r="M130" s="389"/>
      <c r="N130" s="389"/>
      <c r="O130" s="389"/>
      <c r="P130" s="389"/>
      <c r="Q130" s="389"/>
    </row>
    <row r="131" spans="1:17">
      <c r="A131" s="389"/>
      <c r="B131" s="389"/>
      <c r="C131" s="389"/>
      <c r="D131" s="389"/>
      <c r="E131" s="389"/>
      <c r="F131" s="389"/>
      <c r="G131" s="389"/>
      <c r="H131" s="389"/>
      <c r="I131" s="389"/>
      <c r="J131" s="389"/>
      <c r="K131" s="389"/>
      <c r="L131" s="389"/>
      <c r="M131" s="389"/>
      <c r="N131" s="389"/>
      <c r="O131" s="389"/>
      <c r="P131" s="389"/>
      <c r="Q131" s="389"/>
    </row>
    <row r="132" spans="1:17">
      <c r="A132" s="389"/>
      <c r="B132" s="389"/>
      <c r="C132" s="389"/>
      <c r="D132" s="389"/>
      <c r="E132" s="389"/>
      <c r="F132" s="389"/>
      <c r="G132" s="389"/>
      <c r="H132" s="389"/>
      <c r="I132" s="389"/>
      <c r="J132" s="389"/>
      <c r="K132" s="389"/>
      <c r="L132" s="389"/>
      <c r="M132" s="389"/>
      <c r="N132" s="389"/>
      <c r="O132" s="389"/>
      <c r="P132" s="389"/>
      <c r="Q132" s="389"/>
    </row>
    <row r="133" spans="1:17">
      <c r="A133" s="389"/>
      <c r="B133" s="389"/>
      <c r="C133" s="389"/>
      <c r="D133" s="389"/>
      <c r="E133" s="389"/>
      <c r="F133" s="389"/>
      <c r="G133" s="389"/>
      <c r="H133" s="389"/>
      <c r="I133" s="389"/>
      <c r="J133" s="389"/>
      <c r="K133" s="389"/>
      <c r="L133" s="389"/>
      <c r="M133" s="389"/>
      <c r="N133" s="389"/>
      <c r="O133" s="389"/>
      <c r="P133" s="389"/>
      <c r="Q133" s="389"/>
    </row>
    <row r="134" spans="1:17">
      <c r="A134" s="389"/>
      <c r="B134" s="389"/>
      <c r="C134" s="389"/>
      <c r="D134" s="389"/>
      <c r="E134" s="389"/>
      <c r="F134" s="389"/>
      <c r="G134" s="389"/>
      <c r="H134" s="389"/>
      <c r="I134" s="389"/>
      <c r="J134" s="389"/>
      <c r="K134" s="389"/>
      <c r="L134" s="389"/>
      <c r="M134" s="389"/>
      <c r="N134" s="389"/>
      <c r="O134" s="389"/>
      <c r="P134" s="389"/>
      <c r="Q134" s="389"/>
    </row>
    <row r="135" spans="1:17">
      <c r="A135" s="389"/>
      <c r="B135" s="389"/>
      <c r="C135" s="389"/>
      <c r="D135" s="389"/>
      <c r="E135" s="389"/>
      <c r="F135" s="389"/>
      <c r="G135" s="389"/>
      <c r="H135" s="389"/>
      <c r="I135" s="389"/>
      <c r="J135" s="389"/>
      <c r="K135" s="389"/>
      <c r="L135" s="389"/>
      <c r="M135" s="389"/>
      <c r="N135" s="389"/>
      <c r="O135" s="389"/>
      <c r="P135" s="389"/>
      <c r="Q135" s="389"/>
    </row>
    <row r="136" spans="1:17">
      <c r="A136" s="389"/>
      <c r="B136" s="389"/>
      <c r="C136" s="389"/>
      <c r="D136" s="389"/>
      <c r="E136" s="389"/>
      <c r="F136" s="389"/>
      <c r="G136" s="389"/>
      <c r="H136" s="389"/>
      <c r="I136" s="389"/>
      <c r="J136" s="389"/>
      <c r="K136" s="389"/>
      <c r="L136" s="389"/>
      <c r="M136" s="389"/>
      <c r="N136" s="389"/>
      <c r="O136" s="389"/>
      <c r="P136" s="389"/>
      <c r="Q136" s="389"/>
    </row>
    <row r="137" spans="1:17">
      <c r="A137" s="389"/>
      <c r="B137" s="389"/>
      <c r="C137" s="389"/>
      <c r="D137" s="389"/>
      <c r="E137" s="389"/>
      <c r="F137" s="389"/>
      <c r="G137" s="389"/>
      <c r="H137" s="389"/>
      <c r="I137" s="389"/>
      <c r="J137" s="389"/>
      <c r="K137" s="389"/>
      <c r="L137" s="389"/>
      <c r="M137" s="389"/>
      <c r="N137" s="389"/>
      <c r="O137" s="389"/>
      <c r="P137" s="389"/>
      <c r="Q137" s="389"/>
    </row>
    <row r="138" spans="1:17">
      <c r="A138" s="389"/>
      <c r="B138" s="389"/>
      <c r="C138" s="389"/>
      <c r="D138" s="389"/>
      <c r="E138" s="389"/>
      <c r="F138" s="389"/>
      <c r="G138" s="389"/>
      <c r="H138" s="389"/>
      <c r="I138" s="389"/>
      <c r="J138" s="389"/>
      <c r="K138" s="389"/>
      <c r="L138" s="389"/>
      <c r="M138" s="389"/>
      <c r="N138" s="389"/>
      <c r="O138" s="389"/>
      <c r="P138" s="389"/>
      <c r="Q138" s="389"/>
    </row>
    <row r="139" spans="1:17">
      <c r="A139" s="389"/>
      <c r="B139" s="389"/>
      <c r="C139" s="389"/>
      <c r="D139" s="389"/>
      <c r="E139" s="389"/>
      <c r="F139" s="389"/>
      <c r="G139" s="389"/>
      <c r="H139" s="389"/>
      <c r="I139" s="389"/>
      <c r="J139" s="389"/>
      <c r="K139" s="389"/>
      <c r="L139" s="389"/>
      <c r="M139" s="389"/>
      <c r="N139" s="389"/>
      <c r="O139" s="389"/>
      <c r="P139" s="389"/>
      <c r="Q139" s="389"/>
    </row>
    <row r="140" spans="1:17">
      <c r="A140" s="389"/>
      <c r="B140" s="389"/>
      <c r="C140" s="389"/>
      <c r="D140" s="389"/>
      <c r="E140" s="389"/>
      <c r="F140" s="389"/>
      <c r="G140" s="389"/>
      <c r="H140" s="389"/>
      <c r="I140" s="389"/>
      <c r="J140" s="389"/>
      <c r="K140" s="389"/>
      <c r="L140" s="389"/>
      <c r="M140" s="389"/>
      <c r="N140" s="389"/>
      <c r="O140" s="389"/>
      <c r="P140" s="389"/>
      <c r="Q140" s="389"/>
    </row>
    <row r="141" spans="1:17">
      <c r="A141" s="389"/>
      <c r="B141" s="389"/>
      <c r="C141" s="389"/>
      <c r="D141" s="389"/>
      <c r="E141" s="389"/>
      <c r="F141" s="389"/>
      <c r="G141" s="389"/>
      <c r="H141" s="389"/>
      <c r="I141" s="389"/>
      <c r="J141" s="389"/>
      <c r="K141" s="389"/>
      <c r="L141" s="389"/>
      <c r="M141" s="389"/>
      <c r="N141" s="389"/>
      <c r="O141" s="389"/>
      <c r="P141" s="389"/>
      <c r="Q141" s="389"/>
    </row>
    <row r="142" spans="1:17">
      <c r="A142" s="389"/>
      <c r="B142" s="389"/>
      <c r="C142" s="389"/>
      <c r="D142" s="389"/>
      <c r="E142" s="389"/>
      <c r="F142" s="389"/>
      <c r="G142" s="389"/>
      <c r="H142" s="389"/>
      <c r="I142" s="389"/>
      <c r="J142" s="389"/>
      <c r="K142" s="389"/>
      <c r="L142" s="389"/>
      <c r="M142" s="389"/>
      <c r="N142" s="389"/>
      <c r="O142" s="389"/>
      <c r="P142" s="389"/>
      <c r="Q142" s="389"/>
    </row>
    <row r="143" spans="1:17">
      <c r="A143" s="389"/>
      <c r="B143" s="389"/>
      <c r="C143" s="389"/>
      <c r="D143" s="389"/>
      <c r="E143" s="389"/>
      <c r="F143" s="389"/>
      <c r="G143" s="389"/>
      <c r="H143" s="389"/>
      <c r="I143" s="389"/>
      <c r="J143" s="389"/>
      <c r="K143" s="389"/>
      <c r="L143" s="389"/>
      <c r="M143" s="389"/>
      <c r="N143" s="389"/>
      <c r="O143" s="389"/>
      <c r="P143" s="389"/>
      <c r="Q143" s="389"/>
    </row>
    <row r="144" spans="1:17">
      <c r="A144" s="389"/>
      <c r="B144" s="389"/>
      <c r="C144" s="389"/>
      <c r="D144" s="389"/>
      <c r="E144" s="389"/>
      <c r="F144" s="389"/>
      <c r="G144" s="389"/>
      <c r="H144" s="389"/>
      <c r="I144" s="389"/>
      <c r="J144" s="389"/>
      <c r="K144" s="389"/>
      <c r="L144" s="389"/>
      <c r="M144" s="389"/>
      <c r="N144" s="389"/>
      <c r="O144" s="389"/>
      <c r="P144" s="389"/>
      <c r="Q144" s="389"/>
    </row>
    <row r="145" spans="1:17">
      <c r="A145" s="389"/>
      <c r="B145" s="389"/>
      <c r="C145" s="389"/>
      <c r="D145" s="389"/>
      <c r="E145" s="389"/>
      <c r="F145" s="389"/>
      <c r="G145" s="389"/>
      <c r="H145" s="389"/>
      <c r="I145" s="389"/>
      <c r="J145" s="389"/>
      <c r="K145" s="389"/>
      <c r="L145" s="389"/>
      <c r="M145" s="389"/>
      <c r="N145" s="389"/>
      <c r="O145" s="389"/>
      <c r="P145" s="389"/>
      <c r="Q145" s="389"/>
    </row>
    <row r="146" spans="1:17">
      <c r="A146" s="389"/>
      <c r="B146" s="389"/>
      <c r="C146" s="389"/>
      <c r="D146" s="389"/>
      <c r="E146" s="389"/>
      <c r="F146" s="389"/>
      <c r="G146" s="389"/>
      <c r="H146" s="389"/>
      <c r="I146" s="389"/>
      <c r="J146" s="389"/>
      <c r="K146" s="389"/>
      <c r="L146" s="389"/>
      <c r="M146" s="389"/>
      <c r="N146" s="389"/>
      <c r="O146" s="389"/>
      <c r="P146" s="389"/>
      <c r="Q146" s="389"/>
    </row>
    <row r="147" spans="1:17">
      <c r="A147" s="389"/>
      <c r="B147" s="389"/>
      <c r="C147" s="389"/>
      <c r="D147" s="389"/>
      <c r="E147" s="389"/>
      <c r="F147" s="389"/>
      <c r="G147" s="389"/>
      <c r="H147" s="389"/>
      <c r="I147" s="389"/>
      <c r="J147" s="389"/>
      <c r="K147" s="389"/>
      <c r="L147" s="389"/>
      <c r="M147" s="389"/>
      <c r="N147" s="389"/>
      <c r="O147" s="389"/>
      <c r="P147" s="389"/>
      <c r="Q147" s="389"/>
    </row>
    <row r="148" spans="1:17">
      <c r="A148" s="389"/>
      <c r="B148" s="389"/>
      <c r="C148" s="389"/>
      <c r="D148" s="389"/>
      <c r="E148" s="389"/>
      <c r="F148" s="389"/>
      <c r="G148" s="389"/>
      <c r="H148" s="389"/>
      <c r="I148" s="389"/>
      <c r="J148" s="389"/>
      <c r="K148" s="389"/>
      <c r="L148" s="389"/>
      <c r="M148" s="389"/>
      <c r="N148" s="389"/>
      <c r="O148" s="389"/>
      <c r="P148" s="389"/>
      <c r="Q148" s="389"/>
    </row>
    <row r="149" spans="1:17">
      <c r="A149" s="389"/>
      <c r="B149" s="389"/>
      <c r="C149" s="389"/>
      <c r="D149" s="389"/>
      <c r="E149" s="389"/>
      <c r="F149" s="389"/>
      <c r="G149" s="389"/>
      <c r="H149" s="389"/>
      <c r="I149" s="389"/>
      <c r="J149" s="389"/>
      <c r="K149" s="389"/>
      <c r="L149" s="389"/>
      <c r="M149" s="389"/>
      <c r="N149" s="389"/>
      <c r="O149" s="389"/>
      <c r="P149" s="389"/>
      <c r="Q149" s="389"/>
    </row>
    <row r="150" spans="1:17">
      <c r="A150" s="389"/>
      <c r="B150" s="389"/>
      <c r="C150" s="389"/>
      <c r="D150" s="389"/>
      <c r="E150" s="389"/>
      <c r="F150" s="389"/>
      <c r="G150" s="389"/>
      <c r="H150" s="389"/>
      <c r="I150" s="389"/>
      <c r="J150" s="389"/>
      <c r="K150" s="389"/>
      <c r="L150" s="389"/>
      <c r="M150" s="389"/>
      <c r="N150" s="389"/>
      <c r="O150" s="389"/>
      <c r="P150" s="389"/>
      <c r="Q150" s="389"/>
    </row>
    <row r="151" spans="1:17">
      <c r="B151" s="389"/>
      <c r="C151" s="389"/>
      <c r="D151" s="389"/>
      <c r="E151" s="389"/>
      <c r="F151" s="389"/>
      <c r="G151" s="389"/>
      <c r="H151" s="389"/>
      <c r="I151" s="389"/>
      <c r="J151" s="389"/>
      <c r="K151" s="389"/>
      <c r="L151" s="389"/>
      <c r="M151" s="389"/>
      <c r="N151" s="389"/>
      <c r="O151" s="389"/>
      <c r="P151" s="389"/>
      <c r="Q151" s="389"/>
    </row>
    <row r="152" spans="1:17">
      <c r="B152" s="389"/>
      <c r="C152" s="389"/>
      <c r="D152" s="389"/>
      <c r="E152" s="389"/>
      <c r="F152" s="389"/>
      <c r="G152" s="389"/>
      <c r="H152" s="389"/>
      <c r="I152" s="389"/>
      <c r="J152" s="389"/>
      <c r="K152" s="389"/>
      <c r="L152" s="389"/>
      <c r="M152" s="389"/>
      <c r="N152" s="389"/>
      <c r="O152" s="389"/>
      <c r="P152" s="389"/>
      <c r="Q152" s="389"/>
    </row>
    <row r="153" spans="1:17">
      <c r="B153" s="389"/>
      <c r="C153" s="389"/>
      <c r="D153" s="389"/>
      <c r="E153" s="389"/>
      <c r="F153" s="389"/>
      <c r="G153" s="389"/>
      <c r="H153" s="389"/>
      <c r="I153" s="389"/>
      <c r="J153" s="389"/>
      <c r="K153" s="389"/>
      <c r="L153" s="389"/>
      <c r="M153" s="389"/>
      <c r="N153" s="389"/>
      <c r="O153" s="389"/>
      <c r="P153" s="389"/>
      <c r="Q153" s="389"/>
    </row>
    <row r="154" spans="1:17">
      <c r="B154" s="389"/>
      <c r="C154" s="389"/>
      <c r="D154" s="389"/>
      <c r="E154" s="389"/>
      <c r="F154" s="389"/>
      <c r="G154" s="389"/>
      <c r="H154" s="389"/>
      <c r="I154" s="389"/>
      <c r="J154" s="389"/>
      <c r="K154" s="389"/>
      <c r="L154" s="389"/>
      <c r="M154" s="389"/>
      <c r="N154" s="389"/>
      <c r="O154" s="389"/>
      <c r="P154" s="389"/>
      <c r="Q154" s="389"/>
    </row>
    <row r="155" spans="1:17">
      <c r="B155" s="389"/>
      <c r="C155" s="389"/>
      <c r="D155" s="389"/>
      <c r="E155" s="389"/>
      <c r="F155" s="389"/>
      <c r="G155" s="389"/>
      <c r="H155" s="389"/>
      <c r="I155" s="389"/>
      <c r="J155" s="389"/>
      <c r="K155" s="389"/>
      <c r="L155" s="389"/>
      <c r="M155" s="389"/>
      <c r="N155" s="389"/>
      <c r="O155" s="389"/>
      <c r="P155" s="389"/>
      <c r="Q155" s="389"/>
    </row>
    <row r="156" spans="1:17">
      <c r="B156" s="389"/>
      <c r="C156" s="389"/>
      <c r="D156" s="389"/>
      <c r="E156" s="389"/>
      <c r="F156" s="389"/>
      <c r="G156" s="389"/>
      <c r="H156" s="389"/>
      <c r="I156" s="389"/>
      <c r="J156" s="389"/>
      <c r="K156" s="389"/>
      <c r="L156" s="389"/>
      <c r="M156" s="389"/>
      <c r="N156" s="389"/>
      <c r="O156" s="389"/>
      <c r="P156" s="389"/>
      <c r="Q156" s="389"/>
    </row>
    <row r="157" spans="1:17">
      <c r="B157" s="389"/>
      <c r="C157" s="389"/>
      <c r="D157" s="389"/>
      <c r="E157" s="389"/>
      <c r="F157" s="389"/>
      <c r="G157" s="389"/>
      <c r="H157" s="389"/>
      <c r="I157" s="389"/>
      <c r="J157" s="389"/>
      <c r="K157" s="389"/>
      <c r="L157" s="389"/>
      <c r="M157" s="389"/>
      <c r="N157" s="389"/>
      <c r="O157" s="389"/>
      <c r="P157" s="389"/>
      <c r="Q157" s="389"/>
    </row>
    <row r="158" spans="1:17">
      <c r="B158" s="389"/>
      <c r="C158" s="389"/>
      <c r="D158" s="389"/>
      <c r="E158" s="389"/>
      <c r="F158" s="389"/>
      <c r="G158" s="389"/>
      <c r="H158" s="389"/>
      <c r="I158" s="389"/>
      <c r="J158" s="389"/>
      <c r="K158" s="389"/>
      <c r="L158" s="389"/>
      <c r="M158" s="389"/>
      <c r="N158" s="389"/>
      <c r="O158" s="389"/>
      <c r="P158" s="389"/>
      <c r="Q158" s="389"/>
    </row>
    <row r="159" spans="1:17">
      <c r="B159" s="389"/>
      <c r="C159" s="389"/>
      <c r="D159" s="389"/>
      <c r="E159" s="389"/>
      <c r="F159" s="389"/>
      <c r="G159" s="389"/>
      <c r="H159" s="389"/>
      <c r="I159" s="389"/>
      <c r="J159" s="389"/>
      <c r="K159" s="389"/>
      <c r="L159" s="389"/>
      <c r="M159" s="389"/>
      <c r="N159" s="389"/>
      <c r="O159" s="389"/>
      <c r="P159" s="389"/>
      <c r="Q159" s="389"/>
    </row>
    <row r="160" spans="1:17">
      <c r="B160" s="389"/>
      <c r="C160" s="389"/>
      <c r="D160" s="389"/>
      <c r="E160" s="389"/>
      <c r="F160" s="389"/>
      <c r="G160" s="389"/>
      <c r="H160" s="389"/>
      <c r="I160" s="389"/>
      <c r="J160" s="389"/>
      <c r="K160" s="389"/>
      <c r="L160" s="389"/>
      <c r="M160" s="389"/>
      <c r="N160" s="389"/>
      <c r="O160" s="389"/>
      <c r="P160" s="389"/>
      <c r="Q160" s="389"/>
    </row>
    <row r="161" spans="2:17">
      <c r="B161" s="389"/>
      <c r="C161" s="389"/>
      <c r="D161" s="389"/>
      <c r="E161" s="389"/>
      <c r="F161" s="389"/>
      <c r="G161" s="389"/>
      <c r="H161" s="389"/>
      <c r="I161" s="389"/>
      <c r="J161" s="389"/>
      <c r="K161" s="389"/>
      <c r="L161" s="389"/>
      <c r="M161" s="389"/>
      <c r="N161" s="389"/>
      <c r="O161" s="389"/>
      <c r="P161" s="389"/>
      <c r="Q161" s="389"/>
    </row>
    <row r="162" spans="2:17">
      <c r="B162" s="389"/>
      <c r="C162" s="389"/>
      <c r="D162" s="389"/>
      <c r="E162" s="389"/>
      <c r="F162" s="389"/>
      <c r="G162" s="389"/>
      <c r="H162" s="389"/>
      <c r="I162" s="389"/>
      <c r="J162" s="389"/>
      <c r="K162" s="389"/>
      <c r="L162" s="389"/>
      <c r="M162" s="389"/>
      <c r="N162" s="389"/>
      <c r="O162" s="389"/>
      <c r="P162" s="389"/>
      <c r="Q162" s="389"/>
    </row>
  </sheetData>
  <sheetProtection formatCells="0" formatColumns="0" formatRows="0" insertColumns="0" insertRows="0" insertHyperlinks="0" deleteColumns="0" deleteRows="0" sort="0" autoFilter="0" pivotTables="0"/>
  <dataConsolidate/>
  <mergeCells count="85">
    <mergeCell ref="C94:P94"/>
    <mergeCell ref="J16:L16"/>
    <mergeCell ref="M13:P13"/>
    <mergeCell ref="I14:P15"/>
    <mergeCell ref="F16:H16"/>
    <mergeCell ref="J13:L13"/>
    <mergeCell ref="O16:P16"/>
    <mergeCell ref="N76:N77"/>
    <mergeCell ref="O76:P76"/>
    <mergeCell ref="L78:M78"/>
    <mergeCell ref="E76:F76"/>
    <mergeCell ref="I76:I77"/>
    <mergeCell ref="P84:P86"/>
    <mergeCell ref="J89:K89"/>
    <mergeCell ref="J90:K90"/>
    <mergeCell ref="J92:K92"/>
    <mergeCell ref="D5:H5"/>
    <mergeCell ref="M5:P5"/>
    <mergeCell ref="D9:H9"/>
    <mergeCell ref="J11:L11"/>
    <mergeCell ref="D11:G11"/>
    <mergeCell ref="J5:L5"/>
    <mergeCell ref="J7:P7"/>
    <mergeCell ref="J9:N9"/>
    <mergeCell ref="O9:P9"/>
    <mergeCell ref="O11:P11"/>
    <mergeCell ref="O107:P107"/>
    <mergeCell ref="E96:F96"/>
    <mergeCell ref="H96:I96"/>
    <mergeCell ref="E98:F98"/>
    <mergeCell ref="H98:I98"/>
    <mergeCell ref="E100:F100"/>
    <mergeCell ref="M103:N103"/>
    <mergeCell ref="D89:E89"/>
    <mergeCell ref="D90:E90"/>
    <mergeCell ref="F89:G89"/>
    <mergeCell ref="F90:G90"/>
    <mergeCell ref="H89:I89"/>
    <mergeCell ref="H90:I90"/>
    <mergeCell ref="D92:E92"/>
    <mergeCell ref="F92:G92"/>
    <mergeCell ref="H92:I92"/>
    <mergeCell ref="C31:D31"/>
    <mergeCell ref="C32:D32"/>
    <mergeCell ref="C62:C63"/>
    <mergeCell ref="E62:E63"/>
    <mergeCell ref="B73:P73"/>
    <mergeCell ref="F62:P63"/>
    <mergeCell ref="C68:C69"/>
    <mergeCell ref="G83:H83"/>
    <mergeCell ref="G84:H84"/>
    <mergeCell ref="G85:H85"/>
    <mergeCell ref="G86:H86"/>
    <mergeCell ref="G76:H77"/>
    <mergeCell ref="G78:H78"/>
    <mergeCell ref="E31:F31"/>
    <mergeCell ref="E32:F32"/>
    <mergeCell ref="L32:P32"/>
    <mergeCell ref="F37:J37"/>
    <mergeCell ref="B35:M35"/>
    <mergeCell ref="O66:Q66"/>
    <mergeCell ref="C37:D37"/>
    <mergeCell ref="C76:C77"/>
    <mergeCell ref="D76:D77"/>
    <mergeCell ref="L38:L39"/>
    <mergeCell ref="N38:N39"/>
    <mergeCell ref="L37:P37"/>
    <mergeCell ref="P38:P39"/>
    <mergeCell ref="C38:C39"/>
    <mergeCell ref="I33:J33"/>
    <mergeCell ref="D62:D63"/>
    <mergeCell ref="L84:M86"/>
    <mergeCell ref="N84:N86"/>
    <mergeCell ref="L79:M79"/>
    <mergeCell ref="L80:M80"/>
    <mergeCell ref="L81:M81"/>
    <mergeCell ref="L82:M82"/>
    <mergeCell ref="L83:M83"/>
    <mergeCell ref="J76:K76"/>
    <mergeCell ref="L76:M77"/>
    <mergeCell ref="G79:H79"/>
    <mergeCell ref="G80:H80"/>
    <mergeCell ref="G81:H81"/>
    <mergeCell ref="G82:H82"/>
    <mergeCell ref="O84:O86"/>
  </mergeCells>
  <conditionalFormatting sqref="C40 C42 C44 C50 C52 C54 C56 I40 I42 I44 I46 I48 I50 I52 I54 I56 C48 C46">
    <cfRule type="cellIs" dxfId="16" priority="61" operator="equal">
      <formula>0</formula>
    </cfRule>
  </conditionalFormatting>
  <conditionalFormatting sqref="I40 I42 I44 I46 I48 I50 I52 I54 I56 C40 C42 C44 C50 C52 C54 C56 C48 C46">
    <cfRule type="cellIs" dxfId="15" priority="60" operator="equal">
      <formula>0</formula>
    </cfRule>
  </conditionalFormatting>
  <conditionalFormatting sqref="I40 I42 I44 I46 I48 I50 I52 I54 I56 C40 C42 C44 C50 C52 C54 C56 C48 C46">
    <cfRule type="cellIs" dxfId="14" priority="59" operator="equal">
      <formula>0</formula>
    </cfRule>
  </conditionalFormatting>
  <conditionalFormatting sqref="C58 I58">
    <cfRule type="cellIs" dxfId="13" priority="9" operator="equal">
      <formula>0</formula>
    </cfRule>
  </conditionalFormatting>
  <conditionalFormatting sqref="I58 C58">
    <cfRule type="cellIs" dxfId="12" priority="8" operator="equal">
      <formula>0</formula>
    </cfRule>
  </conditionalFormatting>
  <conditionalFormatting sqref="I58 C58">
    <cfRule type="cellIs" dxfId="11" priority="7" operator="equal">
      <formula>0</formula>
    </cfRule>
  </conditionalFormatting>
  <conditionalFormatting sqref="C60 I60">
    <cfRule type="cellIs" dxfId="10" priority="6" operator="equal">
      <formula>0</formula>
    </cfRule>
  </conditionalFormatting>
  <conditionalFormatting sqref="I60 C60">
    <cfRule type="cellIs" dxfId="9" priority="5" operator="equal">
      <formula>0</formula>
    </cfRule>
  </conditionalFormatting>
  <conditionalFormatting sqref="I60 C60">
    <cfRule type="cellIs" dxfId="8" priority="4" operator="equal">
      <formula>0</formula>
    </cfRule>
  </conditionalFormatting>
  <conditionalFormatting sqref="C20">
    <cfRule type="cellIs" dxfId="7" priority="3" operator="equal">
      <formula>0</formula>
    </cfRule>
  </conditionalFormatting>
  <conditionalFormatting sqref="C20">
    <cfRule type="cellIs" dxfId="6" priority="2" operator="equal">
      <formula>0</formula>
    </cfRule>
  </conditionalFormatting>
  <conditionalFormatting sqref="C20">
    <cfRule type="cellIs" dxfId="5" priority="1" operator="equal">
      <formula>0</formula>
    </cfRule>
  </conditionalFormatting>
  <dataValidations count="4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6 E100 E98" xr:uid="{00000000-0002-0000-0000-000000000000}">
      <formula1>0</formula1>
      <formula2>D43</formula2>
    </dataValidation>
    <dataValidation allowBlank="1" showInputMessage="1" sqref="H70 M68:N68 H68 M70:N70 F18:G19 D18:D19" xr:uid="{00000000-0002-0000-0000-000001000000}"/>
    <dataValidation type="decimal" allowBlank="1" showErrorMessage="1" errorTitle="Внимание!" error="Урожайность должна быть в пределах от 0 до 1000 ц/га" sqref="N54 L40 N40 J42 L42 P52 J44 L44 N42 J46 L46 N44 J48 L48 N46 L50 P42 J50:J52 L52 N48 L54 N50 J54:J56 L56 N52 J40 P54 P40 N58 N60:N61 P44 P46 P48 P50 J60:J61 L60:L61 P58 P56 L58 J58 N56 P60:P61" xr:uid="{00000000-0002-0000-0000-000002000000}">
      <formula1>0</formula1>
      <formula2>1000</formula2>
    </dataValidation>
    <dataValidation type="decimal" allowBlank="1" showErrorMessage="1" errorTitle="Внимание!" error="Урожайность должна быть в пределах от 0 до 100 ц/га" sqref="N57 L57 J57 J41 P57 N55 L55 L53 N53 J53 N51 L51 L49 N49 J49 N47 L47 J47 N45 L45 J45 N43 L43 J43 N41 L41 P41 P55 P53 P51 P49 P47 P45 P43 M40:M61 N59 L59 J59 P59" xr:uid="{00000000-0002-0000-0000-00000300000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7 F69" xr:uid="{00000000-0002-0000-0000-000004000000}">
      <formula1>0</formula1>
      <formula2>W36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7 K69" xr:uid="{00000000-0002-0000-0000-000005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7:J67 I69:J69" xr:uid="{00000000-0002-0000-0000-000006000000}">
      <formula1>0</formula1>
      <formula2>N36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7 L69 N67 N69" xr:uid="{00000000-0002-0000-0000-000007000000}">
      <formula1>0</formula1>
      <formula2>P36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7 G69" xr:uid="{00000000-0002-0000-0000-000008000000}">
      <formula1>0</formula1>
      <formula2>I36</formula2>
    </dataValidation>
    <dataValidation errorStyle="warning" allowBlank="1" showErrorMessage="1" sqref="M103:N103" xr:uid="{00000000-0002-0000-0000-000009000000}"/>
    <dataValidation type="whole" allowBlank="1" showInputMessage="1" showErrorMessage="1" error="Требования к срокам ведения деятельности_x000a_Срок ведения деятельности должен превышать 2 года" sqref="E16" xr:uid="{00000000-0002-0000-0000-00000A000000}">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0 F40 H40" xr:uid="{00000000-0002-0000-0000-00000B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7:E67 D69:E69" xr:uid="{00000000-0002-0000-0000-00000C000000}">
      <formula1>0</formula1>
      <formula2>D36</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8:E68" xr:uid="{00000000-0002-0000-0000-00000D00000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0 K68" xr:uid="{00000000-0002-0000-0000-00000E000000}">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8:J68" xr:uid="{00000000-0002-0000-0000-00000F000000}">
      <formula1>0</formula1>
      <formula2>N37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8" xr:uid="{00000000-0002-0000-0000-000010000000}">
      <formula1>0</formula1>
      <formula2>P37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8" xr:uid="{00000000-0002-0000-0000-000011000000}">
      <formula1>0</formula1>
      <formula2>I37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8" xr:uid="{00000000-0002-0000-0000-000012000000}">
      <formula1>0</formula1>
      <formula2>W37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0:E70" xr:uid="{00000000-0002-0000-0000-000013000000}">
      <formula1>0</formula1>
      <formula2>D40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0:J70" xr:uid="{00000000-0002-0000-0000-000014000000}">
      <formula1>0</formula1>
      <formula2>N40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0" xr:uid="{00000000-0002-0000-0000-000015000000}">
      <formula1>0</formula1>
      <formula2>P40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0" xr:uid="{00000000-0002-0000-0000-000016000000}">
      <formula1>0</formula1>
      <formula2>I40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0" xr:uid="{00000000-0002-0000-0000-000017000000}">
      <formula1>0</formula1>
      <formula2>W40</formula2>
    </dataValidation>
    <dataValidation type="whole" allowBlank="1" showInputMessage="1" showErrorMessage="1" sqref="M2 N16:O16" xr:uid="{00000000-0002-0000-0000-000018000000}">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6:N66" xr:uid="{00000000-0002-0000-0000-000019000000}">
      <formula1>0</formula1>
      <formula2>D34</formula2>
    </dataValidation>
    <dataValidation type="list" allowBlank="1" showInputMessage="1" showErrorMessage="1" sqref="E20:E29" xr:uid="{00000000-0002-0000-0000-00001A000000}">
      <formula1>$X$7:$X$16</formula1>
    </dataValidation>
    <dataValidation type="list" allowBlank="1" showInputMessage="1" sqref="F20:F29" xr:uid="{00000000-0002-0000-0000-00001B000000}">
      <formula1>$Z$6:$AA$6</formula1>
    </dataValidation>
    <dataValidation type="list" allowBlank="1" showInputMessage="1" showErrorMessage="1" sqref="G20" xr:uid="{00000000-0002-0000-0000-00001C000000}">
      <formula1>INDIRECT($F$20)</formula1>
    </dataValidation>
    <dataValidation type="list" allowBlank="1" showInputMessage="1" showErrorMessage="1" sqref="G21" xr:uid="{00000000-0002-0000-0000-00001D000000}">
      <formula1>INDIRECT($F$21)</formula1>
    </dataValidation>
    <dataValidation type="list" allowBlank="1" showInputMessage="1" showErrorMessage="1" sqref="G22" xr:uid="{00000000-0002-0000-0000-00001E000000}">
      <formula1>INDIRECT($F$22)</formula1>
    </dataValidation>
    <dataValidation type="list" allowBlank="1" showInputMessage="1" showErrorMessage="1" sqref="G23" xr:uid="{00000000-0002-0000-0000-00001F000000}">
      <formula1>INDIRECT($F$23)</formula1>
    </dataValidation>
    <dataValidation type="list" allowBlank="1" showInputMessage="1" showErrorMessage="1" sqref="G24" xr:uid="{00000000-0002-0000-0000-000020000000}">
      <formula1>INDIRECT($F$24)</formula1>
    </dataValidation>
    <dataValidation type="list" allowBlank="1" showInputMessage="1" showErrorMessage="1" sqref="G25" xr:uid="{00000000-0002-0000-0000-000021000000}">
      <formula1>INDIRECT($F$25)</formula1>
    </dataValidation>
    <dataValidation type="list" allowBlank="1" showInputMessage="1" showErrorMessage="1" sqref="G26" xr:uid="{00000000-0002-0000-0000-000022000000}">
      <formula1>INDIRECT($F$26)</formula1>
    </dataValidation>
    <dataValidation type="list" allowBlank="1" showInputMessage="1" showErrorMessage="1" sqref="G27" xr:uid="{00000000-0002-0000-0000-000023000000}">
      <formula1>INDIRECT($F$27)</formula1>
    </dataValidation>
    <dataValidation type="list" allowBlank="1" showInputMessage="1" showErrorMessage="1" sqref="G28" xr:uid="{00000000-0002-0000-0000-000024000000}">
      <formula1>INDIRECT($F$28)</formula1>
    </dataValidation>
    <dataValidation type="list" allowBlank="1" showInputMessage="1" showErrorMessage="1" sqref="G29" xr:uid="{00000000-0002-0000-0000-000025000000}">
      <formula1>INDIRECT($F$29)</formula1>
    </dataValidation>
    <dataValidation type="list" allowBlank="1" showInputMessage="1" showErrorMessage="1" sqref="J20:J29" xr:uid="{00000000-0002-0000-0000-000026000000}">
      <formula1>$AB$6:$AB$7</formula1>
    </dataValidation>
    <dataValidation type="list" allowBlank="1" showInputMessage="1" showErrorMessage="1" sqref="K20:K29" xr:uid="{00000000-0002-0000-0000-000027000000}">
      <formula1>$AC$6:$AC$7</formula1>
    </dataValidation>
  </dataValidations>
  <printOptions horizontalCentered="1"/>
  <pageMargins left="0.23622047244094491" right="0.23622047244094491" top="0.74803149606299213" bottom="0.74803149606299213" header="0.31496062992125984" footer="0.31496062992125984"/>
  <pageSetup paperSize="9" scale="4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Drop Down 1">
              <controlPr defaultSize="0" autoLine="0" autoPict="0">
                <anchor moveWithCells="1">
                  <from>
                    <xdr:col>3</xdr:col>
                    <xdr:colOff>7620</xdr:colOff>
                    <xdr:row>7</xdr:row>
                    <xdr:rowOff>182880</xdr:rowOff>
                  </from>
                  <to>
                    <xdr:col>5</xdr:col>
                    <xdr:colOff>381000</xdr:colOff>
                    <xdr:row>8</xdr:row>
                    <xdr:rowOff>297180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33"/>
  <dimension ref="A1:P43"/>
  <sheetViews>
    <sheetView zoomScaleNormal="100" workbookViewId="0">
      <selection activeCell="F12" sqref="F12"/>
    </sheetView>
  </sheetViews>
  <sheetFormatPr defaultRowHeight="13.2"/>
  <cols>
    <col min="1" max="1" width="3.109375" bestFit="1" customWidth="1" collapsed="1"/>
    <col min="2" max="2" width="22.5546875" bestFit="1" customWidth="1" collapsed="1"/>
    <col min="3" max="3" width="18" bestFit="1" customWidth="1" collapsed="1"/>
    <col min="4" max="4" width="19.109375" customWidth="1" collapsed="1"/>
    <col min="5" max="5" width="14.33203125" bestFit="1" customWidth="1" collapsed="1"/>
    <col min="6" max="6" width="14.33203125" customWidth="1"/>
    <col min="7" max="7" width="22.5546875" bestFit="1" customWidth="1" collapsed="1"/>
    <col min="8" max="8" width="12" bestFit="1" customWidth="1" collapsed="1"/>
    <col min="9" max="9" width="23.6640625" bestFit="1" customWidth="1" collapsed="1"/>
    <col min="10" max="11" width="16.44140625" bestFit="1" customWidth="1" collapsed="1"/>
    <col min="12" max="12" width="15.6640625" bestFit="1" customWidth="1" collapsed="1"/>
    <col min="13" max="13" width="15.6640625" customWidth="1"/>
    <col min="14" max="14" width="14.109375" bestFit="1" customWidth="1" collapsed="1"/>
    <col min="15" max="15" width="20.6640625" bestFit="1" customWidth="1" collapsed="1"/>
    <col min="16" max="16" width="19.5546875" bestFit="1" customWidth="1" collapsed="1"/>
  </cols>
  <sheetData>
    <row r="1" spans="1:3">
      <c r="B1" t="s">
        <v>0</v>
      </c>
    </row>
    <row r="2" spans="1:3">
      <c r="A2">
        <v>1</v>
      </c>
      <c r="B2" s="1" t="s">
        <v>3</v>
      </c>
    </row>
    <row r="3" spans="1:3">
      <c r="A3">
        <v>2</v>
      </c>
      <c r="B3" s="1" t="s">
        <v>6</v>
      </c>
    </row>
    <row r="4" spans="1:3">
      <c r="A4">
        <v>3</v>
      </c>
      <c r="B4" s="1" t="s">
        <v>91</v>
      </c>
    </row>
    <row r="5" spans="1:3">
      <c r="A5">
        <v>4</v>
      </c>
      <c r="B5" s="3" t="s">
        <v>335</v>
      </c>
    </row>
    <row r="6" spans="1:3">
      <c r="A6">
        <v>5</v>
      </c>
      <c r="B6" s="1" t="s">
        <v>7</v>
      </c>
    </row>
    <row r="7" spans="1:3">
      <c r="A7">
        <v>6</v>
      </c>
      <c r="B7" s="1" t="s">
        <v>92</v>
      </c>
    </row>
    <row r="8" spans="1:3">
      <c r="A8">
        <v>7</v>
      </c>
      <c r="B8" s="1" t="s">
        <v>5</v>
      </c>
    </row>
    <row r="9" spans="1:3">
      <c r="A9">
        <v>8</v>
      </c>
      <c r="B9" s="1" t="s">
        <v>77</v>
      </c>
    </row>
    <row r="10" spans="1:3">
      <c r="A10">
        <v>9</v>
      </c>
      <c r="B10" s="1" t="s">
        <v>2</v>
      </c>
    </row>
    <row r="11" spans="1:3">
      <c r="A11">
        <v>10</v>
      </c>
      <c r="B11" s="1" t="s">
        <v>93</v>
      </c>
    </row>
    <row r="12" spans="1:3">
      <c r="A12">
        <v>11</v>
      </c>
      <c r="B12" s="1" t="s">
        <v>334</v>
      </c>
    </row>
    <row r="13" spans="1:3">
      <c r="A13">
        <v>12</v>
      </c>
      <c r="B13" s="1" t="s">
        <v>4</v>
      </c>
    </row>
    <row r="14" spans="1:3">
      <c r="A14">
        <v>13</v>
      </c>
      <c r="B14" s="1" t="s">
        <v>1</v>
      </c>
    </row>
    <row r="15" spans="1:3">
      <c r="A15">
        <v>14</v>
      </c>
      <c r="B15" s="1" t="s">
        <v>383</v>
      </c>
    </row>
    <row r="16" spans="1:3">
      <c r="C16" t="s">
        <v>95</v>
      </c>
    </row>
    <row r="17" spans="1:16" ht="12.75" customHeight="1">
      <c r="B17" t="s">
        <v>10</v>
      </c>
      <c r="C17" s="2" t="s">
        <v>3</v>
      </c>
      <c r="D17" s="2" t="s">
        <v>6</v>
      </c>
      <c r="E17" s="2" t="s">
        <v>91</v>
      </c>
      <c r="F17" s="2" t="s">
        <v>276</v>
      </c>
      <c r="G17" s="2" t="s">
        <v>7</v>
      </c>
      <c r="H17" s="2" t="s">
        <v>92</v>
      </c>
      <c r="I17" s="2" t="s">
        <v>5</v>
      </c>
      <c r="J17" s="2" t="s">
        <v>77</v>
      </c>
      <c r="K17" s="2" t="s">
        <v>2</v>
      </c>
      <c r="L17" s="2" t="s">
        <v>93</v>
      </c>
      <c r="M17" s="2" t="s">
        <v>291</v>
      </c>
      <c r="N17" s="2" t="s">
        <v>4</v>
      </c>
      <c r="O17" s="2" t="s">
        <v>1</v>
      </c>
      <c r="P17" s="2" t="s">
        <v>383</v>
      </c>
    </row>
    <row r="18" spans="1:16">
      <c r="A18">
        <v>1</v>
      </c>
      <c r="B18" t="str">
        <f>CHOOSE([0]!ОБЛАСТЬ,C18,D18,E18,F18,G18,H18,I18,J18,K18,L18,M18,N18,O18,P18)</f>
        <v>г.Кокшетау</v>
      </c>
      <c r="C18" s="1" t="s">
        <v>97</v>
      </c>
      <c r="D18" s="1" t="s">
        <v>195</v>
      </c>
      <c r="E18" s="1" t="s">
        <v>100</v>
      </c>
      <c r="F18" s="1" t="s">
        <v>277</v>
      </c>
      <c r="G18" s="1" t="s">
        <v>181</v>
      </c>
      <c r="H18" s="1" t="s">
        <v>185</v>
      </c>
      <c r="I18" s="1" t="s">
        <v>119</v>
      </c>
      <c r="J18" s="1" t="s">
        <v>132</v>
      </c>
      <c r="K18" s="1" t="s">
        <v>13</v>
      </c>
      <c r="L18" s="1" t="s">
        <v>143</v>
      </c>
      <c r="M18" s="1" t="s">
        <v>292</v>
      </c>
      <c r="N18" s="1" t="s">
        <v>154</v>
      </c>
      <c r="O18" s="1" t="s">
        <v>301</v>
      </c>
      <c r="P18" s="1" t="s">
        <v>157</v>
      </c>
    </row>
    <row r="19" spans="1:16">
      <c r="A19">
        <f>A18+1</f>
        <v>2</v>
      </c>
      <c r="B19" t="str">
        <f>CHOOSE([0]!ОБЛАСТЬ,C19,D19,E19,F19,G19,H19,I19,J19,K19,L19,M19,N19,O19,P19)</f>
        <v>г.Степногорск</v>
      </c>
      <c r="C19" s="1" t="s">
        <v>98</v>
      </c>
      <c r="D19" s="1" t="s">
        <v>45</v>
      </c>
      <c r="E19" s="1" t="s">
        <v>101</v>
      </c>
      <c r="F19" s="1" t="s">
        <v>278</v>
      </c>
      <c r="G19" s="1" t="s">
        <v>182</v>
      </c>
      <c r="H19" s="1" t="s">
        <v>186</v>
      </c>
      <c r="I19" s="1" t="s">
        <v>120</v>
      </c>
      <c r="J19" s="1" t="s">
        <v>133</v>
      </c>
      <c r="K19" s="1" t="s">
        <v>14</v>
      </c>
      <c r="L19" s="1" t="s">
        <v>142</v>
      </c>
      <c r="M19" s="1" t="s">
        <v>293</v>
      </c>
      <c r="N19" s="1" t="s">
        <v>153</v>
      </c>
      <c r="O19" s="1" t="s">
        <v>302</v>
      </c>
      <c r="P19" s="1" t="s">
        <v>210</v>
      </c>
    </row>
    <row r="20" spans="1:16">
      <c r="A20">
        <f t="shared" ref="A20:A37" si="0">A19+1</f>
        <v>3</v>
      </c>
      <c r="B20" t="str">
        <f>CHOOSE([0]!ОБЛАСТЬ,C20,D20,E20,F20,G20,H20,I20,J20,K20,L20,M20,N20,O20,P20)</f>
        <v>Аккольский</v>
      </c>
      <c r="C20" s="1" t="s">
        <v>29</v>
      </c>
      <c r="D20" s="1" t="s">
        <v>196</v>
      </c>
      <c r="E20" s="1" t="s">
        <v>102</v>
      </c>
      <c r="F20" s="1" t="s">
        <v>279</v>
      </c>
      <c r="G20" s="1" t="s">
        <v>183</v>
      </c>
      <c r="H20" s="1" t="s">
        <v>12</v>
      </c>
      <c r="I20" s="1" t="s">
        <v>121</v>
      </c>
      <c r="J20" s="1" t="s">
        <v>134</v>
      </c>
      <c r="K20" s="1" t="s">
        <v>15</v>
      </c>
      <c r="L20" s="1" t="s">
        <v>144</v>
      </c>
      <c r="M20" s="1" t="s">
        <v>294</v>
      </c>
      <c r="N20" s="1" t="s">
        <v>155</v>
      </c>
      <c r="O20" s="1" t="s">
        <v>303</v>
      </c>
      <c r="P20" s="1" t="s">
        <v>156</v>
      </c>
    </row>
    <row r="21" spans="1:16">
      <c r="A21">
        <f t="shared" si="0"/>
        <v>4</v>
      </c>
      <c r="B21" t="str">
        <f>CHOOSE([0]!ОБЛАСТЬ,C21,D21,E21,F21,G21,H21,I21,J21,K21,L21,M21,N21,O21,P21)</f>
        <v>Аршалынский</v>
      </c>
      <c r="C21" s="1" t="s">
        <v>30</v>
      </c>
      <c r="D21" s="1" t="s">
        <v>197</v>
      </c>
      <c r="E21" s="1" t="s">
        <v>103</v>
      </c>
      <c r="F21" s="1" t="s">
        <v>280</v>
      </c>
      <c r="G21" s="1" t="s">
        <v>184</v>
      </c>
      <c r="H21" s="1" t="s">
        <v>187</v>
      </c>
      <c r="I21" s="1" t="s">
        <v>122</v>
      </c>
      <c r="J21" s="1" t="s">
        <v>135</v>
      </c>
      <c r="K21" s="1" t="s">
        <v>16</v>
      </c>
      <c r="L21" s="1" t="s">
        <v>145</v>
      </c>
      <c r="M21" s="1" t="s">
        <v>295</v>
      </c>
      <c r="N21" s="1" t="s">
        <v>200</v>
      </c>
      <c r="O21" s="1" t="s">
        <v>11</v>
      </c>
      <c r="P21" s="1" t="s">
        <v>211</v>
      </c>
    </row>
    <row r="22" spans="1:16">
      <c r="A22">
        <f t="shared" si="0"/>
        <v>5</v>
      </c>
      <c r="B22" t="str">
        <f>CHOOSE([0]!ОБЛАСТЬ,C22,D22,E22,F22,G22,H22,I22,J22,K22,L22,M22,N22,O22,P22)</f>
        <v>Астраханский</v>
      </c>
      <c r="C22" s="1" t="s">
        <v>31</v>
      </c>
      <c r="D22" s="1" t="s">
        <v>48</v>
      </c>
      <c r="E22" s="1" t="s">
        <v>104</v>
      </c>
      <c r="F22" s="1" t="s">
        <v>281</v>
      </c>
      <c r="G22" s="1" t="s">
        <v>54</v>
      </c>
      <c r="H22" s="1" t="s">
        <v>188</v>
      </c>
      <c r="I22" s="1" t="s">
        <v>123</v>
      </c>
      <c r="J22" s="1" t="s">
        <v>198</v>
      </c>
      <c r="K22" s="1" t="s">
        <v>27</v>
      </c>
      <c r="L22" s="1" t="s">
        <v>146</v>
      </c>
      <c r="M22" s="1" t="s">
        <v>296</v>
      </c>
      <c r="N22" s="1" t="s">
        <v>201</v>
      </c>
      <c r="O22" s="1" t="s">
        <v>12</v>
      </c>
      <c r="P22" s="1" t="s">
        <v>212</v>
      </c>
    </row>
    <row r="23" spans="1:16">
      <c r="A23">
        <f t="shared" si="0"/>
        <v>6</v>
      </c>
      <c r="B23" t="str">
        <f>CHOOSE([0]!ОБЛАСТЬ,C23,D23,E23,F23,G23,H23,I23,J23,K23,L23,M23,N23,O23,P23)</f>
        <v>Атбасарский</v>
      </c>
      <c r="C23" s="1" t="s">
        <v>32</v>
      </c>
      <c r="D23" s="1" t="s">
        <v>99</v>
      </c>
      <c r="E23" s="1" t="s">
        <v>12</v>
      </c>
      <c r="F23" s="1" t="s">
        <v>282</v>
      </c>
      <c r="G23" s="1" t="s">
        <v>55</v>
      </c>
      <c r="H23" s="1" t="s">
        <v>189</v>
      </c>
      <c r="I23" s="1" t="s">
        <v>124</v>
      </c>
      <c r="J23" s="1" t="s">
        <v>136</v>
      </c>
      <c r="K23" s="1" t="s">
        <v>28</v>
      </c>
      <c r="L23" s="1" t="s">
        <v>147</v>
      </c>
      <c r="M23" s="1" t="s">
        <v>297</v>
      </c>
      <c r="N23" s="1" t="s">
        <v>202</v>
      </c>
      <c r="O23" s="1" t="s">
        <v>304</v>
      </c>
      <c r="P23" s="1" t="s">
        <v>213</v>
      </c>
    </row>
    <row r="24" spans="1:16">
      <c r="A24">
        <f t="shared" si="0"/>
        <v>7</v>
      </c>
      <c r="B24" t="str">
        <f>CHOOSE([0]!ОБЛАСТЬ,C24,D24,E24,F24,G24,H24,I24,J24,K24,L24,M24,N24,O24,P24)</f>
        <v>Буландинский</v>
      </c>
      <c r="C24" s="1" t="s">
        <v>96</v>
      </c>
      <c r="D24" s="1" t="s">
        <v>49</v>
      </c>
      <c r="E24" s="1" t="s">
        <v>105</v>
      </c>
      <c r="F24" s="1" t="s">
        <v>283</v>
      </c>
      <c r="G24" s="1" t="s">
        <v>56</v>
      </c>
      <c r="H24" s="1" t="s">
        <v>190</v>
      </c>
      <c r="I24" s="1" t="s">
        <v>125</v>
      </c>
      <c r="J24" s="1" t="s">
        <v>137</v>
      </c>
      <c r="K24" s="1" t="s">
        <v>18</v>
      </c>
      <c r="L24" s="1" t="s">
        <v>148</v>
      </c>
      <c r="M24" s="1" t="s">
        <v>298</v>
      </c>
      <c r="N24" s="1" t="s">
        <v>203</v>
      </c>
      <c r="O24" s="1" t="s">
        <v>305</v>
      </c>
      <c r="P24" s="1" t="s">
        <v>214</v>
      </c>
    </row>
    <row r="25" spans="1:16">
      <c r="A25">
        <f t="shared" si="0"/>
        <v>8</v>
      </c>
      <c r="B25" t="str">
        <f>CHOOSE([0]!ОБЛАСТЬ,C25,D25,E25,F25,G25,H25,I25,J25,K25,L25,M25,N25,O25,P25)</f>
        <v>Щучинский</v>
      </c>
      <c r="C25" s="1" t="s">
        <v>42</v>
      </c>
      <c r="D25" s="1" t="s">
        <v>50</v>
      </c>
      <c r="E25" s="1" t="s">
        <v>106</v>
      </c>
      <c r="F25" s="1" t="s">
        <v>284</v>
      </c>
      <c r="G25" s="1" t="s">
        <v>57</v>
      </c>
      <c r="H25" s="1" t="s">
        <v>191</v>
      </c>
      <c r="I25" s="1" t="s">
        <v>126</v>
      </c>
      <c r="J25" s="1" t="s">
        <v>138</v>
      </c>
      <c r="K25" s="1" t="s">
        <v>19</v>
      </c>
      <c r="L25" s="1" t="s">
        <v>149</v>
      </c>
      <c r="M25" s="1"/>
      <c r="N25" s="1" t="s">
        <v>204</v>
      </c>
      <c r="O25" s="1" t="s">
        <v>306</v>
      </c>
      <c r="P25" s="1" t="s">
        <v>215</v>
      </c>
    </row>
    <row r="26" spans="1:16">
      <c r="A26">
        <f t="shared" si="0"/>
        <v>9</v>
      </c>
      <c r="B26" t="str">
        <f>CHOOSE([0]!ОБЛАСТЬ,C26,D26,E26,F26,G26,H26,I26,J26,K26,L26,M26,N26,O26,P26)</f>
        <v>Егиндыкольский</v>
      </c>
      <c r="C26" s="1" t="s">
        <v>33</v>
      </c>
      <c r="D26" s="1" t="s">
        <v>53</v>
      </c>
      <c r="E26" s="1" t="s">
        <v>107</v>
      </c>
      <c r="F26" s="1"/>
      <c r="G26" s="1" t="s">
        <v>58</v>
      </c>
      <c r="H26" s="1" t="s">
        <v>192</v>
      </c>
      <c r="I26" s="1" t="s">
        <v>127</v>
      </c>
      <c r="J26" s="1" t="s">
        <v>139</v>
      </c>
      <c r="K26" s="1" t="s">
        <v>20</v>
      </c>
      <c r="L26" s="1"/>
      <c r="M26" s="1"/>
      <c r="N26" s="1" t="s">
        <v>205</v>
      </c>
      <c r="O26" s="1" t="s">
        <v>307</v>
      </c>
      <c r="P26" s="1" t="s">
        <v>216</v>
      </c>
    </row>
    <row r="27" spans="1:16">
      <c r="A27">
        <f t="shared" si="0"/>
        <v>10</v>
      </c>
      <c r="B27" t="str">
        <f>CHOOSE([0]!ОБЛАСТЬ,C27,D27,E27,F27,G27,H27,I27,J27,K27,L27,M27,N27,O27,P27)</f>
        <v>Енбекшильдерский</v>
      </c>
      <c r="C27" s="1" t="s">
        <v>34</v>
      </c>
      <c r="D27" s="1" t="s">
        <v>52</v>
      </c>
      <c r="E27" s="1" t="s">
        <v>108</v>
      </c>
      <c r="F27" s="1"/>
      <c r="G27" s="1" t="s">
        <v>66</v>
      </c>
      <c r="H27" s="1" t="s">
        <v>193</v>
      </c>
      <c r="I27" s="1" t="s">
        <v>128</v>
      </c>
      <c r="J27" s="1" t="s">
        <v>54</v>
      </c>
      <c r="K27" s="1" t="s">
        <v>21</v>
      </c>
      <c r="L27" s="1"/>
      <c r="M27" s="1"/>
      <c r="N27" s="1" t="s">
        <v>206</v>
      </c>
      <c r="O27" s="1" t="s">
        <v>308</v>
      </c>
      <c r="P27" s="1" t="s">
        <v>217</v>
      </c>
    </row>
    <row r="28" spans="1:16">
      <c r="A28">
        <f t="shared" si="0"/>
        <v>11</v>
      </c>
      <c r="B28" t="str">
        <f>CHOOSE([0]!ОБЛАСТЬ,C28,D28,E28,F28,G28,H28,I28,J28,K28,L28,M28,N28,O28,P28)</f>
        <v>Ерементауский</v>
      </c>
      <c r="C28" s="1" t="s">
        <v>35</v>
      </c>
      <c r="D28" s="1" t="s">
        <v>46</v>
      </c>
      <c r="E28" s="1" t="s">
        <v>109</v>
      </c>
      <c r="F28" s="1"/>
      <c r="G28" s="1" t="s">
        <v>65</v>
      </c>
      <c r="H28" s="1" t="s">
        <v>194</v>
      </c>
      <c r="I28" s="1" t="s">
        <v>129</v>
      </c>
      <c r="J28" s="1" t="s">
        <v>44</v>
      </c>
      <c r="K28" s="1" t="s">
        <v>22</v>
      </c>
      <c r="L28" s="1"/>
      <c r="M28" s="1"/>
      <c r="N28" s="1" t="s">
        <v>207</v>
      </c>
      <c r="O28" s="1" t="s">
        <v>309</v>
      </c>
      <c r="P28" s="1" t="s">
        <v>218</v>
      </c>
    </row>
    <row r="29" spans="1:16">
      <c r="A29">
        <f t="shared" si="0"/>
        <v>12</v>
      </c>
      <c r="B29" t="str">
        <f>CHOOSE([0]!ОБЛАСТЬ,C29,D29,E29,F29,G29,H29,I29,J29,K29,L29,M29,N29,O29,P29)</f>
        <v>Есильский</v>
      </c>
      <c r="C29" s="1" t="s">
        <v>11</v>
      </c>
      <c r="D29" s="1" t="s">
        <v>51</v>
      </c>
      <c r="E29" s="1" t="s">
        <v>110</v>
      </c>
      <c r="F29" s="1"/>
      <c r="G29" s="1" t="s">
        <v>67</v>
      </c>
      <c r="H29" s="1"/>
      <c r="I29" s="1" t="s">
        <v>130</v>
      </c>
      <c r="J29" s="1" t="s">
        <v>140</v>
      </c>
      <c r="K29" s="1" t="s">
        <v>23</v>
      </c>
      <c r="L29" s="1"/>
      <c r="M29" s="1"/>
      <c r="N29" s="1" t="s">
        <v>208</v>
      </c>
      <c r="O29" s="1" t="s">
        <v>310</v>
      </c>
      <c r="P29" s="1" t="s">
        <v>219</v>
      </c>
    </row>
    <row r="30" spans="1:16">
      <c r="A30">
        <f t="shared" si="0"/>
        <v>13</v>
      </c>
      <c r="B30" t="str">
        <f>CHOOSE([0]!ОБЛАСТЬ,C30,D30,E30,F30,G30,H30,I30,J30,K30,L30,M30,N30,O30,P30)</f>
        <v>Жаксынский</v>
      </c>
      <c r="C30" s="1" t="s">
        <v>37</v>
      </c>
      <c r="D30" s="1" t="s">
        <v>47</v>
      </c>
      <c r="E30" s="1" t="s">
        <v>111</v>
      </c>
      <c r="F30" s="1"/>
      <c r="G30" s="1" t="s">
        <v>118</v>
      </c>
      <c r="H30" s="1"/>
      <c r="I30" s="1" t="s">
        <v>131</v>
      </c>
      <c r="J30" s="1" t="s">
        <v>141</v>
      </c>
      <c r="K30" s="1" t="s">
        <v>24</v>
      </c>
      <c r="L30" s="1"/>
      <c r="M30" s="1"/>
      <c r="N30" s="1" t="s">
        <v>209</v>
      </c>
      <c r="O30" s="1" t="s">
        <v>311</v>
      </c>
      <c r="P30" s="1" t="s">
        <v>220</v>
      </c>
    </row>
    <row r="31" spans="1:16">
      <c r="A31">
        <f t="shared" si="0"/>
        <v>14</v>
      </c>
      <c r="B31" t="str">
        <f>CHOOSE([0]!ОБЛАСТЬ,C31,D31,E31,F31,G31,H31,I31,J31,K31,L31,M31,N31,O31,P31)</f>
        <v>Жаркаинский</v>
      </c>
      <c r="C31" s="1" t="s">
        <v>38</v>
      </c>
      <c r="D31" s="1"/>
      <c r="E31" s="1" t="s">
        <v>112</v>
      </c>
      <c r="F31" s="1"/>
      <c r="G31" s="1" t="s">
        <v>59</v>
      </c>
      <c r="H31" s="1"/>
      <c r="I31" s="1"/>
      <c r="J31" s="1" t="s">
        <v>78</v>
      </c>
      <c r="K31" s="1" t="s">
        <v>25</v>
      </c>
      <c r="L31" s="1"/>
      <c r="M31" s="1"/>
      <c r="N31" s="1"/>
      <c r="O31" s="1" t="s">
        <v>312</v>
      </c>
      <c r="P31" s="1" t="s">
        <v>221</v>
      </c>
    </row>
    <row r="32" spans="1:16">
      <c r="A32">
        <f t="shared" si="0"/>
        <v>15</v>
      </c>
      <c r="B32" t="str">
        <f>CHOOSE([0]!ОБЛАСТЬ,C32,D32,E32,F32,G32,H32,I32,J32,K32,L32,M32,N32,O32,P32)</f>
        <v>Зерендинский</v>
      </c>
      <c r="C32" s="1" t="s">
        <v>36</v>
      </c>
      <c r="D32" s="1"/>
      <c r="E32" s="1" t="s">
        <v>113</v>
      </c>
      <c r="F32" s="1"/>
      <c r="G32" s="1" t="s">
        <v>60</v>
      </c>
      <c r="H32" s="1"/>
      <c r="I32" s="1"/>
      <c r="J32" s="1" t="s">
        <v>79</v>
      </c>
      <c r="K32" s="1" t="s">
        <v>26</v>
      </c>
      <c r="L32" s="1"/>
      <c r="M32" s="1"/>
      <c r="N32" s="1"/>
      <c r="O32" s="1"/>
      <c r="P32" s="1" t="s">
        <v>222</v>
      </c>
    </row>
    <row r="33" spans="1:16">
      <c r="A33">
        <f t="shared" si="0"/>
        <v>16</v>
      </c>
      <c r="B33" t="str">
        <f>CHOOSE([0]!ОБЛАСТЬ,C33,D33,E33,F33,G33,H33,I33,J33,K33,L33,M33,N33,O33,P33)</f>
        <v>Коргалжынский</v>
      </c>
      <c r="C33" s="1" t="s">
        <v>39</v>
      </c>
      <c r="D33" s="1"/>
      <c r="E33" s="1" t="s">
        <v>114</v>
      </c>
      <c r="F33" s="1"/>
      <c r="G33" s="1" t="s">
        <v>62</v>
      </c>
      <c r="H33" s="1"/>
      <c r="I33" s="1"/>
      <c r="J33" s="1" t="s">
        <v>80</v>
      </c>
      <c r="K33" s="1" t="s">
        <v>17</v>
      </c>
      <c r="L33" s="1"/>
      <c r="M33" s="1"/>
      <c r="N33" s="1"/>
      <c r="O33" s="1"/>
      <c r="P33" s="1"/>
    </row>
    <row r="34" spans="1:16">
      <c r="A34">
        <f t="shared" si="0"/>
        <v>17</v>
      </c>
      <c r="B34" t="str">
        <f>CHOOSE([0]!ОБЛАСТЬ,C34,D34,E34,F34,G34,H34,I34,J34,K34,L34,M34,N34,O34,P34)</f>
        <v>Сандыктауский</v>
      </c>
      <c r="C34" s="1" t="s">
        <v>40</v>
      </c>
      <c r="D34" s="1"/>
      <c r="E34" s="1" t="s">
        <v>115</v>
      </c>
      <c r="F34" s="1"/>
      <c r="G34" s="1" t="s">
        <v>63</v>
      </c>
      <c r="H34" s="1"/>
      <c r="I34" s="1"/>
      <c r="J34" s="1" t="s">
        <v>81</v>
      </c>
      <c r="K34" s="1" t="s">
        <v>151</v>
      </c>
      <c r="L34" s="1"/>
      <c r="M34" s="1"/>
      <c r="N34" s="1"/>
      <c r="O34" s="1"/>
      <c r="P34" s="1"/>
    </row>
    <row r="35" spans="1:16">
      <c r="A35">
        <f t="shared" si="0"/>
        <v>18</v>
      </c>
      <c r="B35" t="str">
        <f>CHOOSE([0]!ОБЛАСТЬ,C35,D35,E35,F35,G35,H35,I35,J35,K35,L35,M35,N35,O35,P35)</f>
        <v>Целиноградский</v>
      </c>
      <c r="C35" s="1" t="s">
        <v>43</v>
      </c>
      <c r="D35" s="1"/>
      <c r="E35" s="1" t="s">
        <v>116</v>
      </c>
      <c r="F35" s="1"/>
      <c r="G35" s="1" t="s">
        <v>64</v>
      </c>
      <c r="H35" s="1"/>
      <c r="I35" s="1"/>
      <c r="J35" s="1" t="s">
        <v>82</v>
      </c>
      <c r="K35" s="1" t="s">
        <v>150</v>
      </c>
      <c r="L35" s="1"/>
      <c r="M35" s="1"/>
      <c r="N35" s="1"/>
      <c r="O35" s="1"/>
      <c r="P35" s="1"/>
    </row>
    <row r="36" spans="1:16">
      <c r="A36">
        <f t="shared" si="0"/>
        <v>19</v>
      </c>
      <c r="B36" t="str">
        <f>CHOOSE([0]!ОБЛАСТЬ,C36,D36,E36,F36,G36,H36,I36,J36,K36,L36,M36,N36,O36,P36)</f>
        <v>Шортандинский</v>
      </c>
      <c r="C36" s="1" t="s">
        <v>41</v>
      </c>
      <c r="D36" s="1"/>
      <c r="E36" s="1" t="s">
        <v>117</v>
      </c>
      <c r="F36" s="1"/>
      <c r="G36" s="1" t="s">
        <v>61</v>
      </c>
      <c r="H36" s="1"/>
      <c r="I36" s="1"/>
      <c r="J36" s="1"/>
      <c r="K36" s="1" t="s">
        <v>199</v>
      </c>
      <c r="L36" s="1"/>
      <c r="M36" s="1"/>
      <c r="N36" s="1"/>
      <c r="O36" s="1"/>
      <c r="P36" s="1"/>
    </row>
    <row r="37" spans="1:16">
      <c r="A37">
        <f t="shared" si="0"/>
        <v>20</v>
      </c>
      <c r="B37">
        <f>CHOOSE([0]!ОБЛАСТЬ,C37,D37,E37,F37,G37,H37,I37,J37,K37,L37,M37,N37,O37,P37)</f>
        <v>0</v>
      </c>
      <c r="C37" s="1"/>
      <c r="D37" s="1"/>
      <c r="E37" s="1"/>
      <c r="F37" s="1"/>
      <c r="G37" s="1"/>
      <c r="H37" s="1"/>
      <c r="I37" s="1"/>
      <c r="J37" s="1"/>
      <c r="K37" s="1" t="s">
        <v>152</v>
      </c>
      <c r="L37" s="1"/>
      <c r="M37" s="1"/>
      <c r="N37" s="1"/>
      <c r="O37" s="1"/>
      <c r="P37" s="1"/>
    </row>
    <row r="41" spans="1:16" ht="14.4">
      <c r="A41" s="5"/>
      <c r="B41" s="182"/>
    </row>
    <row r="42" spans="1:16">
      <c r="A42" s="5"/>
      <c r="B42" s="5"/>
    </row>
    <row r="43" spans="1:16">
      <c r="A43" s="5"/>
      <c r="B43" s="5"/>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33"/>
  <sheetViews>
    <sheetView topLeftCell="B9" workbookViewId="0">
      <selection activeCell="L10" sqref="L10"/>
    </sheetView>
  </sheetViews>
  <sheetFormatPr defaultRowHeight="13.2"/>
  <cols>
    <col min="1" max="1" width="5.5546875" customWidth="1"/>
    <col min="2" max="2" width="20.33203125" customWidth="1"/>
    <col min="3" max="3" width="10" customWidth="1"/>
    <col min="4" max="4" width="8.44140625" customWidth="1"/>
    <col min="6" max="6" width="7.88671875" customWidth="1"/>
    <col min="7" max="7" width="9.33203125" customWidth="1"/>
    <col min="8" max="8" width="12.44140625" customWidth="1"/>
    <col min="9" max="9" width="10.6640625" customWidth="1"/>
    <col min="10" max="10" width="10.88671875" customWidth="1"/>
    <col min="11" max="11" width="11.33203125" customWidth="1"/>
    <col min="12" max="12" width="12.88671875" customWidth="1"/>
    <col min="18" max="18" width="12.109375" customWidth="1"/>
  </cols>
  <sheetData>
    <row r="1" spans="2:27" ht="13.8" thickBot="1"/>
    <row r="2" spans="2:27" ht="20.399999999999999">
      <c r="B2" s="183" t="s">
        <v>8</v>
      </c>
      <c r="C2" s="183" t="str">
        <f>'[20]урожайность (к удалению)'!B166</f>
        <v>пшеница</v>
      </c>
      <c r="D2" s="183" t="str">
        <f>'[20]урожайность (к удалению)'!C166</f>
        <v>ячмень</v>
      </c>
      <c r="E2" s="183" t="str">
        <f>'[20]урожайность (к удалению)'!D166</f>
        <v>овес</v>
      </c>
      <c r="F2" s="183" t="str">
        <f>'[20]урожайность (к удалению)'!E166</f>
        <v>просо</v>
      </c>
      <c r="G2" s="183" t="str">
        <f>'[20]урожайность (к удалению)'!F166</f>
        <v>гречиха</v>
      </c>
      <c r="H2" s="183" t="str">
        <f>'[20]урожайность (к удалению)'!G166</f>
        <v>кукуруза (на зерно)</v>
      </c>
      <c r="I2" s="183" t="str">
        <f>'[20]урожайность (к удалению)'!H166</f>
        <v>рис</v>
      </c>
      <c r="J2" s="183" t="str">
        <f>'[20]урожайность (к удалению)'!I166</f>
        <v>подсолнечник</v>
      </c>
      <c r="K2" s="183" t="str">
        <f>'[20]урожайность (к удалению)'!J166</f>
        <v>рапс</v>
      </c>
      <c r="L2" s="183" t="str">
        <f>'[20]урожайность (к удалению)'!K166</f>
        <v>лен</v>
      </c>
      <c r="M2" s="183" t="str">
        <f>'[20]урожайность (к удалению)'!L166</f>
        <v>горчица</v>
      </c>
      <c r="N2" s="183" t="str">
        <f>'[20]урожайность (к удалению)'!M166</f>
        <v>сафлор</v>
      </c>
      <c r="O2" s="183" t="str">
        <f>'[20]урожайность (к удалению)'!N166</f>
        <v>нут</v>
      </c>
      <c r="P2" s="184" t="str">
        <f>'[20]урожайность (к удалению)'!O166</f>
        <v>горох</v>
      </c>
      <c r="Q2" s="184" t="str">
        <f>'[20]урожайность (к удалению)'!P166</f>
        <v>фасоль</v>
      </c>
      <c r="R2" s="184" t="s">
        <v>321</v>
      </c>
      <c r="S2" s="184" t="str">
        <f>'[20]урожайность (к удалению)'!Q166</f>
        <v>картофель</v>
      </c>
      <c r="T2" s="184" t="str">
        <f>'[20]урожайность (к удалению)'!R166</f>
        <v>лук</v>
      </c>
      <c r="U2" s="184" t="str">
        <f>'[20]урожайность (к удалению)'!S166</f>
        <v>морковь</v>
      </c>
      <c r="V2" s="184" t="str">
        <f>'[20]урожайность (к удалению)'!T166</f>
        <v>капуста</v>
      </c>
      <c r="W2" s="184" t="str">
        <f>'[20]урожайность (к удалению)'!U166</f>
        <v>огурцы</v>
      </c>
      <c r="X2" s="184" t="str">
        <f>'[20]урожайность (к удалению)'!V166</f>
        <v>помидоры</v>
      </c>
      <c r="Y2" s="184" t="str">
        <f>'[20]урожайность (к удалению)'!W166</f>
        <v>свекла</v>
      </c>
      <c r="Z2" s="184" t="str">
        <f>'[20]урожайность (к удалению)'!X166</f>
        <v>арбузы</v>
      </c>
      <c r="AA2" s="184" t="str">
        <f>'[20]урожайность (к удалению)'!Y166</f>
        <v>дыня</v>
      </c>
    </row>
    <row r="3" spans="2:27">
      <c r="B3" s="185" t="str">
        <f>'[20]урожайность (к удалению)'!A27</f>
        <v>Акмолинская область</v>
      </c>
      <c r="C3" s="186">
        <f>AVERAGE([24]Лист1!$M$4,[24]Лист1!$M$18)</f>
        <v>23709.279005223449</v>
      </c>
      <c r="D3" s="186">
        <f>AVERAGE([24]Лист1!$M$24,[24]Лист1!$M$38)</f>
        <v>23145.873920000002</v>
      </c>
      <c r="E3" s="186">
        <f>[24]Лист1!$M$45</f>
        <v>21686.492279999999</v>
      </c>
      <c r="F3" s="186">
        <f>[24]Лист1!$M$65</f>
        <v>17780.244280000003</v>
      </c>
      <c r="G3" s="186">
        <f>[25]Лист1!$M$85</f>
        <v>22593.34751</v>
      </c>
      <c r="H3" s="187">
        <v>0</v>
      </c>
      <c r="I3" s="187">
        <v>0</v>
      </c>
      <c r="J3" s="186">
        <f>[25]Лист1!$M$152</f>
        <v>24472.727200000001</v>
      </c>
      <c r="K3" s="186">
        <f>[25]Лист1!$M$214</f>
        <v>20657.861499999999</v>
      </c>
      <c r="L3" s="186">
        <f>[25]Лист1!$M$237</f>
        <v>32170.585099999997</v>
      </c>
      <c r="M3" s="186"/>
      <c r="N3" s="186">
        <f>[25]Лист1!$N$185</f>
        <v>17065.138464285712</v>
      </c>
      <c r="O3" s="186"/>
      <c r="P3" s="186"/>
      <c r="Q3" s="187">
        <v>0</v>
      </c>
      <c r="R3" s="186">
        <f>[25]Лист1!$M$193</f>
        <v>43515.58</v>
      </c>
      <c r="S3" s="186">
        <f>AVERAGE([25]Лист1!$M$132,[25]Лист1!$M$146)</f>
        <v>331571.81</v>
      </c>
      <c r="T3" s="186">
        <f>AVERAGE([25]Лист1!$M$278,[25]Лист1!$M$292)</f>
        <v>550333.41500000004</v>
      </c>
      <c r="U3" s="186">
        <f>AVERAGE([25]Лист1!$M$278,[25]Лист1!$M$292)</f>
        <v>550333.41500000004</v>
      </c>
      <c r="V3" s="186">
        <f>U3</f>
        <v>550333.41500000004</v>
      </c>
      <c r="W3" s="186">
        <f>V3</f>
        <v>550333.41500000004</v>
      </c>
      <c r="X3" s="186">
        <f>W3</f>
        <v>550333.41500000004</v>
      </c>
      <c r="Y3" s="186">
        <f>X3</f>
        <v>550333.41500000004</v>
      </c>
      <c r="Z3" s="186">
        <f>[25]Лист1!$N$312</f>
        <v>189594.7194846154</v>
      </c>
      <c r="AA3" s="186">
        <f>Z3</f>
        <v>189594.7194846154</v>
      </c>
    </row>
    <row r="4" spans="2:27">
      <c r="B4" s="188" t="str">
        <f>'[20]урожайность (к удалению)'!A50</f>
        <v>Актюбинская область</v>
      </c>
      <c r="C4" s="186">
        <f>[24]Лист1!$M$5</f>
        <v>23577.271906996397</v>
      </c>
      <c r="D4" s="186">
        <f>[24]Лист1!$M$25</f>
        <v>23173.1</v>
      </c>
      <c r="E4" s="186">
        <f>[24]Лист1!$M$46</f>
        <v>24002.771000000001</v>
      </c>
      <c r="F4" s="186">
        <f>[24]Лист1!$M$66</f>
        <v>17609.231</v>
      </c>
      <c r="G4" s="187">
        <v>0</v>
      </c>
      <c r="H4" s="187">
        <v>0</v>
      </c>
      <c r="I4" s="187">
        <v>0</v>
      </c>
      <c r="J4" s="186">
        <f>[25]Лист1!$M$153</f>
        <v>27418.937000000002</v>
      </c>
      <c r="K4" s="187">
        <v>0</v>
      </c>
      <c r="L4" s="186">
        <f>[25]Лист1!$M$238</f>
        <v>32602.107499999998</v>
      </c>
      <c r="M4" s="187">
        <v>0</v>
      </c>
      <c r="N4" s="186">
        <f>[25]Лист1!$M$173</f>
        <v>29045.807499999995</v>
      </c>
      <c r="O4" s="186"/>
      <c r="P4" s="187">
        <v>0</v>
      </c>
      <c r="Q4" s="187">
        <v>0</v>
      </c>
      <c r="R4" s="186">
        <f>[25]Лист1!$N$205</f>
        <v>27661.585615384618</v>
      </c>
      <c r="S4" s="186">
        <f>[25]Лист1!M$133</f>
        <v>300773.09052500001</v>
      </c>
      <c r="T4" s="186">
        <f>[25]Лист1!M$279</f>
        <v>611860.76925000001</v>
      </c>
      <c r="U4" s="186">
        <f>T4</f>
        <v>611860.76925000001</v>
      </c>
      <c r="V4" s="186">
        <f t="shared" ref="V4:Y16" si="0">U4</f>
        <v>611860.76925000001</v>
      </c>
      <c r="W4" s="186">
        <f t="shared" si="0"/>
        <v>611860.76925000001</v>
      </c>
      <c r="X4" s="186">
        <f t="shared" si="0"/>
        <v>611860.76925000001</v>
      </c>
      <c r="Y4" s="186">
        <f t="shared" si="0"/>
        <v>611860.76925000001</v>
      </c>
      <c r="Z4" s="186">
        <f>[25]Лист1!$M$300</f>
        <v>192431.71924999999</v>
      </c>
      <c r="AA4" s="186">
        <f t="shared" ref="AA4:AA16" si="1">Z4</f>
        <v>192431.71924999999</v>
      </c>
    </row>
    <row r="5" spans="2:27">
      <c r="B5" s="189" t="str">
        <f>'[20]урожайность (к удалению)'!A73</f>
        <v>Алматинская область</v>
      </c>
      <c r="C5" s="186">
        <f>AVERAGE([24]Лист1!$M$6,[24]Лист1!$M$19)</f>
        <v>33514.313030371595</v>
      </c>
      <c r="D5" s="186">
        <f>AVERAGE([24]Лист1!$M$26,[24]Лист1!$M$39)</f>
        <v>35520.031225690356</v>
      </c>
      <c r="E5" s="186">
        <f>[24]Лист1!$M$47</f>
        <v>27801.344312481669</v>
      </c>
      <c r="F5" s="186">
        <f>[24]Лист1!$M$67</f>
        <v>33335.104312481664</v>
      </c>
      <c r="G5" s="186">
        <f>[25]Лист1!$M$86</f>
        <v>32495.543429662284</v>
      </c>
      <c r="H5" s="186">
        <f>[25]Лист1!$M$96</f>
        <v>106983.908</v>
      </c>
      <c r="I5" s="186">
        <f>[25]Лист1!$M$107</f>
        <v>175994.01800000001</v>
      </c>
      <c r="J5" s="186">
        <f>[25]Лист1!$M$154</f>
        <v>48890.262000000002</v>
      </c>
      <c r="K5" s="186">
        <f>[25]Лист1!$N$227</f>
        <v>7037.4294642857139</v>
      </c>
      <c r="L5" s="187">
        <v>0</v>
      </c>
      <c r="M5" s="186"/>
      <c r="N5" s="186">
        <f>[25]Лист1!$M$174</f>
        <v>27997.33</v>
      </c>
      <c r="O5" s="186"/>
      <c r="P5" s="186"/>
      <c r="Q5" s="186"/>
      <c r="R5" s="186">
        <f>[25]Лист1!$M$195</f>
        <v>48756.5</v>
      </c>
      <c r="S5" s="186">
        <f>AVERAGE([25]Лист1!$M$134,[25]Лист1!$M$147)</f>
        <v>357543.77500000002</v>
      </c>
      <c r="T5" s="186">
        <f>AVERAGE([25]Лист1!$M$280,[25]Лист1!$M$293)</f>
        <v>605398.56000000006</v>
      </c>
      <c r="U5" s="186">
        <f t="shared" ref="U5:U16" si="2">T5</f>
        <v>605398.56000000006</v>
      </c>
      <c r="V5" s="186">
        <f t="shared" si="0"/>
        <v>605398.56000000006</v>
      </c>
      <c r="W5" s="186">
        <f t="shared" si="0"/>
        <v>605398.56000000006</v>
      </c>
      <c r="X5" s="186">
        <f t="shared" si="0"/>
        <v>605398.56000000006</v>
      </c>
      <c r="Y5" s="186">
        <f t="shared" si="0"/>
        <v>605398.56000000006</v>
      </c>
      <c r="Z5" s="186">
        <f>[25]Лист1!$M$301</f>
        <v>222989.70999999996</v>
      </c>
      <c r="AA5" s="186">
        <f t="shared" si="1"/>
        <v>222989.70999999996</v>
      </c>
    </row>
    <row r="6" spans="2:27">
      <c r="B6" s="189" t="str">
        <f>'[20]урожайность (к удалению)'!A96</f>
        <v>Атырауская область</v>
      </c>
      <c r="C6" s="187">
        <f>[24]Лист1!$M$7</f>
        <v>0</v>
      </c>
      <c r="D6" s="187">
        <f>[25]Лист1!$M$27</f>
        <v>0</v>
      </c>
      <c r="E6" s="186">
        <f>[24]Лист1!$N$58</f>
        <v>16677.794234766505</v>
      </c>
      <c r="F6" s="186">
        <f>[24]Лист1!$N$78</f>
        <v>18032.421110677784</v>
      </c>
      <c r="G6" s="187">
        <v>0</v>
      </c>
      <c r="H6" s="187">
        <v>0</v>
      </c>
      <c r="I6" s="187">
        <v>0</v>
      </c>
      <c r="J6" s="187">
        <v>0</v>
      </c>
      <c r="K6" s="187">
        <v>0</v>
      </c>
      <c r="L6" s="187">
        <v>0</v>
      </c>
      <c r="M6" s="187">
        <v>0</v>
      </c>
      <c r="N6" s="187">
        <v>0</v>
      </c>
      <c r="O6" s="187">
        <v>0</v>
      </c>
      <c r="P6" s="187">
        <v>0</v>
      </c>
      <c r="Q6" s="187">
        <v>0</v>
      </c>
      <c r="R6" s="186">
        <f>[25]Лист1!$N$205</f>
        <v>27661.585615384618</v>
      </c>
      <c r="S6" s="186">
        <f>[25]Лист1!M$135</f>
        <v>314224.65500000003</v>
      </c>
      <c r="T6" s="186">
        <f>[25]Лист1!$M$281</f>
        <v>536916.23</v>
      </c>
      <c r="U6" s="186">
        <f t="shared" si="2"/>
        <v>536916.23</v>
      </c>
      <c r="V6" s="186">
        <f t="shared" si="0"/>
        <v>536916.23</v>
      </c>
      <c r="W6" s="186">
        <f t="shared" si="0"/>
        <v>536916.23</v>
      </c>
      <c r="X6" s="186">
        <f t="shared" si="0"/>
        <v>536916.23</v>
      </c>
      <c r="Y6" s="186">
        <f t="shared" si="0"/>
        <v>536916.23</v>
      </c>
      <c r="Z6" s="186">
        <f>[25]Лист1!$M$302</f>
        <v>199390.78</v>
      </c>
      <c r="AA6" s="186">
        <f t="shared" si="1"/>
        <v>199390.78</v>
      </c>
    </row>
    <row r="7" spans="2:27">
      <c r="B7" s="189" t="str">
        <f>'[20]урожайность (к удалению)'!A119</f>
        <v>Восточно-Казахстанская
область</v>
      </c>
      <c r="C7" s="186">
        <f>[24]Лист1!$M$8</f>
        <v>24906.335391435743</v>
      </c>
      <c r="D7" s="186">
        <f>[24]Лист1!$M$28</f>
        <v>24965.619265527479</v>
      </c>
      <c r="E7" s="186">
        <f>[24]Лист1!$M$49</f>
        <v>23025.039510351657</v>
      </c>
      <c r="F7" s="186">
        <f>[24]Лист1!$M$69</f>
        <v>20855.539510351657</v>
      </c>
      <c r="G7" s="186">
        <f>[25]Лист1!$M$87</f>
        <v>27987.364326733521</v>
      </c>
      <c r="H7" s="186">
        <f>[25]Лист1!$M$97</f>
        <v>102291.6424</v>
      </c>
      <c r="I7" s="187">
        <v>0</v>
      </c>
      <c r="J7" s="186">
        <f>[24]Лист1!$M$156</f>
        <v>34101.331299999998</v>
      </c>
      <c r="K7" s="186">
        <f>[25]Лист1!$M$218</f>
        <v>14127.369999999999</v>
      </c>
      <c r="L7" s="186">
        <f>[25]Лист1!$M$241</f>
        <v>30435.345999999998</v>
      </c>
      <c r="M7" s="186"/>
      <c r="N7" s="186">
        <f>[25]Лист1!$M$176</f>
        <v>26304.486000000004</v>
      </c>
      <c r="O7" s="186"/>
      <c r="P7" s="186"/>
      <c r="Q7" s="186"/>
      <c r="R7" s="186">
        <f>[25]Лист1!$M$197</f>
        <v>44947.235000000001</v>
      </c>
      <c r="S7" s="186">
        <f>[25]Лист1!M$136</f>
        <v>326150.09850000002</v>
      </c>
      <c r="T7" s="186">
        <f>[25]Лист1!$M$282</f>
        <v>552648.80499999993</v>
      </c>
      <c r="U7" s="186">
        <f t="shared" si="2"/>
        <v>552648.80499999993</v>
      </c>
      <c r="V7" s="186">
        <f t="shared" si="0"/>
        <v>552648.80499999993</v>
      </c>
      <c r="W7" s="186">
        <f t="shared" si="0"/>
        <v>552648.80499999993</v>
      </c>
      <c r="X7" s="186">
        <f t="shared" si="0"/>
        <v>552648.80499999993</v>
      </c>
      <c r="Y7" s="186">
        <f t="shared" si="0"/>
        <v>552648.80499999993</v>
      </c>
      <c r="Z7" s="186">
        <f>[25]Лист1!$M$303</f>
        <v>209582.08000000002</v>
      </c>
      <c r="AA7" s="186">
        <f t="shared" si="1"/>
        <v>209582.08000000002</v>
      </c>
    </row>
    <row r="8" spans="2:27">
      <c r="B8" s="189" t="str">
        <f>'[20]урожайность (к удалению)'!A142</f>
        <v>Жамбылская область</v>
      </c>
      <c r="C8" s="186">
        <f>[24]Лист1!$M$9</f>
        <v>37192.232744918976</v>
      </c>
      <c r="D8" s="186">
        <f>[24]Лист1!$M$29</f>
        <v>35929.809233998771</v>
      </c>
      <c r="E8" s="186">
        <f>[24]Лист1!$N$58</f>
        <v>16677.794234766505</v>
      </c>
      <c r="F8" s="186">
        <f>[24]Лист1!$M$70</f>
        <v>24615.688822665848</v>
      </c>
      <c r="G8" s="187">
        <v>0</v>
      </c>
      <c r="H8" s="186">
        <f>[25]Лист1!$M$98</f>
        <v>104893.80840000001</v>
      </c>
      <c r="I8" s="187">
        <v>0</v>
      </c>
      <c r="J8" s="186">
        <f>[25]Лист1!$M$157</f>
        <v>53408.067800000004</v>
      </c>
      <c r="K8" s="186">
        <f>[25]Лист1!$N$227</f>
        <v>7037.4294642857139</v>
      </c>
      <c r="L8" s="187">
        <v>0</v>
      </c>
      <c r="M8" s="186"/>
      <c r="N8" s="186">
        <f>[25]Лист1!$M$177</f>
        <v>32508.872000000003</v>
      </c>
      <c r="O8" s="186"/>
      <c r="P8" s="186"/>
      <c r="Q8" s="186"/>
      <c r="R8" s="186">
        <f>[25]Лист1!$M$198</f>
        <v>48164.551999999996</v>
      </c>
      <c r="S8" s="186">
        <f>[25]Лист1!M$137</f>
        <v>348145.78950000001</v>
      </c>
      <c r="T8" s="186">
        <f>[25]Лист1!$M$283</f>
        <v>639985.80900000001</v>
      </c>
      <c r="U8" s="186">
        <f t="shared" si="2"/>
        <v>639985.80900000001</v>
      </c>
      <c r="V8" s="186">
        <f t="shared" si="0"/>
        <v>639985.80900000001</v>
      </c>
      <c r="W8" s="186">
        <f t="shared" si="0"/>
        <v>639985.80900000001</v>
      </c>
      <c r="X8" s="186">
        <f t="shared" si="0"/>
        <v>639985.80900000001</v>
      </c>
      <c r="Y8" s="186">
        <f t="shared" si="0"/>
        <v>639985.80900000001</v>
      </c>
      <c r="Z8" s="186">
        <f>[25]Лист1!$M$304</f>
        <v>215997.85900000003</v>
      </c>
      <c r="AA8" s="186">
        <f t="shared" si="1"/>
        <v>215997.85900000003</v>
      </c>
    </row>
    <row r="9" spans="2:27">
      <c r="B9" s="189" t="str">
        <f>'[20]урожайность (к удалению)'!A165</f>
        <v>Западно-Казахстанская
область</v>
      </c>
      <c r="C9" s="186">
        <f>[24]Лист1!$M$10</f>
        <v>25437.503024414193</v>
      </c>
      <c r="D9" s="186">
        <f>[24]Лист1!$M$30</f>
        <v>23255.784</v>
      </c>
      <c r="E9" s="186">
        <f>[24]Лист1!$M$51</f>
        <v>21752.725999999999</v>
      </c>
      <c r="F9" s="186">
        <f>[24]Лист1!$M$71</f>
        <v>17938.706000000002</v>
      </c>
      <c r="G9" s="186">
        <f>[25]Лист1!$N$90</f>
        <v>26608.884134399301</v>
      </c>
      <c r="H9" s="187">
        <v>0</v>
      </c>
      <c r="I9" s="187">
        <v>0</v>
      </c>
      <c r="J9" s="186">
        <f>[25]Лист1!$M$158</f>
        <v>26116.14</v>
      </c>
      <c r="K9" s="187">
        <v>0</v>
      </c>
      <c r="L9" s="186">
        <f>[25]Лист1!$M$243</f>
        <v>31173.794999999998</v>
      </c>
      <c r="M9" s="186"/>
      <c r="N9" s="186">
        <f>[25]Лист1!$M$178</f>
        <v>23027.195</v>
      </c>
      <c r="O9" s="186"/>
      <c r="P9" s="187">
        <v>0</v>
      </c>
      <c r="Q9" s="187">
        <v>0</v>
      </c>
      <c r="R9" s="186">
        <f>[25]Лист1!$N$205</f>
        <v>27661.585615384618</v>
      </c>
      <c r="S9" s="186">
        <f>[25]Лист1!M$138</f>
        <v>308010</v>
      </c>
      <c r="T9" s="186">
        <f>[25]Лист1!$M$284</f>
        <v>628092.47499999998</v>
      </c>
      <c r="U9" s="186">
        <f t="shared" si="2"/>
        <v>628092.47499999998</v>
      </c>
      <c r="V9" s="186">
        <f t="shared" si="0"/>
        <v>628092.47499999998</v>
      </c>
      <c r="W9" s="186">
        <f t="shared" si="0"/>
        <v>628092.47499999998</v>
      </c>
      <c r="X9" s="186">
        <f t="shared" si="0"/>
        <v>628092.47499999998</v>
      </c>
      <c r="Y9" s="186">
        <f t="shared" si="0"/>
        <v>628092.47499999998</v>
      </c>
      <c r="Z9" s="186">
        <f>[25]Лист1!$M$305</f>
        <v>209304.27500000002</v>
      </c>
      <c r="AA9" s="186">
        <f t="shared" si="1"/>
        <v>209304.27500000002</v>
      </c>
    </row>
    <row r="10" spans="2:27">
      <c r="B10" s="189" t="str">
        <f>'[20]урожайность (к удалению)'!A188</f>
        <v>Карагандинская область</v>
      </c>
      <c r="C10" s="186">
        <f>[24]Лист1!$M$11</f>
        <v>24468.673621051352</v>
      </c>
      <c r="D10" s="186">
        <f>[24]Лист1!$M$31</f>
        <v>23678.735999999997</v>
      </c>
      <c r="E10" s="186">
        <f>[24]Лист1!$M$52</f>
        <v>22400.031999999999</v>
      </c>
      <c r="F10" s="186">
        <f>[24]Лист1!$N$78</f>
        <v>18032.421110677784</v>
      </c>
      <c r="G10" s="186">
        <f>[25]Лист1!$N$90</f>
        <v>26608.884134399301</v>
      </c>
      <c r="H10" s="186">
        <f>[25]Лист1!$M$99</f>
        <v>104247.23800000001</v>
      </c>
      <c r="I10" s="187">
        <v>0</v>
      </c>
      <c r="J10" s="186">
        <f>[25]Лист1!$M$159</f>
        <v>26069.995999999999</v>
      </c>
      <c r="K10" s="186">
        <f>[25]Лист1!$N$227</f>
        <v>7037.4294642857139</v>
      </c>
      <c r="L10" s="186">
        <f>[25]Лист1!$M$244</f>
        <v>32410.755000000005</v>
      </c>
      <c r="M10" s="187">
        <v>0</v>
      </c>
      <c r="N10" s="186">
        <f>[25]Лист1!$M$179</f>
        <v>18658.8</v>
      </c>
      <c r="O10" s="186"/>
      <c r="P10" s="186"/>
      <c r="Q10" s="186"/>
      <c r="R10" s="186">
        <f>[25]Лист1!$M$200</f>
        <v>43760.78</v>
      </c>
      <c r="S10" s="186">
        <f>[25]Лист1!M$139</f>
        <v>334955.99</v>
      </c>
      <c r="T10" s="186">
        <f>[25]Лист1!$M$285</f>
        <v>540267.18999999994</v>
      </c>
      <c r="U10" s="186">
        <f t="shared" si="2"/>
        <v>540267.18999999994</v>
      </c>
      <c r="V10" s="186">
        <f t="shared" si="0"/>
        <v>540267.18999999994</v>
      </c>
      <c r="W10" s="186">
        <f t="shared" si="0"/>
        <v>540267.18999999994</v>
      </c>
      <c r="X10" s="186">
        <f t="shared" si="0"/>
        <v>540267.18999999994</v>
      </c>
      <c r="Y10" s="186">
        <f t="shared" si="0"/>
        <v>540267.18999999994</v>
      </c>
      <c r="Z10" s="186">
        <f>[25]Лист1!$M$306</f>
        <v>203874.09</v>
      </c>
      <c r="AA10" s="186">
        <f t="shared" si="1"/>
        <v>203874.09</v>
      </c>
    </row>
    <row r="11" spans="2:27">
      <c r="B11" s="189" t="str">
        <f>'[20]урожайность (к удалению)'!A211</f>
        <v>Костанайская область</v>
      </c>
      <c r="C11" s="186">
        <f>[24]Лист1!$M$12</f>
        <v>25882.025225266938</v>
      </c>
      <c r="D11" s="186">
        <f>[24]Лист1!$M$32</f>
        <v>24821.140800000001</v>
      </c>
      <c r="E11" s="186">
        <f>[24]Лист1!$M$53</f>
        <v>22539.747200000002</v>
      </c>
      <c r="F11" s="186">
        <f>[24]Лист1!$M$73</f>
        <v>19723.163199999999</v>
      </c>
      <c r="G11" s="186">
        <f>[25]Лист1!$M$88</f>
        <v>24554.6774</v>
      </c>
      <c r="H11" s="186">
        <f>[25]Лист1!$N$101</f>
        <v>105437.05153333333</v>
      </c>
      <c r="I11" s="187">
        <v>0</v>
      </c>
      <c r="J11" s="186">
        <f>[25]Лист1!$M$160</f>
        <v>25836.938000000002</v>
      </c>
      <c r="K11" s="186">
        <f>[25]Лист1!$M$222</f>
        <v>21165.530666666666</v>
      </c>
      <c r="L11" s="186">
        <f>[25]Лист1!$M$245</f>
        <v>32747.199000000001</v>
      </c>
      <c r="M11" s="186"/>
      <c r="N11" s="186">
        <f>[25]Лист1!$M$180</f>
        <v>18901.944</v>
      </c>
      <c r="O11" s="186"/>
      <c r="P11" s="186"/>
      <c r="Q11" s="186"/>
      <c r="R11" s="186">
        <f>[25]Лист1!$M$201</f>
        <v>44767.54</v>
      </c>
      <c r="S11" s="186">
        <f>[25]Лист1!M$140</f>
        <v>322701.92</v>
      </c>
      <c r="T11" s="186">
        <f>[25]Лист1!$M$286</f>
        <v>589382.375</v>
      </c>
      <c r="U11" s="186">
        <f t="shared" si="2"/>
        <v>589382.375</v>
      </c>
      <c r="V11" s="186">
        <f t="shared" si="0"/>
        <v>589382.375</v>
      </c>
      <c r="W11" s="186">
        <f t="shared" si="0"/>
        <v>589382.375</v>
      </c>
      <c r="X11" s="186">
        <f t="shared" si="0"/>
        <v>589382.375</v>
      </c>
      <c r="Y11" s="186">
        <f t="shared" si="0"/>
        <v>589382.375</v>
      </c>
      <c r="Z11" s="186">
        <f>[25]Лист1!$M$307</f>
        <v>207409.125</v>
      </c>
      <c r="AA11" s="186">
        <f t="shared" si="1"/>
        <v>207409.125</v>
      </c>
    </row>
    <row r="12" spans="2:27">
      <c r="B12" s="189" t="str">
        <f>'[20]урожайность (к удалению)'!A234</f>
        <v>Кызылординская область</v>
      </c>
      <c r="C12" s="186">
        <f>[24]Лист1!$M$13</f>
        <v>36848.597650559095</v>
      </c>
      <c r="D12" s="186">
        <f>[24]Лист1!$M$33</f>
        <v>34502.858595846585</v>
      </c>
      <c r="E12" s="186">
        <f>[24]Лист1!$M$54</f>
        <v>25890.679063897722</v>
      </c>
      <c r="F12" s="186">
        <f>[24]Лист1!$M$74</f>
        <v>26224.93906389772</v>
      </c>
      <c r="G12" s="187">
        <v>0</v>
      </c>
      <c r="H12" s="186">
        <f>[25]Лист1!$M$100</f>
        <v>106512.058</v>
      </c>
      <c r="I12" s="186">
        <f>[25]Лист1!$M$108</f>
        <v>164729.3928</v>
      </c>
      <c r="J12" s="186">
        <f>[25]Лист1!$M$161</f>
        <v>46812.160000000003</v>
      </c>
      <c r="K12" s="187">
        <v>0</v>
      </c>
      <c r="L12" s="187">
        <v>0</v>
      </c>
      <c r="M12" s="187">
        <v>0</v>
      </c>
      <c r="N12" s="186">
        <f>[25]Лист1!$M$181</f>
        <v>30447.619999999995</v>
      </c>
      <c r="O12" s="187">
        <v>0</v>
      </c>
      <c r="P12" s="187">
        <v>0</v>
      </c>
      <c r="Q12" s="186"/>
      <c r="R12" s="186">
        <f>[25]Лист1!$N$205</f>
        <v>27661.585615384618</v>
      </c>
      <c r="S12" s="186">
        <f>[25]Лист1!M$141</f>
        <v>324693.86200000002</v>
      </c>
      <c r="T12" s="186">
        <f>[25]Лист1!$M$287</f>
        <v>564681.06499999994</v>
      </c>
      <c r="U12" s="186">
        <f t="shared" si="2"/>
        <v>564681.06499999994</v>
      </c>
      <c r="V12" s="186">
        <f t="shared" si="0"/>
        <v>564681.06499999994</v>
      </c>
      <c r="W12" s="186">
        <f t="shared" si="0"/>
        <v>564681.06499999994</v>
      </c>
      <c r="X12" s="186">
        <f t="shared" si="0"/>
        <v>564681.06499999994</v>
      </c>
      <c r="Y12" s="186">
        <f t="shared" si="0"/>
        <v>564681.06499999994</v>
      </c>
      <c r="Z12" s="186">
        <f>[25]Лист1!$M$308</f>
        <v>216318.565</v>
      </c>
      <c r="AA12" s="186">
        <f t="shared" si="1"/>
        <v>216318.565</v>
      </c>
    </row>
    <row r="13" spans="2:27">
      <c r="B13" s="189" t="str">
        <f>'[20]урожайность (к удалению)'!A257</f>
        <v>Мангистауская область</v>
      </c>
      <c r="C13" s="187">
        <v>0</v>
      </c>
      <c r="D13" s="187">
        <v>0</v>
      </c>
      <c r="E13" s="187">
        <v>0</v>
      </c>
      <c r="F13" s="187">
        <v>0</v>
      </c>
      <c r="G13" s="187">
        <v>0</v>
      </c>
      <c r="H13" s="187">
        <v>0</v>
      </c>
      <c r="I13" s="187">
        <v>0</v>
      </c>
      <c r="J13" s="187">
        <v>0</v>
      </c>
      <c r="K13" s="187">
        <v>0</v>
      </c>
      <c r="L13" s="187">
        <v>0</v>
      </c>
      <c r="M13" s="187">
        <v>0</v>
      </c>
      <c r="N13" s="187">
        <v>0</v>
      </c>
      <c r="O13" s="187">
        <v>0</v>
      </c>
      <c r="P13" s="187">
        <v>0</v>
      </c>
      <c r="Q13" s="187">
        <v>0</v>
      </c>
      <c r="R13" s="187">
        <v>0</v>
      </c>
      <c r="S13" s="186">
        <f>[25]Лист1!$N$147</f>
        <v>311415.58813281253</v>
      </c>
      <c r="T13" s="186">
        <f>AVERAGE([25]Лист1!$M$278:$M$291)</f>
        <v>544940.57091428561</v>
      </c>
      <c r="U13" s="186">
        <f t="shared" si="2"/>
        <v>544940.57091428561</v>
      </c>
      <c r="V13" s="186">
        <f t="shared" si="0"/>
        <v>544940.57091428561</v>
      </c>
      <c r="W13" s="186">
        <f t="shared" si="0"/>
        <v>544940.57091428561</v>
      </c>
      <c r="X13" s="186">
        <f t="shared" si="0"/>
        <v>544940.57091428561</v>
      </c>
      <c r="Y13" s="186">
        <f t="shared" si="0"/>
        <v>544940.57091428561</v>
      </c>
      <c r="Z13" s="186">
        <f>[25]Лист1!$M$309</f>
        <v>140167.09</v>
      </c>
      <c r="AA13" s="186">
        <f t="shared" si="1"/>
        <v>140167.09</v>
      </c>
    </row>
    <row r="14" spans="2:27">
      <c r="B14" s="189" t="str">
        <f>'[20]урожайность (к удалению)'!A280</f>
        <v>Павлодарская область</v>
      </c>
      <c r="C14" s="186">
        <f>[24]Лист1!$M$15</f>
        <v>23906.099504746653</v>
      </c>
      <c r="D14" s="186">
        <f>[24]Лист1!$M$35</f>
        <v>23358.369120000003</v>
      </c>
      <c r="E14" s="186">
        <f>[24]Лист1!$M$56</f>
        <v>21735.813080000004</v>
      </c>
      <c r="F14" s="186">
        <f>[24]Лист1!$M$76</f>
        <v>19767.409080000001</v>
      </c>
      <c r="G14" s="186">
        <f>[25]Лист1!$M$89</f>
        <v>24983.655110000003</v>
      </c>
      <c r="H14" s="187">
        <v>0</v>
      </c>
      <c r="I14" s="187">
        <v>0</v>
      </c>
      <c r="J14" s="186">
        <f>[25]Лист1!$M$163</f>
        <v>28763.840000000004</v>
      </c>
      <c r="K14" s="186">
        <f>[25]Лист1!$M$225</f>
        <v>19778.904433333337</v>
      </c>
      <c r="L14" s="186">
        <f>[25]Лист1!$M$248</f>
        <v>33094.191099999996</v>
      </c>
      <c r="M14" s="186"/>
      <c r="N14" s="187">
        <v>0</v>
      </c>
      <c r="O14" s="186"/>
      <c r="P14" s="186"/>
      <c r="Q14" s="187">
        <v>0</v>
      </c>
      <c r="R14" s="186">
        <f>[25]Лист1!$M$204</f>
        <v>40657.08</v>
      </c>
      <c r="S14" s="186">
        <f>[25]Лист1!M$143</f>
        <v>368045.2</v>
      </c>
      <c r="T14" s="186">
        <f>[25]Лист1!$M$289</f>
        <v>546762.92204999994</v>
      </c>
      <c r="U14" s="186">
        <f t="shared" si="2"/>
        <v>546762.92204999994</v>
      </c>
      <c r="V14" s="186">
        <f t="shared" si="0"/>
        <v>546762.92204999994</v>
      </c>
      <c r="W14" s="186">
        <f t="shared" si="0"/>
        <v>546762.92204999994</v>
      </c>
      <c r="X14" s="186">
        <f t="shared" si="0"/>
        <v>546762.92204999994</v>
      </c>
      <c r="Y14" s="186">
        <f t="shared" si="0"/>
        <v>546762.92204999994</v>
      </c>
      <c r="Z14" s="186">
        <f>[25]Лист1!$M$310</f>
        <v>232860.76204999999</v>
      </c>
      <c r="AA14" s="186">
        <f t="shared" si="1"/>
        <v>232860.76204999999</v>
      </c>
    </row>
    <row r="15" spans="2:27">
      <c r="B15" s="189" t="str">
        <f>'[20]урожайность (к удалению)'!A303</f>
        <v>Северо-Казахстанская
область</v>
      </c>
      <c r="C15" s="186">
        <f>[24]Лист1!$M$16</f>
        <v>27928.588890995554</v>
      </c>
      <c r="D15" s="186">
        <f>[24]Лист1!$M$36</f>
        <v>25013.64976</v>
      </c>
      <c r="E15" s="186">
        <f>[24]Лист1!$M$57</f>
        <v>22654.474839999995</v>
      </c>
      <c r="F15" s="186">
        <f>[24]Лист1!$M$77</f>
        <v>20303.47884</v>
      </c>
      <c r="G15" s="186">
        <f>[25]Лист1!$M$90</f>
        <v>27038.71703</v>
      </c>
      <c r="H15" s="186">
        <f>[25]Лист1!$N$101</f>
        <v>105437.05153333333</v>
      </c>
      <c r="I15" s="187">
        <v>0</v>
      </c>
      <c r="J15" s="186">
        <f>[25]Лист1!$M$164</f>
        <v>25247.088000000003</v>
      </c>
      <c r="K15" s="186">
        <f>[25]Лист1!$M$226</f>
        <v>22794.3459</v>
      </c>
      <c r="L15" s="186">
        <f>[25]Лист1!$M$249</f>
        <v>33771.660299999996</v>
      </c>
      <c r="M15" s="186"/>
      <c r="N15" s="187">
        <v>0</v>
      </c>
      <c r="O15" s="186"/>
      <c r="P15" s="186"/>
      <c r="Q15" s="187">
        <v>0</v>
      </c>
      <c r="R15" s="186">
        <f>[25]Лист1!$M$205</f>
        <v>45031.345999999998</v>
      </c>
      <c r="S15" s="186">
        <f>[25]Лист1!M$144</f>
        <v>332700.18</v>
      </c>
      <c r="T15" s="186">
        <f>[25]Лист1!$M$290</f>
        <v>616755.62950000004</v>
      </c>
      <c r="U15" s="186">
        <f t="shared" si="2"/>
        <v>616755.62950000004</v>
      </c>
      <c r="V15" s="186">
        <f t="shared" si="0"/>
        <v>616755.62950000004</v>
      </c>
      <c r="W15" s="186">
        <f t="shared" si="0"/>
        <v>616755.62950000004</v>
      </c>
      <c r="X15" s="186">
        <f t="shared" si="0"/>
        <v>616755.62950000004</v>
      </c>
      <c r="Y15" s="186">
        <f t="shared" si="0"/>
        <v>616755.62950000004</v>
      </c>
      <c r="Z15" s="186">
        <f>[25]Лист1!$N$312</f>
        <v>189594.7194846154</v>
      </c>
      <c r="AA15" s="186">
        <f t="shared" si="1"/>
        <v>189594.7194846154</v>
      </c>
    </row>
    <row r="16" spans="2:27">
      <c r="B16" s="189" t="str">
        <f>'[20]урожайность (к удалению)'!A326</f>
        <v>Южно-Казахстанская
область</v>
      </c>
      <c r="C16" s="186">
        <f>[24]Лист1!$M$17</f>
        <v>36225.307835663698</v>
      </c>
      <c r="D16" s="186">
        <f>[24]Лист1!$M$37</f>
        <v>36870.387160138082</v>
      </c>
      <c r="E16" s="186">
        <f>[24]Лист1!$N$58</f>
        <v>16677.794234766505</v>
      </c>
      <c r="F16" s="186">
        <f>[24]Лист1!$M$78</f>
        <v>32916.911440092052</v>
      </c>
      <c r="G16" s="187">
        <v>0</v>
      </c>
      <c r="H16" s="186">
        <f>[25]Лист1!$M$101</f>
        <v>107693.6544</v>
      </c>
      <c r="I16" s="186">
        <f>[25]Лист1!$M$109</f>
        <v>163743.4032</v>
      </c>
      <c r="J16" s="186">
        <f>[25]Лист1!$M$165</f>
        <v>48113.531999999999</v>
      </c>
      <c r="K16" s="187">
        <v>0</v>
      </c>
      <c r="L16" s="187">
        <v>0</v>
      </c>
      <c r="M16" s="187">
        <v>0</v>
      </c>
      <c r="N16" s="186">
        <f>[25]Лист1!$M$185</f>
        <v>32019.883999999998</v>
      </c>
      <c r="O16" s="186"/>
      <c r="P16" s="186"/>
      <c r="Q16" s="186"/>
      <c r="R16" s="186">
        <f>[25]Лист1!$N$205</f>
        <v>27661.585615384618</v>
      </c>
      <c r="S16" s="186">
        <f>[25]Лист1!M$145</f>
        <v>324017.4546</v>
      </c>
      <c r="T16" s="186">
        <f>[25]Лист1!$M$291</f>
        <v>643670.74800000002</v>
      </c>
      <c r="U16" s="186">
        <f t="shared" si="2"/>
        <v>643670.74800000002</v>
      </c>
      <c r="V16" s="186">
        <f t="shared" si="0"/>
        <v>643670.74800000002</v>
      </c>
      <c r="W16" s="186">
        <f t="shared" si="0"/>
        <v>643670.74800000002</v>
      </c>
      <c r="X16" s="186">
        <f t="shared" si="0"/>
        <v>643670.74800000002</v>
      </c>
      <c r="Y16" s="186">
        <f t="shared" si="0"/>
        <v>643670.74800000002</v>
      </c>
      <c r="Z16" s="186">
        <f>[25]Лист1!$M$312</f>
        <v>214405.29800000001</v>
      </c>
      <c r="AA16" s="186">
        <f t="shared" si="1"/>
        <v>214405.29800000001</v>
      </c>
    </row>
    <row r="19" spans="1:19" ht="13.2" customHeight="1">
      <c r="A19" s="194"/>
      <c r="B19" s="199" t="s">
        <v>376</v>
      </c>
      <c r="C19" s="199"/>
      <c r="D19" s="199"/>
      <c r="E19" s="199"/>
      <c r="F19" s="199"/>
      <c r="G19" s="199"/>
      <c r="H19" s="199"/>
      <c r="I19" s="200"/>
      <c r="J19" s="200"/>
      <c r="K19" s="200"/>
      <c r="L19" s="200"/>
      <c r="M19" s="194"/>
      <c r="N19" s="194"/>
      <c r="O19" s="194"/>
      <c r="P19" s="194"/>
      <c r="Q19" s="194"/>
      <c r="R19" s="194"/>
    </row>
    <row r="20" spans="1:19" ht="77.400000000000006" customHeight="1">
      <c r="A20" s="191" t="s">
        <v>364</v>
      </c>
      <c r="B20" s="192" t="s">
        <v>375</v>
      </c>
      <c r="C20" s="193" t="s">
        <v>365</v>
      </c>
      <c r="D20" s="193" t="s">
        <v>366</v>
      </c>
      <c r="E20" s="193" t="s">
        <v>367</v>
      </c>
      <c r="F20" s="193" t="s">
        <v>368</v>
      </c>
      <c r="G20" s="193" t="s">
        <v>369</v>
      </c>
      <c r="H20" s="193" t="s">
        <v>370</v>
      </c>
      <c r="I20" s="193" t="s">
        <v>371</v>
      </c>
      <c r="J20" s="193" t="s">
        <v>372</v>
      </c>
      <c r="K20" s="193" t="s">
        <v>373</v>
      </c>
      <c r="L20" s="192" t="s">
        <v>379</v>
      </c>
      <c r="M20" s="194"/>
      <c r="N20" s="194"/>
      <c r="O20" s="194"/>
      <c r="P20" s="194"/>
      <c r="Q20" s="194"/>
      <c r="R20" s="194"/>
      <c r="S20" s="194"/>
    </row>
    <row r="21" spans="1:19">
      <c r="A21" s="191">
        <v>1</v>
      </c>
      <c r="B21" s="195"/>
      <c r="C21" s="201"/>
      <c r="D21" s="201"/>
      <c r="E21" s="201"/>
      <c r="F21" s="201"/>
      <c r="G21" s="201"/>
      <c r="H21" s="201"/>
      <c r="I21" s="201"/>
      <c r="J21" s="201"/>
      <c r="K21" s="201"/>
      <c r="L21" s="201"/>
      <c r="M21" s="194"/>
      <c r="N21" s="194"/>
      <c r="O21" s="194"/>
      <c r="P21" s="194"/>
      <c r="Q21" s="194"/>
      <c r="R21" s="194"/>
      <c r="S21" s="194"/>
    </row>
    <row r="22" spans="1:19">
      <c r="A22" s="191">
        <v>2</v>
      </c>
      <c r="B22" s="195"/>
      <c r="C22" s="201"/>
      <c r="D22" s="201"/>
      <c r="E22" s="201"/>
      <c r="F22" s="201"/>
      <c r="G22" s="201"/>
      <c r="H22" s="201"/>
      <c r="I22" s="201"/>
      <c r="J22" s="201"/>
      <c r="K22" s="201"/>
      <c r="L22" s="201"/>
      <c r="M22" s="194"/>
      <c r="N22" s="194"/>
      <c r="O22" s="194"/>
      <c r="P22" s="194"/>
      <c r="Q22" s="194"/>
      <c r="R22" s="194"/>
      <c r="S22" s="194"/>
    </row>
    <row r="23" spans="1:19">
      <c r="A23" s="191">
        <v>3</v>
      </c>
      <c r="B23" s="198"/>
      <c r="C23" s="196"/>
      <c r="D23" s="191"/>
      <c r="E23" s="196"/>
      <c r="F23" s="196"/>
      <c r="G23" s="191"/>
      <c r="H23" s="196"/>
      <c r="I23" s="196"/>
      <c r="J23" s="196"/>
      <c r="K23" s="196"/>
      <c r="L23" s="197"/>
      <c r="M23" s="194"/>
      <c r="N23" s="194"/>
      <c r="O23" s="194"/>
      <c r="P23" s="194"/>
      <c r="Q23" s="194"/>
      <c r="R23" s="194"/>
      <c r="S23" s="194"/>
    </row>
    <row r="24" spans="1:19">
      <c r="A24" s="191">
        <v>4</v>
      </c>
      <c r="B24" s="198"/>
      <c r="C24" s="196"/>
      <c r="D24" s="191"/>
      <c r="E24" s="196"/>
      <c r="F24" s="196"/>
      <c r="G24" s="191"/>
      <c r="H24" s="196"/>
      <c r="I24" s="196"/>
      <c r="J24" s="196"/>
      <c r="K24" s="196"/>
      <c r="L24" s="197"/>
      <c r="M24" s="194"/>
      <c r="N24" s="194"/>
      <c r="O24" s="194"/>
      <c r="P24" s="194"/>
      <c r="Q24" s="194"/>
      <c r="R24" s="194"/>
      <c r="S24" s="194"/>
    </row>
    <row r="25" spans="1:19">
      <c r="A25" s="191">
        <v>5</v>
      </c>
      <c r="B25" s="198"/>
      <c r="C25" s="196"/>
      <c r="D25" s="191"/>
      <c r="E25" s="196"/>
      <c r="F25" s="196"/>
      <c r="G25" s="191"/>
      <c r="H25" s="196"/>
      <c r="I25" s="196"/>
      <c r="J25" s="196"/>
      <c r="K25" s="196"/>
      <c r="L25" s="197"/>
      <c r="M25" s="194"/>
      <c r="N25" s="194"/>
      <c r="O25" s="194"/>
      <c r="P25" s="194"/>
      <c r="Q25" s="194"/>
      <c r="R25" s="194"/>
      <c r="S25" s="194"/>
    </row>
    <row r="26" spans="1:19">
      <c r="A26" s="191">
        <v>6</v>
      </c>
      <c r="B26" s="198"/>
      <c r="C26" s="196"/>
      <c r="D26" s="191"/>
      <c r="E26" s="196"/>
      <c r="F26" s="196"/>
      <c r="G26" s="191"/>
      <c r="H26" s="196"/>
      <c r="I26" s="196"/>
      <c r="J26" s="196"/>
      <c r="K26" s="196"/>
      <c r="L26" s="197"/>
      <c r="M26" s="194"/>
      <c r="N26" s="194"/>
      <c r="O26" s="194"/>
      <c r="P26" s="194"/>
      <c r="Q26" s="194"/>
      <c r="R26" s="194"/>
      <c r="S26" s="194"/>
    </row>
    <row r="27" spans="1:19">
      <c r="A27" s="191">
        <v>7</v>
      </c>
      <c r="B27" s="195"/>
      <c r="C27" s="196"/>
      <c r="D27" s="191"/>
      <c r="E27" s="196"/>
      <c r="F27" s="196"/>
      <c r="G27" s="191"/>
      <c r="H27" s="196"/>
      <c r="I27" s="196"/>
      <c r="J27" s="196"/>
      <c r="K27" s="196"/>
      <c r="L27" s="197"/>
      <c r="M27" s="194"/>
      <c r="N27" s="194"/>
      <c r="O27" s="194"/>
      <c r="P27" s="194"/>
      <c r="Q27" s="194"/>
      <c r="R27" s="194"/>
      <c r="S27" s="194"/>
    </row>
    <row r="28" spans="1:19">
      <c r="A28" s="191">
        <v>8</v>
      </c>
      <c r="B28" s="195"/>
      <c r="C28" s="196"/>
      <c r="D28" s="191"/>
      <c r="E28" s="196"/>
      <c r="F28" s="196"/>
      <c r="G28" s="191"/>
      <c r="H28" s="196"/>
      <c r="I28" s="196"/>
      <c r="J28" s="196"/>
      <c r="K28" s="196"/>
      <c r="L28" s="197"/>
      <c r="M28" s="194"/>
      <c r="N28" s="194"/>
      <c r="O28" s="194"/>
      <c r="P28" s="194"/>
      <c r="Q28" s="194"/>
      <c r="R28" s="194"/>
      <c r="S28" s="194"/>
    </row>
    <row r="29" spans="1:19">
      <c r="A29" s="191">
        <v>9</v>
      </c>
      <c r="B29" s="195"/>
      <c r="C29" s="196"/>
      <c r="D29" s="191"/>
      <c r="E29" s="196"/>
      <c r="F29" s="196"/>
      <c r="G29" s="191"/>
      <c r="H29" s="196"/>
      <c r="I29" s="196"/>
      <c r="J29" s="196"/>
      <c r="K29" s="196"/>
      <c r="L29" s="197"/>
      <c r="M29" s="194"/>
      <c r="N29" s="194"/>
      <c r="O29" s="194"/>
      <c r="P29" s="194"/>
      <c r="Q29" s="194"/>
      <c r="R29" s="194"/>
      <c r="S29" s="194"/>
    </row>
    <row r="30" spans="1:19">
      <c r="A30" s="191">
        <v>10</v>
      </c>
      <c r="B30" s="195"/>
      <c r="C30" s="196"/>
      <c r="D30" s="191"/>
      <c r="E30" s="196"/>
      <c r="F30" s="196"/>
      <c r="G30" s="191"/>
      <c r="H30" s="196"/>
      <c r="I30" s="196"/>
      <c r="J30" s="196"/>
      <c r="K30" s="196"/>
      <c r="L30" s="197"/>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3" spans="2:8">
      <c r="B33" s="797" t="s">
        <v>374</v>
      </c>
      <c r="C33" s="797"/>
      <c r="D33" s="797"/>
      <c r="E33" s="797"/>
      <c r="F33" s="798"/>
      <c r="G33" s="798"/>
      <c r="H33" s="798"/>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xr:uid="{00000000-0002-0000-0A00-000000000000}">
      <formula1>0</formula1>
      <formula2>#REF!</formula2>
    </dataValidation>
  </dataValidations>
  <pageMargins left="0.7" right="0.7" top="0.75" bottom="0.75" header="0.3" footer="0.3"/>
  <pageSetup paperSize="9" scale="49"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5"/>
  <dimension ref="A1:Y16"/>
  <sheetViews>
    <sheetView workbookViewId="0">
      <selection activeCell="B22" sqref="B22"/>
    </sheetView>
  </sheetViews>
  <sheetFormatPr defaultRowHeight="13.2"/>
  <cols>
    <col min="1" max="1" width="29.33203125" bestFit="1" customWidth="1"/>
    <col min="2" max="4" width="9.5546875" bestFit="1" customWidth="1"/>
  </cols>
  <sheetData>
    <row r="1" spans="1:25" ht="13.8" thickBot="1"/>
    <row r="2" spans="1:25" ht="20.399999999999999">
      <c r="A2" s="155" t="s">
        <v>8</v>
      </c>
      <c r="B2" s="155" t="str">
        <f>'урожайность (к удалению)'!B166</f>
        <v>пшеница</v>
      </c>
      <c r="C2" s="155" t="str">
        <f>'урожайность (к удалению)'!C166</f>
        <v>ячмень</v>
      </c>
      <c r="D2" s="155" t="str">
        <f>'урожайность (к удалению)'!D166</f>
        <v>овес</v>
      </c>
      <c r="E2" s="155" t="str">
        <f>'урожайность (к удалению)'!E166</f>
        <v>просо</v>
      </c>
      <c r="F2" s="155" t="str">
        <f>'урожайность (к удалению)'!F166</f>
        <v>гречиха</v>
      </c>
      <c r="G2" s="155" t="str">
        <f>'урожайность (к удалению)'!G166</f>
        <v>кукуруза (на зерно)</v>
      </c>
      <c r="H2" s="155" t="str">
        <f>'урожайность (к удалению)'!H166</f>
        <v>рис</v>
      </c>
      <c r="I2" s="155" t="str">
        <f>'урожайность (к удалению)'!I166</f>
        <v>подсолнечник</v>
      </c>
      <c r="J2" s="155" t="str">
        <f>'урожайность (к удалению)'!J166</f>
        <v>рапс</v>
      </c>
      <c r="K2" s="155" t="str">
        <f>'урожайность (к удалению)'!K166</f>
        <v>лен</v>
      </c>
      <c r="L2" s="155" t="str">
        <f>'урожайность (к удалению)'!L166</f>
        <v>горчица</v>
      </c>
      <c r="M2" s="155" t="str">
        <f>'урожайность (к удалению)'!M166</f>
        <v>сафлор</v>
      </c>
      <c r="N2" s="155" t="str">
        <f>'урожайность (к удалению)'!N166</f>
        <v>нут</v>
      </c>
      <c r="O2" s="157" t="str">
        <f>'урожайность (к удалению)'!O166</f>
        <v>горох</v>
      </c>
      <c r="P2" s="157" t="str">
        <f>'урожайность (к удалению)'!P166</f>
        <v>фасоль</v>
      </c>
      <c r="Q2" s="157" t="str">
        <f>'урожайность (к удалению)'!Q166</f>
        <v>картофель</v>
      </c>
      <c r="R2" s="157" t="str">
        <f>'урожайность (к удалению)'!R166</f>
        <v>лук</v>
      </c>
      <c r="S2" s="157" t="str">
        <f>'урожайность (к удалению)'!S166</f>
        <v>морковь</v>
      </c>
      <c r="T2" s="157" t="str">
        <f>'урожайность (к удалению)'!T166</f>
        <v>капуста</v>
      </c>
      <c r="U2" s="157" t="str">
        <f>'урожайность (к удалению)'!U166</f>
        <v>огурцы</v>
      </c>
      <c r="V2" s="157" t="str">
        <f>'урожайность (к удалению)'!V166</f>
        <v>помидоры</v>
      </c>
      <c r="W2" s="157" t="str">
        <f>'урожайность (к удалению)'!W166</f>
        <v>свекла</v>
      </c>
      <c r="X2" s="157" t="str">
        <f>'урожайность (к удалению)'!X166</f>
        <v>арбузы</v>
      </c>
      <c r="Y2" s="157" t="str">
        <f>'урожайность (к удалению)'!Y166</f>
        <v>дыня</v>
      </c>
    </row>
    <row r="3" spans="1:25">
      <c r="A3" s="156" t="str">
        <f>'урожайность (к удалению)'!A27</f>
        <v>Акмолинская область</v>
      </c>
      <c r="B3" s="158">
        <f>'[26]Цены-2016г.'!$B$7</f>
        <v>38008</v>
      </c>
      <c r="C3" s="158">
        <f>'[26]Цены-2016г.'!$C$7</f>
        <v>25940</v>
      </c>
      <c r="D3" s="158">
        <f>'[26]Цены-2016г.'!$D$7</f>
        <v>22950</v>
      </c>
      <c r="E3" s="158">
        <f>'[26]Цены-2016г.'!$E$6</f>
        <v>31966</v>
      </c>
      <c r="F3" s="158">
        <f>'[26]Цены-2016г.'!$F$6</f>
        <v>75994</v>
      </c>
      <c r="G3" s="171" t="str">
        <f>'[26]Цены-2016г.'!$G$7</f>
        <v>-</v>
      </c>
      <c r="H3" s="171">
        <v>0</v>
      </c>
      <c r="I3" s="158">
        <f>'[26]Цены-2016г.'!$I$7</f>
        <v>86485</v>
      </c>
      <c r="J3" s="158">
        <f>'[26]Цены-2016г.'!$J$7</f>
        <v>54140</v>
      </c>
      <c r="K3" s="158">
        <f>'[26]Цены-2016г.'!$K$7</f>
        <v>65827</v>
      </c>
      <c r="L3" s="158"/>
      <c r="M3" s="158">
        <f>'[26]Цены-2016г.'!$M$6</f>
        <v>45199</v>
      </c>
      <c r="N3" s="158"/>
      <c r="O3" s="158">
        <f>'[26]Цены-2016г.'!$O$7</f>
        <v>42924</v>
      </c>
      <c r="P3" s="171">
        <v>0</v>
      </c>
      <c r="Q3" s="158">
        <f>'[26]Цены-2016г.'!Q$7</f>
        <v>59340</v>
      </c>
      <c r="R3" s="158">
        <f>'[26]Цены-2016г.'!$R$6</f>
        <v>36872</v>
      </c>
      <c r="S3" s="158">
        <f>'[26]Цены-2016г.'!S$7</f>
        <v>69199</v>
      </c>
      <c r="T3" s="158">
        <f>'[26]Цены-2016г.'!T$7</f>
        <v>54364</v>
      </c>
      <c r="U3" s="158">
        <f>'[26]Цены-2016г.'!U$7</f>
        <v>80100</v>
      </c>
      <c r="V3" s="158">
        <f>'[26]Цены-2016г.'!V$7</f>
        <v>113549</v>
      </c>
      <c r="W3" s="158">
        <f>'[26]Цены-2016г.'!W$7</f>
        <v>73617</v>
      </c>
      <c r="X3" s="158">
        <f>'[26]Цены-2016г.'!X$7</f>
        <v>55968</v>
      </c>
      <c r="Y3" s="158">
        <f>'[26]Цены-2016г.'!$Y$6</f>
        <v>39261</v>
      </c>
    </row>
    <row r="4" spans="1:25">
      <c r="A4" s="144" t="str">
        <f>'урожайность (к удалению)'!A50</f>
        <v>Актюбинская область</v>
      </c>
      <c r="B4" s="158">
        <f>'[26]Цены-2016г.'!$B$8</f>
        <v>38587</v>
      </c>
      <c r="C4" s="158">
        <f>'[26]Цены-2016г.'!$C$8</f>
        <v>32940</v>
      </c>
      <c r="D4" s="158">
        <f>'[26]Цены-2016г.'!$D$6</f>
        <v>20069</v>
      </c>
      <c r="E4" s="158">
        <f>'[26]Цены-2016г.'!$E$8</f>
        <v>41772</v>
      </c>
      <c r="F4" s="171" t="str">
        <f>'[26]Цены-2016г.'!$F$8</f>
        <v>-</v>
      </c>
      <c r="G4" s="171" t="str">
        <f>'[26]Цены-2016г.'!$G$8</f>
        <v>-</v>
      </c>
      <c r="H4" s="171">
        <v>0</v>
      </c>
      <c r="I4" s="158">
        <f>'[26]Цены-2016г.'!$I$8</f>
        <v>79481</v>
      </c>
      <c r="J4" s="171">
        <v>0</v>
      </c>
      <c r="K4" s="158">
        <f>'[26]Цены-2016г.'!$K$6</f>
        <v>71431</v>
      </c>
      <c r="L4" s="171">
        <v>0</v>
      </c>
      <c r="M4" s="158">
        <f>'[26]Цены-2016г.'!$M$6</f>
        <v>45199</v>
      </c>
      <c r="N4" s="158"/>
      <c r="O4" s="171">
        <v>0</v>
      </c>
      <c r="P4" s="171">
        <v>0</v>
      </c>
      <c r="Q4" s="158">
        <f>'[26]Цены-2016г.'!Q$8</f>
        <v>59138</v>
      </c>
      <c r="R4" s="158">
        <f>'[26]Цены-2016г.'!$R$6</f>
        <v>36872</v>
      </c>
      <c r="S4" s="158">
        <f>'[26]Цены-2016г.'!S$8</f>
        <v>62600</v>
      </c>
      <c r="T4" s="158">
        <f>'[26]Цены-2016г.'!T$8</f>
        <v>49675</v>
      </c>
      <c r="U4" s="158">
        <f>'[26]Цены-2016г.'!U$8</f>
        <v>63382</v>
      </c>
      <c r="V4" s="158">
        <f>'[26]Цены-2016г.'!V$8</f>
        <v>87404</v>
      </c>
      <c r="W4" s="158">
        <f>'[26]Цены-2016г.'!W$8</f>
        <v>52986</v>
      </c>
      <c r="X4" s="158">
        <f>'[26]Цены-2016г.'!X$8</f>
        <v>34499</v>
      </c>
      <c r="Y4" s="158">
        <f>'[26]Цены-2016г.'!$Y$8</f>
        <v>46650</v>
      </c>
    </row>
    <row r="5" spans="1:25">
      <c r="A5" s="104" t="str">
        <f>'урожайность (к удалению)'!A73</f>
        <v>Алматинская область</v>
      </c>
      <c r="B5" s="158">
        <f>'[26]Цены-2016г.'!$B$9</f>
        <v>35987</v>
      </c>
      <c r="C5" s="158">
        <f>'[26]Цены-2016г.'!$C$9</f>
        <v>32869</v>
      </c>
      <c r="D5" s="158">
        <f>'[26]Цены-2016г.'!$D$9</f>
        <v>32480</v>
      </c>
      <c r="E5" s="158">
        <f>'[26]Цены-2016г.'!$E$6</f>
        <v>31966</v>
      </c>
      <c r="F5" s="158">
        <f>'[26]Цены-2016г.'!$F$9</f>
        <v>49528</v>
      </c>
      <c r="G5" s="158">
        <f>'[26]Цены-2016г.'!$G$9</f>
        <v>38933</v>
      </c>
      <c r="H5" s="158">
        <f>'[26]Цены-2016г.'!$H$9</f>
        <v>44356</v>
      </c>
      <c r="I5" s="158">
        <f>'[26]Цены-2016г.'!$I$9</f>
        <v>98054</v>
      </c>
      <c r="J5" s="158">
        <f>'[26]Цены-2016г.'!$J$6</f>
        <v>71562</v>
      </c>
      <c r="K5" s="171">
        <v>0</v>
      </c>
      <c r="L5" s="158"/>
      <c r="M5" s="158">
        <f>'[26]Цены-2016г.'!$M$9</f>
        <v>49093</v>
      </c>
      <c r="N5" s="158"/>
      <c r="O5" s="158">
        <f>'[26]Цены-2016г.'!$O$6</f>
        <v>52615</v>
      </c>
      <c r="P5" s="158"/>
      <c r="Q5" s="158">
        <f>'[26]Цены-2016г.'!Q$9</f>
        <v>42756</v>
      </c>
      <c r="R5" s="158">
        <f>'[26]Цены-2016г.'!$R$9</f>
        <v>34423</v>
      </c>
      <c r="S5" s="158">
        <f>'[26]Цены-2016г.'!$S$6</f>
        <v>49795</v>
      </c>
      <c r="T5" s="158">
        <f>'[26]Цены-2016г.'!T$9</f>
        <v>70793</v>
      </c>
      <c r="U5" s="158">
        <f>'[26]Цены-2016г.'!U$9</f>
        <v>43360</v>
      </c>
      <c r="V5" s="158">
        <f>'[26]Цены-2016г.'!V$9</f>
        <v>47775</v>
      </c>
      <c r="W5" s="158">
        <f>'[26]Цены-2016г.'!W$9</f>
        <v>48377</v>
      </c>
      <c r="X5" s="158">
        <f>'[26]Цены-2016г.'!X$9</f>
        <v>33867</v>
      </c>
      <c r="Y5" s="158">
        <f>'[26]Цены-2016г.'!$Y$9</f>
        <v>58730</v>
      </c>
    </row>
    <row r="6" spans="1:25">
      <c r="A6" s="104" t="str">
        <f>'урожайность (к удалению)'!A96</f>
        <v>Атырауская область</v>
      </c>
      <c r="B6" s="171" t="str">
        <f>'[26]Цены-2016г.'!$B$10</f>
        <v>-</v>
      </c>
      <c r="C6" s="158">
        <f>'[26]Цены-2016г.'!$C$6</f>
        <v>26201</v>
      </c>
      <c r="D6" s="158">
        <f>'[26]Цены-2016г.'!$D$6</f>
        <v>20069</v>
      </c>
      <c r="E6" s="171" t="s">
        <v>333</v>
      </c>
      <c r="F6" s="171" t="str">
        <f>'[26]Цены-2016г.'!$F$10</f>
        <v>-</v>
      </c>
      <c r="G6" s="171" t="str">
        <f>'[26]Цены-2016г.'!$G$10</f>
        <v>-</v>
      </c>
      <c r="H6" s="171">
        <v>0</v>
      </c>
      <c r="I6" s="171">
        <v>0</v>
      </c>
      <c r="J6" s="171">
        <v>0</v>
      </c>
      <c r="K6" s="171">
        <v>0</v>
      </c>
      <c r="L6" s="171">
        <v>0</v>
      </c>
      <c r="M6" s="171">
        <v>0</v>
      </c>
      <c r="N6" s="171">
        <v>0</v>
      </c>
      <c r="O6" s="171">
        <v>0</v>
      </c>
      <c r="P6" s="171">
        <v>0</v>
      </c>
      <c r="Q6" s="158">
        <f>'[26]Цены-2016г.'!Q$10</f>
        <v>69488</v>
      </c>
      <c r="R6" s="158">
        <f>'[26]Цены-2016г.'!R$10</f>
        <v>48002</v>
      </c>
      <c r="S6" s="158">
        <f>'[26]Цены-2016г.'!S$10</f>
        <v>65598</v>
      </c>
      <c r="T6" s="158">
        <f>'[26]Цены-2016г.'!T$10</f>
        <v>58976</v>
      </c>
      <c r="U6" s="158">
        <f>'[26]Цены-2016г.'!U$10</f>
        <v>71162</v>
      </c>
      <c r="V6" s="158">
        <f>'[26]Цены-2016г.'!V$10</f>
        <v>72995</v>
      </c>
      <c r="W6" s="158">
        <f>'[26]Цены-2016г.'!W$10</f>
        <v>50102</v>
      </c>
      <c r="X6" s="158">
        <f>'[26]Цены-2016г.'!X$10</f>
        <v>42052</v>
      </c>
      <c r="Y6" s="158">
        <f>'[26]Цены-2016г.'!$Y$10</f>
        <v>69130</v>
      </c>
    </row>
    <row r="7" spans="1:25">
      <c r="A7" s="104" t="str">
        <f>'урожайность (к удалению)'!A119</f>
        <v>Восточно-Казахстанская
область</v>
      </c>
      <c r="B7" s="158">
        <f>'[26]Цены-2016г.'!$B$11</f>
        <v>39098</v>
      </c>
      <c r="C7" s="158">
        <f>'[26]Цены-2016г.'!$C$11</f>
        <v>32753</v>
      </c>
      <c r="D7" s="158">
        <f>'[26]Цены-2016г.'!$D$11</f>
        <v>26487</v>
      </c>
      <c r="E7" s="158">
        <f>'[26]Цены-2016г.'!$E$11</f>
        <v>37114</v>
      </c>
      <c r="F7" s="158">
        <f>'[26]Цены-2016г.'!$F$11</f>
        <v>60545</v>
      </c>
      <c r="G7" s="158">
        <f>'[26]Цены-2016г.'!$G$11</f>
        <v>43023</v>
      </c>
      <c r="H7" s="171">
        <v>0</v>
      </c>
      <c r="I7" s="158">
        <f>'[26]Цены-2016г.'!$I$11</f>
        <v>86824</v>
      </c>
      <c r="J7" s="158">
        <f>'[26]Цены-2016г.'!$J$6</f>
        <v>71562</v>
      </c>
      <c r="K7" s="158">
        <f>'[26]Цены-2016г.'!$K$11</f>
        <v>70819</v>
      </c>
      <c r="L7" s="158"/>
      <c r="M7" s="158">
        <f>'[26]Цены-2016г.'!$M$6</f>
        <v>45199</v>
      </c>
      <c r="N7" s="158"/>
      <c r="O7" s="158">
        <f>'[26]Цены-2016г.'!$O$11</f>
        <v>61446</v>
      </c>
      <c r="P7" s="158"/>
      <c r="Q7" s="158">
        <f>'[26]Цены-2016г.'!Q$11</f>
        <v>44051</v>
      </c>
      <c r="R7" s="158">
        <f>'[26]Цены-2016г.'!R$11</f>
        <v>41617</v>
      </c>
      <c r="S7" s="158">
        <f>'[26]Цены-2016г.'!S$11</f>
        <v>45564</v>
      </c>
      <c r="T7" s="158">
        <f>'[26]Цены-2016г.'!T$11</f>
        <v>43830</v>
      </c>
      <c r="U7" s="158">
        <f>'[26]Цены-2016г.'!U$11</f>
        <v>80244</v>
      </c>
      <c r="V7" s="158">
        <f>'[26]Цены-2016г.'!V$11</f>
        <v>98516</v>
      </c>
      <c r="W7" s="158">
        <f>'[26]Цены-2016г.'!W$11</f>
        <v>42963</v>
      </c>
      <c r="X7" s="158">
        <f>'[26]Цены-2016г.'!X$11</f>
        <v>26414</v>
      </c>
      <c r="Y7" s="158">
        <f>'[26]Цены-2016г.'!$Y$11</f>
        <v>59266</v>
      </c>
    </row>
    <row r="8" spans="1:25">
      <c r="A8" s="104" t="str">
        <f>'урожайность (к удалению)'!A142</f>
        <v>Жамбылская область</v>
      </c>
      <c r="B8" s="158">
        <f>'[26]Цены-2016г.'!$B$12</f>
        <v>33586</v>
      </c>
      <c r="C8" s="158">
        <f>'[26]Цены-2016г.'!$C$12</f>
        <v>30042</v>
      </c>
      <c r="D8" s="158">
        <f>'[26]Цены-2016г.'!$D$6</f>
        <v>20069</v>
      </c>
      <c r="E8" s="158">
        <f>'[26]Цены-2016г.'!$E$6</f>
        <v>31966</v>
      </c>
      <c r="F8" s="171" t="str">
        <f>'[26]Цены-2016г.'!$F$12</f>
        <v>-</v>
      </c>
      <c r="G8" s="158">
        <f>'[26]Цены-2016г.'!$G$12</f>
        <v>37461</v>
      </c>
      <c r="H8" s="171">
        <v>0</v>
      </c>
      <c r="I8" s="158">
        <f>'[26]Цены-2016г.'!$I$6</f>
        <v>84783</v>
      </c>
      <c r="J8" s="158">
        <f>'[26]Цены-2016г.'!$J$6</f>
        <v>71562</v>
      </c>
      <c r="K8" s="171">
        <v>0</v>
      </c>
      <c r="L8" s="158"/>
      <c r="M8" s="158">
        <f>'[26]Цены-2016г.'!$M$12</f>
        <v>40841</v>
      </c>
      <c r="N8" s="158"/>
      <c r="O8" s="158">
        <f>'[26]Цены-2016г.'!$O$6</f>
        <v>52615</v>
      </c>
      <c r="P8" s="158"/>
      <c r="Q8" s="158">
        <f>'[26]Цены-2016г.'!Q$12</f>
        <v>41739</v>
      </c>
      <c r="R8" s="158">
        <f>'[26]Цены-2016г.'!R$12</f>
        <v>29923</v>
      </c>
      <c r="S8" s="158">
        <f>'[26]Цены-2016г.'!S$12</f>
        <v>40202</v>
      </c>
      <c r="T8" s="158">
        <f>'[26]Цены-2016г.'!T$12</f>
        <v>37248</v>
      </c>
      <c r="U8" s="158">
        <f>'[26]Цены-2016г.'!U$12</f>
        <v>51977</v>
      </c>
      <c r="V8" s="158">
        <f>'[26]Цены-2016г.'!V$12</f>
        <v>74503</v>
      </c>
      <c r="W8" s="158">
        <f>'[26]Цены-2016г.'!$W$6</f>
        <v>46726</v>
      </c>
      <c r="X8" s="158">
        <f>'[26]Цены-2016г.'!X$12</f>
        <v>19101</v>
      </c>
      <c r="Y8" s="158">
        <f>'[26]Цены-2016г.'!$Y$12</f>
        <v>38987</v>
      </c>
    </row>
    <row r="9" spans="1:25">
      <c r="A9" s="104" t="str">
        <f>'урожайность (к удалению)'!A165</f>
        <v>Западно-Казахстанская
область</v>
      </c>
      <c r="B9" s="158">
        <f>'[26]Цены-2016г.'!$B$13</f>
        <v>41246</v>
      </c>
      <c r="C9" s="158">
        <f>'[26]Цены-2016г.'!$C$13</f>
        <v>27297</v>
      </c>
      <c r="D9" s="158">
        <f>'[26]Цены-2016г.'!$D$13</f>
        <v>18824</v>
      </c>
      <c r="E9" s="158">
        <f>'[26]Цены-2016г.'!$E$13</f>
        <v>24294</v>
      </c>
      <c r="F9" s="158">
        <f>'[26]Цены-2016г.'!$F$6</f>
        <v>75994</v>
      </c>
      <c r="G9" s="171">
        <v>0</v>
      </c>
      <c r="H9" s="171">
        <v>0</v>
      </c>
      <c r="I9" s="158">
        <f>'[26]Цены-2016г.'!$I$13</f>
        <v>66005</v>
      </c>
      <c r="J9" s="171">
        <v>0</v>
      </c>
      <c r="K9" s="158">
        <f>'[26]Цены-2016г.'!$K$6</f>
        <v>71431</v>
      </c>
      <c r="L9" s="158"/>
      <c r="M9" s="158">
        <f>'[26]Цены-2016г.'!$M$6</f>
        <v>45199</v>
      </c>
      <c r="N9" s="158"/>
      <c r="O9" s="171">
        <v>0</v>
      </c>
      <c r="P9" s="171">
        <v>0</v>
      </c>
      <c r="Q9" s="158">
        <f>'[26]Цены-2016г.'!Q$13</f>
        <v>50306</v>
      </c>
      <c r="R9" s="158">
        <f>'[26]Цены-2016г.'!R$13</f>
        <v>64651</v>
      </c>
      <c r="S9" s="158">
        <f>'[26]Цены-2016г.'!S$13</f>
        <v>80212</v>
      </c>
      <c r="T9" s="158">
        <f>'[26]Цены-2016г.'!T$13</f>
        <v>56209</v>
      </c>
      <c r="U9" s="158">
        <f>'[26]Цены-2016г.'!U$13</f>
        <v>92482</v>
      </c>
      <c r="V9" s="158">
        <f>'[26]Цены-2016г.'!V$13</f>
        <v>90874</v>
      </c>
      <c r="W9" s="158">
        <f>'[26]Цены-2016г.'!W$13</f>
        <v>68268</v>
      </c>
      <c r="X9" s="158">
        <f>'[26]Цены-2016г.'!X$13</f>
        <v>44908</v>
      </c>
      <c r="Y9" s="158">
        <f>'[26]Цены-2016г.'!$Y$13</f>
        <v>67398</v>
      </c>
    </row>
    <row r="10" spans="1:25">
      <c r="A10" s="104" t="str">
        <f>'урожайность (к удалению)'!A188</f>
        <v>Карагандинская область</v>
      </c>
      <c r="B10" s="158">
        <f>'[26]Цены-2016г.'!$B$14</f>
        <v>38914</v>
      </c>
      <c r="C10" s="158">
        <f>'[26]Цены-2016г.'!$C$14</f>
        <v>24080</v>
      </c>
      <c r="D10" s="158">
        <f>'[26]Цены-2016г.'!$D$14</f>
        <v>19290</v>
      </c>
      <c r="E10" s="158">
        <f>'[26]Цены-2016г.'!$E$6</f>
        <v>31966</v>
      </c>
      <c r="F10" s="158">
        <f>'[26]Цены-2016г.'!$F$6</f>
        <v>75994</v>
      </c>
      <c r="G10" s="158">
        <f>'[26]Цены-2016г.'!$G$6</f>
        <v>39060</v>
      </c>
      <c r="H10" s="171">
        <v>0</v>
      </c>
      <c r="I10" s="158">
        <f>'[26]Цены-2016г.'!$I$6</f>
        <v>84783</v>
      </c>
      <c r="J10" s="158">
        <f>'[26]Цены-2016г.'!$J$6</f>
        <v>71562</v>
      </c>
      <c r="K10" s="158">
        <f>'[26]Цены-2016г.'!$K$14</f>
        <v>90685</v>
      </c>
      <c r="L10" s="171">
        <v>0</v>
      </c>
      <c r="M10" s="158">
        <f>'[26]Цены-2016г.'!$M$6</f>
        <v>45199</v>
      </c>
      <c r="N10" s="158"/>
      <c r="O10" s="158">
        <f>'[26]Цены-2016г.'!$O$6</f>
        <v>52615</v>
      </c>
      <c r="P10" s="158"/>
      <c r="Q10" s="158">
        <f>'[26]Цены-2016г.'!Q$14</f>
        <v>40880</v>
      </c>
      <c r="R10" s="158">
        <f>'[26]Цены-2016г.'!$R$6</f>
        <v>36872</v>
      </c>
      <c r="S10" s="158">
        <f>'[26]Цены-2016г.'!S$14</f>
        <v>42342</v>
      </c>
      <c r="T10" s="158">
        <f>'[26]Цены-2016г.'!T$14</f>
        <v>46572</v>
      </c>
      <c r="U10" s="158">
        <f>'[26]Цены-2016г.'!U$14</f>
        <v>78622</v>
      </c>
      <c r="V10" s="158">
        <f>'[26]Цены-2016г.'!V$14</f>
        <v>102525</v>
      </c>
      <c r="W10" s="158">
        <f>'[26]Цены-2016г.'!W$14</f>
        <v>32712</v>
      </c>
      <c r="X10" s="158">
        <f>'[26]Цены-2016г.'!X$14</f>
        <v>48597</v>
      </c>
      <c r="Y10" s="158">
        <f>'[26]Цены-2016г.'!$Y$14</f>
        <v>74630</v>
      </c>
    </row>
    <row r="11" spans="1:25">
      <c r="A11" s="104" t="str">
        <f>'урожайность (к удалению)'!A211</f>
        <v>Костанайская область</v>
      </c>
      <c r="B11" s="158">
        <f>'[26]Цены-2016г.'!$B$15</f>
        <v>36565</v>
      </c>
      <c r="C11" s="158">
        <f>'[26]Цены-2016г.'!$C$15</f>
        <v>23559</v>
      </c>
      <c r="D11" s="158">
        <f>'[26]Цены-2016г.'!$D$15</f>
        <v>18353</v>
      </c>
      <c r="E11" s="158">
        <f>'[26]Цены-2016г.'!$E$15</f>
        <v>29304</v>
      </c>
      <c r="F11" s="158">
        <f>'[26]Цены-2016г.'!$F$15</f>
        <v>48513</v>
      </c>
      <c r="G11" s="158">
        <f>'[26]Цены-2016г.'!$G$6</f>
        <v>39060</v>
      </c>
      <c r="H11" s="171">
        <v>0</v>
      </c>
      <c r="I11" s="158">
        <f>'[26]Цены-2016г.'!$I$15</f>
        <v>70123</v>
      </c>
      <c r="J11" s="158">
        <f>'[26]Цены-2016г.'!$J$15</f>
        <v>50302</v>
      </c>
      <c r="K11" s="158">
        <f>'[26]Цены-2016г.'!$K$15</f>
        <v>69298</v>
      </c>
      <c r="L11" s="158"/>
      <c r="M11" s="158">
        <f>'[26]Цены-2016г.'!$M$15</f>
        <v>43663</v>
      </c>
      <c r="N11" s="158"/>
      <c r="O11" s="158">
        <f>'[26]Цены-2016г.'!$O$6</f>
        <v>52615</v>
      </c>
      <c r="P11" s="158"/>
      <c r="Q11" s="158">
        <f>'[26]Цены-2016г.'!Q$15</f>
        <v>45829</v>
      </c>
      <c r="R11" s="158">
        <f>'[26]Цены-2016г.'!R$15</f>
        <v>55500</v>
      </c>
      <c r="S11" s="158">
        <f>'[26]Цены-2016г.'!S$15</f>
        <v>49788</v>
      </c>
      <c r="T11" s="158">
        <f>'[26]Цены-2016г.'!T$15</f>
        <v>37034</v>
      </c>
      <c r="U11" s="158">
        <f>'[26]Цены-2016г.'!U$15</f>
        <v>69899</v>
      </c>
      <c r="V11" s="158">
        <f>'[26]Цены-2016г.'!V$15</f>
        <v>96141</v>
      </c>
      <c r="W11" s="158">
        <f>'[26]Цены-2016г.'!W$15</f>
        <v>50523</v>
      </c>
      <c r="X11" s="158">
        <f>'[26]Цены-2016г.'!X$15</f>
        <v>44299</v>
      </c>
      <c r="Y11" s="158">
        <f>'[26]Цены-2016г.'!$Y$6</f>
        <v>39261</v>
      </c>
    </row>
    <row r="12" spans="1:25">
      <c r="A12" s="104" t="str">
        <f>'урожайность (к удалению)'!A234</f>
        <v>Кызылординская область</v>
      </c>
      <c r="B12" s="158">
        <f>'[26]Цены-2016г.'!$B$16</f>
        <v>36236</v>
      </c>
      <c r="C12" s="158">
        <f>'[26]Цены-2016г.'!$C$6</f>
        <v>26201</v>
      </c>
      <c r="D12" s="158">
        <f>'[26]Цены-2016г.'!$D$6</f>
        <v>20069</v>
      </c>
      <c r="E12" s="158">
        <f>'[26]Цены-2016г.'!$E$6</f>
        <v>31966</v>
      </c>
      <c r="F12" s="171" t="str">
        <f>'[26]Цены-2016г.'!$F$16</f>
        <v>-</v>
      </c>
      <c r="G12" s="158">
        <f>'[26]Цены-2016г.'!$G$6</f>
        <v>39060</v>
      </c>
      <c r="H12" s="158">
        <f>'[26]Цены-2016г.'!$H$16</f>
        <v>48092</v>
      </c>
      <c r="I12" s="158">
        <f>'[26]Цены-2016г.'!$I$6</f>
        <v>84783</v>
      </c>
      <c r="J12" s="171">
        <v>0</v>
      </c>
      <c r="K12" s="171">
        <v>0</v>
      </c>
      <c r="L12" s="171">
        <v>0</v>
      </c>
      <c r="M12" s="158">
        <f>'[26]Цены-2016г.'!$M$6</f>
        <v>45199</v>
      </c>
      <c r="N12" s="171">
        <v>0</v>
      </c>
      <c r="O12" s="171">
        <v>0</v>
      </c>
      <c r="P12" s="158"/>
      <c r="Q12" s="158">
        <f>'[26]Цены-2016г.'!Q$16</f>
        <v>55226</v>
      </c>
      <c r="R12" s="158">
        <f>'[26]Цены-2016г.'!R$16</f>
        <v>57845</v>
      </c>
      <c r="S12" s="158">
        <f>'[26]Цены-2016г.'!S$16</f>
        <v>49251</v>
      </c>
      <c r="T12" s="158">
        <f>'[26]Цены-2016г.'!$T$6</f>
        <v>45564</v>
      </c>
      <c r="U12" s="158">
        <f>'[26]Цены-2016г.'!U$16</f>
        <v>35980</v>
      </c>
      <c r="V12" s="158">
        <f>'[26]Цены-2016г.'!V$16</f>
        <v>38803</v>
      </c>
      <c r="W12" s="158">
        <f>'[26]Цены-2016г.'!$W$6</f>
        <v>46726</v>
      </c>
      <c r="X12" s="158">
        <f>'[26]Цены-2016г.'!X$16</f>
        <v>23813</v>
      </c>
      <c r="Y12" s="158">
        <f>'[26]Цены-2016г.'!$Y$16</f>
        <v>29027</v>
      </c>
    </row>
    <row r="13" spans="1:25">
      <c r="A13" s="104" t="str">
        <f>'урожайность (к удалению)'!A257</f>
        <v>Мангистауская область</v>
      </c>
      <c r="B13" s="171" t="str">
        <f>'[26]Цены-2016г.'!$B$17</f>
        <v>-</v>
      </c>
      <c r="C13" s="171" t="str">
        <f>'[26]Цены-2016г.'!$C$17</f>
        <v>-</v>
      </c>
      <c r="D13" s="171" t="str">
        <f>'[26]Цены-2016г.'!$D$17</f>
        <v>-</v>
      </c>
      <c r="E13" s="171" t="str">
        <f>'[26]Цены-2016г.'!$E$17</f>
        <v>-</v>
      </c>
      <c r="F13" s="171" t="str">
        <f>'[26]Цены-2016г.'!$F$17</f>
        <v>-</v>
      </c>
      <c r="G13" s="171"/>
      <c r="H13" s="171"/>
      <c r="I13" s="171"/>
      <c r="J13" s="171"/>
      <c r="K13" s="171"/>
      <c r="L13" s="171"/>
      <c r="M13" s="171"/>
      <c r="N13" s="171"/>
      <c r="O13" s="171"/>
      <c r="P13" s="171"/>
      <c r="Q13" s="158">
        <f>'[26]Цены-2016г.'!$Q$6</f>
        <v>46534</v>
      </c>
      <c r="R13" s="158">
        <f>'[26]Цены-2016г.'!$R$6</f>
        <v>36872</v>
      </c>
      <c r="S13" s="158">
        <f>'[26]Цены-2016г.'!$S$6</f>
        <v>49795</v>
      </c>
      <c r="T13" s="158">
        <f>'[26]Цены-2016г.'!T$17</f>
        <v>93287</v>
      </c>
      <c r="U13" s="158">
        <f>'[26]Цены-2016г.'!U$17</f>
        <v>140818</v>
      </c>
      <c r="V13" s="158">
        <f>'[26]Цены-2016г.'!V$17</f>
        <v>113861</v>
      </c>
      <c r="W13" s="158">
        <f>'[26]Цены-2016г.'!$W$6</f>
        <v>46726</v>
      </c>
      <c r="X13" s="158">
        <f>'[26]Цены-2016г.'!X$17</f>
        <v>78644</v>
      </c>
      <c r="Y13" s="158">
        <f>'[26]Цены-2016г.'!$Y$17</f>
        <v>97955</v>
      </c>
    </row>
    <row r="14" spans="1:25">
      <c r="A14" s="104" t="str">
        <f>'урожайность (к удалению)'!A280</f>
        <v>Павлодарская область</v>
      </c>
      <c r="B14" s="158">
        <f>'[26]Цены-2016г.'!$B$18</f>
        <v>38261</v>
      </c>
      <c r="C14" s="158">
        <f>'[26]Цены-2016г.'!$C$18</f>
        <v>32028</v>
      </c>
      <c r="D14" s="158">
        <f>'[26]Цены-2016г.'!$D$18</f>
        <v>26479</v>
      </c>
      <c r="E14" s="158">
        <f>'[26]Цены-2016г.'!$E$18</f>
        <v>32185</v>
      </c>
      <c r="F14" s="158">
        <f>'[26]Цены-2016г.'!$F$18</f>
        <v>88577</v>
      </c>
      <c r="G14" s="171">
        <v>0</v>
      </c>
      <c r="H14" s="171">
        <v>0</v>
      </c>
      <c r="I14" s="158">
        <f>'[26]Цены-2016г.'!$I$18</f>
        <v>80936</v>
      </c>
      <c r="J14" s="158">
        <f>'[26]Цены-2016г.'!$J$6</f>
        <v>71562</v>
      </c>
      <c r="K14" s="158">
        <f>'[26]Цены-2016г.'!$K$6</f>
        <v>71431</v>
      </c>
      <c r="L14" s="158"/>
      <c r="M14" s="171">
        <v>0</v>
      </c>
      <c r="N14" s="158"/>
      <c r="O14" s="158">
        <f>'[26]Цены-2016г.'!$O$6</f>
        <v>52615</v>
      </c>
      <c r="P14" s="171">
        <v>0</v>
      </c>
      <c r="Q14" s="158">
        <f>'[26]Цены-2016г.'!Q$18</f>
        <v>36179</v>
      </c>
      <c r="R14" s="158">
        <f>'[26]Цены-2016г.'!$R$6</f>
        <v>36872</v>
      </c>
      <c r="S14" s="158">
        <f>'[26]Цены-2016г.'!S$18</f>
        <v>36842</v>
      </c>
      <c r="T14" s="158">
        <f>'[26]Цены-2016г.'!T$18</f>
        <v>44914</v>
      </c>
      <c r="U14" s="158">
        <f>'[26]Цены-2016г.'!U$18</f>
        <v>42185</v>
      </c>
      <c r="V14" s="158">
        <f>'[26]Цены-2016г.'!V$18</f>
        <v>50304</v>
      </c>
      <c r="W14" s="158">
        <f>'[26]Цены-2016г.'!W$18</f>
        <v>38366</v>
      </c>
      <c r="X14" s="158">
        <f>'[26]Цены-2016г.'!X$18</f>
        <v>26918</v>
      </c>
      <c r="Y14" s="158">
        <f>'[26]Цены-2016г.'!$Y$6</f>
        <v>39261</v>
      </c>
    </row>
    <row r="15" spans="1:25" ht="12.75" customHeight="1">
      <c r="A15" s="104" t="str">
        <f>'урожайность (к удалению)'!A303</f>
        <v>Северо-Казахстанская
область</v>
      </c>
      <c r="B15" s="158">
        <f>'[26]Цены-2016г.'!$B$19</f>
        <v>32526</v>
      </c>
      <c r="C15" s="158">
        <f>'[26]Цены-2016г.'!$C$19</f>
        <v>23949</v>
      </c>
      <c r="D15" s="158">
        <f>'[26]Цены-2016г.'!$D$19</f>
        <v>18344</v>
      </c>
      <c r="E15" s="158">
        <f>'[26]Цены-2016г.'!$E$19</f>
        <v>20842</v>
      </c>
      <c r="F15" s="158">
        <f>'[26]Цены-2016г.'!$F$19</f>
        <v>76802</v>
      </c>
      <c r="G15" s="158">
        <f>'[26]Цены-2016г.'!$G$6</f>
        <v>39060</v>
      </c>
      <c r="H15" s="171">
        <v>0</v>
      </c>
      <c r="I15" s="158">
        <f>'[26]Цены-2016г.'!$I$19</f>
        <v>76825</v>
      </c>
      <c r="J15" s="158">
        <f>'[26]Цены-2016г.'!$J$19</f>
        <v>66372</v>
      </c>
      <c r="K15" s="158">
        <f>'[26]Цены-2016г.'!$K$19</f>
        <v>69741</v>
      </c>
      <c r="L15" s="158"/>
      <c r="M15" s="171">
        <v>0</v>
      </c>
      <c r="N15" s="158"/>
      <c r="O15" s="158">
        <f>'[26]Цены-2016г.'!$O$19</f>
        <v>34719</v>
      </c>
      <c r="P15" s="171">
        <v>0</v>
      </c>
      <c r="Q15" s="158">
        <f>'[26]Цены-2016г.'!Q$19</f>
        <v>41632</v>
      </c>
      <c r="R15" s="158">
        <f>'[26]Цены-2016г.'!$R$6</f>
        <v>36872</v>
      </c>
      <c r="S15" s="158">
        <f>'[26]Цены-2016г.'!S$19</f>
        <v>58648</v>
      </c>
      <c r="T15" s="158">
        <f>'[26]Цены-2016г.'!T$19</f>
        <v>44282</v>
      </c>
      <c r="U15" s="158">
        <f>'[26]Цены-2016г.'!$U$6</f>
        <v>55074</v>
      </c>
      <c r="V15" s="158">
        <f>'[26]Цены-2016г.'!$V$6</f>
        <v>86688</v>
      </c>
      <c r="W15" s="158">
        <f>'[26]Цены-2016г.'!W$19</f>
        <v>63623</v>
      </c>
      <c r="X15" s="158">
        <f>'[26]Цены-2016г.'!$X$6</f>
        <v>28301</v>
      </c>
      <c r="Y15" s="158">
        <f>'[26]Цены-2016г.'!$Y$6</f>
        <v>39261</v>
      </c>
    </row>
    <row r="16" spans="1:25" ht="12.75" customHeight="1">
      <c r="A16" s="104" t="str">
        <f>'урожайность (к удалению)'!A326</f>
        <v>Южно-Казахстанская
область</v>
      </c>
      <c r="B16" s="158">
        <f>'[26]Цены-2016г.'!$B$20</f>
        <v>37371</v>
      </c>
      <c r="C16" s="158">
        <f>'[26]Цены-2016г.'!$C$20</f>
        <v>35438</v>
      </c>
      <c r="D16" s="158">
        <f>'[26]Цены-2016г.'!$D$6</f>
        <v>20069</v>
      </c>
      <c r="E16" s="158">
        <f>'[26]Цены-2016г.'!$E$6</f>
        <v>31966</v>
      </c>
      <c r="F16" s="171" t="str">
        <f>'[26]Цены-2016г.'!$F$20</f>
        <v>-</v>
      </c>
      <c r="G16" s="158">
        <f>'[26]Цены-2016г.'!$G$20</f>
        <v>35317</v>
      </c>
      <c r="H16" s="158">
        <f>'[26]Цены-2016г.'!$H$20</f>
        <v>96716</v>
      </c>
      <c r="I16" s="158">
        <f>'[26]Цены-2016г.'!$I$20</f>
        <v>104580</v>
      </c>
      <c r="J16" s="171">
        <v>0</v>
      </c>
      <c r="K16" s="171">
        <v>0</v>
      </c>
      <c r="L16" s="171">
        <v>0</v>
      </c>
      <c r="M16" s="158">
        <f>'[26]Цены-2016г.'!$M$20</f>
        <v>45285</v>
      </c>
      <c r="N16" s="158"/>
      <c r="O16" s="158">
        <f>'[26]Цены-2016г.'!$O$6</f>
        <v>52615</v>
      </c>
      <c r="P16" s="158"/>
      <c r="Q16" s="158">
        <f>'[26]Цены-2016г.'!Q$20</f>
        <v>46850</v>
      </c>
      <c r="R16" s="158">
        <f>'[26]Цены-2016г.'!R$20</f>
        <v>39684</v>
      </c>
      <c r="S16" s="158">
        <f>'[26]Цены-2016г.'!S$20</f>
        <v>43153</v>
      </c>
      <c r="T16" s="158">
        <f>'[26]Цены-2016г.'!T$20</f>
        <v>15471</v>
      </c>
      <c r="U16" s="158">
        <f>'[26]Цены-2016г.'!U$20</f>
        <v>40122</v>
      </c>
      <c r="V16" s="158">
        <f>'[26]Цены-2016г.'!V$20</f>
        <v>60868</v>
      </c>
      <c r="W16" s="158">
        <f>'[26]Цены-2016г.'!W$20</f>
        <v>52242</v>
      </c>
      <c r="X16" s="158">
        <f>'[26]Цены-2016г.'!X$20</f>
        <v>16029</v>
      </c>
      <c r="Y16" s="158">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6"/>
  <dimension ref="A1:Y342"/>
  <sheetViews>
    <sheetView topLeftCell="A76" workbookViewId="0">
      <selection activeCell="O22" sqref="O22"/>
    </sheetView>
  </sheetViews>
  <sheetFormatPr defaultRowHeight="13.2"/>
  <cols>
    <col min="1" max="1" width="21.109375" bestFit="1" customWidth="1"/>
    <col min="9" max="9" width="12.44140625" customWidth="1"/>
  </cols>
  <sheetData>
    <row r="1" spans="1:11">
      <c r="A1" s="810" t="s">
        <v>267</v>
      </c>
      <c r="B1" s="810"/>
      <c r="C1" s="810"/>
      <c r="D1" s="810"/>
      <c r="E1" s="810"/>
      <c r="F1" s="810"/>
      <c r="G1" s="810"/>
      <c r="H1" s="810"/>
    </row>
    <row r="2" spans="1:11">
      <c r="A2" s="91" t="s">
        <v>74</v>
      </c>
      <c r="B2" s="89"/>
      <c r="C2" s="89"/>
      <c r="D2" s="89"/>
      <c r="E2" s="89"/>
      <c r="F2" s="89"/>
      <c r="G2" s="89"/>
      <c r="H2" s="89"/>
    </row>
    <row r="3" spans="1:11">
      <c r="B3" s="119"/>
      <c r="C3" s="119"/>
      <c r="D3" s="119"/>
      <c r="E3" s="119"/>
      <c r="F3" s="119"/>
      <c r="G3" s="119"/>
      <c r="H3" s="119"/>
      <c r="I3" s="119"/>
      <c r="J3" s="119"/>
      <c r="K3" s="119"/>
    </row>
    <row r="4" spans="1:11" ht="12.75" customHeight="1">
      <c r="A4" s="181" t="str">
        <f>CHOOSE(ОБЛАСТЬ,A27,A50,A73,A96,A119,A142,A165,A188,A211,A234,A257,A280,A303,A326)</f>
        <v>Акмолинская область</v>
      </c>
      <c r="B4" s="119" t="str">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горох</v>
      </c>
      <c r="C4" s="119" t="str">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овес</v>
      </c>
      <c r="D4" s="119" t="str">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подсолнечник</v>
      </c>
      <c r="E4" s="119"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F4" s="119"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G4" s="119"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H4" s="119"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I4" s="119"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J4" s="119"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K4" s="119"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row>
    <row r="5" spans="1:11">
      <c r="A5" s="181" t="str">
        <f t="shared" ref="A5:A23" si="9">CHOOSE(ОБЛАСТЬ,A29,A52,A75,A98,A121,A144,A167,A190,A213,A236,A259,A282,A305,A328)</f>
        <v>г.Кокшетау</v>
      </c>
      <c r="B5" s="92">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0.875</v>
      </c>
      <c r="C5" s="92">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8.2898600000000009</v>
      </c>
      <c r="D5" s="92">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1.8</v>
      </c>
      <c r="E5" s="92"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F5" s="92"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G5" s="92"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H5" s="92"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I5" s="92"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J5" s="92"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K5" s="92"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row>
    <row r="6" spans="1:11">
      <c r="A6" s="181" t="str">
        <f t="shared" si="9"/>
        <v>г.Степногорск</v>
      </c>
      <c r="B6" s="92">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v>
      </c>
      <c r="C6" s="92">
        <f t="shared" si="10"/>
        <v>4.9723200000000007</v>
      </c>
      <c r="D6" s="92">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0.76632999999999996</v>
      </c>
      <c r="E6" s="92" t="e">
        <f t="shared" si="11"/>
        <v>#VALUE!</v>
      </c>
      <c r="F6" s="92" t="e">
        <f t="shared" si="12"/>
        <v>#VALUE!</v>
      </c>
      <c r="G6" s="92" t="e">
        <f t="shared" si="13"/>
        <v>#VALUE!</v>
      </c>
      <c r="H6" s="92" t="e">
        <f t="shared" si="14"/>
        <v>#VALUE!</v>
      </c>
      <c r="I6" s="92" t="e">
        <f t="shared" si="15"/>
        <v>#VALUE!</v>
      </c>
      <c r="J6" s="92" t="e">
        <f t="shared" si="16"/>
        <v>#VALUE!</v>
      </c>
      <c r="K6" s="92" t="e">
        <f t="shared" si="17"/>
        <v>#VALUE!</v>
      </c>
    </row>
    <row r="7" spans="1:11">
      <c r="A7" s="181" t="str">
        <f t="shared" si="9"/>
        <v>Аккольский</v>
      </c>
      <c r="B7" s="92">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5.60792</v>
      </c>
      <c r="C7" s="92">
        <f t="shared" si="10"/>
        <v>8.3679900000000007</v>
      </c>
      <c r="D7" s="92">
        <f t="shared" si="18"/>
        <v>2.1528199999999997</v>
      </c>
      <c r="E7" s="92" t="e">
        <f t="shared" si="11"/>
        <v>#VALUE!</v>
      </c>
      <c r="F7" s="92" t="e">
        <f t="shared" si="12"/>
        <v>#VALUE!</v>
      </c>
      <c r="G7" s="92" t="e">
        <f t="shared" si="13"/>
        <v>#VALUE!</v>
      </c>
      <c r="H7" s="92" t="e">
        <f t="shared" si="14"/>
        <v>#VALUE!</v>
      </c>
      <c r="I7" s="92" t="e">
        <f t="shared" si="15"/>
        <v>#VALUE!</v>
      </c>
      <c r="J7" s="92" t="e">
        <f t="shared" si="16"/>
        <v>#VALUE!</v>
      </c>
      <c r="K7" s="92" t="e">
        <f t="shared" si="17"/>
        <v>#VALUE!</v>
      </c>
    </row>
    <row r="8" spans="1:11">
      <c r="A8" s="181" t="str">
        <f t="shared" si="9"/>
        <v>Аршалынский</v>
      </c>
      <c r="B8" s="92">
        <f t="shared" si="19"/>
        <v>7.0550899999999999</v>
      </c>
      <c r="C8" s="92">
        <f t="shared" si="10"/>
        <v>10.970860000000002</v>
      </c>
      <c r="D8" s="92">
        <f t="shared" si="18"/>
        <v>3.0239700000000003</v>
      </c>
      <c r="E8" s="92" t="e">
        <f t="shared" si="11"/>
        <v>#VALUE!</v>
      </c>
      <c r="F8" s="92" t="e">
        <f t="shared" si="12"/>
        <v>#VALUE!</v>
      </c>
      <c r="G8" s="92" t="e">
        <f t="shared" si="13"/>
        <v>#VALUE!</v>
      </c>
      <c r="H8" s="92" t="e">
        <f t="shared" si="14"/>
        <v>#VALUE!</v>
      </c>
      <c r="I8" s="92" t="e">
        <f t="shared" si="15"/>
        <v>#VALUE!</v>
      </c>
      <c r="J8" s="92" t="e">
        <f t="shared" si="16"/>
        <v>#VALUE!</v>
      </c>
      <c r="K8" s="92" t="e">
        <f t="shared" si="17"/>
        <v>#VALUE!</v>
      </c>
    </row>
    <row r="9" spans="1:11">
      <c r="A9" s="181" t="str">
        <f t="shared" si="9"/>
        <v>Астраханский</v>
      </c>
      <c r="B9" s="92">
        <f t="shared" si="19"/>
        <v>9.1037400000000002</v>
      </c>
      <c r="C9" s="92">
        <f t="shared" si="10"/>
        <v>9.0288699999999995</v>
      </c>
      <c r="D9" s="92">
        <f t="shared" si="18"/>
        <v>2.9135499999999999</v>
      </c>
      <c r="E9" s="92" t="e">
        <f t="shared" si="11"/>
        <v>#VALUE!</v>
      </c>
      <c r="F9" s="92" t="e">
        <f t="shared" si="12"/>
        <v>#VALUE!</v>
      </c>
      <c r="G9" s="92" t="e">
        <f t="shared" si="13"/>
        <v>#VALUE!</v>
      </c>
      <c r="H9" s="92" t="e">
        <f t="shared" si="14"/>
        <v>#VALUE!</v>
      </c>
      <c r="I9" s="92" t="e">
        <f t="shared" si="15"/>
        <v>#VALUE!</v>
      </c>
      <c r="J9" s="92" t="e">
        <f t="shared" si="16"/>
        <v>#VALUE!</v>
      </c>
      <c r="K9" s="92" t="e">
        <f t="shared" si="17"/>
        <v>#VALUE!</v>
      </c>
    </row>
    <row r="10" spans="1:11">
      <c r="A10" s="181" t="str">
        <f t="shared" si="9"/>
        <v>Атбасарский</v>
      </c>
      <c r="B10" s="92">
        <f t="shared" si="19"/>
        <v>5.0442800000000005</v>
      </c>
      <c r="C10" s="92">
        <f t="shared" si="10"/>
        <v>13.03243</v>
      </c>
      <c r="D10" s="92">
        <f t="shared" si="18"/>
        <v>3.4075099999999998</v>
      </c>
      <c r="E10" s="92" t="e">
        <f t="shared" si="11"/>
        <v>#VALUE!</v>
      </c>
      <c r="F10" s="92" t="e">
        <f t="shared" si="12"/>
        <v>#VALUE!</v>
      </c>
      <c r="G10" s="92" t="e">
        <f t="shared" si="13"/>
        <v>#VALUE!</v>
      </c>
      <c r="H10" s="92" t="e">
        <f t="shared" si="14"/>
        <v>#VALUE!</v>
      </c>
      <c r="I10" s="92" t="e">
        <f t="shared" si="15"/>
        <v>#VALUE!</v>
      </c>
      <c r="J10" s="92" t="e">
        <f t="shared" si="16"/>
        <v>#VALUE!</v>
      </c>
      <c r="K10" s="92" t="e">
        <f t="shared" si="17"/>
        <v>#VALUE!</v>
      </c>
    </row>
    <row r="11" spans="1:11">
      <c r="A11" s="181" t="str">
        <f t="shared" si="9"/>
        <v>Буландинский</v>
      </c>
      <c r="B11" s="92">
        <f t="shared" si="19"/>
        <v>7.3259200000000009</v>
      </c>
      <c r="C11" s="92">
        <f t="shared" si="10"/>
        <v>14.570060000000002</v>
      </c>
      <c r="D11" s="92">
        <f t="shared" si="18"/>
        <v>2.52258</v>
      </c>
      <c r="E11" s="92" t="e">
        <f t="shared" si="11"/>
        <v>#VALUE!</v>
      </c>
      <c r="F11" s="92" t="e">
        <f t="shared" si="12"/>
        <v>#VALUE!</v>
      </c>
      <c r="G11" s="92" t="e">
        <f t="shared" si="13"/>
        <v>#VALUE!</v>
      </c>
      <c r="H11" s="92" t="e">
        <f t="shared" si="14"/>
        <v>#VALUE!</v>
      </c>
      <c r="I11" s="92" t="e">
        <f t="shared" si="15"/>
        <v>#VALUE!</v>
      </c>
      <c r="J11" s="92" t="e">
        <f t="shared" si="16"/>
        <v>#VALUE!</v>
      </c>
      <c r="K11" s="92" t="e">
        <f t="shared" si="17"/>
        <v>#VALUE!</v>
      </c>
    </row>
    <row r="12" spans="1:11">
      <c r="A12" s="181" t="str">
        <f t="shared" si="9"/>
        <v>Щучинский</v>
      </c>
      <c r="B12" s="92">
        <f t="shared" si="19"/>
        <v>7.8145600000000002</v>
      </c>
      <c r="C12" s="92">
        <f t="shared" si="10"/>
        <v>10.82104</v>
      </c>
      <c r="D12" s="92">
        <f t="shared" si="18"/>
        <v>3.3201900000000002</v>
      </c>
      <c r="E12" s="92" t="e">
        <f t="shared" si="11"/>
        <v>#VALUE!</v>
      </c>
      <c r="F12" s="92" t="e">
        <f t="shared" si="12"/>
        <v>#VALUE!</v>
      </c>
      <c r="G12" s="92" t="e">
        <f t="shared" si="13"/>
        <v>#VALUE!</v>
      </c>
      <c r="H12" s="92" t="e">
        <f t="shared" si="14"/>
        <v>#VALUE!</v>
      </c>
      <c r="I12" s="92" t="e">
        <f t="shared" si="15"/>
        <v>#VALUE!</v>
      </c>
      <c r="J12" s="92" t="e">
        <f t="shared" si="16"/>
        <v>#VALUE!</v>
      </c>
      <c r="K12" s="92" t="e">
        <f t="shared" si="17"/>
        <v>#VALUE!</v>
      </c>
    </row>
    <row r="13" spans="1:11">
      <c r="A13" s="181" t="str">
        <f t="shared" si="9"/>
        <v>Егиндыкольский</v>
      </c>
      <c r="B13" s="92">
        <f t="shared" si="19"/>
        <v>0</v>
      </c>
      <c r="C13" s="92">
        <f t="shared" si="10"/>
        <v>9.0180100000000003</v>
      </c>
      <c r="D13" s="92">
        <f t="shared" si="18"/>
        <v>0.47762000000000004</v>
      </c>
      <c r="E13" s="92" t="e">
        <f t="shared" si="11"/>
        <v>#VALUE!</v>
      </c>
      <c r="F13" s="92" t="e">
        <f t="shared" si="12"/>
        <v>#VALUE!</v>
      </c>
      <c r="G13" s="92" t="e">
        <f t="shared" si="13"/>
        <v>#VALUE!</v>
      </c>
      <c r="H13" s="92" t="e">
        <f t="shared" si="14"/>
        <v>#VALUE!</v>
      </c>
      <c r="I13" s="92" t="e">
        <f t="shared" si="15"/>
        <v>#VALUE!</v>
      </c>
      <c r="J13" s="92" t="e">
        <f t="shared" si="16"/>
        <v>#VALUE!</v>
      </c>
      <c r="K13" s="92" t="e">
        <f t="shared" si="17"/>
        <v>#VALUE!</v>
      </c>
    </row>
    <row r="14" spans="1:11">
      <c r="A14" s="181" t="str">
        <f t="shared" si="9"/>
        <v>Енбекшильдерский</v>
      </c>
      <c r="B14" s="92">
        <f t="shared" si="19"/>
        <v>2.7024999999999997</v>
      </c>
      <c r="C14" s="92">
        <f t="shared" si="10"/>
        <v>9.7919900000000002</v>
      </c>
      <c r="D14" s="92">
        <f t="shared" si="18"/>
        <v>4.7864599999999999</v>
      </c>
      <c r="E14" s="92" t="e">
        <f t="shared" si="11"/>
        <v>#VALUE!</v>
      </c>
      <c r="F14" s="92"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#VALUE!</v>
      </c>
      <c r="G14" s="92" t="e">
        <f t="shared" si="13"/>
        <v>#VALUE!</v>
      </c>
      <c r="H14" s="92" t="e">
        <f t="shared" si="14"/>
        <v>#VALUE!</v>
      </c>
      <c r="I14" s="92" t="e">
        <f t="shared" si="15"/>
        <v>#VALUE!</v>
      </c>
      <c r="J14" s="92" t="e">
        <f t="shared" si="16"/>
        <v>#VALUE!</v>
      </c>
      <c r="K14" s="92" t="e">
        <f t="shared" si="17"/>
        <v>#VALUE!</v>
      </c>
    </row>
    <row r="15" spans="1:11">
      <c r="A15" s="181" t="str">
        <f t="shared" si="9"/>
        <v>Ерементауский</v>
      </c>
      <c r="B15" s="92">
        <f t="shared" si="19"/>
        <v>0.09</v>
      </c>
      <c r="C15" s="92">
        <f t="shared" si="10"/>
        <v>6.6648699999999987</v>
      </c>
      <c r="D15" s="92">
        <f t="shared" si="18"/>
        <v>1.9829999999999999</v>
      </c>
      <c r="E15" s="92" t="e">
        <f t="shared" si="11"/>
        <v>#VALUE!</v>
      </c>
      <c r="F15" s="92" t="e">
        <f t="shared" si="12"/>
        <v>#VALUE!</v>
      </c>
      <c r="G15" s="92" t="e">
        <f t="shared" si="13"/>
        <v>#VALUE!</v>
      </c>
      <c r="H15" s="92" t="e">
        <f t="shared" si="14"/>
        <v>#VALUE!</v>
      </c>
      <c r="I15" s="92" t="e">
        <f t="shared" si="15"/>
        <v>#VALUE!</v>
      </c>
      <c r="J15" s="92" t="e">
        <f t="shared" si="16"/>
        <v>#VALUE!</v>
      </c>
      <c r="K15" s="92" t="e">
        <f t="shared" si="17"/>
        <v>#VALUE!</v>
      </c>
    </row>
    <row r="16" spans="1:11">
      <c r="A16" s="181" t="str">
        <f t="shared" si="9"/>
        <v>Есильский</v>
      </c>
      <c r="B16" s="92">
        <f t="shared" si="19"/>
        <v>4.2804599999999997</v>
      </c>
      <c r="C16" s="92">
        <f t="shared" si="10"/>
        <v>10.55897</v>
      </c>
      <c r="D16" s="92">
        <f t="shared" si="18"/>
        <v>3.8811100000000005</v>
      </c>
      <c r="E16" s="92" t="e">
        <f t="shared" si="11"/>
        <v>#VALUE!</v>
      </c>
      <c r="F16" s="92" t="e">
        <f t="shared" si="12"/>
        <v>#VALUE!</v>
      </c>
      <c r="G16" s="92" t="e">
        <f t="shared" si="13"/>
        <v>#VALUE!</v>
      </c>
      <c r="H16" s="92" t="e">
        <f t="shared" si="14"/>
        <v>#VALUE!</v>
      </c>
      <c r="I16" s="92" t="e">
        <f t="shared" si="15"/>
        <v>#VALUE!</v>
      </c>
      <c r="J16" s="92" t="e">
        <f t="shared" si="16"/>
        <v>#VALUE!</v>
      </c>
      <c r="K16" s="92" t="e">
        <f t="shared" si="17"/>
        <v>#VALUE!</v>
      </c>
    </row>
    <row r="17" spans="1:25">
      <c r="A17" s="181" t="str">
        <f t="shared" si="9"/>
        <v>Жаксынский</v>
      </c>
      <c r="B17" s="92">
        <f t="shared" si="19"/>
        <v>8.07118</v>
      </c>
      <c r="C17" s="92">
        <f t="shared" si="10"/>
        <v>12.169029999999999</v>
      </c>
      <c r="D17" s="92">
        <f t="shared" si="18"/>
        <v>1.2469700000000001</v>
      </c>
      <c r="E17" s="92" t="e">
        <f t="shared" si="11"/>
        <v>#VALUE!</v>
      </c>
      <c r="F17" s="92" t="e">
        <f t="shared" si="12"/>
        <v>#VALUE!</v>
      </c>
      <c r="G17" s="92" t="e">
        <f t="shared" si="13"/>
        <v>#VALUE!</v>
      </c>
      <c r="H17" s="92" t="e">
        <f t="shared" si="14"/>
        <v>#VALUE!</v>
      </c>
      <c r="I17" s="92" t="e">
        <f t="shared" si="15"/>
        <v>#VALUE!</v>
      </c>
      <c r="J17" s="92" t="e">
        <f t="shared" si="16"/>
        <v>#VALUE!</v>
      </c>
      <c r="K17" s="92" t="e">
        <f t="shared" si="17"/>
        <v>#VALUE!</v>
      </c>
    </row>
    <row r="18" spans="1:25">
      <c r="A18" s="181" t="str">
        <f t="shared" si="9"/>
        <v>Жаркаинский</v>
      </c>
      <c r="B18" s="92">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1.2</v>
      </c>
      <c r="C18" s="92">
        <f t="shared" si="0"/>
        <v>9.4026500000000013</v>
      </c>
      <c r="D18" s="92">
        <f t="shared" si="18"/>
        <v>0.74946000000000002</v>
      </c>
      <c r="E18" s="92" t="e">
        <f t="shared" si="11"/>
        <v>#VALUE!</v>
      </c>
      <c r="F18" s="92" t="e">
        <f t="shared" si="12"/>
        <v>#VALUE!</v>
      </c>
      <c r="G18" s="92" t="e">
        <f t="shared" si="13"/>
        <v>#VALUE!</v>
      </c>
      <c r="H18" s="92" t="e">
        <f t="shared" si="14"/>
        <v>#VALUE!</v>
      </c>
      <c r="I18" s="92" t="e">
        <f t="shared" si="15"/>
        <v>#VALUE!</v>
      </c>
      <c r="J18" s="92" t="e">
        <f t="shared" si="16"/>
        <v>#VALUE!</v>
      </c>
      <c r="K18" s="92" t="e">
        <f t="shared" si="17"/>
        <v>#VALUE!</v>
      </c>
    </row>
    <row r="19" spans="1:25">
      <c r="A19" s="181" t="str">
        <f t="shared" si="9"/>
        <v>Зерендинский</v>
      </c>
      <c r="B19" s="92">
        <f t="shared" si="20"/>
        <v>13.216060000000002</v>
      </c>
      <c r="C19" s="92">
        <f t="shared" si="0"/>
        <v>14.5589</v>
      </c>
      <c r="D19" s="92">
        <f t="shared" si="18"/>
        <v>3.1517500000000003</v>
      </c>
      <c r="E19" s="92" t="e">
        <f t="shared" si="11"/>
        <v>#VALUE!</v>
      </c>
      <c r="F19" s="92" t="e">
        <f t="shared" si="12"/>
        <v>#VALUE!</v>
      </c>
      <c r="G19" s="92" t="e">
        <f t="shared" si="13"/>
        <v>#VALUE!</v>
      </c>
      <c r="H19" s="92" t="e">
        <f t="shared" si="14"/>
        <v>#VALUE!</v>
      </c>
      <c r="I19" s="92" t="e">
        <f t="shared" si="15"/>
        <v>#VALUE!</v>
      </c>
      <c r="J19" s="92" t="e">
        <f t="shared" si="16"/>
        <v>#VALUE!</v>
      </c>
      <c r="K19" s="92" t="e">
        <f t="shared" si="17"/>
        <v>#VALUE!</v>
      </c>
    </row>
    <row r="20" spans="1:25">
      <c r="A20" s="181" t="str">
        <f t="shared" si="9"/>
        <v>Коргалжынский</v>
      </c>
      <c r="B20" s="92">
        <f t="shared" si="20"/>
        <v>0</v>
      </c>
      <c r="C20" s="92">
        <f t="shared" si="0"/>
        <v>4.3025099999999998</v>
      </c>
      <c r="D20" s="92">
        <f t="shared" si="18"/>
        <v>0.40038000000000001</v>
      </c>
      <c r="E20" s="92" t="e">
        <f t="shared" si="11"/>
        <v>#VALUE!</v>
      </c>
      <c r="F20" s="92" t="e">
        <f t="shared" si="12"/>
        <v>#VALUE!</v>
      </c>
      <c r="G20" s="92" t="e">
        <f t="shared" si="13"/>
        <v>#VALUE!</v>
      </c>
      <c r="H20" s="92" t="e">
        <f t="shared" si="14"/>
        <v>#VALUE!</v>
      </c>
      <c r="I20" s="92" t="e">
        <f t="shared" si="15"/>
        <v>#VALUE!</v>
      </c>
      <c r="J20" s="92" t="e">
        <f t="shared" si="16"/>
        <v>#VALUE!</v>
      </c>
      <c r="K20" s="92" t="e">
        <f t="shared" si="17"/>
        <v>#VALUE!</v>
      </c>
    </row>
    <row r="21" spans="1:25">
      <c r="A21" s="181" t="str">
        <f t="shared" si="9"/>
        <v>Сандыктауский</v>
      </c>
      <c r="B21" s="92">
        <f t="shared" si="20"/>
        <v>8.5551700000000004</v>
      </c>
      <c r="C21" s="92">
        <f t="shared" si="0"/>
        <v>17.295180000000002</v>
      </c>
      <c r="D21" s="92">
        <f t="shared" si="18"/>
        <v>7.8559300000000007</v>
      </c>
      <c r="E21" s="92" t="e">
        <f t="shared" si="11"/>
        <v>#VALUE!</v>
      </c>
      <c r="F21" s="92" t="e">
        <f t="shared" si="12"/>
        <v>#VALUE!</v>
      </c>
      <c r="G21" s="92" t="e">
        <f t="shared" si="13"/>
        <v>#VALUE!</v>
      </c>
      <c r="H21" s="92" t="e">
        <f t="shared" si="14"/>
        <v>#VALUE!</v>
      </c>
      <c r="I21" s="92" t="e">
        <f t="shared" si="15"/>
        <v>#VALUE!</v>
      </c>
      <c r="J21" s="92" t="e">
        <f t="shared" si="16"/>
        <v>#VALUE!</v>
      </c>
      <c r="K21" s="92" t="e">
        <f t="shared" si="17"/>
        <v>#VALUE!</v>
      </c>
    </row>
    <row r="22" spans="1:25">
      <c r="A22" s="181" t="str">
        <f t="shared" si="9"/>
        <v>Целиноградский</v>
      </c>
      <c r="B22" s="92">
        <f t="shared" si="20"/>
        <v>11.913260000000001</v>
      </c>
      <c r="C22" s="92">
        <f t="shared" si="0"/>
        <v>9.4722800000000014</v>
      </c>
      <c r="D22" s="92">
        <f t="shared" si="18"/>
        <v>3.1817600000000001</v>
      </c>
      <c r="E22" s="92" t="e">
        <f t="shared" si="11"/>
        <v>#VALUE!</v>
      </c>
      <c r="F22" s="92" t="e">
        <f t="shared" si="12"/>
        <v>#VALUE!</v>
      </c>
      <c r="G22" s="92" t="e">
        <f t="shared" si="13"/>
        <v>#VALUE!</v>
      </c>
      <c r="H22" s="92" t="e">
        <f t="shared" si="14"/>
        <v>#VALUE!</v>
      </c>
      <c r="I22" s="92" t="e">
        <f t="shared" si="15"/>
        <v>#VALUE!</v>
      </c>
      <c r="J22" s="92" t="e">
        <f t="shared" si="16"/>
        <v>#VALUE!</v>
      </c>
      <c r="K22" s="92" t="e">
        <f t="shared" si="17"/>
        <v>#VALUE!</v>
      </c>
    </row>
    <row r="23" spans="1:25">
      <c r="A23" s="181" t="str">
        <f t="shared" si="9"/>
        <v>Шортандинский</v>
      </c>
      <c r="B23" s="92">
        <f t="shared" si="20"/>
        <v>6.49918</v>
      </c>
      <c r="C23" s="92">
        <f t="shared" si="0"/>
        <v>13.612200000000001</v>
      </c>
      <c r="D23" s="92">
        <f t="shared" si="18"/>
        <v>5.2070800000000004</v>
      </c>
      <c r="E23" s="92" t="e">
        <f t="shared" si="11"/>
        <v>#VALUE!</v>
      </c>
      <c r="F23" s="92" t="e">
        <f t="shared" si="12"/>
        <v>#VALUE!</v>
      </c>
      <c r="G23" s="92" t="e">
        <f t="shared" si="13"/>
        <v>#VALUE!</v>
      </c>
      <c r="H23" s="92" t="e">
        <f t="shared" si="14"/>
        <v>#VALUE!</v>
      </c>
      <c r="I23" s="92" t="e">
        <f t="shared" si="15"/>
        <v>#VALUE!</v>
      </c>
      <c r="J23" s="92" t="e">
        <f t="shared" si="16"/>
        <v>#VALUE!</v>
      </c>
      <c r="K23" s="92" t="e">
        <f t="shared" si="17"/>
        <v>#VALUE!</v>
      </c>
    </row>
    <row r="24" spans="1:25">
      <c r="A24" s="181">
        <f>CHOOSE(ОБЛАСТЬ,A48,A71,A94,A117,A140,A163,A186,A209,A232,A256,A278,A301,A324,A347)</f>
        <v>0</v>
      </c>
      <c r="B24" s="92">
        <f t="shared" si="20"/>
        <v>0</v>
      </c>
      <c r="C24" s="92">
        <f t="shared" si="0"/>
        <v>0</v>
      </c>
      <c r="D24" s="92">
        <f t="shared" si="18"/>
        <v>0</v>
      </c>
      <c r="E24" s="92" t="e">
        <f t="shared" si="11"/>
        <v>#VALUE!</v>
      </c>
      <c r="F24" s="92" t="e">
        <f t="shared" si="12"/>
        <v>#VALUE!</v>
      </c>
      <c r="G24" s="92" t="e">
        <f t="shared" si="13"/>
        <v>#VALUE!</v>
      </c>
      <c r="H24" s="92" t="e">
        <f t="shared" si="14"/>
        <v>#VALUE!</v>
      </c>
      <c r="I24" s="92" t="e">
        <f t="shared" si="15"/>
        <v>#VALUE!</v>
      </c>
      <c r="J24" s="92" t="e">
        <f t="shared" si="16"/>
        <v>#VALUE!</v>
      </c>
      <c r="K24" s="92" t="e">
        <f t="shared" si="17"/>
        <v>#VALUE!</v>
      </c>
    </row>
    <row r="25" spans="1:25">
      <c r="A25" s="91"/>
      <c r="B25" s="89"/>
      <c r="C25" s="89"/>
      <c r="D25" s="89"/>
      <c r="E25" s="89"/>
      <c r="F25" s="89"/>
      <c r="G25" s="89"/>
      <c r="H25" s="89"/>
    </row>
    <row r="26" spans="1:25" ht="13.8" thickBot="1">
      <c r="A26" s="91"/>
      <c r="B26" s="89"/>
      <c r="C26" s="89"/>
      <c r="D26" s="89"/>
      <c r="E26" s="89"/>
      <c r="F26" s="89"/>
      <c r="G26" s="89"/>
      <c r="H26" s="89"/>
    </row>
    <row r="27" spans="1:25">
      <c r="A27" s="808" t="s">
        <v>268</v>
      </c>
      <c r="B27" s="805" t="s">
        <v>269</v>
      </c>
      <c r="C27" s="806"/>
      <c r="D27" s="806"/>
      <c r="E27" s="806"/>
      <c r="F27" s="806"/>
      <c r="G27" s="806"/>
      <c r="H27" s="807"/>
      <c r="I27" s="799" t="s">
        <v>316</v>
      </c>
      <c r="J27" s="800"/>
      <c r="K27" s="800"/>
      <c r="L27" s="800"/>
      <c r="M27" s="801"/>
      <c r="N27" s="799" t="s">
        <v>317</v>
      </c>
      <c r="O27" s="800"/>
      <c r="P27" s="800"/>
      <c r="Q27" s="799" t="s">
        <v>322</v>
      </c>
      <c r="R27" s="800"/>
      <c r="S27" s="800"/>
      <c r="T27" s="800"/>
      <c r="U27" s="800"/>
      <c r="V27" s="800"/>
      <c r="W27" s="801"/>
      <c r="X27" s="799" t="s">
        <v>330</v>
      </c>
      <c r="Y27" s="801"/>
    </row>
    <row r="28" spans="1:25" ht="20.399999999999999">
      <c r="A28" s="809"/>
      <c r="B28" s="119" t="s">
        <v>270</v>
      </c>
      <c r="C28" s="116" t="s">
        <v>83</v>
      </c>
      <c r="D28" s="116" t="s">
        <v>84</v>
      </c>
      <c r="E28" s="116" t="s">
        <v>271</v>
      </c>
      <c r="F28" s="116" t="s">
        <v>272</v>
      </c>
      <c r="G28" s="116" t="s">
        <v>314</v>
      </c>
      <c r="H28" s="120" t="s">
        <v>273</v>
      </c>
      <c r="I28" s="119" t="s">
        <v>243</v>
      </c>
      <c r="J28" s="116" t="s">
        <v>244</v>
      </c>
      <c r="K28" s="116" t="s">
        <v>258</v>
      </c>
      <c r="L28" s="116" t="s">
        <v>315</v>
      </c>
      <c r="M28" s="120" t="s">
        <v>245</v>
      </c>
      <c r="N28" s="119" t="s">
        <v>318</v>
      </c>
      <c r="O28" s="116" t="s">
        <v>319</v>
      </c>
      <c r="P28" s="116" t="s">
        <v>320</v>
      </c>
      <c r="Q28" s="119" t="s">
        <v>323</v>
      </c>
      <c r="R28" s="116" t="s">
        <v>324</v>
      </c>
      <c r="S28" s="116" t="s">
        <v>325</v>
      </c>
      <c r="T28" s="116" t="s">
        <v>326</v>
      </c>
      <c r="U28" s="116" t="s">
        <v>327</v>
      </c>
      <c r="V28" s="116" t="s">
        <v>328</v>
      </c>
      <c r="W28" s="120" t="s">
        <v>329</v>
      </c>
      <c r="X28" s="119" t="s">
        <v>331</v>
      </c>
      <c r="Y28" s="120" t="s">
        <v>332</v>
      </c>
    </row>
    <row r="29" spans="1:25">
      <c r="A29" s="104" t="s">
        <v>97</v>
      </c>
      <c r="B29" s="92">
        <f>VLOOKUP(A29,[26]Зерновые!$A$6:$L$24,12,)</f>
        <v>7.5970699999999995</v>
      </c>
      <c r="C29" s="93">
        <f>VLOOKUP(A29,[26]Зерновые!$A$6:$W$24,23,)</f>
        <v>8.8442100000000003</v>
      </c>
      <c r="D29" s="93">
        <f>VLOOKUP(A29,[26]Зерновые!$A$6:$AH$24,34,)</f>
        <v>8.2898600000000009</v>
      </c>
      <c r="E29" s="93">
        <f>VLOOKUP(A29,[26]Зерновые!$A$6:$AS$24,45,)</f>
        <v>0</v>
      </c>
      <c r="F29" s="93">
        <f>VLOOKUP(A29,[26]Зерновые!$A$6:$BD$24,56,)</f>
        <v>0</v>
      </c>
      <c r="G29" s="96">
        <f>VLOOKUP(A29,[26]Зерновые!$A$6:$BO$24,67,)</f>
        <v>0</v>
      </c>
      <c r="H29" s="159">
        <f>VLOOKUP(A29,[26]Зерновые!$A$6:$BZ$24,78,)</f>
        <v>0</v>
      </c>
      <c r="I29" s="92">
        <f>VLOOKUP(A29,[26]Масличные!$A$6:$L$24,12,)</f>
        <v>1.8</v>
      </c>
      <c r="J29" s="93">
        <f>VLOOKUP(A29,[26]Масличные!$A$6:$W$24,23,)</f>
        <v>2.0694299999999997</v>
      </c>
      <c r="K29" s="93">
        <f>VLOOKUP(A29,[26]Масличные!$A$6:$AH$24,34,)</f>
        <v>3.6770299999999998</v>
      </c>
      <c r="L29" s="93">
        <f>VLOOKUP(A29,[26]Масличные!$A$6:$AS$24,45,)</f>
        <v>0</v>
      </c>
      <c r="M29" s="123">
        <f>VLOOKUP(A29,[26]Масличные!$A$6:$BD$24,56,)</f>
        <v>0</v>
      </c>
      <c r="N29" s="92">
        <f>VLOOKUP(A29,[26]Бобовые!$A$6:$L$24,12,)</f>
        <v>0</v>
      </c>
      <c r="O29" s="93">
        <f>VLOOKUP(A29,[26]Бобовые!$A$6:$W$24,23,)</f>
        <v>0.875</v>
      </c>
      <c r="P29" s="96">
        <f>VLOOKUP(A29,[26]Бобовые!$A$6:$AH$24,34,)</f>
        <v>0</v>
      </c>
      <c r="Q29" s="92">
        <f>VLOOKUP(A29,[26]Овощи!$A$6:$L$24,12,)</f>
        <v>150.66596999999996</v>
      </c>
      <c r="R29" s="93">
        <f>VLOOKUP(A29,[26]Овощи!$A$6:$W$24,23,)</f>
        <v>173.84121000000002</v>
      </c>
      <c r="S29" s="93">
        <f>VLOOKUP(A29,[26]Овощи!$A$6:$AH$24,34,)</f>
        <v>186.79508000000001</v>
      </c>
      <c r="T29" s="93">
        <f>VLOOKUP(A29,[26]Овощи!$A$6:$AS$24,45,)</f>
        <v>204.48869999999999</v>
      </c>
      <c r="U29" s="93">
        <f>VLOOKUP(A29,[26]Овощи!$A$6:$BD$24,56,)</f>
        <v>192.70567</v>
      </c>
      <c r="V29" s="93">
        <f>VLOOKUP(A29,[26]Овощи!$A$6:$BO$24,67,)</f>
        <v>200.18522999999999</v>
      </c>
      <c r="W29" s="123">
        <f>VLOOKUP(A29,[26]Овощи!$A$6:$BZ$24,78,)</f>
        <v>193.48548999999997</v>
      </c>
      <c r="X29" s="92">
        <f>VLOOKUP(A29,[26]Бахчевые!$A$6:$L$24,12,)</f>
        <v>0</v>
      </c>
      <c r="Y29" s="123">
        <f>VLOOKUP(A29,[26]Бахчевые!$A$6:$W$24,23,)</f>
        <v>0</v>
      </c>
    </row>
    <row r="30" spans="1:25">
      <c r="A30" s="104" t="s">
        <v>98</v>
      </c>
      <c r="B30" s="92">
        <f>VLOOKUP(A30,[26]Зерновые!$A$6:$L$24,12,)</f>
        <v>4.7217000000000002</v>
      </c>
      <c r="C30" s="93">
        <f>VLOOKUP(A30,[26]Зерновые!$A$6:$W$24,23,)</f>
        <v>4.8219199999999995</v>
      </c>
      <c r="D30" s="93">
        <f>VLOOKUP(A30,[26]Зерновые!$A$6:$AH$24,34,)</f>
        <v>4.9723200000000007</v>
      </c>
      <c r="E30" s="93">
        <f>VLOOKUP(A30,[26]Зерновые!$A$6:$AS$24,45,)</f>
        <v>0</v>
      </c>
      <c r="F30" s="93">
        <f>VLOOKUP(A30,[26]Зерновые!$A$6:$BD$24,56,)</f>
        <v>0</v>
      </c>
      <c r="G30" s="96">
        <f>VLOOKUP(A30,[26]Зерновые!$A$6:$BO$24,67,)</f>
        <v>0</v>
      </c>
      <c r="H30" s="159">
        <f>VLOOKUP(A30,[26]Зерновые!$A$6:$BZ$24,78,)</f>
        <v>0</v>
      </c>
      <c r="I30" s="92">
        <f>VLOOKUP(A30,[26]Масличные!$A$6:$L$24,12,)</f>
        <v>0.76632999999999996</v>
      </c>
      <c r="J30" s="93">
        <f>VLOOKUP(A30,[26]Масличные!$A$6:$W$24,23,)</f>
        <v>0</v>
      </c>
      <c r="K30" s="93">
        <f>VLOOKUP(A30,[26]Масличные!$A$6:$AH$24,34,)</f>
        <v>0.14499999999999999</v>
      </c>
      <c r="L30" s="93">
        <f>VLOOKUP(A30,[26]Масличные!$A$6:$AS$24,45,)</f>
        <v>0</v>
      </c>
      <c r="M30" s="123">
        <f>VLOOKUP(A30,[26]Масличные!$A$6:$BD$24,56,)</f>
        <v>0</v>
      </c>
      <c r="N30" s="92">
        <f>VLOOKUP(A30,[26]Бобовые!$A$6:$L$24,12,)</f>
        <v>0</v>
      </c>
      <c r="O30" s="93">
        <f>VLOOKUP(A30,[26]Бобовые!$A$6:$W$24,23,)</f>
        <v>0</v>
      </c>
      <c r="P30" s="96">
        <f>VLOOKUP(A30,[26]Бобовые!$A$6:$AH$24,34,)</f>
        <v>0</v>
      </c>
      <c r="Q30" s="92">
        <f>VLOOKUP(A30,[26]Овощи!$A$6:$L$24,12,)</f>
        <v>103.70515</v>
      </c>
      <c r="R30" s="93">
        <f>VLOOKUP(A30,[26]Овощи!$A$6:$W$24,23,)</f>
        <v>84.753370000000018</v>
      </c>
      <c r="S30" s="93">
        <f>VLOOKUP(A30,[26]Овощи!$A$6:$AH$24,34,)</f>
        <v>80.470870000000019</v>
      </c>
      <c r="T30" s="93">
        <f>VLOOKUP(A30,[26]Овощи!$A$6:$AS$24,45,)</f>
        <v>108.20799000000002</v>
      </c>
      <c r="U30" s="93">
        <f>VLOOKUP(A30,[26]Овощи!$A$6:$BD$24,56,)</f>
        <v>90.930430000000001</v>
      </c>
      <c r="V30" s="93">
        <f>VLOOKUP(A30,[26]Овощи!$A$6:$BO$24,67,)</f>
        <v>83.912300000000002</v>
      </c>
      <c r="W30" s="123">
        <f>VLOOKUP(A30,[26]Овощи!$A$6:$BZ$24,78,)</f>
        <v>87.037300000000002</v>
      </c>
      <c r="X30" s="92">
        <f>VLOOKUP(A30,[26]Бахчевые!$A$6:$L$24,12,)</f>
        <v>0</v>
      </c>
      <c r="Y30" s="123">
        <f>VLOOKUP(A30,[26]Бахчевые!$A$6:$W$24,23,)</f>
        <v>0</v>
      </c>
    </row>
    <row r="31" spans="1:25">
      <c r="A31" s="104" t="s">
        <v>29</v>
      </c>
      <c r="B31" s="92">
        <f>VLOOKUP(A31,[26]Зерновые!$A$6:$L$24,12,)</f>
        <v>8.7953500000000009</v>
      </c>
      <c r="C31" s="93">
        <f>VLOOKUP(A31,[26]Зерновые!$A$6:$W$24,23,)</f>
        <v>9.5976099999999995</v>
      </c>
      <c r="D31" s="93">
        <f>VLOOKUP(A31,[26]Зерновые!$A$6:$AH$24,34,)</f>
        <v>8.3679900000000007</v>
      </c>
      <c r="E31" s="93">
        <f>VLOOKUP(A31,[26]Зерновые!$A$6:$AS$24,45,)</f>
        <v>3.0597300000000001</v>
      </c>
      <c r="F31" s="93">
        <f>VLOOKUP(A31,[26]Зерновые!$A$6:$BD$24,56,)</f>
        <v>0.92519999999999991</v>
      </c>
      <c r="G31" s="96">
        <f>VLOOKUP(A31,[26]Зерновые!$A$6:$BO$24,67,)</f>
        <v>0</v>
      </c>
      <c r="H31" s="159">
        <f>VLOOKUP(A31,[26]Зерновые!$A$6:$BZ$24,78,)</f>
        <v>0</v>
      </c>
      <c r="I31" s="92">
        <f>VLOOKUP(A31,[26]Масличные!$A$6:$L$24,12,)</f>
        <v>2.1528199999999997</v>
      </c>
      <c r="J31" s="93">
        <f>VLOOKUP(A31,[26]Масличные!$A$6:$W$24,23,)</f>
        <v>6.9999999999999993E-2</v>
      </c>
      <c r="K31" s="93">
        <f>VLOOKUP(A31,[26]Масличные!$A$6:$AH$24,34,)</f>
        <v>1.6688199999999997</v>
      </c>
      <c r="L31" s="93">
        <f>VLOOKUP(A31,[26]Масличные!$A$6:$AS$24,45,)</f>
        <v>0</v>
      </c>
      <c r="M31" s="123">
        <f>VLOOKUP(A31,[26]Масличные!$A$6:$BD$24,56,)</f>
        <v>0</v>
      </c>
      <c r="N31" s="92">
        <f>VLOOKUP(A31,[26]Бобовые!$A$6:$L$24,12,)</f>
        <v>0.9</v>
      </c>
      <c r="O31" s="93">
        <f>VLOOKUP(A31,[26]Бобовые!$A$6:$W$24,23,)</f>
        <v>5.60792</v>
      </c>
      <c r="P31" s="96">
        <f>VLOOKUP(A31,[26]Бобовые!$A$6:$AH$24,34,)</f>
        <v>0</v>
      </c>
      <c r="Q31" s="92">
        <f>VLOOKUP(A31,[26]Овощи!$A$6:$L$24,12,)</f>
        <v>104.25372999999999</v>
      </c>
      <c r="R31" s="93">
        <f>VLOOKUP(A31,[26]Овощи!$A$6:$W$24,23,)</f>
        <v>73.187629999999999</v>
      </c>
      <c r="S31" s="93">
        <f>VLOOKUP(A31,[26]Овощи!$A$6:$AH$24,34,)</f>
        <v>99.990899999999996</v>
      </c>
      <c r="T31" s="93">
        <f>VLOOKUP(A31,[26]Овощи!$A$6:$AS$24,45,)</f>
        <v>214.72648000000004</v>
      </c>
      <c r="U31" s="93">
        <f>VLOOKUP(A31,[26]Овощи!$A$6:$BD$24,56,)</f>
        <v>73.382480000000015</v>
      </c>
      <c r="V31" s="93">
        <f>VLOOKUP(A31,[26]Овощи!$A$6:$BO$24,67,)</f>
        <v>86.09205</v>
      </c>
      <c r="W31" s="123">
        <f>VLOOKUP(A31,[26]Овощи!$A$6:$BZ$24,78,)</f>
        <v>105.65734999999998</v>
      </c>
      <c r="X31" s="92">
        <f>VLOOKUP(A31,[26]Бахчевые!$A$6:$L$24,12,)</f>
        <v>3</v>
      </c>
      <c r="Y31" s="123">
        <f>VLOOKUP(A31,[26]Бахчевые!$A$6:$W$24,23,)</f>
        <v>0</v>
      </c>
    </row>
    <row r="32" spans="1:25">
      <c r="A32" s="104" t="s">
        <v>30</v>
      </c>
      <c r="B32" s="92">
        <f>VLOOKUP(A32,[26]Зерновые!$A$6:$L$24,12,)</f>
        <v>10.11275</v>
      </c>
      <c r="C32" s="93">
        <f>VLOOKUP(A32,[26]Зерновые!$A$6:$W$24,23,)</f>
        <v>12.328759999999999</v>
      </c>
      <c r="D32" s="93">
        <f>VLOOKUP(A32,[26]Зерновые!$A$6:$AH$24,34,)</f>
        <v>10.970860000000002</v>
      </c>
      <c r="E32" s="93">
        <f>VLOOKUP(A32,[26]Зерновые!$A$6:$AS$24,45,)</f>
        <v>1.0628599999999999</v>
      </c>
      <c r="F32" s="93">
        <f>VLOOKUP(A32,[26]Зерновые!$A$6:$BD$24,56,)</f>
        <v>3.9031700000000003</v>
      </c>
      <c r="G32" s="96">
        <f>VLOOKUP(A32,[26]Зерновые!$A$6:$BO$24,67,)</f>
        <v>0</v>
      </c>
      <c r="H32" s="159">
        <f>VLOOKUP(A32,[26]Зерновые!$A$6:$BZ$24,78,)</f>
        <v>0</v>
      </c>
      <c r="I32" s="92">
        <f>VLOOKUP(A32,[26]Масличные!$A$6:$L$24,12,)</f>
        <v>3.0239700000000003</v>
      </c>
      <c r="J32" s="93">
        <f>VLOOKUP(A32,[26]Масличные!$A$6:$W$24,23,)</f>
        <v>0.15</v>
      </c>
      <c r="K32" s="93">
        <f>VLOOKUP(A32,[26]Масличные!$A$6:$AH$24,34,)</f>
        <v>3.4806300000000006</v>
      </c>
      <c r="L32" s="93">
        <f>VLOOKUP(A32,[26]Масличные!$A$6:$AS$24,45,)</f>
        <v>0.54442999999999997</v>
      </c>
      <c r="M32" s="123">
        <f>VLOOKUP(A32,[26]Масличные!$A$6:$BD$24,56,)</f>
        <v>0.52561000000000002</v>
      </c>
      <c r="N32" s="92">
        <f>VLOOKUP(A32,[26]Бобовые!$A$6:$L$24,12,)</f>
        <v>4.0492900000000009</v>
      </c>
      <c r="O32" s="93">
        <f>VLOOKUP(A32,[26]Бобовые!$A$6:$W$24,23,)</f>
        <v>7.0550899999999999</v>
      </c>
      <c r="P32" s="96">
        <f>VLOOKUP(A32,[26]Бобовые!$A$6:$AH$24,34,)</f>
        <v>0</v>
      </c>
      <c r="Q32" s="92">
        <f>VLOOKUP(A32,[26]Овощи!$A$6:$L$24,12,)</f>
        <v>156.75451000000001</v>
      </c>
      <c r="R32" s="93">
        <f>VLOOKUP(A32,[26]Овощи!$A$6:$W$24,23,)</f>
        <v>61.518239999999992</v>
      </c>
      <c r="S32" s="93">
        <f>VLOOKUP(A32,[26]Овощи!$A$6:$AH$24,34,)</f>
        <v>145.33805999999998</v>
      </c>
      <c r="T32" s="93">
        <f>VLOOKUP(A32,[26]Овощи!$A$6:$AS$24,45,)</f>
        <v>154.16802000000001</v>
      </c>
      <c r="U32" s="93">
        <f>VLOOKUP(A32,[26]Овощи!$A$6:$BD$24,56,)</f>
        <v>121.14445000000001</v>
      </c>
      <c r="V32" s="93">
        <f>VLOOKUP(A32,[26]Овощи!$A$6:$BO$24,67,)</f>
        <v>133.42325999999997</v>
      </c>
      <c r="W32" s="123">
        <f>VLOOKUP(A32,[26]Овощи!$A$6:$BZ$24,78,)</f>
        <v>130.23426000000001</v>
      </c>
      <c r="X32" s="92">
        <f>VLOOKUP(A32,[26]Бахчевые!$A$6:$L$24,12,)</f>
        <v>20</v>
      </c>
      <c r="Y32" s="123">
        <f>VLOOKUP(A32,[26]Бахчевые!$A$6:$W$24,23,)</f>
        <v>0</v>
      </c>
    </row>
    <row r="33" spans="1:25">
      <c r="A33" s="104" t="s">
        <v>31</v>
      </c>
      <c r="B33" s="92">
        <f>VLOOKUP(A33,[26]Зерновые!$A$6:$L$24,12,)</f>
        <v>8.9959200000000017</v>
      </c>
      <c r="C33" s="93">
        <f>VLOOKUP(A33,[26]Зерновые!$A$6:$W$24,23,)</f>
        <v>9.2708499999999994</v>
      </c>
      <c r="D33" s="93">
        <f>VLOOKUP(A33,[26]Зерновые!$A$6:$AH$24,34,)</f>
        <v>9.0288699999999995</v>
      </c>
      <c r="E33" s="93">
        <f>VLOOKUP(A33,[26]Зерновые!$A$6:$AS$24,45,)</f>
        <v>5.0389399999999993</v>
      </c>
      <c r="F33" s="93">
        <f>VLOOKUP(A33,[26]Зерновые!$A$6:$BD$24,56,)</f>
        <v>1.85</v>
      </c>
      <c r="G33" s="96">
        <f>VLOOKUP(A33,[26]Зерновые!$A$6:$BO$24,67,)</f>
        <v>0</v>
      </c>
      <c r="H33" s="159">
        <f>VLOOKUP(A33,[26]Зерновые!$A$6:$BZ$24,78,)</f>
        <v>0</v>
      </c>
      <c r="I33" s="92">
        <f>VLOOKUP(A33,[26]Масличные!$A$6:$L$24,12,)</f>
        <v>2.9135499999999999</v>
      </c>
      <c r="J33" s="93">
        <f>VLOOKUP(A33,[26]Масличные!$A$6:$W$24,23,)</f>
        <v>1.23</v>
      </c>
      <c r="K33" s="93">
        <f>VLOOKUP(A33,[26]Масличные!$A$6:$AH$24,34,)</f>
        <v>3.3527800000000001</v>
      </c>
      <c r="L33" s="93">
        <f>VLOOKUP(A33,[26]Масличные!$A$6:$AS$24,45,)</f>
        <v>0</v>
      </c>
      <c r="M33" s="123">
        <f>VLOOKUP(A33,[26]Масличные!$A$6:$BD$24,56,)</f>
        <v>0.79159000000000002</v>
      </c>
      <c r="N33" s="92">
        <f>VLOOKUP(A33,[26]Бобовые!$A$6:$L$24,12,)</f>
        <v>2.0634100000000002</v>
      </c>
      <c r="O33" s="93">
        <f>VLOOKUP(A33,[26]Бобовые!$A$6:$W$24,23,)</f>
        <v>9.1037400000000002</v>
      </c>
      <c r="P33" s="96">
        <f>VLOOKUP(A33,[26]Бобовые!$A$6:$AH$24,34,)</f>
        <v>0</v>
      </c>
      <c r="Q33" s="92">
        <f>VLOOKUP(A33,[26]Овощи!$A$6:$L$24,12,)</f>
        <v>107.49757</v>
      </c>
      <c r="R33" s="93">
        <f>VLOOKUP(A33,[26]Овощи!$A$6:$W$24,23,)</f>
        <v>52.977160000000005</v>
      </c>
      <c r="S33" s="93">
        <f>VLOOKUP(A33,[26]Овощи!$A$6:$AH$24,34,)</f>
        <v>76.005610000000004</v>
      </c>
      <c r="T33" s="93">
        <f>VLOOKUP(A33,[26]Овощи!$A$6:$AS$24,45,)</f>
        <v>136.18231</v>
      </c>
      <c r="U33" s="93">
        <f>VLOOKUP(A33,[26]Овощи!$A$6:$BD$24,56,)</f>
        <v>60.690799999999989</v>
      </c>
      <c r="V33" s="93">
        <f>VLOOKUP(A33,[26]Овощи!$A$6:$BO$24,67,)</f>
        <v>70.27785999999999</v>
      </c>
      <c r="W33" s="123">
        <f>VLOOKUP(A33,[26]Овощи!$A$6:$BZ$24,78,)</f>
        <v>81.530960000000007</v>
      </c>
      <c r="X33" s="92">
        <f>VLOOKUP(A33,[26]Бахчевые!$A$6:$L$24,12,)</f>
        <v>4.34</v>
      </c>
      <c r="Y33" s="123">
        <f>VLOOKUP(A33,[26]Бахчевые!$A$6:$W$24,23,)</f>
        <v>0</v>
      </c>
    </row>
    <row r="34" spans="1:25">
      <c r="A34" s="104" t="s">
        <v>32</v>
      </c>
      <c r="B34" s="92">
        <f>VLOOKUP(A34,[26]Зерновые!$A$6:$L$24,12,)</f>
        <v>9.7196300000000004</v>
      </c>
      <c r="C34" s="93">
        <f>VLOOKUP(A34,[26]Зерновые!$A$6:$W$24,23,)</f>
        <v>12.37091</v>
      </c>
      <c r="D34" s="93">
        <f>VLOOKUP(A34,[26]Зерновые!$A$6:$AH$24,34,)</f>
        <v>13.03243</v>
      </c>
      <c r="E34" s="93">
        <f>VLOOKUP(A34,[26]Зерновые!$A$6:$AS$24,45,)</f>
        <v>0</v>
      </c>
      <c r="F34" s="93">
        <f>VLOOKUP(A34,[26]Зерновые!$A$6:$BD$24,56,)</f>
        <v>2.2980200000000002</v>
      </c>
      <c r="G34" s="96">
        <f>VLOOKUP(A34,[26]Зерновые!$A$6:$BO$24,67,)</f>
        <v>0</v>
      </c>
      <c r="H34" s="159">
        <f>VLOOKUP(A34,[26]Зерновые!$A$6:$BZ$24,78,)</f>
        <v>0</v>
      </c>
      <c r="I34" s="92">
        <f>VLOOKUP(A34,[26]Масличные!$A$6:$L$24,12,)</f>
        <v>3.4075099999999998</v>
      </c>
      <c r="J34" s="93">
        <f>VLOOKUP(A34,[26]Масличные!$A$6:$W$24,23,)</f>
        <v>0.06</v>
      </c>
      <c r="K34" s="93">
        <f>VLOOKUP(A34,[26]Масличные!$A$6:$AH$24,34,)</f>
        <v>4.0999699999999999</v>
      </c>
      <c r="L34" s="93">
        <f>VLOOKUP(A34,[26]Масличные!$A$6:$AS$24,45,)</f>
        <v>0.61250000000000004</v>
      </c>
      <c r="M34" s="123">
        <f>VLOOKUP(A34,[26]Масличные!$A$6:$BD$24,56,)</f>
        <v>0</v>
      </c>
      <c r="N34" s="92">
        <f>VLOOKUP(A34,[26]Бобовые!$A$6:$L$24,12,)</f>
        <v>2.59</v>
      </c>
      <c r="O34" s="93">
        <f>VLOOKUP(A34,[26]Бобовые!$A$6:$W$24,23,)</f>
        <v>5.0442800000000005</v>
      </c>
      <c r="P34" s="96">
        <f>VLOOKUP(A34,[26]Бобовые!$A$6:$AH$24,34,)</f>
        <v>0</v>
      </c>
      <c r="Q34" s="92">
        <f>VLOOKUP(A34,[26]Овощи!$A$6:$L$24,12,)</f>
        <v>87.940519999999992</v>
      </c>
      <c r="R34" s="93">
        <f>VLOOKUP(A34,[26]Овощи!$A$6:$W$24,23,)</f>
        <v>106.62940999999998</v>
      </c>
      <c r="S34" s="93">
        <f>VLOOKUP(A34,[26]Овощи!$A$6:$AH$24,34,)</f>
        <v>143.59698</v>
      </c>
      <c r="T34" s="93">
        <f>VLOOKUP(A34,[26]Овощи!$A$6:$AS$24,45,)</f>
        <v>145.01065999999997</v>
      </c>
      <c r="U34" s="93">
        <f>VLOOKUP(A34,[26]Овощи!$A$6:$BD$24,56,)</f>
        <v>82.10248</v>
      </c>
      <c r="V34" s="93">
        <f>VLOOKUP(A34,[26]Овощи!$A$6:$BO$24,67,)</f>
        <v>90.974999999999994</v>
      </c>
      <c r="W34" s="123">
        <f>VLOOKUP(A34,[26]Овощи!$A$6:$BZ$24,78,)</f>
        <v>86.359220000000008</v>
      </c>
      <c r="X34" s="92">
        <f>VLOOKUP(A34,[26]Бахчевые!$A$6:$L$24,12,)</f>
        <v>37.783329999999999</v>
      </c>
      <c r="Y34" s="123">
        <f>VLOOKUP(A34,[26]Бахчевые!$A$6:$W$24,23,)</f>
        <v>29.95</v>
      </c>
    </row>
    <row r="35" spans="1:25">
      <c r="A35" s="104" t="s">
        <v>96</v>
      </c>
      <c r="B35" s="92">
        <f>VLOOKUP(A35,[26]Зерновые!$A$6:$L$24,12,)</f>
        <v>10.728529999999999</v>
      </c>
      <c r="C35" s="93">
        <f>VLOOKUP(A35,[26]Зерновые!$A$6:$W$24,23,)</f>
        <v>14.093209999999999</v>
      </c>
      <c r="D35" s="93">
        <f>VLOOKUP(A35,[26]Зерновые!$A$6:$AH$24,34,)</f>
        <v>14.570060000000002</v>
      </c>
      <c r="E35" s="93">
        <f>VLOOKUP(A35,[26]Зерновые!$A$6:$AS$24,45,)</f>
        <v>0.98000000000000009</v>
      </c>
      <c r="F35" s="93">
        <f>VLOOKUP(A35,[26]Зерновые!$A$6:$BD$24,56,)</f>
        <v>2.23942</v>
      </c>
      <c r="G35" s="96">
        <f>VLOOKUP(A35,[26]Зерновые!$A$6:$BO$24,67,)</f>
        <v>0</v>
      </c>
      <c r="H35" s="159">
        <f>VLOOKUP(A35,[26]Зерновые!$A$6:$BZ$24,78,)</f>
        <v>0</v>
      </c>
      <c r="I35" s="92">
        <f>VLOOKUP(A35,[26]Масличные!$A$6:$L$24,12,)</f>
        <v>2.52258</v>
      </c>
      <c r="J35" s="93">
        <f>VLOOKUP(A35,[26]Масличные!$A$6:$W$24,23,)</f>
        <v>5.5040500000000003</v>
      </c>
      <c r="K35" s="93">
        <f>VLOOKUP(A35,[26]Масличные!$A$6:$AH$24,34,)</f>
        <v>4.1761399999999993</v>
      </c>
      <c r="L35" s="93">
        <f>VLOOKUP(A35,[26]Масличные!$A$6:$AS$24,45,)</f>
        <v>0</v>
      </c>
      <c r="M35" s="123">
        <f>VLOOKUP(A35,[26]Масличные!$A$6:$BD$24,56,)</f>
        <v>0.95591000000000004</v>
      </c>
      <c r="N35" s="92">
        <f>VLOOKUP(A35,[26]Бобовые!$A$6:$L$24,12,)</f>
        <v>2.92</v>
      </c>
      <c r="O35" s="93">
        <f>VLOOKUP(A35,[26]Бобовые!$A$6:$W$24,23,)</f>
        <v>7.3259200000000009</v>
      </c>
      <c r="P35" s="96">
        <f>VLOOKUP(A35,[26]Бобовые!$A$6:$AH$24,34,)</f>
        <v>0</v>
      </c>
      <c r="Q35" s="92">
        <f>VLOOKUP(A35,[26]Овощи!$A$6:$L$24,12,)</f>
        <v>127.07691</v>
      </c>
      <c r="R35" s="93">
        <f>VLOOKUP(A35,[26]Овощи!$A$6:$W$24,23,)</f>
        <v>207.62165999999996</v>
      </c>
      <c r="S35" s="93">
        <f>VLOOKUP(A35,[26]Овощи!$A$6:$AH$24,34,)</f>
        <v>205.86597</v>
      </c>
      <c r="T35" s="93">
        <f>VLOOKUP(A35,[26]Овощи!$A$6:$AS$24,45,)</f>
        <v>176.98093</v>
      </c>
      <c r="U35" s="93">
        <f>VLOOKUP(A35,[26]Овощи!$A$6:$BD$24,56,)</f>
        <v>202.94223</v>
      </c>
      <c r="V35" s="93">
        <f>VLOOKUP(A35,[26]Овощи!$A$6:$BO$24,67,)</f>
        <v>253.68673999999996</v>
      </c>
      <c r="W35" s="123">
        <f>VLOOKUP(A35,[26]Овощи!$A$6:$BZ$24,78,)</f>
        <v>197.65090000000001</v>
      </c>
      <c r="X35" s="92">
        <f>VLOOKUP(A35,[26]Бахчевые!$A$6:$L$24,12,)</f>
        <v>0.6</v>
      </c>
      <c r="Y35" s="123">
        <f>VLOOKUP(A35,[26]Бахчевые!$A$6:$W$24,23,)</f>
        <v>0</v>
      </c>
    </row>
    <row r="36" spans="1:25">
      <c r="A36" s="104" t="s">
        <v>42</v>
      </c>
      <c r="B36" s="92">
        <f>VLOOKUP(A36,[26]Зерновые!$A$6:$L$24,12,)</f>
        <v>11.31883</v>
      </c>
      <c r="C36" s="93">
        <f>VLOOKUP(A36,[26]Зерновые!$A$6:$W$24,23,)</f>
        <v>13.472829999999998</v>
      </c>
      <c r="D36" s="93">
        <f>VLOOKUP(A36,[26]Зерновые!$A$6:$AH$24,34,)</f>
        <v>10.82104</v>
      </c>
      <c r="E36" s="93">
        <f>VLOOKUP(A36,[26]Зерновые!$A$6:$AS$24,45,)</f>
        <v>0</v>
      </c>
      <c r="F36" s="93">
        <f>VLOOKUP(A36,[26]Зерновые!$A$6:$BD$24,56,)</f>
        <v>2.1419000000000001</v>
      </c>
      <c r="G36" s="96">
        <f>VLOOKUP(A36,[26]Зерновые!$A$6:$BO$24,67,)</f>
        <v>0</v>
      </c>
      <c r="H36" s="159">
        <f>VLOOKUP(A36,[26]Зерновые!$A$6:$BZ$24,78,)</f>
        <v>0</v>
      </c>
      <c r="I36" s="92">
        <f>VLOOKUP(A36,[26]Масличные!$A$6:$L$24,12,)</f>
        <v>3.3201900000000002</v>
      </c>
      <c r="J36" s="93">
        <f>VLOOKUP(A36,[26]Масличные!$A$6:$W$24,23,)</f>
        <v>6.6338200000000001</v>
      </c>
      <c r="K36" s="93">
        <f>VLOOKUP(A36,[26]Масличные!$A$6:$AH$24,34,)</f>
        <v>4.33033</v>
      </c>
      <c r="L36" s="93">
        <f>VLOOKUP(A36,[26]Масличные!$A$6:$AS$24,45,)</f>
        <v>1.61538</v>
      </c>
      <c r="M36" s="123">
        <f>VLOOKUP(A36,[26]Масличные!$A$6:$BD$24,56,)</f>
        <v>0</v>
      </c>
      <c r="N36" s="92">
        <f>VLOOKUP(A36,[26]Бобовые!$A$6:$L$24,12,)</f>
        <v>0</v>
      </c>
      <c r="O36" s="93">
        <f>VLOOKUP(A36,[26]Бобовые!$A$6:$W$24,23,)</f>
        <v>7.8145600000000002</v>
      </c>
      <c r="P36" s="96">
        <f>VLOOKUP(A36,[26]Бобовые!$A$6:$AH$24,34,)</f>
        <v>0</v>
      </c>
      <c r="Q36" s="92">
        <f>VLOOKUP(A36,[26]Овощи!$A$6:$L$24,12,)</f>
        <v>146.88755999999998</v>
      </c>
      <c r="R36" s="93">
        <f>VLOOKUP(A36,[26]Овощи!$A$6:$W$24,23,)</f>
        <v>0</v>
      </c>
      <c r="S36" s="93">
        <f>VLOOKUP(A36,[26]Овощи!$A$6:$AH$24,34,)</f>
        <v>162.88029</v>
      </c>
      <c r="T36" s="93">
        <f>VLOOKUP(A36,[26]Овощи!$A$6:$AS$24,45,)</f>
        <v>202.66131999999999</v>
      </c>
      <c r="U36" s="93">
        <f>VLOOKUP(A36,[26]Овощи!$A$6:$BD$24,56,)</f>
        <v>147.96822999999998</v>
      </c>
      <c r="V36" s="93">
        <f>VLOOKUP(A36,[26]Овощи!$A$6:$BO$24,67,)</f>
        <v>160.51898999999997</v>
      </c>
      <c r="W36" s="123">
        <f>VLOOKUP(A36,[26]Овощи!$A$6:$BZ$24,78,)</f>
        <v>176.84190000000001</v>
      </c>
      <c r="X36" s="92">
        <f>VLOOKUP(A36,[26]Бахчевые!$A$6:$L$24,12,)</f>
        <v>0</v>
      </c>
      <c r="Y36" s="123">
        <f>VLOOKUP(A36,[26]Бахчевые!$A$6:$W$24,23,)</f>
        <v>0</v>
      </c>
    </row>
    <row r="37" spans="1:25">
      <c r="A37" s="104" t="s">
        <v>33</v>
      </c>
      <c r="B37" s="92">
        <f>VLOOKUP(A37,[26]Зерновые!$A$6:$L$24,12,)</f>
        <v>8.4215699999999991</v>
      </c>
      <c r="C37" s="93">
        <f>VLOOKUP(A37,[26]Зерновые!$A$6:$W$24,23,)</f>
        <v>8.233550000000001</v>
      </c>
      <c r="D37" s="93">
        <f>VLOOKUP(A37,[26]Зерновые!$A$6:$AH$24,34,)</f>
        <v>9.0180100000000003</v>
      </c>
      <c r="E37" s="93">
        <f>VLOOKUP(A37,[26]Зерновые!$A$6:$AS$24,45,)</f>
        <v>0.57999999999999996</v>
      </c>
      <c r="F37" s="93">
        <f>VLOOKUP(A37,[26]Зерновые!$A$6:$BD$24,56,)</f>
        <v>0</v>
      </c>
      <c r="G37" s="96">
        <f>VLOOKUP(A37,[26]Зерновые!$A$6:$BO$24,67,)</f>
        <v>0</v>
      </c>
      <c r="H37" s="159">
        <f>VLOOKUP(A37,[26]Зерновые!$A$6:$BZ$24,78,)</f>
        <v>0</v>
      </c>
      <c r="I37" s="92">
        <f>VLOOKUP(A37,[26]Масличные!$A$6:$L$24,12,)</f>
        <v>0.47762000000000004</v>
      </c>
      <c r="J37" s="93">
        <f>VLOOKUP(A37,[26]Масличные!$A$6:$W$24,23,)</f>
        <v>0</v>
      </c>
      <c r="K37" s="93">
        <f>VLOOKUP(A37,[26]Масличные!$A$6:$AH$24,34,)</f>
        <v>1.4688300000000001</v>
      </c>
      <c r="L37" s="93">
        <f>VLOOKUP(A37,[26]Масличные!$A$6:$AS$24,45,)</f>
        <v>0.1</v>
      </c>
      <c r="M37" s="123">
        <f>VLOOKUP(A37,[26]Масличные!$A$6:$BD$24,56,)</f>
        <v>0</v>
      </c>
      <c r="N37" s="92">
        <f>VLOOKUP(A37,[26]Бобовые!$A$6:$L$24,12,)</f>
        <v>0.11000000000000001</v>
      </c>
      <c r="O37" s="93">
        <f>VLOOKUP(A37,[26]Бобовые!$A$6:$W$24,23,)</f>
        <v>0</v>
      </c>
      <c r="P37" s="96">
        <f>VLOOKUP(A37,[26]Бобовые!$A$6:$AH$24,34,)</f>
        <v>0</v>
      </c>
      <c r="Q37" s="92">
        <f>VLOOKUP(A37,[26]Овощи!$A$6:$L$24,12,)</f>
        <v>165.76626000000002</v>
      </c>
      <c r="R37" s="93">
        <f>VLOOKUP(A37,[26]Овощи!$A$6:$W$24,23,)</f>
        <v>221.91423</v>
      </c>
      <c r="S37" s="93">
        <f>VLOOKUP(A37,[26]Овощи!$A$6:$AH$24,34,)</f>
        <v>224.79715000000002</v>
      </c>
      <c r="T37" s="93">
        <f>VLOOKUP(A37,[26]Овощи!$A$6:$AS$24,45,)</f>
        <v>211.79065</v>
      </c>
      <c r="U37" s="93">
        <f>VLOOKUP(A37,[26]Овощи!$A$6:$BD$24,56,)</f>
        <v>233.40970999999999</v>
      </c>
      <c r="V37" s="93">
        <f>VLOOKUP(A37,[26]Овощи!$A$6:$BO$24,67,)</f>
        <v>231.87123000000003</v>
      </c>
      <c r="W37" s="123">
        <f>VLOOKUP(A37,[26]Овощи!$A$6:$BZ$24,78,)</f>
        <v>281.15719999999999</v>
      </c>
      <c r="X37" s="92">
        <f>VLOOKUP(A37,[26]Бахчевые!$A$6:$L$24,12,)</f>
        <v>12.459999999999999</v>
      </c>
      <c r="Y37" s="123">
        <f>VLOOKUP(A37,[26]Бахчевые!$A$6:$W$24,23,)</f>
        <v>0</v>
      </c>
    </row>
    <row r="38" spans="1:25">
      <c r="A38" s="104" t="s">
        <v>34</v>
      </c>
      <c r="B38" s="92">
        <f>VLOOKUP(A38,[26]Зерновые!$A$6:$L$24,12,)</f>
        <v>10.618179999999999</v>
      </c>
      <c r="C38" s="93">
        <f>VLOOKUP(A38,[26]Зерновые!$A$6:$W$24,23,)</f>
        <v>10.596299999999999</v>
      </c>
      <c r="D38" s="93">
        <f>VLOOKUP(A38,[26]Зерновые!$A$6:$AH$24,34,)</f>
        <v>9.7919900000000002</v>
      </c>
      <c r="E38" s="93">
        <f>VLOOKUP(A38,[26]Зерновые!$A$6:$AS$24,45,)</f>
        <v>0.78332999999999997</v>
      </c>
      <c r="F38" s="93">
        <f>VLOOKUP(A38,[26]Зерновые!$A$6:$BD$24,56,)</f>
        <v>1.51</v>
      </c>
      <c r="G38" s="96">
        <f>VLOOKUP(A38,[26]Зерновые!$A$6:$BO$24,67,)</f>
        <v>0</v>
      </c>
      <c r="H38" s="159">
        <f>VLOOKUP(A38,[26]Зерновые!$A$6:$BZ$24,78,)</f>
        <v>0</v>
      </c>
      <c r="I38" s="92">
        <f>VLOOKUP(A38,[26]Масличные!$A$6:$L$24,12,)</f>
        <v>4.7864599999999999</v>
      </c>
      <c r="J38" s="93">
        <f>VLOOKUP(A38,[26]Масличные!$A$6:$W$24,23,)</f>
        <v>3.4081000000000001</v>
      </c>
      <c r="K38" s="93">
        <f>VLOOKUP(A38,[26]Масличные!$A$6:$AH$24,34,)</f>
        <v>4.1748499999999993</v>
      </c>
      <c r="L38" s="93">
        <f>VLOOKUP(A38,[26]Масличные!$A$6:$AS$24,45,)</f>
        <v>0.73686999999999991</v>
      </c>
      <c r="M38" s="123">
        <f>VLOOKUP(A38,[26]Масличные!$A$6:$BD$24,56,)</f>
        <v>0</v>
      </c>
      <c r="N38" s="92">
        <f>VLOOKUP(A38,[26]Бобовые!$A$6:$L$24,12,)</f>
        <v>1.16442</v>
      </c>
      <c r="O38" s="93">
        <f>VLOOKUP(A38,[26]Бобовые!$A$6:$W$24,23,)</f>
        <v>2.7024999999999997</v>
      </c>
      <c r="P38" s="96">
        <f>VLOOKUP(A38,[26]Бобовые!$A$6:$AH$24,34,)</f>
        <v>0</v>
      </c>
      <c r="Q38" s="92">
        <f>VLOOKUP(A38,[26]Овощи!$A$6:$L$24,12,)</f>
        <v>94.929220000000001</v>
      </c>
      <c r="R38" s="93">
        <f>VLOOKUP(A38,[26]Овощи!$A$6:$W$24,23,)</f>
        <v>101.2116</v>
      </c>
      <c r="S38" s="93">
        <f>VLOOKUP(A38,[26]Овощи!$A$6:$AH$24,34,)</f>
        <v>85.761680000000013</v>
      </c>
      <c r="T38" s="93">
        <f>VLOOKUP(A38,[26]Овощи!$A$6:$AS$24,45,)</f>
        <v>105.23229999999998</v>
      </c>
      <c r="U38" s="93">
        <f>VLOOKUP(A38,[26]Овощи!$A$6:$BD$24,56,)</f>
        <v>91.485829999999993</v>
      </c>
      <c r="V38" s="93">
        <f>VLOOKUP(A38,[26]Овощи!$A$6:$BO$24,67,)</f>
        <v>91.511979999999994</v>
      </c>
      <c r="W38" s="123">
        <f>VLOOKUP(A38,[26]Овощи!$A$6:$BZ$24,78,)</f>
        <v>89.444540000000003</v>
      </c>
      <c r="X38" s="92">
        <f>VLOOKUP(A38,[26]Бахчевые!$A$6:$L$24,12,)</f>
        <v>0</v>
      </c>
      <c r="Y38" s="123">
        <f>VLOOKUP(A38,[26]Бахчевые!$A$6:$W$24,23,)</f>
        <v>0</v>
      </c>
    </row>
    <row r="39" spans="1:25">
      <c r="A39" s="104" t="s">
        <v>35</v>
      </c>
      <c r="B39" s="92">
        <f>VLOOKUP(A39,[26]Зерновые!$A$6:$L$24,12,)</f>
        <v>6.4001000000000001</v>
      </c>
      <c r="C39" s="93">
        <f>VLOOKUP(A39,[26]Зерновые!$A$6:$W$24,23,)</f>
        <v>6.7367299999999997</v>
      </c>
      <c r="D39" s="93">
        <f>VLOOKUP(A39,[26]Зерновые!$A$6:$AH$24,34,)</f>
        <v>6.6648699999999987</v>
      </c>
      <c r="E39" s="93">
        <f>VLOOKUP(A39,[26]Зерновые!$A$6:$AS$24,45,)</f>
        <v>0.64185000000000003</v>
      </c>
      <c r="F39" s="93">
        <f>VLOOKUP(A39,[26]Зерновые!$A$6:$BD$24,56,)</f>
        <v>0.45</v>
      </c>
      <c r="G39" s="96">
        <f>VLOOKUP(A39,[26]Зерновые!$A$6:$BO$24,67,)</f>
        <v>0</v>
      </c>
      <c r="H39" s="159">
        <f>VLOOKUP(A39,[26]Зерновые!$A$6:$BZ$24,78,)</f>
        <v>0</v>
      </c>
      <c r="I39" s="92">
        <f>VLOOKUP(A39,[26]Масличные!$A$6:$L$24,12,)</f>
        <v>1.9829999999999999</v>
      </c>
      <c r="J39" s="93">
        <f>VLOOKUP(A39,[26]Масличные!$A$6:$W$24,23,)</f>
        <v>0.17009000000000002</v>
      </c>
      <c r="K39" s="93">
        <f>VLOOKUP(A39,[26]Масличные!$A$6:$AH$24,34,)</f>
        <v>2.5012999999999996</v>
      </c>
      <c r="L39" s="93">
        <f>VLOOKUP(A39,[26]Масличные!$A$6:$AS$24,45,)</f>
        <v>0.93696000000000002</v>
      </c>
      <c r="M39" s="123">
        <f>VLOOKUP(A39,[26]Масличные!$A$6:$BD$24,56,)</f>
        <v>0</v>
      </c>
      <c r="N39" s="92">
        <f>VLOOKUP(A39,[26]Бобовые!$A$6:$L$24,12,)</f>
        <v>0</v>
      </c>
      <c r="O39" s="93">
        <f>VLOOKUP(A39,[26]Бобовые!$A$6:$W$24,23,)</f>
        <v>0.09</v>
      </c>
      <c r="P39" s="96">
        <f>VLOOKUP(A39,[26]Бобовые!$A$6:$AH$24,34,)</f>
        <v>0</v>
      </c>
      <c r="Q39" s="92">
        <f>VLOOKUP(A39,[26]Овощи!$A$6:$L$24,12,)</f>
        <v>110.01748000000001</v>
      </c>
      <c r="R39" s="93">
        <f>VLOOKUP(A39,[26]Овощи!$A$6:$W$24,23,)</f>
        <v>108.94090000000001</v>
      </c>
      <c r="S39" s="93">
        <f>VLOOKUP(A39,[26]Овощи!$A$6:$AH$24,34,)</f>
        <v>181.43373000000003</v>
      </c>
      <c r="T39" s="93">
        <f>VLOOKUP(A39,[26]Овощи!$A$6:$AS$24,45,)</f>
        <v>215.48865000000001</v>
      </c>
      <c r="U39" s="93">
        <f>VLOOKUP(A39,[26]Овощи!$A$6:$BD$24,56,)</f>
        <v>172.77723999999998</v>
      </c>
      <c r="V39" s="93">
        <f>VLOOKUP(A39,[26]Овощи!$A$6:$BO$24,67,)</f>
        <v>206.72757000000001</v>
      </c>
      <c r="W39" s="123">
        <f>VLOOKUP(A39,[26]Овощи!$A$6:$BZ$24,78,)</f>
        <v>156.34351999999998</v>
      </c>
      <c r="X39" s="92">
        <f>VLOOKUP(A39,[26]Бахчевые!$A$6:$L$24,12,)</f>
        <v>32.5</v>
      </c>
      <c r="Y39" s="123">
        <f>VLOOKUP(A39,[26]Бахчевые!$A$6:$W$24,23,)</f>
        <v>0</v>
      </c>
    </row>
    <row r="40" spans="1:25">
      <c r="A40" s="104" t="s">
        <v>11</v>
      </c>
      <c r="B40" s="92">
        <f>VLOOKUP(A40,[26]Зерновые!$A$6:$L$24,12,)</f>
        <v>9.4984199999999994</v>
      </c>
      <c r="C40" s="93">
        <f>VLOOKUP(A40,[26]Зерновые!$A$6:$W$24,23,)</f>
        <v>12.243449999999999</v>
      </c>
      <c r="D40" s="93">
        <f>VLOOKUP(A40,[26]Зерновые!$A$6:$AH$24,34,)</f>
        <v>10.55897</v>
      </c>
      <c r="E40" s="93">
        <f>VLOOKUP(A40,[26]Зерновые!$A$6:$AS$24,45,)</f>
        <v>4.2898800000000001</v>
      </c>
      <c r="F40" s="93">
        <f>VLOOKUP(A40,[26]Зерновые!$A$6:$BD$24,56,)</f>
        <v>8.7494499999999995</v>
      </c>
      <c r="G40" s="96">
        <f>VLOOKUP(A40,[26]Зерновые!$A$6:$BO$24,67,)</f>
        <v>0</v>
      </c>
      <c r="H40" s="159">
        <f>VLOOKUP(A40,[26]Зерновые!$A$6:$BZ$24,78,)</f>
        <v>0</v>
      </c>
      <c r="I40" s="92">
        <f>VLOOKUP(A40,[26]Масличные!$A$6:$L$24,12,)</f>
        <v>3.8811100000000005</v>
      </c>
      <c r="J40" s="93">
        <f>VLOOKUP(A40,[26]Масличные!$A$6:$W$24,23,)</f>
        <v>0.25667000000000001</v>
      </c>
      <c r="K40" s="93">
        <f>VLOOKUP(A40,[26]Масличные!$A$6:$AH$24,34,)</f>
        <v>3.1099899999999998</v>
      </c>
      <c r="L40" s="93">
        <f>VLOOKUP(A40,[26]Масличные!$A$6:$AS$24,45,)</f>
        <v>3.7335300000000005</v>
      </c>
      <c r="M40" s="123">
        <f>VLOOKUP(A40,[26]Масличные!$A$6:$BD$24,56,)</f>
        <v>1.48512</v>
      </c>
      <c r="N40" s="92">
        <f>VLOOKUP(A40,[26]Бобовые!$A$6:$L$24,12,)</f>
        <v>3.9996699999999996</v>
      </c>
      <c r="O40" s="93">
        <f>VLOOKUP(A40,[26]Бобовые!$A$6:$W$24,23,)</f>
        <v>4.2804599999999997</v>
      </c>
      <c r="P40" s="96">
        <f>VLOOKUP(A40,[26]Бобовые!$A$6:$AH$24,34,)</f>
        <v>0</v>
      </c>
      <c r="Q40" s="92">
        <f>VLOOKUP(A40,[26]Овощи!$A$6:$L$24,12,)</f>
        <v>151.20359999999999</v>
      </c>
      <c r="R40" s="93">
        <f>VLOOKUP(A40,[26]Овощи!$A$6:$W$24,23,)</f>
        <v>160.66605999999999</v>
      </c>
      <c r="S40" s="93">
        <f>VLOOKUP(A40,[26]Овощи!$A$6:$AH$24,34,)</f>
        <v>209.36491000000001</v>
      </c>
      <c r="T40" s="93">
        <f>VLOOKUP(A40,[26]Овощи!$A$6:$AS$24,45,)</f>
        <v>199.23944999999998</v>
      </c>
      <c r="U40" s="93">
        <f>VLOOKUP(A40,[26]Овощи!$A$6:$BD$24,56,)</f>
        <v>216.25498999999999</v>
      </c>
      <c r="V40" s="93">
        <f>VLOOKUP(A40,[26]Овощи!$A$6:$BO$24,67,)</f>
        <v>230.15690000000001</v>
      </c>
      <c r="W40" s="123">
        <f>VLOOKUP(A40,[26]Овощи!$A$6:$BZ$24,78,)</f>
        <v>198.61943000000002</v>
      </c>
      <c r="X40" s="92">
        <f>VLOOKUP(A40,[26]Бахчевые!$A$6:$L$24,12,)</f>
        <v>143.93126999999998</v>
      </c>
      <c r="Y40" s="123">
        <f>VLOOKUP(A40,[26]Бахчевые!$A$6:$W$24,23,)</f>
        <v>0</v>
      </c>
    </row>
    <row r="41" spans="1:25">
      <c r="A41" s="104" t="s">
        <v>37</v>
      </c>
      <c r="B41" s="92">
        <f>VLOOKUP(A41,[26]Зерновые!$A$6:$L$24,12,)</f>
        <v>12.083960000000001</v>
      </c>
      <c r="C41" s="93">
        <f>VLOOKUP(A41,[26]Зерновые!$A$6:$W$24,23,)</f>
        <v>13.706010000000001</v>
      </c>
      <c r="D41" s="93">
        <f>VLOOKUP(A41,[26]Зерновые!$A$6:$AH$24,34,)</f>
        <v>12.169029999999999</v>
      </c>
      <c r="E41" s="93">
        <f>VLOOKUP(A41,[26]Зерновые!$A$6:$AS$24,45,)</f>
        <v>0.09</v>
      </c>
      <c r="F41" s="93">
        <f>VLOOKUP(A41,[26]Зерновые!$A$6:$BD$24,56,)</f>
        <v>0</v>
      </c>
      <c r="G41" s="96">
        <f>VLOOKUP(A41,[26]Зерновые!$A$6:$BO$24,67,)</f>
        <v>0</v>
      </c>
      <c r="H41" s="159">
        <f>VLOOKUP(A41,[26]Зерновые!$A$6:$BZ$24,78,)</f>
        <v>0</v>
      </c>
      <c r="I41" s="92">
        <f>VLOOKUP(A41,[26]Масличные!$A$6:$L$24,12,)</f>
        <v>1.2469700000000001</v>
      </c>
      <c r="J41" s="93">
        <f>VLOOKUP(A41,[26]Масличные!$A$6:$W$24,23,)</f>
        <v>0.26182</v>
      </c>
      <c r="K41" s="93">
        <f>VLOOKUP(A41,[26]Масличные!$A$6:$AH$24,34,)</f>
        <v>6.1246800000000006</v>
      </c>
      <c r="L41" s="93">
        <f>VLOOKUP(A41,[26]Масличные!$A$6:$AS$24,45,)</f>
        <v>1.4560200000000001</v>
      </c>
      <c r="M41" s="123">
        <f>VLOOKUP(A41,[26]Масличные!$A$6:$BD$24,56,)</f>
        <v>1.03</v>
      </c>
      <c r="N41" s="92">
        <f>VLOOKUP(A41,[26]Бобовые!$A$6:$L$24,12,)</f>
        <v>0.73255999999999999</v>
      </c>
      <c r="O41" s="93">
        <f>VLOOKUP(A41,[26]Бобовые!$A$6:$W$24,23,)</f>
        <v>8.07118</v>
      </c>
      <c r="P41" s="96">
        <f>VLOOKUP(A41,[26]Бобовые!$A$6:$AH$24,34,)</f>
        <v>0</v>
      </c>
      <c r="Q41" s="92">
        <f>VLOOKUP(A41,[26]Овощи!$A$6:$L$24,12,)</f>
        <v>105.65988999999999</v>
      </c>
      <c r="R41" s="93">
        <f>VLOOKUP(A41,[26]Овощи!$A$6:$W$24,23,)</f>
        <v>151.51296000000002</v>
      </c>
      <c r="S41" s="93">
        <f>VLOOKUP(A41,[26]Овощи!$A$6:$AH$24,34,)</f>
        <v>161.12512999999996</v>
      </c>
      <c r="T41" s="93">
        <f>VLOOKUP(A41,[26]Овощи!$A$6:$AS$24,45,)</f>
        <v>153.80285000000001</v>
      </c>
      <c r="U41" s="93">
        <f>VLOOKUP(A41,[26]Овощи!$A$6:$BD$24,56,)</f>
        <v>133.62502000000001</v>
      </c>
      <c r="V41" s="93">
        <f>VLOOKUP(A41,[26]Овощи!$A$6:$BO$24,67,)</f>
        <v>162.72623000000002</v>
      </c>
      <c r="W41" s="123">
        <f>VLOOKUP(A41,[26]Овощи!$A$6:$BZ$24,78,)</f>
        <v>186.15808000000001</v>
      </c>
      <c r="X41" s="92">
        <f>VLOOKUP(A41,[26]Бахчевые!$A$6:$L$24,12,)</f>
        <v>78.27</v>
      </c>
      <c r="Y41" s="123">
        <f>VLOOKUP(A41,[26]Бахчевые!$A$6:$W$24,23,)</f>
        <v>54.066670000000002</v>
      </c>
    </row>
    <row r="42" spans="1:25">
      <c r="A42" s="104" t="s">
        <v>38</v>
      </c>
      <c r="B42" s="92">
        <f>VLOOKUP(A42,[26]Зерновые!$A$6:$L$24,12,)</f>
        <v>9.9304400000000008</v>
      </c>
      <c r="C42" s="93">
        <f>VLOOKUP(A42,[26]Зерновые!$A$6:$W$24,23,)</f>
        <v>9.5467799999999983</v>
      </c>
      <c r="D42" s="93">
        <f>VLOOKUP(A42,[26]Зерновые!$A$6:$AH$24,34,)</f>
        <v>9.4026500000000013</v>
      </c>
      <c r="E42" s="93">
        <f>VLOOKUP(A42,[26]Зерновые!$A$6:$AS$24,45,)</f>
        <v>0</v>
      </c>
      <c r="F42" s="93">
        <f>VLOOKUP(A42,[26]Зерновые!$A$6:$BD$24,56,)</f>
        <v>2.9130799999999999</v>
      </c>
      <c r="G42" s="96">
        <f>VLOOKUP(A42,[26]Зерновые!$A$6:$BO$24,67,)</f>
        <v>0</v>
      </c>
      <c r="H42" s="159">
        <f>VLOOKUP(A42,[26]Зерновые!$A$6:$BZ$24,78,)</f>
        <v>0</v>
      </c>
      <c r="I42" s="92">
        <f>VLOOKUP(A42,[26]Масличные!$A$6:$L$24,12,)</f>
        <v>0.74946000000000002</v>
      </c>
      <c r="J42" s="93">
        <f>VLOOKUP(A42,[26]Масличные!$A$6:$W$24,23,)</f>
        <v>0.45279999999999998</v>
      </c>
      <c r="K42" s="93">
        <f>VLOOKUP(A42,[26]Масличные!$A$6:$AH$24,34,)</f>
        <v>3.6370899999999997</v>
      </c>
      <c r="L42" s="93">
        <f>VLOOKUP(A42,[26]Масличные!$A$6:$AS$24,45,)</f>
        <v>0</v>
      </c>
      <c r="M42" s="123">
        <f>VLOOKUP(A42,[26]Масличные!$A$6:$BD$24,56,)</f>
        <v>1.4442299999999999</v>
      </c>
      <c r="N42" s="92">
        <f>VLOOKUP(A42,[26]Бобовые!$A$6:$L$24,12,)</f>
        <v>4.6960600000000001</v>
      </c>
      <c r="O42" s="93">
        <f>VLOOKUP(A42,[26]Бобовые!$A$6:$W$24,23,)</f>
        <v>1.2</v>
      </c>
      <c r="P42" s="96">
        <f>VLOOKUP(A42,[26]Бобовые!$A$6:$AH$24,34,)</f>
        <v>0</v>
      </c>
      <c r="Q42" s="92">
        <f>VLOOKUP(A42,[26]Овощи!$A$6:$L$24,12,)</f>
        <v>131.86322000000001</v>
      </c>
      <c r="R42" s="93">
        <f>VLOOKUP(A42,[26]Овощи!$A$6:$W$24,23,)</f>
        <v>59.366669999999999</v>
      </c>
      <c r="S42" s="93">
        <f>VLOOKUP(A42,[26]Овощи!$A$6:$AH$24,34,)</f>
        <v>214.24081999999999</v>
      </c>
      <c r="T42" s="93">
        <f>VLOOKUP(A42,[26]Овощи!$A$6:$AS$24,45,)</f>
        <v>158.79515000000001</v>
      </c>
      <c r="U42" s="93">
        <f>VLOOKUP(A42,[26]Овощи!$A$6:$BD$24,56,)</f>
        <v>211.60009999999997</v>
      </c>
      <c r="V42" s="93">
        <f>VLOOKUP(A42,[26]Овощи!$A$6:$BO$24,67,)</f>
        <v>238.85007000000002</v>
      </c>
      <c r="W42" s="123">
        <f>VLOOKUP(A42,[26]Овощи!$A$6:$BZ$24,78,)</f>
        <v>183.97425000000001</v>
      </c>
      <c r="X42" s="92">
        <f>VLOOKUP(A42,[26]Бахчевые!$A$6:$L$24,12,)</f>
        <v>116.12307000000001</v>
      </c>
      <c r="Y42" s="123">
        <f>VLOOKUP(A42,[26]Бахчевые!$A$6:$W$24,23,)</f>
        <v>60.142859999999999</v>
      </c>
    </row>
    <row r="43" spans="1:25">
      <c r="A43" s="104" t="s">
        <v>36</v>
      </c>
      <c r="B43" s="92">
        <f>VLOOKUP(A43,[26]Зерновые!$A$6:$L$24,12,)</f>
        <v>13.386240000000001</v>
      </c>
      <c r="C43" s="93">
        <f>VLOOKUP(A43,[26]Зерновые!$A$6:$W$24,23,)</f>
        <v>14.823029999999999</v>
      </c>
      <c r="D43" s="93">
        <f>VLOOKUP(A43,[26]Зерновые!$A$6:$AH$24,34,)</f>
        <v>14.5589</v>
      </c>
      <c r="E43" s="93">
        <f>VLOOKUP(A43,[26]Зерновые!$A$6:$AS$24,45,)</f>
        <v>2.5300000000000002</v>
      </c>
      <c r="F43" s="93">
        <f>VLOOKUP(A43,[26]Зерновые!$A$6:$BD$24,56,)</f>
        <v>3.8792200000000001</v>
      </c>
      <c r="G43" s="96">
        <f>VLOOKUP(A43,[26]Зерновые!$A$6:$BO$24,67,)</f>
        <v>0</v>
      </c>
      <c r="H43" s="159">
        <f>VLOOKUP(A43,[26]Зерновые!$A$6:$BZ$24,78,)</f>
        <v>0</v>
      </c>
      <c r="I43" s="92">
        <f>VLOOKUP(A43,[26]Масличные!$A$6:$L$24,12,)</f>
        <v>3.1517500000000003</v>
      </c>
      <c r="J43" s="93">
        <f>VLOOKUP(A43,[26]Масличные!$A$6:$W$24,23,)</f>
        <v>7.1129999999999995</v>
      </c>
      <c r="K43" s="93">
        <f>VLOOKUP(A43,[26]Масличные!$A$6:$AH$24,34,)</f>
        <v>4.8961400000000008</v>
      </c>
      <c r="L43" s="93">
        <f>VLOOKUP(A43,[26]Масличные!$A$6:$AS$24,45,)</f>
        <v>0.96150000000000002</v>
      </c>
      <c r="M43" s="123">
        <f>VLOOKUP(A43,[26]Масличные!$A$6:$BD$24,56,)</f>
        <v>0</v>
      </c>
      <c r="N43" s="92">
        <f>VLOOKUP(A43,[26]Бобовые!$A$6:$L$24,12,)</f>
        <v>0.24</v>
      </c>
      <c r="O43" s="93">
        <f>VLOOKUP(A43,[26]Бобовые!$A$6:$W$24,23,)</f>
        <v>13.216060000000002</v>
      </c>
      <c r="P43" s="96">
        <f>VLOOKUP(A43,[26]Бобовые!$A$6:$AH$24,34,)</f>
        <v>0</v>
      </c>
      <c r="Q43" s="92">
        <f>VLOOKUP(A43,[26]Овощи!$A$6:$L$24,12,)</f>
        <v>106.88332999999997</v>
      </c>
      <c r="R43" s="93">
        <f>VLOOKUP(A43,[26]Овощи!$A$6:$W$24,23,)</f>
        <v>5.34</v>
      </c>
      <c r="S43" s="93">
        <f>VLOOKUP(A43,[26]Овощи!$A$6:$AH$24,34,)</f>
        <v>161.40496000000002</v>
      </c>
      <c r="T43" s="93">
        <f>VLOOKUP(A43,[26]Овощи!$A$6:$AS$24,45,)</f>
        <v>147.36960000000002</v>
      </c>
      <c r="U43" s="93">
        <f>VLOOKUP(A43,[26]Овощи!$A$6:$BD$24,56,)</f>
        <v>144.47300999999999</v>
      </c>
      <c r="V43" s="93">
        <f>VLOOKUP(A43,[26]Овощи!$A$6:$BO$24,67,)</f>
        <v>151.95284999999998</v>
      </c>
      <c r="W43" s="123">
        <f>VLOOKUP(A43,[26]Овощи!$A$6:$BZ$24,78,)</f>
        <v>137.59101999999999</v>
      </c>
      <c r="X43" s="92">
        <f>VLOOKUP(A43,[26]Бахчевые!$A$6:$L$24,12,)</f>
        <v>0</v>
      </c>
      <c r="Y43" s="123">
        <f>VLOOKUP(A43,[26]Бахчевые!$A$6:$W$24,23,)</f>
        <v>0</v>
      </c>
    </row>
    <row r="44" spans="1:25">
      <c r="A44" s="104" t="s">
        <v>39</v>
      </c>
      <c r="B44" s="92">
        <f>VLOOKUP(A44,[26]Зерновые!$A$6:$L$24,12,)</f>
        <v>7.29087</v>
      </c>
      <c r="C44" s="93">
        <f>VLOOKUP(A44,[26]Зерновые!$A$6:$W$24,23,)</f>
        <v>5.984</v>
      </c>
      <c r="D44" s="93">
        <f>VLOOKUP(A44,[26]Зерновые!$A$6:$AH$24,34,)</f>
        <v>4.3025099999999998</v>
      </c>
      <c r="E44" s="93">
        <f>VLOOKUP(A44,[26]Зерновые!$A$6:$AS$24,45,)</f>
        <v>0.58611000000000002</v>
      </c>
      <c r="F44" s="93">
        <f>VLOOKUP(A44,[26]Зерновые!$A$6:$BD$24,56,)</f>
        <v>0</v>
      </c>
      <c r="G44" s="96">
        <f>VLOOKUP(A44,[26]Зерновые!$A$6:$BO$24,67,)</f>
        <v>0</v>
      </c>
      <c r="H44" s="159">
        <f>VLOOKUP(A44,[26]Зерновые!$A$6:$BZ$24,78,)</f>
        <v>0</v>
      </c>
      <c r="I44" s="92">
        <f>VLOOKUP(A44,[26]Масличные!$A$6:$L$24,12,)</f>
        <v>0.40038000000000001</v>
      </c>
      <c r="J44" s="93">
        <f>VLOOKUP(A44,[26]Масличные!$A$6:$W$24,23,)</f>
        <v>0</v>
      </c>
      <c r="K44" s="93">
        <f>VLOOKUP(A44,[26]Масличные!$A$6:$AH$24,34,)</f>
        <v>1.4108000000000001</v>
      </c>
      <c r="L44" s="93">
        <f>VLOOKUP(A44,[26]Масличные!$A$6:$AS$24,45,)</f>
        <v>0</v>
      </c>
      <c r="M44" s="123">
        <f>VLOOKUP(A44,[26]Масличные!$A$6:$BD$24,56,)</f>
        <v>0.32125000000000004</v>
      </c>
      <c r="N44" s="92">
        <f>VLOOKUP(A44,[26]Бобовые!$A$6:$L$24,12,)</f>
        <v>0</v>
      </c>
      <c r="O44" s="93">
        <f>VLOOKUP(A44,[26]Бобовые!$A$6:$W$24,23,)</f>
        <v>0</v>
      </c>
      <c r="P44" s="96">
        <f>VLOOKUP(A44,[26]Бобовые!$A$6:$AH$24,34,)</f>
        <v>0</v>
      </c>
      <c r="Q44" s="92">
        <f>VLOOKUP(A44,[26]Овощи!$A$6:$L$24,12,)</f>
        <v>72.264969999999991</v>
      </c>
      <c r="R44" s="93">
        <f>VLOOKUP(A44,[26]Овощи!$A$6:$W$24,23,)</f>
        <v>74.718109999999996</v>
      </c>
      <c r="S44" s="93">
        <f>VLOOKUP(A44,[26]Овощи!$A$6:$AH$24,34,)</f>
        <v>66.855080000000001</v>
      </c>
      <c r="T44" s="93">
        <f>VLOOKUP(A44,[26]Овощи!$A$6:$AS$24,45,)</f>
        <v>103.01954000000001</v>
      </c>
      <c r="U44" s="93">
        <f>VLOOKUP(A44,[26]Овощи!$A$6:$BD$24,56,)</f>
        <v>67.033580000000001</v>
      </c>
      <c r="V44" s="93">
        <f>VLOOKUP(A44,[26]Овощи!$A$6:$BO$24,67,)</f>
        <v>70.898539999999997</v>
      </c>
      <c r="W44" s="123">
        <f>VLOOKUP(A44,[26]Овощи!$A$6:$BZ$24,78,)</f>
        <v>75.421750000000003</v>
      </c>
      <c r="X44" s="92">
        <f>VLOOKUP(A44,[26]Бахчевые!$A$6:$L$24,12,)</f>
        <v>26.880000000000003</v>
      </c>
      <c r="Y44" s="123">
        <f>VLOOKUP(A44,[26]Бахчевые!$A$6:$W$24,23,)</f>
        <v>7.3599999999999994</v>
      </c>
    </row>
    <row r="45" spans="1:25">
      <c r="A45" s="104" t="s">
        <v>40</v>
      </c>
      <c r="B45" s="92">
        <f>VLOOKUP(A45,[26]Зерновые!$A$6:$L$24,12,)</f>
        <v>12.22217</v>
      </c>
      <c r="C45" s="93">
        <f>VLOOKUP(A45,[26]Зерновые!$A$6:$W$24,23,)</f>
        <v>14.434180000000001</v>
      </c>
      <c r="D45" s="93">
        <f>VLOOKUP(A45,[26]Зерновые!$A$6:$AH$24,34,)</f>
        <v>17.295180000000002</v>
      </c>
      <c r="E45" s="93">
        <f>VLOOKUP(A45,[26]Зерновые!$A$6:$AS$24,45,)</f>
        <v>2</v>
      </c>
      <c r="F45" s="93">
        <f>VLOOKUP(A45,[26]Зерновые!$A$6:$BD$24,56,)</f>
        <v>4.2107299999999999</v>
      </c>
      <c r="G45" s="96">
        <f>VLOOKUP(A45,[26]Зерновые!$A$6:$BO$24,67,)</f>
        <v>0</v>
      </c>
      <c r="H45" s="159">
        <f>VLOOKUP(A45,[26]Зерновые!$A$6:$BZ$24,78,)</f>
        <v>0</v>
      </c>
      <c r="I45" s="92">
        <f>VLOOKUP(A45,[26]Масличные!$A$6:$L$24,12,)</f>
        <v>7.8559300000000007</v>
      </c>
      <c r="J45" s="93">
        <f>VLOOKUP(A45,[26]Масличные!$A$6:$W$24,23,)</f>
        <v>3.8995400000000005</v>
      </c>
      <c r="K45" s="93">
        <f>VLOOKUP(A45,[26]Масличные!$A$6:$AH$24,34,)</f>
        <v>5.4761400000000009</v>
      </c>
      <c r="L45" s="93">
        <f>VLOOKUP(A45,[26]Масличные!$A$6:$AS$24,45,)</f>
        <v>1.9519200000000001</v>
      </c>
      <c r="M45" s="123">
        <f>VLOOKUP(A45,[26]Масличные!$A$6:$BD$24,56,)</f>
        <v>0</v>
      </c>
      <c r="N45" s="92">
        <f>VLOOKUP(A45,[26]Бобовые!$A$6:$L$24,12,)</f>
        <v>0</v>
      </c>
      <c r="O45" s="93">
        <f>VLOOKUP(A45,[26]Бобовые!$A$6:$W$24,23,)</f>
        <v>8.5551700000000004</v>
      </c>
      <c r="P45" s="96">
        <f>VLOOKUP(A45,[26]Бобовые!$A$6:$AH$24,34,)</f>
        <v>0</v>
      </c>
      <c r="Q45" s="92">
        <f>VLOOKUP(A45,[26]Овощи!$A$6:$L$24,12,)</f>
        <v>183.43490000000003</v>
      </c>
      <c r="R45" s="93">
        <f>VLOOKUP(A45,[26]Овощи!$A$6:$W$24,23,)</f>
        <v>130.22413</v>
      </c>
      <c r="S45" s="93">
        <f>VLOOKUP(A45,[26]Овощи!$A$6:$AH$24,34,)</f>
        <v>219.10829000000004</v>
      </c>
      <c r="T45" s="93">
        <f>VLOOKUP(A45,[26]Овощи!$A$6:$AS$24,45,)</f>
        <v>183.99110999999999</v>
      </c>
      <c r="U45" s="93">
        <f>VLOOKUP(A45,[26]Овощи!$A$6:$BD$24,56,)</f>
        <v>166.00402</v>
      </c>
      <c r="V45" s="93">
        <f>VLOOKUP(A45,[26]Овощи!$A$6:$BO$24,67,)</f>
        <v>189.27948000000001</v>
      </c>
      <c r="W45" s="123">
        <f>VLOOKUP(A45,[26]Овощи!$A$6:$BZ$24,78,)</f>
        <v>174.11176</v>
      </c>
      <c r="X45" s="92">
        <f>VLOOKUP(A45,[26]Бахчевые!$A$6:$L$24,12,)</f>
        <v>0</v>
      </c>
      <c r="Y45" s="123">
        <f>VLOOKUP(A45,[26]Бахчевые!$A$6:$W$24,23,)</f>
        <v>0</v>
      </c>
    </row>
    <row r="46" spans="1:25">
      <c r="A46" s="104" t="s">
        <v>43</v>
      </c>
      <c r="B46" s="92">
        <f>VLOOKUP(A46,[26]Зерновые!$A$6:$L$24,12,)</f>
        <v>8.4956300000000002</v>
      </c>
      <c r="C46" s="93">
        <f>VLOOKUP(A46,[26]Зерновые!$A$6:$W$24,23,)</f>
        <v>9.5507000000000009</v>
      </c>
      <c r="D46" s="93">
        <f>VLOOKUP(A46,[26]Зерновые!$A$6:$AH$24,34,)</f>
        <v>9.4722800000000014</v>
      </c>
      <c r="E46" s="93">
        <f>VLOOKUP(A46,[26]Зерновые!$A$6:$AS$24,45,)</f>
        <v>5.7427799999999998</v>
      </c>
      <c r="F46" s="93">
        <f>VLOOKUP(A46,[26]Зерновые!$A$6:$BD$24,56,)</f>
        <v>2.1</v>
      </c>
      <c r="G46" s="96">
        <f>VLOOKUP(A46,[26]Зерновые!$A$6:$BO$24,67,)</f>
        <v>0</v>
      </c>
      <c r="H46" s="159">
        <f>VLOOKUP(A46,[26]Зерновые!$A$6:$BZ$24,78,)</f>
        <v>0</v>
      </c>
      <c r="I46" s="92">
        <f>VLOOKUP(A46,[26]Масличные!$A$6:$L$24,12,)</f>
        <v>3.1817600000000001</v>
      </c>
      <c r="J46" s="93">
        <f>VLOOKUP(A46,[26]Масличные!$A$6:$W$24,23,)</f>
        <v>0.3</v>
      </c>
      <c r="K46" s="93">
        <f>VLOOKUP(A46,[26]Масличные!$A$6:$AH$24,34,)</f>
        <v>1.5090399999999999</v>
      </c>
      <c r="L46" s="93">
        <f>VLOOKUP(A46,[26]Масличные!$A$6:$AS$24,45,)</f>
        <v>0</v>
      </c>
      <c r="M46" s="123">
        <f>VLOOKUP(A46,[26]Масличные!$A$6:$BD$24,56,)</f>
        <v>0.86465999999999998</v>
      </c>
      <c r="N46" s="92">
        <f>VLOOKUP(A46,[26]Бобовые!$A$6:$L$24,12,)</f>
        <v>0.24015</v>
      </c>
      <c r="O46" s="93">
        <f>VLOOKUP(A46,[26]Бобовые!$A$6:$W$24,23,)</f>
        <v>11.913260000000001</v>
      </c>
      <c r="P46" s="96">
        <f>VLOOKUP(A46,[26]Бобовые!$A$6:$AH$24,34,)</f>
        <v>0</v>
      </c>
      <c r="Q46" s="92">
        <f>VLOOKUP(A46,[26]Овощи!$A$6:$L$24,12,)</f>
        <v>114.50112999999999</v>
      </c>
      <c r="R46" s="93">
        <f>VLOOKUP(A46,[26]Овощи!$A$6:$W$24,23,)</f>
        <v>48.365099999999998</v>
      </c>
      <c r="S46" s="93">
        <f>VLOOKUP(A46,[26]Овощи!$A$6:$AH$24,34,)</f>
        <v>152.78342000000001</v>
      </c>
      <c r="T46" s="93">
        <f>VLOOKUP(A46,[26]Овощи!$A$6:$AS$24,45,)</f>
        <v>154.93343999999999</v>
      </c>
      <c r="U46" s="93">
        <f>VLOOKUP(A46,[26]Овощи!$A$6:$BD$24,56,)</f>
        <v>142.17768000000001</v>
      </c>
      <c r="V46" s="93">
        <f>VLOOKUP(A46,[26]Овощи!$A$6:$BO$24,67,)</f>
        <v>134.85031000000001</v>
      </c>
      <c r="W46" s="123">
        <f>VLOOKUP(A46,[26]Овощи!$A$6:$BZ$24,78,)</f>
        <v>128.9734</v>
      </c>
      <c r="X46" s="92">
        <f>VLOOKUP(A46,[26]Бахчевые!$A$6:$L$24,12,)</f>
        <v>5.67</v>
      </c>
      <c r="Y46" s="123">
        <f>VLOOKUP(A46,[26]Бахчевые!$A$6:$W$24,23,)</f>
        <v>0</v>
      </c>
    </row>
    <row r="47" spans="1:25" ht="13.8" thickBot="1">
      <c r="A47" s="107" t="s">
        <v>41</v>
      </c>
      <c r="B47" s="98">
        <f>VLOOKUP(A47,[26]Зерновые!$A$6:$L$24,12,)</f>
        <v>9.1594300000000004</v>
      </c>
      <c r="C47" s="99">
        <f>VLOOKUP(A47,[26]Зерновые!$A$6:$W$24,23,)</f>
        <v>12.713990000000001</v>
      </c>
      <c r="D47" s="99">
        <f>VLOOKUP(A47,[26]Зерновые!$A$6:$AH$24,34,)</f>
        <v>13.612200000000001</v>
      </c>
      <c r="E47" s="99">
        <f>VLOOKUP(A47,[26]Зерновые!$A$6:$AS$24,45,)</f>
        <v>7.5892600000000003</v>
      </c>
      <c r="F47" s="99">
        <f>VLOOKUP(A47,[26]Зерновые!$A$6:$BD$24,56,)</f>
        <v>6.0029699999999995</v>
      </c>
      <c r="G47" s="103">
        <f>VLOOKUP(A47,[26]Зерновые!$A$6:$BO$24,67,)</f>
        <v>0</v>
      </c>
      <c r="H47" s="160">
        <f>VLOOKUP(A47,[26]Зерновые!$A$6:$BZ$24,78,)</f>
        <v>0</v>
      </c>
      <c r="I47" s="98">
        <f>VLOOKUP(A47,[26]Масличные!$A$6:$L$24,12,)</f>
        <v>5.2070800000000004</v>
      </c>
      <c r="J47" s="99">
        <f>VLOOKUP(A47,[26]Масличные!$A$6:$W$24,23,)</f>
        <v>3.8867500000000001</v>
      </c>
      <c r="K47" s="99">
        <f>VLOOKUP(A47,[26]Масличные!$A$6:$AH$24,34,)</f>
        <v>2.3832200000000001</v>
      </c>
      <c r="L47" s="99">
        <f>VLOOKUP(A47,[26]Масличные!$A$6:$AS$24,45,)</f>
        <v>0.20983000000000002</v>
      </c>
      <c r="M47" s="124">
        <f>VLOOKUP(A47,[26]Масличные!$A$6:$BD$24,56,)</f>
        <v>0.20021</v>
      </c>
      <c r="N47" s="98">
        <f>VLOOKUP(A47,[26]Бобовые!$A$6:$L$24,12,)</f>
        <v>3.3525499999999999</v>
      </c>
      <c r="O47" s="99">
        <f>VLOOKUP(A47,[26]Бобовые!$A$6:$W$24,23,)</f>
        <v>6.49918</v>
      </c>
      <c r="P47" s="103">
        <f>VLOOKUP(A47,[26]Бобовые!$A$6:$AH$24,34,)</f>
        <v>0</v>
      </c>
      <c r="Q47" s="98">
        <f>VLOOKUP(A47,[26]Овощи!$A$6:$L$24,12,)</f>
        <v>127.79756</v>
      </c>
      <c r="R47" s="99">
        <f>VLOOKUP(A47,[26]Овощи!$A$6:$W$24,23,)</f>
        <v>99.649120000000011</v>
      </c>
      <c r="S47" s="99">
        <f>VLOOKUP(A47,[26]Овощи!$A$6:$AH$24,34,)</f>
        <v>130.73634999999999</v>
      </c>
      <c r="T47" s="99">
        <f>VLOOKUP(A47,[26]Овощи!$A$6:$AS$24,45,)</f>
        <v>142.67328000000001</v>
      </c>
      <c r="U47" s="99">
        <f>VLOOKUP(A47,[26]Овощи!$A$6:$BD$24,56,)</f>
        <v>110.35590999999999</v>
      </c>
      <c r="V47" s="99">
        <f>VLOOKUP(A47,[26]Овощи!$A$6:$BO$24,67,)</f>
        <v>109.81478000000001</v>
      </c>
      <c r="W47" s="124">
        <f>VLOOKUP(A47,[26]Овощи!$A$6:$BZ$24,78,)</f>
        <v>135.59616</v>
      </c>
      <c r="X47" s="98">
        <f>VLOOKUP(A47,[26]Бахчевые!$A$6:$L$24,12,)</f>
        <v>0</v>
      </c>
      <c r="Y47" s="124">
        <f>VLOOKUP(A47,[26]Бахчевые!$A$6:$W$24,23,)</f>
        <v>0</v>
      </c>
    </row>
    <row r="48" spans="1:25">
      <c r="A48" s="172"/>
      <c r="B48" s="90"/>
      <c r="C48" s="90"/>
      <c r="D48" s="90"/>
      <c r="E48" s="90"/>
      <c r="F48" s="90"/>
      <c r="G48" s="173"/>
      <c r="H48" s="174"/>
      <c r="I48" s="90"/>
      <c r="J48" s="90"/>
      <c r="K48" s="90"/>
      <c r="L48" s="90"/>
      <c r="M48" s="90"/>
      <c r="N48" s="90"/>
      <c r="O48" s="90"/>
      <c r="P48" s="173"/>
      <c r="Q48" s="90"/>
      <c r="R48" s="90"/>
      <c r="S48" s="90"/>
      <c r="T48" s="90"/>
      <c r="U48" s="90"/>
      <c r="V48" s="90"/>
      <c r="W48" s="90"/>
      <c r="X48" s="90"/>
      <c r="Y48" s="90"/>
    </row>
    <row r="49" spans="1:25" ht="13.8" thickBot="1">
      <c r="A49" s="91"/>
      <c r="B49" s="90"/>
      <c r="C49" s="90"/>
      <c r="D49" s="90"/>
      <c r="E49" s="90"/>
      <c r="F49" s="90"/>
      <c r="G49" s="90"/>
      <c r="H49" s="90"/>
    </row>
    <row r="50" spans="1:25">
      <c r="A50" s="808" t="s">
        <v>274</v>
      </c>
      <c r="B50" s="805" t="s">
        <v>269</v>
      </c>
      <c r="C50" s="806"/>
      <c r="D50" s="806"/>
      <c r="E50" s="806"/>
      <c r="F50" s="806"/>
      <c r="G50" s="806"/>
      <c r="H50" s="807"/>
      <c r="I50" s="799" t="s">
        <v>316</v>
      </c>
      <c r="J50" s="800"/>
      <c r="K50" s="800"/>
      <c r="L50" s="800"/>
      <c r="M50" s="801"/>
      <c r="N50" s="799" t="s">
        <v>317</v>
      </c>
      <c r="O50" s="800"/>
      <c r="P50" s="800"/>
      <c r="Q50" s="800" t="s">
        <v>322</v>
      </c>
      <c r="R50" s="800"/>
      <c r="S50" s="800"/>
      <c r="T50" s="800"/>
      <c r="U50" s="800"/>
      <c r="V50" s="800"/>
      <c r="W50" s="801"/>
      <c r="X50" s="799" t="s">
        <v>330</v>
      </c>
      <c r="Y50" s="801"/>
    </row>
    <row r="51" spans="1:25" ht="20.399999999999999">
      <c r="A51" s="809"/>
      <c r="B51" s="119" t="s">
        <v>270</v>
      </c>
      <c r="C51" s="116" t="s">
        <v>83</v>
      </c>
      <c r="D51" s="116" t="s">
        <v>84</v>
      </c>
      <c r="E51" s="116" t="s">
        <v>271</v>
      </c>
      <c r="F51" s="116" t="s">
        <v>272</v>
      </c>
      <c r="G51" s="116" t="s">
        <v>314</v>
      </c>
      <c r="H51" s="120" t="s">
        <v>273</v>
      </c>
      <c r="I51" s="119" t="s">
        <v>243</v>
      </c>
      <c r="J51" s="116" t="s">
        <v>244</v>
      </c>
      <c r="K51" s="116" t="s">
        <v>258</v>
      </c>
      <c r="L51" s="116" t="s">
        <v>315</v>
      </c>
      <c r="M51" s="120" t="s">
        <v>245</v>
      </c>
      <c r="N51" s="119" t="s">
        <v>318</v>
      </c>
      <c r="O51" s="116" t="s">
        <v>319</v>
      </c>
      <c r="P51" s="116" t="s">
        <v>320</v>
      </c>
      <c r="Q51" s="118" t="s">
        <v>323</v>
      </c>
      <c r="R51" s="116" t="s">
        <v>324</v>
      </c>
      <c r="S51" s="116" t="s">
        <v>325</v>
      </c>
      <c r="T51" s="116" t="s">
        <v>326</v>
      </c>
      <c r="U51" s="116" t="s">
        <v>327</v>
      </c>
      <c r="V51" s="116" t="s">
        <v>328</v>
      </c>
      <c r="W51" s="120" t="s">
        <v>329</v>
      </c>
      <c r="X51" s="119" t="s">
        <v>331</v>
      </c>
      <c r="Y51" s="120" t="s">
        <v>332</v>
      </c>
    </row>
    <row r="52" spans="1:25">
      <c r="A52" s="104" t="s">
        <v>195</v>
      </c>
      <c r="B52" s="92">
        <f>VLOOKUP(A52,[26]Зерновые!$A$29:$L$41,12,)</f>
        <v>4.8600000000000003</v>
      </c>
      <c r="C52" s="93">
        <f>VLOOKUP(A52,[26]Зерновые!$A$29:$W$41,23,)</f>
        <v>4.7</v>
      </c>
      <c r="D52" s="93">
        <f>VLOOKUP(A52,[26]Зерновые!$A$29:$AH$41,34,)</f>
        <v>3.07</v>
      </c>
      <c r="E52" s="93">
        <f>VLOOKUP(A52,[26]Зерновые!$A$29:$AS$41,45,)</f>
        <v>7.1599999999999993</v>
      </c>
      <c r="F52" s="96">
        <f>VLOOKUP(A52,[26]Зерновые!$A$29:$BD$41,56,)</f>
        <v>0.63</v>
      </c>
      <c r="G52" s="96">
        <f>VLOOKUP(A52,[26]Зерновые!$A$29:$BO$41,67,FALSE)</f>
        <v>0</v>
      </c>
      <c r="H52" s="132">
        <f>VLOOKUP(A52,[26]Зерновые!$A$29:$BZ$41,78,)</f>
        <v>0</v>
      </c>
      <c r="I52" s="92">
        <f>VLOOKUP(A52,[26]Масличные!$A$29:$L$41,12,FALSE)</f>
        <v>4.2999999999999989</v>
      </c>
      <c r="J52" s="96">
        <f>VLOOKUP(A52,[26]Масличные!$A$29:$W$41,23,)</f>
        <v>0.76</v>
      </c>
      <c r="K52" s="93">
        <f>VLOOKUP(A52,[26]Масличные!$A$29:$AH$41,34,)</f>
        <v>0</v>
      </c>
      <c r="L52" s="96">
        <f>VLOOKUP(A52,[26]Масличные!$A$29:$AS$41,45,)</f>
        <v>0</v>
      </c>
      <c r="M52" s="123">
        <f>VLOOKUP(A52,[26]Масличные!$A$29:$BD$41,56,)</f>
        <v>0.75</v>
      </c>
      <c r="N52" s="92">
        <f>VLOOKUP(A52,[26]Бобовые!$A$29:$L$41,12,)</f>
        <v>0</v>
      </c>
      <c r="O52" s="96">
        <f>VLOOKUP(A52,[26]Бобовые!$A$29:$W$41,23,)</f>
        <v>0</v>
      </c>
      <c r="P52" s="96">
        <f>VLOOKUP(A52,[26]Бобовые!$A$29:$AH$41,34,)</f>
        <v>0</v>
      </c>
      <c r="Q52" s="117">
        <f>VLOOKUP(A52,[26]Овощи!$A$29:$L$41,12,)</f>
        <v>141.17000000000002</v>
      </c>
      <c r="R52" s="93">
        <f>VLOOKUP(A52,[26]Овощи!$A$29:$W$41,23,)</f>
        <v>159.03</v>
      </c>
      <c r="S52" s="93">
        <f>VLOOKUP(A52,[26]Овощи!$A$29:$AH$41,34,)</f>
        <v>219.02999999999997</v>
      </c>
      <c r="T52" s="93">
        <f>VLOOKUP(A52,[26]Овощи!$A$29:$AS$41,45,)</f>
        <v>154.02000000000001</v>
      </c>
      <c r="U52" s="93">
        <f>VLOOKUP(A52,[26]Овощи!$A$29:$BD$41,56,)</f>
        <v>174.54000000000002</v>
      </c>
      <c r="V52" s="93">
        <f>VLOOKUP(A52,[26]Овощи!$A$29:$BO$41,67,)</f>
        <v>144.29000000000002</v>
      </c>
      <c r="W52" s="123">
        <f>VLOOKUP(A52,[26]Овощи!$A$29:$BZ$41,78,FALSE)</f>
        <v>227.00999999999993</v>
      </c>
      <c r="X52" s="92">
        <f>VLOOKUP(A52,[26]Бахчевые!$A$29:$L$41,12,FALSE)</f>
        <v>159.15000000000003</v>
      </c>
      <c r="Y52" s="123">
        <f>VLOOKUP(A52,[26]Бахчевые!$A$29:$W$41,23,)</f>
        <v>140.37</v>
      </c>
    </row>
    <row r="53" spans="1:25">
      <c r="A53" s="104" t="s">
        <v>45</v>
      </c>
      <c r="B53" s="92">
        <f>VLOOKUP(A53,[26]Зерновые!$A$29:$L$41,12,)</f>
        <v>4.0999999999999996</v>
      </c>
      <c r="C53" s="93">
        <f>VLOOKUP(A53,[26]Зерновые!$A$29:$W$41,23,)</f>
        <v>5.26</v>
      </c>
      <c r="D53" s="93">
        <f>VLOOKUP(A53,[26]Зерновые!$A$29:$AH$41,34,)</f>
        <v>1.98</v>
      </c>
      <c r="E53" s="93">
        <f>VLOOKUP(A53,[26]Зерновые!$A$29:$AS$41,45,)</f>
        <v>4.51</v>
      </c>
      <c r="F53" s="96">
        <f>VLOOKUP(A53,[26]Зерновые!$A$29:$BD$41,56,)</f>
        <v>0</v>
      </c>
      <c r="G53" s="96">
        <f>VLOOKUP(A53,[26]Зерновые!$A$29:$BO$41,67,FALSE)</f>
        <v>0</v>
      </c>
      <c r="H53" s="132">
        <f>VLOOKUP(A53,[26]Зерновые!$A$29:$BZ$41,78,)</f>
        <v>0</v>
      </c>
      <c r="I53" s="92">
        <f>VLOOKUP(A53,[26]Масличные!$A$29:$L$41,12,FALSE)</f>
        <v>2.1900000000000004</v>
      </c>
      <c r="J53" s="96">
        <f>VLOOKUP(A53,[26]Масличные!$A$29:$W$41,23,)</f>
        <v>0.03</v>
      </c>
      <c r="K53" s="93">
        <f>VLOOKUP(A53,[26]Масличные!$A$29:$AH$41,34,)</f>
        <v>0</v>
      </c>
      <c r="L53" s="96">
        <f>VLOOKUP(A53,[26]Масличные!$A$29:$AS$41,45,)</f>
        <v>0</v>
      </c>
      <c r="M53" s="123">
        <f>VLOOKUP(A53,[26]Масличные!$A$29:$BD$41,56,)</f>
        <v>0.43</v>
      </c>
      <c r="N53" s="92">
        <f>VLOOKUP(A53,[26]Бобовые!$A$29:$L$41,12,)</f>
        <v>0</v>
      </c>
      <c r="O53" s="96">
        <f>VLOOKUP(A53,[26]Бобовые!$A$29:$W$41,23,)</f>
        <v>0</v>
      </c>
      <c r="P53" s="96">
        <f>VLOOKUP(A53,[26]Бобовые!$A$29:$AH$41,34,)</f>
        <v>0</v>
      </c>
      <c r="Q53" s="117">
        <f>VLOOKUP(A53,[26]Овощи!$A$29:$L$41,12,)</f>
        <v>129.91</v>
      </c>
      <c r="R53" s="93">
        <f>VLOOKUP(A53,[26]Овощи!$A$29:$W$41,23,)</f>
        <v>154.32</v>
      </c>
      <c r="S53" s="93">
        <f>VLOOKUP(A53,[26]Овощи!$A$29:$AH$41,34,)</f>
        <v>158.35</v>
      </c>
      <c r="T53" s="93">
        <f>VLOOKUP(A53,[26]Овощи!$A$29:$AS$41,45,)</f>
        <v>159.23999999999998</v>
      </c>
      <c r="U53" s="93">
        <f>VLOOKUP(A53,[26]Овощи!$A$29:$BD$41,56,)</f>
        <v>158.70999999999998</v>
      </c>
      <c r="V53" s="93">
        <f>VLOOKUP(A53,[26]Овощи!$A$29:$BO$41,67,)</f>
        <v>157.53</v>
      </c>
      <c r="W53" s="123">
        <f>VLOOKUP(A53,[26]Овощи!$A$29:$BZ$41,78,FALSE)</f>
        <v>159.28</v>
      </c>
      <c r="X53" s="92">
        <f>VLOOKUP(A53,[26]Бахчевые!$A$29:$L$41,12,FALSE)</f>
        <v>175.10999999999999</v>
      </c>
      <c r="Y53" s="123">
        <f>VLOOKUP(A53,[26]Бахчевые!$A$29:$W$41,23,)</f>
        <v>194.86</v>
      </c>
    </row>
    <row r="54" spans="1:25">
      <c r="A54" s="104" t="s">
        <v>196</v>
      </c>
      <c r="B54" s="92">
        <f>VLOOKUP(A54,[26]Зерновые!$A$29:$L$41,12,)</f>
        <v>6.2</v>
      </c>
      <c r="C54" s="93">
        <f>VLOOKUP(A54,[26]Зерновые!$A$29:$W$41,23,)</f>
        <v>6.01</v>
      </c>
      <c r="D54" s="93">
        <f>VLOOKUP(A54,[26]Зерновые!$A$29:$AH$41,34,)</f>
        <v>1.92</v>
      </c>
      <c r="E54" s="93">
        <f>VLOOKUP(A54,[26]Зерновые!$A$29:$AS$41,45,)</f>
        <v>1.9200000000000004</v>
      </c>
      <c r="F54" s="96">
        <f>VLOOKUP(A54,[26]Зерновые!$A$29:$BD$41,56,)</f>
        <v>0</v>
      </c>
      <c r="G54" s="96">
        <f>VLOOKUP(A54,[26]Зерновые!$A$29:$BO$41,67,FALSE)</f>
        <v>0</v>
      </c>
      <c r="H54" s="132">
        <f>VLOOKUP(A54,[26]Зерновые!$A$29:$BZ$41,78,)</f>
        <v>0</v>
      </c>
      <c r="I54" s="92">
        <f>VLOOKUP(A54,[26]Масличные!$A$29:$L$41,12,FALSE)</f>
        <v>2.0200000000000005</v>
      </c>
      <c r="J54" s="96">
        <f>VLOOKUP(A54,[26]Масличные!$A$29:$W$41,23,)</f>
        <v>0</v>
      </c>
      <c r="K54" s="93">
        <f>VLOOKUP(A54,[26]Масличные!$A$29:$AH$41,34,)</f>
        <v>0.12</v>
      </c>
      <c r="L54" s="96">
        <f>VLOOKUP(A54,[26]Масличные!$A$29:$AS$41,45,)</f>
        <v>0</v>
      </c>
      <c r="M54" s="123">
        <f>VLOOKUP(A54,[26]Масличные!$A$29:$BD$41,56,)</f>
        <v>0.91999999999999993</v>
      </c>
      <c r="N54" s="92">
        <f>VLOOKUP(A54,[26]Бобовые!$A$29:$L$41,12,)</f>
        <v>0.02</v>
      </c>
      <c r="O54" s="96">
        <f>VLOOKUP(A54,[26]Бобовые!$A$29:$W$41,23,)</f>
        <v>0</v>
      </c>
      <c r="P54" s="96">
        <f>VLOOKUP(A54,[26]Бобовые!$A$29:$AH$41,34,)</f>
        <v>0</v>
      </c>
      <c r="Q54" s="117">
        <f>VLOOKUP(A54,[26]Овощи!$A$29:$L$41,12,)</f>
        <v>114.83999999999999</v>
      </c>
      <c r="R54" s="93">
        <f>VLOOKUP(A54,[26]Овощи!$A$29:$W$41,23,)</f>
        <v>136.95999999999998</v>
      </c>
      <c r="S54" s="93">
        <f>VLOOKUP(A54,[26]Овощи!$A$29:$AH$41,34,)</f>
        <v>133.94</v>
      </c>
      <c r="T54" s="93">
        <f>VLOOKUP(A54,[26]Овощи!$A$29:$AS$41,45,)</f>
        <v>153.32</v>
      </c>
      <c r="U54" s="93">
        <f>VLOOKUP(A54,[26]Овощи!$A$29:$BD$41,56,)</f>
        <v>148.36000000000001</v>
      </c>
      <c r="V54" s="93">
        <f>VLOOKUP(A54,[26]Овощи!$A$29:$BO$41,67,)</f>
        <v>155.59</v>
      </c>
      <c r="W54" s="123">
        <f>VLOOKUP(A54,[26]Овощи!$A$29:$BZ$41,78,FALSE)</f>
        <v>137.42000000000002</v>
      </c>
      <c r="X54" s="92">
        <f>VLOOKUP(A54,[26]Бахчевые!$A$29:$L$41,12,FALSE)</f>
        <v>59.85</v>
      </c>
      <c r="Y54" s="123">
        <f>VLOOKUP(A54,[26]Бахчевые!$A$29:$W$41,23,)</f>
        <v>12.8</v>
      </c>
    </row>
    <row r="55" spans="1:25">
      <c r="A55" s="104" t="s">
        <v>197</v>
      </c>
      <c r="B55" s="92">
        <f>VLOOKUP(A55,[26]Зерновые!$A$29:$L$41,12,)</f>
        <v>0</v>
      </c>
      <c r="C55" s="93">
        <f>VLOOKUP(A55,[26]Зерновые!$A$29:$W$41,23,)</f>
        <v>0</v>
      </c>
      <c r="D55" s="93">
        <f>VLOOKUP(A55,[26]Зерновые!$A$29:$AH$41,34,)</f>
        <v>0</v>
      </c>
      <c r="E55" s="93">
        <f>VLOOKUP(A55,[26]Зерновые!$A$29:$AS$41,45,)</f>
        <v>1.33</v>
      </c>
      <c r="F55" s="96">
        <f>VLOOKUP(A55,[26]Зерновые!$A$29:$BD$41,56,)</f>
        <v>0</v>
      </c>
      <c r="G55" s="96">
        <f>VLOOKUP(A55,[26]Зерновые!$A$29:$BO$41,67,FALSE)</f>
        <v>0</v>
      </c>
      <c r="H55" s="132">
        <f>VLOOKUP(A55,[26]Зерновые!$A$29:$BZ$41,78,)</f>
        <v>0</v>
      </c>
      <c r="I55" s="92">
        <f>VLOOKUP(A55,[26]Масличные!$A$29:$L$41,12,FALSE)</f>
        <v>0</v>
      </c>
      <c r="J55" s="96">
        <f>VLOOKUP(A55,[26]Масличные!$A$29:$W$41,23,)</f>
        <v>0</v>
      </c>
      <c r="K55" s="93">
        <f>VLOOKUP(A55,[26]Масличные!$A$29:$AH$41,34,)</f>
        <v>0</v>
      </c>
      <c r="L55" s="96">
        <f>VLOOKUP(A55,[26]Масличные!$A$29:$AS$41,45,)</f>
        <v>0</v>
      </c>
      <c r="M55" s="123">
        <f>VLOOKUP(A55,[26]Масличные!$A$29:$BD$41,56,)</f>
        <v>0</v>
      </c>
      <c r="N55" s="92">
        <f>VLOOKUP(A55,[26]Бобовые!$A$29:$L$41,12,)</f>
        <v>0</v>
      </c>
      <c r="O55" s="96">
        <f>VLOOKUP(A55,[26]Бобовые!$A$29:$W$41,23,)</f>
        <v>0</v>
      </c>
      <c r="P55" s="96">
        <f>VLOOKUP(A55,[26]Бобовые!$A$29:$AH$41,34,)</f>
        <v>0</v>
      </c>
      <c r="Q55" s="117">
        <f>VLOOKUP(A55,[26]Овощи!$A$29:$L$41,12,)</f>
        <v>108.67</v>
      </c>
      <c r="R55" s="93">
        <f>VLOOKUP(A55,[26]Овощи!$A$29:$W$41,23,)</f>
        <v>164.34</v>
      </c>
      <c r="S55" s="93">
        <f>VLOOKUP(A55,[26]Овощи!$A$29:$AH$41,34,)</f>
        <v>163.54</v>
      </c>
      <c r="T55" s="93">
        <f>VLOOKUP(A55,[26]Овощи!$A$29:$AS$41,45,)</f>
        <v>0</v>
      </c>
      <c r="U55" s="93">
        <f>VLOOKUP(A55,[26]Овощи!$A$29:$BD$41,56,)</f>
        <v>153.63</v>
      </c>
      <c r="V55" s="93">
        <f>VLOOKUP(A55,[26]Овощи!$A$29:$BO$41,67,)</f>
        <v>146.56</v>
      </c>
      <c r="W55" s="123">
        <f>VLOOKUP(A55,[26]Овощи!$A$29:$BZ$41,78,FALSE)</f>
        <v>156.13000000000002</v>
      </c>
      <c r="X55" s="92">
        <f>VLOOKUP(A55,[26]Бахчевые!$A$29:$L$41,12,FALSE)</f>
        <v>112.78</v>
      </c>
      <c r="Y55" s="123">
        <f>VLOOKUP(A55,[26]Бахчевые!$A$29:$W$41,23,)</f>
        <v>132.83999999999997</v>
      </c>
    </row>
    <row r="56" spans="1:25">
      <c r="A56" s="104" t="s">
        <v>48</v>
      </c>
      <c r="B56" s="92">
        <f>VLOOKUP(A56,[26]Зерновые!$A$29:$L$41,12,)</f>
        <v>7.05</v>
      </c>
      <c r="C56" s="93">
        <f>VLOOKUP(A56,[26]Зерновые!$A$29:$W$41,23,)</f>
        <v>8.02</v>
      </c>
      <c r="D56" s="93">
        <f>VLOOKUP(A56,[26]Зерновые!$A$29:$AH$41,34,)</f>
        <v>5.931</v>
      </c>
      <c r="E56" s="93">
        <f>VLOOKUP(A56,[26]Зерновые!$A$29:$AS$41,45,)</f>
        <v>4.46</v>
      </c>
      <c r="F56" s="96">
        <f>VLOOKUP(A56,[26]Зерновые!$A$29:$BD$41,56,)</f>
        <v>0</v>
      </c>
      <c r="G56" s="96">
        <f>VLOOKUP(A56,[26]Зерновые!$A$29:$BO$41,67,FALSE)</f>
        <v>0</v>
      </c>
      <c r="H56" s="132">
        <f>VLOOKUP(A56,[26]Зерновые!$A$29:$BZ$41,78,)</f>
        <v>0</v>
      </c>
      <c r="I56" s="92">
        <f>VLOOKUP(A56,[26]Масличные!$A$29:$L$41,12,FALSE)</f>
        <v>2.7</v>
      </c>
      <c r="J56" s="96">
        <f>VLOOKUP(A56,[26]Масличные!$A$29:$W$41,23,)</f>
        <v>0</v>
      </c>
      <c r="K56" s="93">
        <f>VLOOKUP(A56,[26]Масличные!$A$29:$AH$41,34,)</f>
        <v>1.1400000000000001</v>
      </c>
      <c r="L56" s="96">
        <f>VLOOKUP(A56,[26]Масличные!$A$29:$AS$41,45,)</f>
        <v>0.29000000000000004</v>
      </c>
      <c r="M56" s="123">
        <f>VLOOKUP(A56,[26]Масличные!$A$29:$BD$41,56,)</f>
        <v>0</v>
      </c>
      <c r="N56" s="92">
        <f>VLOOKUP(A56,[26]Бобовые!$A$29:$L$41,12,)</f>
        <v>0.4</v>
      </c>
      <c r="O56" s="96">
        <f>VLOOKUP(A56,[26]Бобовые!$A$29:$W$41,23,)</f>
        <v>0</v>
      </c>
      <c r="P56" s="96">
        <f>VLOOKUP(A56,[26]Бобовые!$A$29:$AH$41,34,)</f>
        <v>0</v>
      </c>
      <c r="Q56" s="117">
        <f>VLOOKUP(A56,[26]Овощи!$A$29:$L$41,12,)</f>
        <v>131.13999999999999</v>
      </c>
      <c r="R56" s="93">
        <f>VLOOKUP(A56,[26]Овощи!$A$29:$W$41,23,)</f>
        <v>160.69</v>
      </c>
      <c r="S56" s="93">
        <f>VLOOKUP(A56,[26]Овощи!$A$29:$AH$41,34,)</f>
        <v>154.77000000000001</v>
      </c>
      <c r="T56" s="93">
        <f>VLOOKUP(A56,[26]Овощи!$A$29:$AS$41,45,)</f>
        <v>206.51</v>
      </c>
      <c r="U56" s="93">
        <f>VLOOKUP(A56,[26]Овощи!$A$29:$BD$41,56,)</f>
        <v>169.2</v>
      </c>
      <c r="V56" s="93">
        <f>VLOOKUP(A56,[26]Овощи!$A$29:$BO$41,67,)</f>
        <v>170.8</v>
      </c>
      <c r="W56" s="123">
        <f>VLOOKUP(A56,[26]Овощи!$A$29:$BZ$41,78,FALSE)</f>
        <v>176.61</v>
      </c>
      <c r="X56" s="92">
        <f>VLOOKUP(A56,[26]Бахчевые!$A$29:$L$41,12,FALSE)</f>
        <v>104.07000000000001</v>
      </c>
      <c r="Y56" s="123">
        <f>VLOOKUP(A56,[26]Бахчевые!$A$29:$W$41,23,)</f>
        <v>112.38</v>
      </c>
    </row>
    <row r="57" spans="1:25">
      <c r="A57" s="104" t="s">
        <v>99</v>
      </c>
      <c r="B57" s="92">
        <f>VLOOKUP(A57,[26]Зерновые!$A$29:$L$41,12,)</f>
        <v>4.0900000000000007</v>
      </c>
      <c r="C57" s="93">
        <f>VLOOKUP(A57,[26]Зерновые!$A$29:$W$41,23,)</f>
        <v>4.2700000000000005</v>
      </c>
      <c r="D57" s="93">
        <f>VLOOKUP(A57,[26]Зерновые!$A$29:$AH$41,34,)</f>
        <v>0</v>
      </c>
      <c r="E57" s="93">
        <f>VLOOKUP(A57,[26]Зерновые!$A$29:$AS$41,45,)</f>
        <v>3.0100000000000002</v>
      </c>
      <c r="F57" s="96">
        <f>VLOOKUP(A57,[26]Зерновые!$A$29:$BD$41,56,)</f>
        <v>0</v>
      </c>
      <c r="G57" s="96">
        <f>VLOOKUP(A57,[26]Зерновые!$A$29:$BO$41,67,FALSE)</f>
        <v>0</v>
      </c>
      <c r="H57" s="132">
        <f>VLOOKUP(A57,[26]Зерновые!$A$29:$BZ$41,78,)</f>
        <v>0</v>
      </c>
      <c r="I57" s="92">
        <f>VLOOKUP(A57,[26]Масличные!$A$29:$L$41,12,FALSE)</f>
        <v>1.1800000000000002</v>
      </c>
      <c r="J57" s="96">
        <f>VLOOKUP(A57,[26]Масличные!$A$29:$W$41,23,)</f>
        <v>0</v>
      </c>
      <c r="K57" s="93">
        <f>VLOOKUP(A57,[26]Масличные!$A$29:$AH$41,34,)</f>
        <v>0</v>
      </c>
      <c r="L57" s="96">
        <f>VLOOKUP(A57,[26]Масличные!$A$29:$AS$41,45,)</f>
        <v>0</v>
      </c>
      <c r="M57" s="123">
        <f>VLOOKUP(A57,[26]Масличные!$A$29:$BD$41,56,)</f>
        <v>0.65</v>
      </c>
      <c r="N57" s="92">
        <f>VLOOKUP(A57,[26]Бобовые!$A$29:$L$41,12,)</f>
        <v>0</v>
      </c>
      <c r="O57" s="96">
        <f>VLOOKUP(A57,[26]Бобовые!$A$29:$W$41,23,)</f>
        <v>0</v>
      </c>
      <c r="P57" s="96">
        <f>VLOOKUP(A57,[26]Бобовые!$A$29:$AH$41,34,)</f>
        <v>0</v>
      </c>
      <c r="Q57" s="117">
        <f>VLOOKUP(A57,[26]Овощи!$A$29:$L$41,12,)</f>
        <v>138.17000000000002</v>
      </c>
      <c r="R57" s="93">
        <f>VLOOKUP(A57,[26]Овощи!$A$29:$W$41,23,)</f>
        <v>192.51</v>
      </c>
      <c r="S57" s="93">
        <f>VLOOKUP(A57,[26]Овощи!$A$29:$AH$41,34,)</f>
        <v>184.73</v>
      </c>
      <c r="T57" s="93">
        <f>VLOOKUP(A57,[26]Овощи!$A$29:$AS$41,45,)</f>
        <v>203.31</v>
      </c>
      <c r="U57" s="93">
        <f>VLOOKUP(A57,[26]Овощи!$A$29:$BD$41,56,)</f>
        <v>185.76</v>
      </c>
      <c r="V57" s="93">
        <f>VLOOKUP(A57,[26]Овощи!$A$29:$BO$41,67,)</f>
        <v>180.2</v>
      </c>
      <c r="W57" s="123">
        <f>VLOOKUP(A57,[26]Овощи!$A$29:$BZ$41,78,FALSE)</f>
        <v>179.19</v>
      </c>
      <c r="X57" s="92">
        <f>VLOOKUP(A57,[26]Бахчевые!$A$29:$L$41,12,FALSE)</f>
        <v>146.83999999999997</v>
      </c>
      <c r="Y57" s="123">
        <f>VLOOKUP(A57,[26]Бахчевые!$A$29:$W$41,23,)</f>
        <v>68.710000000000008</v>
      </c>
    </row>
    <row r="58" spans="1:25">
      <c r="A58" s="104" t="s">
        <v>49</v>
      </c>
      <c r="B58" s="92">
        <f>VLOOKUP(A58,[26]Зерновые!$A$29:$L$41,12,)</f>
        <v>6.63</v>
      </c>
      <c r="C58" s="93">
        <f>VLOOKUP(A58,[26]Зерновые!$A$29:$W$41,23,)</f>
        <v>6.62</v>
      </c>
      <c r="D58" s="93">
        <f>VLOOKUP(A58,[26]Зерновые!$A$29:$AH$41,34,)</f>
        <v>5.26</v>
      </c>
      <c r="E58" s="93">
        <f>VLOOKUP(A58,[26]Зерновые!$A$29:$AS$41,45,)</f>
        <v>3.12</v>
      </c>
      <c r="F58" s="96">
        <f>VLOOKUP(A58,[26]Зерновые!$A$29:$BD$41,56,)</f>
        <v>0</v>
      </c>
      <c r="G58" s="96">
        <f>VLOOKUP(A58,[26]Зерновые!$A$29:$BO$41,67,FALSE)</f>
        <v>0</v>
      </c>
      <c r="H58" s="132">
        <f>VLOOKUP(A58,[26]Зерновые!$A$29:$BZ$41,78,)</f>
        <v>0</v>
      </c>
      <c r="I58" s="92">
        <f>VLOOKUP(A58,[26]Масличные!$A$29:$L$41,12,FALSE)</f>
        <v>3.4699999999999998</v>
      </c>
      <c r="J58" s="96">
        <f>VLOOKUP(A58,[26]Масличные!$A$29:$W$41,23,)</f>
        <v>0</v>
      </c>
      <c r="K58" s="93">
        <f>VLOOKUP(A58,[26]Масличные!$A$29:$AH$41,34,)</f>
        <v>0.22000000000000003</v>
      </c>
      <c r="L58" s="96">
        <f>VLOOKUP(A58,[26]Масличные!$A$29:$AS$41,45,)</f>
        <v>0.51</v>
      </c>
      <c r="M58" s="123">
        <f>VLOOKUP(A58,[26]Масличные!$A$29:$BD$41,56,)</f>
        <v>2.1</v>
      </c>
      <c r="N58" s="92">
        <f>VLOOKUP(A58,[26]Бобовые!$A$29:$L$41,12,)</f>
        <v>1.3199999999999998</v>
      </c>
      <c r="O58" s="96">
        <f>VLOOKUP(A58,[26]Бобовые!$A$29:$W$41,23,)</f>
        <v>0</v>
      </c>
      <c r="P58" s="96">
        <f>VLOOKUP(A58,[26]Бобовые!$A$29:$AH$41,34,)</f>
        <v>0</v>
      </c>
      <c r="Q58" s="117">
        <f>VLOOKUP(A58,[26]Овощи!$A$29:$L$41,12,)</f>
        <v>158.58000000000001</v>
      </c>
      <c r="R58" s="93">
        <f>VLOOKUP(A58,[26]Овощи!$A$29:$W$41,23,)</f>
        <v>185.83999999999997</v>
      </c>
      <c r="S58" s="93">
        <f>VLOOKUP(A58,[26]Овощи!$A$29:$AH$41,34,)</f>
        <v>196.51</v>
      </c>
      <c r="T58" s="93">
        <f>VLOOKUP(A58,[26]Овощи!$A$29:$AS$41,45,)</f>
        <v>207.62000000000003</v>
      </c>
      <c r="U58" s="93">
        <f>VLOOKUP(A58,[26]Овощи!$A$29:$BD$41,56,)</f>
        <v>188.74999999999997</v>
      </c>
      <c r="V58" s="93">
        <f>VLOOKUP(A58,[26]Овощи!$A$29:$BO$41,67,)</f>
        <v>180.54000000000002</v>
      </c>
      <c r="W58" s="123">
        <f>VLOOKUP(A58,[26]Овощи!$A$29:$BZ$41,78,FALSE)</f>
        <v>217.96999999999997</v>
      </c>
      <c r="X58" s="92">
        <f>VLOOKUP(A58,[26]Бахчевые!$A$29:$L$41,12,FALSE)</f>
        <v>222.45</v>
      </c>
      <c r="Y58" s="123">
        <f>VLOOKUP(A58,[26]Бахчевые!$A$29:$W$41,23,)</f>
        <v>169.5</v>
      </c>
    </row>
    <row r="59" spans="1:25">
      <c r="A59" s="104" t="s">
        <v>50</v>
      </c>
      <c r="B59" s="92">
        <f>VLOOKUP(A59,[26]Зерновые!$A$29:$L$41,12,)</f>
        <v>4.18</v>
      </c>
      <c r="C59" s="93">
        <f>VLOOKUP(A59,[26]Зерновые!$A$29:$W$41,23,)</f>
        <v>3.95</v>
      </c>
      <c r="D59" s="93">
        <f>VLOOKUP(A59,[26]Зерновые!$A$29:$AH$41,34,)</f>
        <v>1.02</v>
      </c>
      <c r="E59" s="93">
        <f>VLOOKUP(A59,[26]Зерновые!$A$29:$AS$41,45,)</f>
        <v>2.89</v>
      </c>
      <c r="F59" s="96">
        <f>VLOOKUP(A59,[26]Зерновые!$A$29:$BD$41,56,)</f>
        <v>0</v>
      </c>
      <c r="G59" s="96">
        <f>VLOOKUP(A59,[26]Зерновые!$A$29:$BO$41,67,FALSE)</f>
        <v>0</v>
      </c>
      <c r="H59" s="132">
        <f>VLOOKUP(A59,[26]Зерновые!$A$29:$BZ$41,78,)</f>
        <v>0</v>
      </c>
      <c r="I59" s="92">
        <f>VLOOKUP(A59,[26]Масличные!$A$29:$L$41,12,FALSE)</f>
        <v>1.65</v>
      </c>
      <c r="J59" s="96">
        <f>VLOOKUP(A59,[26]Масличные!$A$29:$W$41,23,)</f>
        <v>0</v>
      </c>
      <c r="K59" s="93">
        <f>VLOOKUP(A59,[26]Масличные!$A$29:$AH$41,34,)</f>
        <v>0</v>
      </c>
      <c r="L59" s="96">
        <f>VLOOKUP(A59,[26]Масличные!$A$29:$AS$41,45,)</f>
        <v>0</v>
      </c>
      <c r="M59" s="123">
        <f>VLOOKUP(A59,[26]Масличные!$A$29:$BD$41,56,)</f>
        <v>0</v>
      </c>
      <c r="N59" s="92">
        <f>VLOOKUP(A59,[26]Бобовые!$A$29:$L$41,12,)</f>
        <v>0</v>
      </c>
      <c r="O59" s="96">
        <f>VLOOKUP(A59,[26]Бобовые!$A$29:$W$41,23,)</f>
        <v>0</v>
      </c>
      <c r="P59" s="96">
        <f>VLOOKUP(A59,[26]Бобовые!$A$29:$AH$41,34,)</f>
        <v>0</v>
      </c>
      <c r="Q59" s="117">
        <f>VLOOKUP(A59,[26]Овощи!$A$29:$L$41,12,)</f>
        <v>114.85999999999999</v>
      </c>
      <c r="R59" s="93">
        <f>VLOOKUP(A59,[26]Овощи!$A$29:$W$41,23,)</f>
        <v>131.63</v>
      </c>
      <c r="S59" s="93">
        <f>VLOOKUP(A59,[26]Овощи!$A$29:$AH$41,34,)</f>
        <v>118.97</v>
      </c>
      <c r="T59" s="93">
        <f>VLOOKUP(A59,[26]Овощи!$A$29:$AS$41,45,)</f>
        <v>123.53999999999999</v>
      </c>
      <c r="U59" s="93">
        <f>VLOOKUP(A59,[26]Овощи!$A$29:$BD$41,56,)</f>
        <v>125.35000000000002</v>
      </c>
      <c r="V59" s="93">
        <f>VLOOKUP(A59,[26]Овощи!$A$29:$BO$41,67,)</f>
        <v>126.38</v>
      </c>
      <c r="W59" s="123">
        <f>VLOOKUP(A59,[26]Овощи!$A$29:$BZ$41,78,FALSE)</f>
        <v>131.35</v>
      </c>
      <c r="X59" s="92">
        <f>VLOOKUP(A59,[26]Бахчевые!$A$29:$L$41,12,FALSE)</f>
        <v>143.32</v>
      </c>
      <c r="Y59" s="123">
        <f>VLOOKUP(A59,[26]Бахчевые!$A$29:$W$41,23,)</f>
        <v>143.5</v>
      </c>
    </row>
    <row r="60" spans="1:25">
      <c r="A60" s="104" t="s">
        <v>53</v>
      </c>
      <c r="B60" s="92">
        <f>VLOOKUP(A60,[26]Зерновые!$A$29:$L$41,12,)</f>
        <v>0.91999999999999993</v>
      </c>
      <c r="C60" s="93">
        <f>VLOOKUP(A60,[26]Зерновые!$A$29:$W$41,23,)</f>
        <v>1.83</v>
      </c>
      <c r="D60" s="93">
        <f>VLOOKUP(A60,[26]Зерновые!$A$29:$AH$41,34,)</f>
        <v>0</v>
      </c>
      <c r="E60" s="93">
        <f>VLOOKUP(A60,[26]Зерновые!$A$29:$AS$41,45,)</f>
        <v>3.7199999999999998</v>
      </c>
      <c r="F60" s="96">
        <f>VLOOKUP(A60,[26]Зерновые!$A$29:$BD$41,56,)</f>
        <v>0</v>
      </c>
      <c r="G60" s="96">
        <f>VLOOKUP(A60,[26]Зерновые!$A$29:$BO$41,67,FALSE)</f>
        <v>0</v>
      </c>
      <c r="H60" s="132">
        <f>VLOOKUP(A60,[26]Зерновые!$A$29:$BZ$41,78,)</f>
        <v>0</v>
      </c>
      <c r="I60" s="92">
        <f>VLOOKUP(A60,[26]Масличные!$A$29:$L$41,12,FALSE)</f>
        <v>0.5</v>
      </c>
      <c r="J60" s="96">
        <f>VLOOKUP(A60,[26]Масличные!$A$29:$W$41,23,)</f>
        <v>0</v>
      </c>
      <c r="K60" s="93">
        <f>VLOOKUP(A60,[26]Масличные!$A$29:$AH$41,34,)</f>
        <v>0</v>
      </c>
      <c r="L60" s="96">
        <f>VLOOKUP(A60,[26]Масличные!$A$29:$AS$41,45,)</f>
        <v>0</v>
      </c>
      <c r="M60" s="123">
        <f>VLOOKUP(A60,[26]Масличные!$A$29:$BD$41,56,)</f>
        <v>1.2</v>
      </c>
      <c r="N60" s="92">
        <f>VLOOKUP(A60,[26]Бобовые!$A$29:$L$41,12,)</f>
        <v>0</v>
      </c>
      <c r="O60" s="96">
        <f>VLOOKUP(A60,[26]Бобовые!$A$29:$W$41,23,)</f>
        <v>0</v>
      </c>
      <c r="P60" s="96">
        <f>VLOOKUP(A60,[26]Бобовые!$A$29:$AH$41,34,)</f>
        <v>0</v>
      </c>
      <c r="Q60" s="117">
        <f>VLOOKUP(A60,[26]Овощи!$A$29:$L$41,12,)</f>
        <v>101.49</v>
      </c>
      <c r="R60" s="93">
        <f>VLOOKUP(A60,[26]Овощи!$A$29:$W$41,23,)</f>
        <v>126.41000000000001</v>
      </c>
      <c r="S60" s="93">
        <f>VLOOKUP(A60,[26]Овощи!$A$29:$AH$41,34,)</f>
        <v>124.62</v>
      </c>
      <c r="T60" s="93">
        <f>VLOOKUP(A60,[26]Овощи!$A$29:$AS$41,45,)</f>
        <v>80.349999999999994</v>
      </c>
      <c r="U60" s="93">
        <f>VLOOKUP(A60,[26]Овощи!$A$29:$BD$41,56,)</f>
        <v>155.07</v>
      </c>
      <c r="V60" s="93">
        <f>VLOOKUP(A60,[26]Овощи!$A$29:$BO$41,67,)</f>
        <v>149.82</v>
      </c>
      <c r="W60" s="123">
        <f>VLOOKUP(A60,[26]Овощи!$A$29:$BZ$41,78,FALSE)</f>
        <v>156.26000000000002</v>
      </c>
      <c r="X60" s="92">
        <f>VLOOKUP(A60,[26]Бахчевые!$A$29:$L$41,12,FALSE)</f>
        <v>206.37999999999997</v>
      </c>
      <c r="Y60" s="123">
        <f>VLOOKUP(A60,[26]Бахчевые!$A$29:$W$41,23,)</f>
        <v>213.15</v>
      </c>
    </row>
    <row r="61" spans="1:25">
      <c r="A61" s="104" t="s">
        <v>52</v>
      </c>
      <c r="B61" s="92">
        <f>VLOOKUP(A61,[26]Зерновые!$A$29:$L$41,12,)</f>
        <v>3.5</v>
      </c>
      <c r="C61" s="93">
        <f>VLOOKUP(A61,[26]Зерновые!$A$29:$W$41,23,)</f>
        <v>4.8900000000000006</v>
      </c>
      <c r="D61" s="93">
        <f>VLOOKUP(A61,[26]Зерновые!$A$29:$AH$41,34,)</f>
        <v>0</v>
      </c>
      <c r="E61" s="93">
        <f>VLOOKUP(A61,[26]Зерновые!$A$29:$AS$41,45,)</f>
        <v>3.97</v>
      </c>
      <c r="F61" s="96">
        <f>VLOOKUP(A61,[26]Зерновые!$A$29:$BD$41,56,)</f>
        <v>0</v>
      </c>
      <c r="G61" s="96">
        <f>VLOOKUP(A61,[26]Зерновые!$A$29:$BO$41,67,FALSE)</f>
        <v>0</v>
      </c>
      <c r="H61" s="132">
        <f>VLOOKUP(A61,[26]Зерновые!$A$29:$BZ$41,78,)</f>
        <v>0</v>
      </c>
      <c r="I61" s="92">
        <f>VLOOKUP(A61,[26]Масличные!$A$29:$L$41,12,FALSE)</f>
        <v>0.63</v>
      </c>
      <c r="J61" s="96">
        <f>VLOOKUP(A61,[26]Масличные!$A$29:$W$41,23,)</f>
        <v>0</v>
      </c>
      <c r="K61" s="93">
        <f>VLOOKUP(A61,[26]Масличные!$A$29:$AH$41,34,)</f>
        <v>0</v>
      </c>
      <c r="L61" s="96">
        <f>VLOOKUP(A61,[26]Масличные!$A$29:$AS$41,45,)</f>
        <v>0</v>
      </c>
      <c r="M61" s="123">
        <f>VLOOKUP(A61,[26]Масличные!$A$29:$BD$41,56,)</f>
        <v>0</v>
      </c>
      <c r="N61" s="92">
        <f>VLOOKUP(A61,[26]Бобовые!$A$29:$L$41,12,)</f>
        <v>0</v>
      </c>
      <c r="O61" s="96">
        <f>VLOOKUP(A61,[26]Бобовые!$A$29:$W$41,23,)</f>
        <v>0</v>
      </c>
      <c r="P61" s="96">
        <f>VLOOKUP(A61,[26]Бобовые!$A$29:$AH$41,34,)</f>
        <v>0</v>
      </c>
      <c r="Q61" s="117">
        <f>VLOOKUP(A61,[26]Овощи!$A$29:$L$41,12,)</f>
        <v>106.22</v>
      </c>
      <c r="R61" s="93">
        <f>VLOOKUP(A61,[26]Овощи!$A$29:$W$41,23,)</f>
        <v>149.78000000000003</v>
      </c>
      <c r="S61" s="93">
        <f>VLOOKUP(A61,[26]Овощи!$A$29:$AH$41,34,)</f>
        <v>160.21999999999997</v>
      </c>
      <c r="T61" s="93">
        <f>VLOOKUP(A61,[26]Овощи!$A$29:$AS$41,45,)</f>
        <v>140.53</v>
      </c>
      <c r="U61" s="93">
        <f>VLOOKUP(A61,[26]Овощи!$A$29:$BD$41,56,)</f>
        <v>148.87</v>
      </c>
      <c r="V61" s="93">
        <f>VLOOKUP(A61,[26]Овощи!$A$29:$BO$41,67,)</f>
        <v>144.4</v>
      </c>
      <c r="W61" s="123">
        <f>VLOOKUP(A61,[26]Овощи!$A$29:$BZ$41,78,FALSE)</f>
        <v>80.02000000000001</v>
      </c>
      <c r="X61" s="92">
        <f>VLOOKUP(A61,[26]Бахчевые!$A$29:$L$41,12,FALSE)</f>
        <v>162.77000000000001</v>
      </c>
      <c r="Y61" s="123">
        <f>VLOOKUP(A61,[26]Бахчевые!$A$29:$W$41,23,)</f>
        <v>0</v>
      </c>
    </row>
    <row r="62" spans="1:25">
      <c r="A62" s="104" t="s">
        <v>46</v>
      </c>
      <c r="B62" s="92">
        <f>VLOOKUP(A62,[26]Зерновые!$A$29:$L$41,12,)</f>
        <v>6.31</v>
      </c>
      <c r="C62" s="93">
        <f>VLOOKUP(A62,[26]Зерновые!$A$29:$W$41,23,)</f>
        <v>6.81</v>
      </c>
      <c r="D62" s="93">
        <f>VLOOKUP(A62,[26]Зерновые!$A$29:$AH$41,34,)</f>
        <v>4.54</v>
      </c>
      <c r="E62" s="93">
        <f>VLOOKUP(A62,[26]Зерновые!$A$29:$AS$41,45,)</f>
        <v>6</v>
      </c>
      <c r="F62" s="96">
        <f>VLOOKUP(A62,[26]Зерновые!$A$29:$BD$41,56,)</f>
        <v>0</v>
      </c>
      <c r="G62" s="96">
        <f>VLOOKUP(A62,[26]Зерновые!$A$29:$BO$41,67,FALSE)</f>
        <v>0</v>
      </c>
      <c r="H62" s="132">
        <f>VLOOKUP(A62,[26]Зерновые!$A$29:$BZ$41,78,)</f>
        <v>0</v>
      </c>
      <c r="I62" s="92">
        <f>VLOOKUP(A62,[26]Масличные!$A$29:$L$41,12,FALSE)</f>
        <v>5.77</v>
      </c>
      <c r="J62" s="96">
        <f>VLOOKUP(A62,[26]Масличные!$A$29:$W$41,23,)</f>
        <v>0</v>
      </c>
      <c r="K62" s="93">
        <f>VLOOKUP(A62,[26]Масличные!$A$29:$AH$41,34,)</f>
        <v>0.72</v>
      </c>
      <c r="L62" s="96">
        <f>VLOOKUP(A62,[26]Масличные!$A$29:$AS$41,45,)</f>
        <v>0</v>
      </c>
      <c r="M62" s="123">
        <f>VLOOKUP(A62,[26]Масличные!$A$29:$BD$41,56,)</f>
        <v>0</v>
      </c>
      <c r="N62" s="92">
        <f>VLOOKUP(A62,[26]Бобовые!$A$29:$L$41,12,)</f>
        <v>0.63</v>
      </c>
      <c r="O62" s="96">
        <f>VLOOKUP(A62,[26]Бобовые!$A$29:$W$41,23,)</f>
        <v>0</v>
      </c>
      <c r="P62" s="96">
        <f>VLOOKUP(A62,[26]Бобовые!$A$29:$AH$41,34,)</f>
        <v>0</v>
      </c>
      <c r="Q62" s="117">
        <f>VLOOKUP(A62,[26]Овощи!$A$29:$L$41,12,)</f>
        <v>114.27000000000002</v>
      </c>
      <c r="R62" s="93">
        <f>VLOOKUP(A62,[26]Овощи!$A$29:$W$41,23,)</f>
        <v>151.66000000000003</v>
      </c>
      <c r="S62" s="93">
        <f>VLOOKUP(A62,[26]Овощи!$A$29:$AH$41,34,)</f>
        <v>137.85</v>
      </c>
      <c r="T62" s="93">
        <f>VLOOKUP(A62,[26]Овощи!$A$29:$AS$41,45,)</f>
        <v>138.33000000000004</v>
      </c>
      <c r="U62" s="93">
        <f>VLOOKUP(A62,[26]Овощи!$A$29:$BD$41,56,)</f>
        <v>138.31</v>
      </c>
      <c r="V62" s="93">
        <f>VLOOKUP(A62,[26]Овощи!$A$29:$BO$41,67,)</f>
        <v>134.54000000000002</v>
      </c>
      <c r="W62" s="123">
        <f>VLOOKUP(A62,[26]Овощи!$A$29:$BZ$41,78,FALSE)</f>
        <v>147.14000000000001</v>
      </c>
      <c r="X62" s="92">
        <f>VLOOKUP(A62,[26]Бахчевые!$A$29:$L$41,12,FALSE)</f>
        <v>127.17</v>
      </c>
      <c r="Y62" s="123">
        <f>VLOOKUP(A62,[26]Бахчевые!$A$29:$W$41,23,)</f>
        <v>35.33</v>
      </c>
    </row>
    <row r="63" spans="1:25">
      <c r="A63" s="104" t="s">
        <v>51</v>
      </c>
      <c r="B63" s="92">
        <f>VLOOKUP(A63,[26]Зерновые!$A$29:$L$41,12,)</f>
        <v>0</v>
      </c>
      <c r="C63" s="93">
        <f>VLOOKUP(A63,[26]Зерновые!$A$29:$W$41,23,)</f>
        <v>0.28999999999999998</v>
      </c>
      <c r="D63" s="93">
        <f>VLOOKUP(A63,[26]Зерновые!$A$29:$AH$41,34,)</f>
        <v>0</v>
      </c>
      <c r="E63" s="93">
        <f>VLOOKUP(A63,[26]Зерновые!$A$29:$AS$41,45,)</f>
        <v>0</v>
      </c>
      <c r="F63" s="96">
        <f>VLOOKUP(A63,[26]Зерновые!$A$29:$BD$41,56,)</f>
        <v>0</v>
      </c>
      <c r="G63" s="96">
        <f>VLOOKUP(A63,[26]Зерновые!$A$29:$BO$41,67,FALSE)</f>
        <v>0</v>
      </c>
      <c r="H63" s="132">
        <f>VLOOKUP(A63,[26]Зерновые!$A$29:$BZ$41,78,)</f>
        <v>0</v>
      </c>
      <c r="I63" s="92">
        <f>VLOOKUP(A63,[26]Масличные!$A$29:$L$41,12,FALSE)</f>
        <v>0.80999999999999994</v>
      </c>
      <c r="J63" s="96">
        <f>VLOOKUP(A63,[26]Масличные!$A$29:$W$41,23,)</f>
        <v>0</v>
      </c>
      <c r="K63" s="93">
        <f>VLOOKUP(A63,[26]Масличные!$A$29:$AH$41,34,)</f>
        <v>0</v>
      </c>
      <c r="L63" s="96">
        <f>VLOOKUP(A63,[26]Масличные!$A$29:$AS$41,45,)</f>
        <v>0</v>
      </c>
      <c r="M63" s="123">
        <f>VLOOKUP(A63,[26]Масличные!$A$29:$BD$41,56,)</f>
        <v>0</v>
      </c>
      <c r="N63" s="92">
        <f>VLOOKUP(A63,[26]Бобовые!$A$29:$L$41,12,)</f>
        <v>0</v>
      </c>
      <c r="O63" s="96">
        <f>VLOOKUP(A63,[26]Бобовые!$A$29:$W$41,23,)</f>
        <v>0</v>
      </c>
      <c r="P63" s="96">
        <f>VLOOKUP(A63,[26]Бобовые!$A$29:$AH$41,34,)</f>
        <v>0</v>
      </c>
      <c r="Q63" s="117">
        <f>VLOOKUP(A63,[26]Овощи!$A$29:$L$41,12,)</f>
        <v>119.95</v>
      </c>
      <c r="R63" s="93">
        <f>VLOOKUP(A63,[26]Овощи!$A$29:$W$41,23,)</f>
        <v>147.71</v>
      </c>
      <c r="S63" s="93">
        <f>VLOOKUP(A63,[26]Овощи!$A$29:$AH$41,34,)</f>
        <v>154.07999999999998</v>
      </c>
      <c r="T63" s="93">
        <f>VLOOKUP(A63,[26]Овощи!$A$29:$AS$41,45,)</f>
        <v>149.65</v>
      </c>
      <c r="U63" s="93">
        <f>VLOOKUP(A63,[26]Овощи!$A$29:$BD$41,56,)</f>
        <v>156.23999999999998</v>
      </c>
      <c r="V63" s="93">
        <f>VLOOKUP(A63,[26]Овощи!$A$29:$BO$41,67,)</f>
        <v>151.34000000000003</v>
      </c>
      <c r="W63" s="123">
        <f>VLOOKUP(A63,[26]Овощи!$A$29:$BZ$41,78,FALSE)</f>
        <v>149.72</v>
      </c>
      <c r="X63" s="92">
        <f>VLOOKUP(A63,[26]Бахчевые!$A$29:$L$41,12,FALSE)</f>
        <v>171.31</v>
      </c>
      <c r="Y63" s="123">
        <f>VLOOKUP(A63,[26]Бахчевые!$A$29:$W$41,23,)</f>
        <v>180.69</v>
      </c>
    </row>
    <row r="64" spans="1:25" ht="13.8" thickBot="1">
      <c r="A64" s="107" t="s">
        <v>47</v>
      </c>
      <c r="B64" s="98">
        <f>VLOOKUP(A64,[26]Зерновые!$A$29:$L$41,12,)</f>
        <v>0</v>
      </c>
      <c r="C64" s="99">
        <f>VLOOKUP(A64,[26]Зерновые!$A$29:$W$41,23,)</f>
        <v>0</v>
      </c>
      <c r="D64" s="99">
        <f>VLOOKUP(A64,[26]Зерновые!$A$29:$AH$41,34,)</f>
        <v>0</v>
      </c>
      <c r="E64" s="99">
        <f>VLOOKUP(A64,[26]Зерновые!$A$29:$AS$41,45,)</f>
        <v>0.3</v>
      </c>
      <c r="F64" s="103">
        <f>VLOOKUP(A64,[26]Зерновые!$A$29:$BD$41,56,)</f>
        <v>0</v>
      </c>
      <c r="G64" s="103">
        <f>VLOOKUP(A64,[26]Зерновые!$A$29:$BO$41,67,FALSE)</f>
        <v>0</v>
      </c>
      <c r="H64" s="133">
        <f>VLOOKUP(A64,[26]Зерновые!$A$29:$BZ$41,78,)</f>
        <v>0</v>
      </c>
      <c r="I64" s="98">
        <f>VLOOKUP(A64,[26]Масличные!$A$29:$L$41,12,FALSE)</f>
        <v>0</v>
      </c>
      <c r="J64" s="103">
        <f>VLOOKUP(A64,[26]Масличные!$A$29:$W$41,23,)</f>
        <v>0</v>
      </c>
      <c r="K64" s="99">
        <f>VLOOKUP(A64,[26]Масличные!$A$29:$AH$41,34,)</f>
        <v>0</v>
      </c>
      <c r="L64" s="103">
        <f>VLOOKUP(A64,[26]Масличные!$A$29:$AS$41,45,)</f>
        <v>0</v>
      </c>
      <c r="M64" s="124">
        <f>VLOOKUP(A64,[26]Масличные!$A$29:$BD$41,56,)</f>
        <v>0</v>
      </c>
      <c r="N64" s="98">
        <f>VLOOKUP(A64,[26]Бобовые!$A$29:$L$41,12,)</f>
        <v>0</v>
      </c>
      <c r="O64" s="103">
        <f>VLOOKUP(A64,[26]Бобовые!$A$29:$W$41,23,)</f>
        <v>0</v>
      </c>
      <c r="P64" s="103">
        <f>VLOOKUP(A64,[26]Бобовые!$A$29:$AH$41,34,)</f>
        <v>0</v>
      </c>
      <c r="Q64" s="126">
        <f>VLOOKUP(A64,[26]Овощи!$A$29:$L$41,12,)</f>
        <v>107.26000000000002</v>
      </c>
      <c r="R64" s="99">
        <f>VLOOKUP(A64,[26]Овощи!$A$29:$W$41,23,)</f>
        <v>104.63</v>
      </c>
      <c r="S64" s="99">
        <f>VLOOKUP(A64,[26]Овощи!$A$29:$AH$41,34,)</f>
        <v>105.1</v>
      </c>
      <c r="T64" s="99">
        <f>VLOOKUP(A64,[26]Овощи!$A$29:$AS$41,45,)</f>
        <v>135.09</v>
      </c>
      <c r="U64" s="99">
        <f>VLOOKUP(A64,[26]Овощи!$A$29:$BD$41,56,)</f>
        <v>112.66</v>
      </c>
      <c r="V64" s="99">
        <f>VLOOKUP(A64,[26]Овощи!$A$29:$BO$41,67,)</f>
        <v>108.41999999999999</v>
      </c>
      <c r="W64" s="124">
        <f>VLOOKUP(A64,[26]Овощи!$A$29:$BZ$41,78,FALSE)</f>
        <v>114.77000000000001</v>
      </c>
      <c r="X64" s="98">
        <f>VLOOKUP(A64,[26]Бахчевые!$A$29:$L$41,12,FALSE)</f>
        <v>167.3</v>
      </c>
      <c r="Y64" s="124">
        <f>VLOOKUP(A64,[26]Бахчевые!$A$29:$W$41,23,)</f>
        <v>179.42000000000002</v>
      </c>
    </row>
    <row r="65" spans="1:25">
      <c r="A65" s="172"/>
      <c r="B65" s="90"/>
      <c r="C65" s="90"/>
      <c r="D65" s="90"/>
      <c r="E65" s="90"/>
      <c r="F65" s="173"/>
      <c r="G65" s="173"/>
      <c r="H65" s="173"/>
      <c r="I65" s="90"/>
      <c r="J65" s="173"/>
      <c r="K65" s="90"/>
      <c r="L65" s="173"/>
      <c r="M65" s="90"/>
      <c r="N65" s="90"/>
      <c r="O65" s="173"/>
      <c r="P65" s="173"/>
      <c r="Q65" s="90"/>
      <c r="R65" s="90"/>
      <c r="S65" s="90"/>
      <c r="T65" s="90"/>
      <c r="U65" s="90"/>
      <c r="V65" s="90"/>
      <c r="W65" s="90"/>
      <c r="X65" s="90"/>
      <c r="Y65" s="90"/>
    </row>
    <row r="66" spans="1:25">
      <c r="A66" s="172"/>
      <c r="B66" s="90"/>
      <c r="C66" s="90"/>
      <c r="D66" s="90"/>
      <c r="E66" s="90"/>
      <c r="F66" s="173"/>
      <c r="G66" s="173"/>
      <c r="H66" s="173"/>
      <c r="I66" s="90"/>
      <c r="J66" s="173"/>
      <c r="K66" s="90"/>
      <c r="L66" s="173"/>
      <c r="M66" s="90"/>
      <c r="N66" s="90"/>
      <c r="O66" s="173"/>
      <c r="P66" s="173"/>
      <c r="Q66" s="90"/>
      <c r="R66" s="90"/>
      <c r="S66" s="90"/>
      <c r="T66" s="90"/>
      <c r="U66" s="90"/>
      <c r="V66" s="90"/>
      <c r="W66" s="90"/>
      <c r="X66" s="90"/>
      <c r="Y66" s="90"/>
    </row>
    <row r="67" spans="1:25">
      <c r="A67" s="172"/>
      <c r="B67" s="90"/>
      <c r="C67" s="90"/>
      <c r="D67" s="90"/>
      <c r="E67" s="90"/>
      <c r="F67" s="173"/>
      <c r="G67" s="173"/>
      <c r="H67" s="173"/>
      <c r="I67" s="90"/>
      <c r="J67" s="173"/>
      <c r="K67" s="90"/>
      <c r="L67" s="173"/>
      <c r="M67" s="90"/>
      <c r="N67" s="90"/>
      <c r="O67" s="173"/>
      <c r="P67" s="173"/>
      <c r="Q67" s="90"/>
      <c r="R67" s="90"/>
      <c r="S67" s="90"/>
      <c r="T67" s="90"/>
      <c r="U67" s="90"/>
      <c r="V67" s="90"/>
      <c r="W67" s="90"/>
      <c r="X67" s="90"/>
      <c r="Y67" s="90"/>
    </row>
    <row r="68" spans="1:25">
      <c r="A68" s="172"/>
      <c r="B68" s="90"/>
      <c r="C68" s="90"/>
      <c r="D68" s="90"/>
      <c r="E68" s="90"/>
      <c r="F68" s="173"/>
      <c r="G68" s="173"/>
      <c r="H68" s="173"/>
      <c r="I68" s="90"/>
      <c r="J68" s="173"/>
      <c r="K68" s="90"/>
      <c r="L68" s="173"/>
      <c r="M68" s="90"/>
      <c r="N68" s="90"/>
      <c r="O68" s="173"/>
      <c r="P68" s="173"/>
      <c r="Q68" s="90"/>
      <c r="R68" s="90"/>
      <c r="S68" s="90"/>
      <c r="T68" s="90"/>
      <c r="U68" s="90"/>
      <c r="V68" s="90"/>
      <c r="W68" s="90"/>
      <c r="X68" s="90"/>
      <c r="Y68" s="90"/>
    </row>
    <row r="69" spans="1:25">
      <c r="A69" s="172"/>
      <c r="B69" s="90"/>
      <c r="C69" s="90"/>
      <c r="D69" s="90"/>
      <c r="E69" s="90"/>
      <c r="F69" s="173"/>
      <c r="G69" s="173"/>
      <c r="H69" s="173"/>
      <c r="I69" s="90"/>
      <c r="J69" s="173"/>
      <c r="K69" s="90"/>
      <c r="L69" s="173"/>
      <c r="M69" s="90"/>
      <c r="N69" s="90"/>
      <c r="O69" s="173"/>
      <c r="P69" s="173"/>
      <c r="Q69" s="90"/>
      <c r="R69" s="90"/>
      <c r="S69" s="90"/>
      <c r="T69" s="90"/>
      <c r="U69" s="90"/>
      <c r="V69" s="90"/>
      <c r="W69" s="90"/>
      <c r="X69" s="90"/>
      <c r="Y69" s="90"/>
    </row>
    <row r="70" spans="1:25">
      <c r="A70" s="172"/>
      <c r="B70" s="90"/>
      <c r="C70" s="90"/>
      <c r="D70" s="90"/>
      <c r="E70" s="90"/>
      <c r="F70" s="173"/>
      <c r="G70" s="173"/>
      <c r="H70" s="173"/>
      <c r="I70" s="90"/>
      <c r="J70" s="173"/>
      <c r="K70" s="90"/>
      <c r="L70" s="173"/>
      <c r="M70" s="90"/>
      <c r="N70" s="90"/>
      <c r="O70" s="173"/>
      <c r="P70" s="173"/>
      <c r="Q70" s="90"/>
      <c r="R70" s="90"/>
      <c r="S70" s="90"/>
      <c r="T70" s="90"/>
      <c r="U70" s="90"/>
      <c r="V70" s="90"/>
      <c r="W70" s="90"/>
      <c r="X70" s="90"/>
      <c r="Y70" s="90"/>
    </row>
    <row r="71" spans="1:25">
      <c r="A71" s="172"/>
      <c r="B71" s="90"/>
      <c r="C71" s="90"/>
      <c r="D71" s="90"/>
      <c r="E71" s="90"/>
      <c r="F71" s="173"/>
      <c r="G71" s="173"/>
      <c r="H71" s="173"/>
      <c r="I71" s="90"/>
      <c r="J71" s="173"/>
      <c r="K71" s="90"/>
      <c r="L71" s="173"/>
      <c r="M71" s="90"/>
      <c r="N71" s="90"/>
      <c r="O71" s="173"/>
      <c r="P71" s="173"/>
      <c r="Q71" s="90"/>
      <c r="R71" s="90"/>
      <c r="S71" s="90"/>
      <c r="T71" s="90"/>
      <c r="U71" s="90"/>
      <c r="V71" s="90"/>
      <c r="W71" s="90"/>
      <c r="X71" s="90"/>
      <c r="Y71" s="90"/>
    </row>
    <row r="72" spans="1:25" ht="13.8" thickBot="1">
      <c r="A72" s="91"/>
      <c r="B72" s="90"/>
      <c r="C72" s="90"/>
      <c r="D72" s="90"/>
      <c r="E72" s="90"/>
      <c r="F72" s="90"/>
      <c r="G72" s="90"/>
      <c r="H72" s="90"/>
    </row>
    <row r="73" spans="1:25">
      <c r="A73" s="808" t="s">
        <v>275</v>
      </c>
      <c r="B73" s="805" t="s">
        <v>269</v>
      </c>
      <c r="C73" s="806"/>
      <c r="D73" s="806"/>
      <c r="E73" s="806"/>
      <c r="F73" s="806"/>
      <c r="G73" s="806"/>
      <c r="H73" s="807"/>
      <c r="I73" s="799" t="s">
        <v>316</v>
      </c>
      <c r="J73" s="800"/>
      <c r="K73" s="800"/>
      <c r="L73" s="800"/>
      <c r="M73" s="801"/>
      <c r="N73" s="799" t="s">
        <v>317</v>
      </c>
      <c r="O73" s="800"/>
      <c r="P73" s="800"/>
      <c r="Q73" s="802" t="s">
        <v>322</v>
      </c>
      <c r="R73" s="803"/>
      <c r="S73" s="803"/>
      <c r="T73" s="803"/>
      <c r="U73" s="803"/>
      <c r="V73" s="803"/>
      <c r="W73" s="804"/>
      <c r="X73" s="799" t="s">
        <v>330</v>
      </c>
      <c r="Y73" s="801"/>
    </row>
    <row r="74" spans="1:25" ht="20.399999999999999">
      <c r="A74" s="809"/>
      <c r="B74" s="119" t="s">
        <v>270</v>
      </c>
      <c r="C74" s="116" t="s">
        <v>83</v>
      </c>
      <c r="D74" s="116" t="s">
        <v>84</v>
      </c>
      <c r="E74" s="116" t="s">
        <v>271</v>
      </c>
      <c r="F74" s="116" t="s">
        <v>272</v>
      </c>
      <c r="G74" s="116" t="s">
        <v>314</v>
      </c>
      <c r="H74" s="120" t="s">
        <v>273</v>
      </c>
      <c r="I74" s="119" t="s">
        <v>243</v>
      </c>
      <c r="J74" s="116" t="s">
        <v>244</v>
      </c>
      <c r="K74" s="116" t="s">
        <v>258</v>
      </c>
      <c r="L74" s="116" t="s">
        <v>315</v>
      </c>
      <c r="M74" s="120" t="s">
        <v>245</v>
      </c>
      <c r="N74" s="119" t="s">
        <v>318</v>
      </c>
      <c r="O74" s="116" t="s">
        <v>319</v>
      </c>
      <c r="P74" s="116" t="s">
        <v>320</v>
      </c>
      <c r="Q74" s="119" t="s">
        <v>323</v>
      </c>
      <c r="R74" s="116" t="s">
        <v>324</v>
      </c>
      <c r="S74" s="116" t="s">
        <v>325</v>
      </c>
      <c r="T74" s="116" t="s">
        <v>326</v>
      </c>
      <c r="U74" s="116" t="s">
        <v>327</v>
      </c>
      <c r="V74" s="116" t="s">
        <v>328</v>
      </c>
      <c r="W74" s="120" t="s">
        <v>329</v>
      </c>
      <c r="X74" s="119" t="s">
        <v>331</v>
      </c>
      <c r="Y74" s="120" t="s">
        <v>332</v>
      </c>
    </row>
    <row r="75" spans="1:25">
      <c r="A75" s="104" t="s">
        <v>100</v>
      </c>
      <c r="B75" s="92">
        <f>VLOOKUP(A75,[26]Зерновые!$A$46:$L$64,12,)</f>
        <v>16.065230000000003</v>
      </c>
      <c r="C75" s="93">
        <f>VLOOKUP(A75,[26]Зерновые!$A$46:$W$64,23,)</f>
        <v>14.851819999999998</v>
      </c>
      <c r="D75" s="93">
        <f>VLOOKUP(A75,[26]Зерновые!$A$46:$AH$64,34,)</f>
        <v>0.78473999999999999</v>
      </c>
      <c r="E75" s="93">
        <f>VLOOKUP(A75,[26]Зерновые!$A$46:$AS$46,45,)</f>
        <v>0</v>
      </c>
      <c r="F75" s="93">
        <f>VLOOKUP(A75,[26]Зерновые!$A$46:$BD$64,56,)</f>
        <v>1.5</v>
      </c>
      <c r="G75" s="105">
        <f>VLOOKUP(A75,[26]Зерновые!$A$46:$BO$64,67,FALSE)</f>
        <v>32.955480000000001</v>
      </c>
      <c r="H75" s="127">
        <f>VLOOKUP(A75,[26]Зерновые!$A$46:$BZ$64,78,)</f>
        <v>0</v>
      </c>
      <c r="I75" s="111">
        <f>VLOOKUP(A75,[26]Масличные!$A$46:$L$64,12,)</f>
        <v>13.531610000000001</v>
      </c>
      <c r="J75" s="105">
        <f>VLOOKUP(A75,[26]Масличные!$A$46:$W$64,23,)</f>
        <v>1.05</v>
      </c>
      <c r="K75" s="163">
        <f>VLOOKUP(A75,[26]Масличные!$A$46:$AH$64,34,)</f>
        <v>0</v>
      </c>
      <c r="L75" s="105">
        <f>VLOOKUP(A75,[26]Масличные!$A$46:$AS$64,45,)</f>
        <v>0</v>
      </c>
      <c r="M75" s="127">
        <f>VLOOKUP(A75,[26]Масличные!$A$46:$BD$64,56,)</f>
        <v>11.623549999999998</v>
      </c>
      <c r="N75" s="111">
        <f>VLOOKUP(A75,[26]Бобовые!$A$46:$L$64,12,)</f>
        <v>0</v>
      </c>
      <c r="O75" s="105">
        <f>VLOOKUP(A75,[26]Бобовые!$A$46:$W$64,23,)</f>
        <v>0</v>
      </c>
      <c r="P75" s="105">
        <f>VLOOKUP(A75,[26]Бобовые!$A$46:$AH$64,34,)</f>
        <v>0</v>
      </c>
      <c r="Q75" s="111">
        <f>VLOOKUP(A75,[26]Овощи!$A$46:$L$64,12,)</f>
        <v>151.3407</v>
      </c>
      <c r="R75" s="105">
        <f>VLOOKUP(A75,[26]Овощи!$A$46:$W$64,23,)</f>
        <v>194.23182000000003</v>
      </c>
      <c r="S75" s="105">
        <f>VLOOKUP(A75,[26]Овощи!$A$46:$AH$64,34,)</f>
        <v>181.41901999999999</v>
      </c>
      <c r="T75" s="105">
        <f>VLOOKUP(A75,[26]Овощи!$A$46:$AS$64,45,)</f>
        <v>169.84383</v>
      </c>
      <c r="U75" s="105">
        <f>VLOOKUP(A75,[26]Овощи!$A$46:$BD$64,56,)</f>
        <v>169.65586000000002</v>
      </c>
      <c r="V75" s="105">
        <f>VLOOKUP(A75,[26]Овощи!$A$46:$BO$64,67,)</f>
        <v>173.21587999999997</v>
      </c>
      <c r="W75" s="127">
        <f>VLOOKUP(A75,[26]Овощи!$A$46:$BZ$64,78,)</f>
        <v>195.61669000000001</v>
      </c>
      <c r="X75" s="111">
        <f>VLOOKUP(A75,[26]Бахчевые!$A$46:$L$64,12,)</f>
        <v>157.55517</v>
      </c>
      <c r="Y75" s="127">
        <f>VLOOKUP(A75,[26]Бахчевые!$A$46:$W$64,23,)</f>
        <v>73.707689999999999</v>
      </c>
    </row>
    <row r="76" spans="1:25">
      <c r="A76" s="104" t="s">
        <v>101</v>
      </c>
      <c r="B76" s="92">
        <f>VLOOKUP(A76,[26]Зерновые!$A$46:$L$64,12,)</f>
        <v>16.45487</v>
      </c>
      <c r="C76" s="93">
        <f>VLOOKUP(A76,[26]Зерновые!$A$46:$W$64,23,)</f>
        <v>17.647069999999999</v>
      </c>
      <c r="D76" s="93">
        <f>VLOOKUP(A76,[26]Зерновые!$A$46:$AH$64,34,)</f>
        <v>13.572310000000002</v>
      </c>
      <c r="E76" s="93">
        <f>VLOOKUP(A76,[26]Зерновые!$A$47:$AS$47,45,)</f>
        <v>0</v>
      </c>
      <c r="F76" s="93">
        <f>VLOOKUP(A76,[26]Зерновые!$A$46:$BD$64,56,)</f>
        <v>9.4710000000000001</v>
      </c>
      <c r="G76" s="105">
        <f>VLOOKUP(A76,[26]Зерновые!$A$46:$BO$64,67,FALSE)</f>
        <v>51.823939999999993</v>
      </c>
      <c r="H76" s="127">
        <f>VLOOKUP(A76,[26]Зерновые!$A$46:$BZ$64,78,)</f>
        <v>0</v>
      </c>
      <c r="I76" s="111">
        <f>VLOOKUP(A76,[26]Масличные!$A$46:$L$64,12,)</f>
        <v>7.5665200000000015</v>
      </c>
      <c r="J76" s="105">
        <f>VLOOKUP(A76,[26]Масличные!$A$46:$W$64,23,)</f>
        <v>0.6</v>
      </c>
      <c r="K76" s="163">
        <f>VLOOKUP(A76,[26]Масличные!$A$46:$AH$64,34,)</f>
        <v>1</v>
      </c>
      <c r="L76" s="105">
        <f>VLOOKUP(A76,[26]Масличные!$A$46:$AS$64,45,)</f>
        <v>0</v>
      </c>
      <c r="M76" s="127">
        <f>VLOOKUP(A76,[26]Масличные!$A$46:$BD$64,56,)</f>
        <v>4.0996199999999998</v>
      </c>
      <c r="N76" s="111">
        <f>VLOOKUP(A76,[26]Бобовые!$A$46:$L$64,12,)</f>
        <v>0</v>
      </c>
      <c r="O76" s="105">
        <f>VLOOKUP(A76,[26]Бобовые!$A$46:$W$64,23,)</f>
        <v>1.27</v>
      </c>
      <c r="P76" s="105">
        <f>VLOOKUP(A76,[26]Бобовые!$A$46:$AH$64,34,)</f>
        <v>0</v>
      </c>
      <c r="Q76" s="111">
        <f>VLOOKUP(A76,[26]Овощи!$A$46:$L$64,12,)</f>
        <v>147.87640999999999</v>
      </c>
      <c r="R76" s="105">
        <f>VLOOKUP(A76,[26]Овощи!$A$46:$W$64,23,)</f>
        <v>162.40529999999998</v>
      </c>
      <c r="S76" s="105">
        <f>VLOOKUP(A76,[26]Овощи!$A$46:$AH$64,34,)</f>
        <v>164.57078999999999</v>
      </c>
      <c r="T76" s="105">
        <f>VLOOKUP(A76,[26]Овощи!$A$46:$AS$64,45,)</f>
        <v>148.11340000000001</v>
      </c>
      <c r="U76" s="105">
        <f>VLOOKUP(A76,[26]Овощи!$A$46:$BD$64,56,)</f>
        <v>150.90007</v>
      </c>
      <c r="V76" s="105">
        <f>VLOOKUP(A76,[26]Овощи!$A$46:$BO$64,67,)</f>
        <v>158.19254999999998</v>
      </c>
      <c r="W76" s="127">
        <f>VLOOKUP(A76,[26]Овощи!$A$46:$BZ$64,78,)</f>
        <v>169.76480999999998</v>
      </c>
      <c r="X76" s="111">
        <f>VLOOKUP(A76,[26]Бахчевые!$A$46:$L$64,12,)</f>
        <v>189.88486</v>
      </c>
      <c r="Y76" s="127">
        <f>VLOOKUP(A76,[26]Бахчевые!$A$46:$W$64,23,)</f>
        <v>186.24304000000001</v>
      </c>
    </row>
    <row r="77" spans="1:25">
      <c r="A77" s="104" t="s">
        <v>102</v>
      </c>
      <c r="B77" s="92">
        <f>VLOOKUP(A77,[26]Зерновые!$A$46:$L$64,12,)</f>
        <v>18.33005</v>
      </c>
      <c r="C77" s="93">
        <f>VLOOKUP(A77,[26]Зерновые!$A$46:$W$64,23,)</f>
        <v>16.469280000000001</v>
      </c>
      <c r="D77" s="93">
        <f>VLOOKUP(A77,[26]Зерновые!$A$46:$AH$64,34,)</f>
        <v>15.388</v>
      </c>
      <c r="E77" s="93">
        <f>VLOOKUP(A77,[26]Зерновые!$A$48:$AS$64,45,)</f>
        <v>1.7</v>
      </c>
      <c r="F77" s="93">
        <f>VLOOKUP(A77,[26]Зерновые!$A$46:$BD$64,56,)</f>
        <v>0</v>
      </c>
      <c r="G77" s="105">
        <f>VLOOKUP(A77,[26]Зерновые!$A$46:$BO$64,67,FALSE)</f>
        <v>41.771599999999999</v>
      </c>
      <c r="H77" s="127">
        <f>VLOOKUP(A77,[26]Зерновые!$A$46:$BZ$64,78,)</f>
        <v>37.280459999999998</v>
      </c>
      <c r="I77" s="111">
        <f>VLOOKUP(A77,[26]Масличные!$A$46:$L$64,12,)</f>
        <v>3.02</v>
      </c>
      <c r="J77" s="105">
        <f>VLOOKUP(A77,[26]Масличные!$A$46:$W$64,23,)</f>
        <v>0.35</v>
      </c>
      <c r="K77" s="163">
        <f>VLOOKUP(A77,[26]Масличные!$A$46:$AH$64,34,)</f>
        <v>0</v>
      </c>
      <c r="L77" s="105">
        <f>VLOOKUP(A77,[26]Масличные!$A$46:$AS$64,45,)</f>
        <v>0</v>
      </c>
      <c r="M77" s="127">
        <f>VLOOKUP(A77,[26]Масличные!$A$46:$BD$64,56,)</f>
        <v>3.11591</v>
      </c>
      <c r="N77" s="111">
        <f>VLOOKUP(A77,[26]Бобовые!$A$46:$L$64,12,)</f>
        <v>0</v>
      </c>
      <c r="O77" s="105">
        <f>VLOOKUP(A77,[26]Бобовые!$A$46:$W$64,23,)</f>
        <v>0</v>
      </c>
      <c r="P77" s="105">
        <f>VLOOKUP(A77,[26]Бобовые!$A$46:$AH$64,34,)</f>
        <v>0</v>
      </c>
      <c r="Q77" s="111">
        <f>VLOOKUP(A77,[26]Овощи!$A$46:$L$64,12,)</f>
        <v>141.11046000000002</v>
      </c>
      <c r="R77" s="105">
        <f>VLOOKUP(A77,[26]Овощи!$A$46:$W$64,23,)</f>
        <v>145.94003000000004</v>
      </c>
      <c r="S77" s="105">
        <f>VLOOKUP(A77,[26]Овощи!$A$46:$AH$64,34,)</f>
        <v>145.70519999999999</v>
      </c>
      <c r="T77" s="105">
        <f>VLOOKUP(A77,[26]Овощи!$A$46:$AS$64,45,)</f>
        <v>141.44245999999998</v>
      </c>
      <c r="U77" s="105">
        <f>VLOOKUP(A77,[26]Овощи!$A$46:$BD$64,56,)</f>
        <v>146.40477000000001</v>
      </c>
      <c r="V77" s="105">
        <f>VLOOKUP(A77,[26]Овощи!$A$46:$BO$64,67,)</f>
        <v>146.07675</v>
      </c>
      <c r="W77" s="127">
        <f>VLOOKUP(A77,[26]Овощи!$A$46:$BZ$64,78,)</f>
        <v>120.99084999999999</v>
      </c>
      <c r="X77" s="111">
        <f>VLOOKUP(A77,[26]Бахчевые!$A$46:$L$64,12,)</f>
        <v>139.75957</v>
      </c>
      <c r="Y77" s="127">
        <f>VLOOKUP(A77,[26]Бахчевые!$A$46:$W$64,23,)</f>
        <v>142.44633000000002</v>
      </c>
    </row>
    <row r="78" spans="1:25">
      <c r="A78" s="104" t="s">
        <v>103</v>
      </c>
      <c r="B78" s="92">
        <f>VLOOKUP(A78,[26]Зерновые!$A$46:$L$64,12,)</f>
        <v>24.633879999999998</v>
      </c>
      <c r="C78" s="93">
        <f>VLOOKUP(A78,[26]Зерновые!$A$46:$W$64,23,)</f>
        <v>23.945060000000002</v>
      </c>
      <c r="D78" s="93">
        <f>VLOOKUP(A78,[26]Зерновые!$A$46:$AH$64,34,)</f>
        <v>21.875100000000003</v>
      </c>
      <c r="E78" s="93">
        <f>VLOOKUP(A78,[26]Зерновые!$A$49:$AS$49,45,FALSE)</f>
        <v>0</v>
      </c>
      <c r="F78" s="93">
        <f>VLOOKUP(A78,[26]Зерновые!$A$46:$BD$64,56,)</f>
        <v>0</v>
      </c>
      <c r="G78" s="105">
        <f>VLOOKUP(A78,[26]Зерновые!$A$46:$BO$64,67,FALSE)</f>
        <v>55.887150000000005</v>
      </c>
      <c r="H78" s="127">
        <f>VLOOKUP(A78,[26]Зерновые!$A$46:$BZ$64,78,)</f>
        <v>4</v>
      </c>
      <c r="I78" s="111">
        <f>VLOOKUP(A78,[26]Масличные!$A$46:$L$64,12,)</f>
        <v>13.392190000000003</v>
      </c>
      <c r="J78" s="105">
        <f>VLOOKUP(A78,[26]Масличные!$A$46:$W$64,23,)</f>
        <v>0</v>
      </c>
      <c r="K78" s="163">
        <f>VLOOKUP(A78,[26]Масличные!$A$46:$AH$64,34,)</f>
        <v>0</v>
      </c>
      <c r="L78" s="105">
        <f>VLOOKUP(A78,[26]Масличные!$A$46:$AS$64,45,)</f>
        <v>1.48</v>
      </c>
      <c r="M78" s="127">
        <f>VLOOKUP(A78,[26]Масличные!$A$46:$BD$64,56,)</f>
        <v>10.318960000000001</v>
      </c>
      <c r="N78" s="111">
        <f>VLOOKUP(A78,[26]Бобовые!$A$46:$L$64,12,)</f>
        <v>0</v>
      </c>
      <c r="O78" s="105">
        <f>VLOOKUP(A78,[26]Бобовые!$A$46:$W$64,23,)</f>
        <v>0</v>
      </c>
      <c r="P78" s="105">
        <f>VLOOKUP(A78,[26]Бобовые!$A$46:$AH$64,34,)</f>
        <v>0</v>
      </c>
      <c r="Q78" s="111">
        <f>VLOOKUP(A78,[26]Овощи!$A$46:$L$64,12,)</f>
        <v>128.11890999999997</v>
      </c>
      <c r="R78" s="105">
        <f>VLOOKUP(A78,[26]Овощи!$A$46:$W$64,23,)</f>
        <v>204.34653999999998</v>
      </c>
      <c r="S78" s="105">
        <f>VLOOKUP(A78,[26]Овощи!$A$46:$AH$64,34,)</f>
        <v>208.87138999999996</v>
      </c>
      <c r="T78" s="105">
        <f>VLOOKUP(A78,[26]Овощи!$A$46:$AS$64,45,)</f>
        <v>483.67097999999999</v>
      </c>
      <c r="U78" s="105">
        <f>VLOOKUP(A78,[26]Овощи!$A$46:$BD$64,56,)</f>
        <v>252.77309999999997</v>
      </c>
      <c r="V78" s="105">
        <f>VLOOKUP(A78,[26]Овощи!$A$46:$BO$64,67,)</f>
        <v>291.77498000000003</v>
      </c>
      <c r="W78" s="127">
        <f>VLOOKUP(A78,[26]Овощи!$A$46:$BZ$64,78,)</f>
        <v>172.40015000000002</v>
      </c>
      <c r="X78" s="111">
        <f>VLOOKUP(A78,[26]Бахчевые!$A$46:$L$64,12,)</f>
        <v>305.44488999999999</v>
      </c>
      <c r="Y78" s="127">
        <f>VLOOKUP(A78,[26]Бахчевые!$A$46:$W$64,23,)</f>
        <v>262.43202000000002</v>
      </c>
    </row>
    <row r="79" spans="1:25">
      <c r="A79" s="104" t="s">
        <v>104</v>
      </c>
      <c r="B79" s="92">
        <f>VLOOKUP(A79,[26]Зерновые!$A$46:$L$64,12,)</f>
        <v>21.283240000000003</v>
      </c>
      <c r="C79" s="93">
        <f>VLOOKUP(A79,[26]Зерновые!$A$46:$W$64,23,)</f>
        <v>21.343250000000001</v>
      </c>
      <c r="D79" s="93">
        <f>VLOOKUP(A79,[26]Зерновые!$A$46:$AH$64,34,)</f>
        <v>13.69059</v>
      </c>
      <c r="E79" s="93">
        <f>VLOOKUP(A79,[26]Зерновые!$A$50:$AS$64,45,)</f>
        <v>0</v>
      </c>
      <c r="F79" s="93">
        <f>VLOOKUP(A79,[26]Зерновые!$A$46:$BD$64,56,)</f>
        <v>6.65</v>
      </c>
      <c r="G79" s="105">
        <f>VLOOKUP(A79,[26]Зерновые!$A$46:$BO$64,67,FALSE)</f>
        <v>50.247549999999997</v>
      </c>
      <c r="H79" s="127">
        <f>VLOOKUP(A79,[26]Зерновые!$A$46:$BZ$64,78,)</f>
        <v>0</v>
      </c>
      <c r="I79" s="111">
        <f>VLOOKUP(A79,[26]Масличные!$A$46:$L$64,12,)</f>
        <v>10.72151</v>
      </c>
      <c r="J79" s="105">
        <f>VLOOKUP(A79,[26]Масличные!$A$46:$W$64,23,)</f>
        <v>0.47000000000000003</v>
      </c>
      <c r="K79" s="163">
        <f>VLOOKUP(A79,[26]Масличные!$A$46:$AH$64,34,)</f>
        <v>0</v>
      </c>
      <c r="L79" s="105">
        <f>VLOOKUP(A79,[26]Масличные!$A$46:$AS$64,45,)</f>
        <v>0</v>
      </c>
      <c r="M79" s="127">
        <f>VLOOKUP(A79,[26]Масличные!$A$46:$BD$64,56,)</f>
        <v>9.0886999999999993</v>
      </c>
      <c r="N79" s="111">
        <f>VLOOKUP(A79,[26]Бобовые!$A$46:$L$64,12,)</f>
        <v>0</v>
      </c>
      <c r="O79" s="105">
        <f>VLOOKUP(A79,[26]Бобовые!$A$46:$W$64,23,)</f>
        <v>0</v>
      </c>
      <c r="P79" s="105">
        <f>VLOOKUP(A79,[26]Бобовые!$A$46:$AH$64,34,)</f>
        <v>0</v>
      </c>
      <c r="Q79" s="111">
        <f>VLOOKUP(A79,[26]Овощи!$A$46:$L$64,12,)</f>
        <v>180.62853000000001</v>
      </c>
      <c r="R79" s="105">
        <f>VLOOKUP(A79,[26]Овощи!$A$46:$W$64,23,)</f>
        <v>218.83447999999999</v>
      </c>
      <c r="S79" s="105">
        <f>VLOOKUP(A79,[26]Овощи!$A$46:$AH$64,34,)</f>
        <v>188.39597000000001</v>
      </c>
      <c r="T79" s="105">
        <f>VLOOKUP(A79,[26]Овощи!$A$46:$AS$64,45,)</f>
        <v>198.80143000000004</v>
      </c>
      <c r="U79" s="105">
        <f>VLOOKUP(A79,[26]Овощи!$A$46:$BD$64,56,)</f>
        <v>171.33379000000002</v>
      </c>
      <c r="V79" s="105">
        <f>VLOOKUP(A79,[26]Овощи!$A$46:$BO$64,67,)</f>
        <v>184.20756</v>
      </c>
      <c r="W79" s="127">
        <f>VLOOKUP(A79,[26]Овощи!$A$46:$BZ$64,78,)</f>
        <v>179.4349</v>
      </c>
      <c r="X79" s="111">
        <f>VLOOKUP(A79,[26]Бахчевые!$A$46:$L$64,12,)</f>
        <v>185.76537999999999</v>
      </c>
      <c r="Y79" s="127">
        <f>VLOOKUP(A79,[26]Бахчевые!$A$46:$W$64,23,)</f>
        <v>175.26723999999999</v>
      </c>
    </row>
    <row r="80" spans="1:25">
      <c r="A80" s="104" t="s">
        <v>12</v>
      </c>
      <c r="B80" s="92">
        <f>VLOOKUP(A80,[26]Зерновые!$A$46:$L$64,12,)</f>
        <v>16.265920000000001</v>
      </c>
      <c r="C80" s="93">
        <f>VLOOKUP(A80,[26]Зерновые!$A$46:$W$64,23,)</f>
        <v>20.173559999999998</v>
      </c>
      <c r="D80" s="93">
        <f>VLOOKUP(A80,[26]Зерновые!$A$46:$AH$64,34,)</f>
        <v>2</v>
      </c>
      <c r="E80" s="93">
        <f>VLOOKUP(A80,[26]Зерновые!$A$50:$AS$64,45,)</f>
        <v>0</v>
      </c>
      <c r="F80" s="93">
        <f>VLOOKUP(A80,[26]Зерновые!$A$46:$BD$64,56,)</f>
        <v>0</v>
      </c>
      <c r="G80" s="105">
        <f>VLOOKUP(A80,[26]Зерновые!$A$46:$BO$64,67,FALSE)</f>
        <v>32.359400000000001</v>
      </c>
      <c r="H80" s="127">
        <f>VLOOKUP(A80,[26]Зерновые!$A$46:$BZ$64,78,)</f>
        <v>0</v>
      </c>
      <c r="I80" s="111">
        <f>VLOOKUP(A80,[26]Масличные!$A$46:$L$64,12,)</f>
        <v>2.2000000000000002</v>
      </c>
      <c r="J80" s="105">
        <f>VLOOKUP(A80,[26]Масличные!$A$46:$W$64,23,)</f>
        <v>0</v>
      </c>
      <c r="K80" s="163">
        <f>VLOOKUP(A80,[26]Масличные!$A$46:$AH$64,34,)</f>
        <v>0</v>
      </c>
      <c r="L80" s="105">
        <f>VLOOKUP(A80,[26]Масличные!$A$46:$AS$64,45,)</f>
        <v>1</v>
      </c>
      <c r="M80" s="127">
        <f>VLOOKUP(A80,[26]Масличные!$A$46:$BD$64,56,)</f>
        <v>6.796380000000001</v>
      </c>
      <c r="N80" s="111">
        <f>VLOOKUP(A80,[26]Бобовые!$A$46:$L$64,12,)</f>
        <v>0</v>
      </c>
      <c r="O80" s="105">
        <f>VLOOKUP(A80,[26]Бобовые!$A$46:$W$64,23,)</f>
        <v>0</v>
      </c>
      <c r="P80" s="105">
        <f>VLOOKUP(A80,[26]Бобовые!$A$46:$AH$64,34,)</f>
        <v>0</v>
      </c>
      <c r="Q80" s="111">
        <f>VLOOKUP(A80,[26]Овощи!$A$46:$L$64,12,)</f>
        <v>184.60387999999998</v>
      </c>
      <c r="R80" s="105">
        <f>VLOOKUP(A80,[26]Овощи!$A$46:$W$64,23,)</f>
        <v>236.38425000000001</v>
      </c>
      <c r="S80" s="105">
        <f>VLOOKUP(A80,[26]Овощи!$A$46:$AH$64,34,)</f>
        <v>229.77167</v>
      </c>
      <c r="T80" s="105">
        <f>VLOOKUP(A80,[26]Овощи!$A$46:$AS$64,45,)</f>
        <v>245.54388999999998</v>
      </c>
      <c r="U80" s="105">
        <f>VLOOKUP(A80,[26]Овощи!$A$46:$BD$64,56,)</f>
        <v>240.70147000000003</v>
      </c>
      <c r="V80" s="105">
        <f>VLOOKUP(A80,[26]Овощи!$A$46:$BO$64,67,)</f>
        <v>235.03375</v>
      </c>
      <c r="W80" s="127">
        <f>VLOOKUP(A80,[26]Овощи!$A$46:$BZ$64,78,)</f>
        <v>247.19275999999999</v>
      </c>
      <c r="X80" s="111">
        <f>VLOOKUP(A80,[26]Бахчевые!$A$46:$L$64,12,)</f>
        <v>155.33759000000001</v>
      </c>
      <c r="Y80" s="127">
        <f>VLOOKUP(A80,[26]Бахчевые!$A$46:$W$64,23,)</f>
        <v>0</v>
      </c>
    </row>
    <row r="81" spans="1:25">
      <c r="A81" s="104" t="s">
        <v>105</v>
      </c>
      <c r="B81" s="92">
        <f>VLOOKUP(A81,[26]Зерновые!$A$46:$L$64,12,)</f>
        <v>13.41629</v>
      </c>
      <c r="C81" s="93">
        <f>VLOOKUP(A81,[26]Зерновые!$A$46:$W$64,23,)</f>
        <v>13.33778</v>
      </c>
      <c r="D81" s="93">
        <f>VLOOKUP(A81,[26]Зерновые!$A$46:$AH$64,34,)</f>
        <v>6.9099999999999993</v>
      </c>
      <c r="E81" s="93">
        <f>VLOOKUP(A81,[26]Зерновые!$A$50:$AS$64,45,)</f>
        <v>0</v>
      </c>
      <c r="F81" s="93">
        <f>VLOOKUP(A81,[26]Зерновые!$A$46:$BD$64,56,)</f>
        <v>0</v>
      </c>
      <c r="G81" s="105">
        <f>VLOOKUP(A81,[26]Зерновые!$A$46:$BO$64,67,FALSE)</f>
        <v>54.31409</v>
      </c>
      <c r="H81" s="127">
        <f>VLOOKUP(A81,[26]Зерновые!$A$46:$BZ$64,78,)</f>
        <v>0</v>
      </c>
      <c r="I81" s="111">
        <f>VLOOKUP(A81,[26]Масличные!$A$46:$L$64,12,)</f>
        <v>18.188600000000001</v>
      </c>
      <c r="J81" s="105">
        <f>VLOOKUP(A81,[26]Масличные!$A$46:$W$64,23,)</f>
        <v>0</v>
      </c>
      <c r="K81" s="163">
        <f>VLOOKUP(A81,[26]Масличные!$A$46:$AH$64,34,)</f>
        <v>0</v>
      </c>
      <c r="L81" s="105">
        <f>VLOOKUP(A81,[26]Масличные!$A$46:$AS$64,45,)</f>
        <v>0</v>
      </c>
      <c r="M81" s="127">
        <f>VLOOKUP(A81,[26]Масличные!$A$46:$BD$64,56,)</f>
        <v>9.9767199999999985</v>
      </c>
      <c r="N81" s="111">
        <f>VLOOKUP(A81,[26]Бобовые!$A$46:$L$64,12,)</f>
        <v>0</v>
      </c>
      <c r="O81" s="105">
        <f>VLOOKUP(A81,[26]Бобовые!$A$46:$W$64,23,)</f>
        <v>0</v>
      </c>
      <c r="P81" s="105">
        <f>VLOOKUP(A81,[26]Бобовые!$A$46:$AH$64,34,)</f>
        <v>0</v>
      </c>
      <c r="Q81" s="111">
        <f>VLOOKUP(A81,[26]Овощи!$A$46:$L$64,12,)</f>
        <v>171.29248000000001</v>
      </c>
      <c r="R81" s="105">
        <f>VLOOKUP(A81,[26]Овощи!$A$46:$W$64,23,)</f>
        <v>259.72357</v>
      </c>
      <c r="S81" s="105">
        <f>VLOOKUP(A81,[26]Овощи!$A$46:$AH$64,34,)</f>
        <v>252.11754999999999</v>
      </c>
      <c r="T81" s="105">
        <f>VLOOKUP(A81,[26]Овощи!$A$46:$AS$64,45,)</f>
        <v>230.88568999999998</v>
      </c>
      <c r="U81" s="105">
        <f>VLOOKUP(A81,[26]Овощи!$A$46:$BD$64,56,)</f>
        <v>234.95412999999999</v>
      </c>
      <c r="V81" s="105">
        <f>VLOOKUP(A81,[26]Овощи!$A$46:$BO$64,67,)</f>
        <v>232.98274999999998</v>
      </c>
      <c r="W81" s="127">
        <f>VLOOKUP(A81,[26]Овощи!$A$46:$BZ$64,78,)</f>
        <v>232.36332999999999</v>
      </c>
      <c r="X81" s="111">
        <f>VLOOKUP(A81,[26]Бахчевые!$A$46:$L$64,12,)</f>
        <v>207.92911999999995</v>
      </c>
      <c r="Y81" s="127">
        <f>VLOOKUP(A81,[26]Бахчевые!$A$46:$W$64,23,)</f>
        <v>182.89010999999999</v>
      </c>
    </row>
    <row r="82" spans="1:25">
      <c r="A82" s="104" t="s">
        <v>106</v>
      </c>
      <c r="B82" s="92">
        <f>VLOOKUP(A82,[26]Зерновые!$A$46:$L$64,12,)</f>
        <v>20.58165</v>
      </c>
      <c r="C82" s="93">
        <f>VLOOKUP(A82,[26]Зерновые!$A$46:$W$64,23,)</f>
        <v>20.381139999999995</v>
      </c>
      <c r="D82" s="93">
        <f>VLOOKUP(A82,[26]Зерновые!$A$46:$AH$64,34,)</f>
        <v>18.328060000000001</v>
      </c>
      <c r="E82" s="93">
        <f>VLOOKUP(A82,[26]Зерновые!$A$50:$AS$64,45,)</f>
        <v>0</v>
      </c>
      <c r="F82" s="93">
        <f>VLOOKUP(A82,[26]Зерновые!$A$46:$BD$64,56,)</f>
        <v>0.67</v>
      </c>
      <c r="G82" s="105">
        <f>VLOOKUP(A82,[26]Зерновые!$A$46:$BO$64,67,FALSE)</f>
        <v>57.497839999999997</v>
      </c>
      <c r="H82" s="127">
        <f>VLOOKUP(A82,[26]Зерновые!$A$46:$BZ$64,78,)</f>
        <v>0</v>
      </c>
      <c r="I82" s="111">
        <f>VLOOKUP(A82,[26]Масличные!$A$46:$L$64,12,)</f>
        <v>0</v>
      </c>
      <c r="J82" s="105">
        <f>VLOOKUP(A82,[26]Масличные!$A$46:$W$64,23,)</f>
        <v>1.92</v>
      </c>
      <c r="K82" s="163">
        <f>VLOOKUP(A82,[26]Масличные!$A$46:$AH$64,34,)</f>
        <v>0</v>
      </c>
      <c r="L82" s="105">
        <f>VLOOKUP(A82,[26]Масличные!$A$46:$AS$64,45,)</f>
        <v>0</v>
      </c>
      <c r="M82" s="127">
        <f>VLOOKUP(A82,[26]Масличные!$A$46:$BD$64,56,)</f>
        <v>14.02031</v>
      </c>
      <c r="N82" s="111">
        <f>VLOOKUP(A82,[26]Бобовые!$A$46:$L$64,12,)</f>
        <v>0.55999999999999994</v>
      </c>
      <c r="O82" s="105">
        <f>VLOOKUP(A82,[26]Бобовые!$A$46:$W$64,23,)</f>
        <v>2</v>
      </c>
      <c r="P82" s="105">
        <f>VLOOKUP(A82,[26]Бобовые!$A$46:$AH$64,34,)</f>
        <v>0</v>
      </c>
      <c r="Q82" s="111">
        <f>VLOOKUP(A82,[26]Овощи!$A$46:$L$64,12,)</f>
        <v>219.73408999999998</v>
      </c>
      <c r="R82" s="105">
        <f>VLOOKUP(A82,[26]Овощи!$A$46:$W$64,23,)</f>
        <v>254.13330000000002</v>
      </c>
      <c r="S82" s="105">
        <f>VLOOKUP(A82,[26]Овощи!$A$46:$AH$64,34,)</f>
        <v>247.55847</v>
      </c>
      <c r="T82" s="105">
        <f>VLOOKUP(A82,[26]Овощи!$A$46:$AS$64,45,)</f>
        <v>268.18975000000006</v>
      </c>
      <c r="U82" s="105">
        <f>VLOOKUP(A82,[26]Овощи!$A$46:$BD$64,56,)</f>
        <v>251.97246000000001</v>
      </c>
      <c r="V82" s="105">
        <f>VLOOKUP(A82,[26]Овощи!$A$46:$BO$64,67,)</f>
        <v>252.66190999999998</v>
      </c>
      <c r="W82" s="127">
        <f>VLOOKUP(A82,[26]Овощи!$A$46:$BZ$64,78,)</f>
        <v>258.48144999999994</v>
      </c>
      <c r="X82" s="111">
        <f>VLOOKUP(A82,[26]Бахчевые!$A$46:$L$64,12,)</f>
        <v>244.82461000000004</v>
      </c>
      <c r="Y82" s="127">
        <f>VLOOKUP(A82,[26]Бахчевые!$A$46:$W$64,23,)</f>
        <v>256.20644000000004</v>
      </c>
    </row>
    <row r="83" spans="1:25">
      <c r="A83" s="104" t="s">
        <v>107</v>
      </c>
      <c r="B83" s="92">
        <f>VLOOKUP(A83,[26]Зерновые!$A$46:$L$64,12,)</f>
        <v>17.196509999999996</v>
      </c>
      <c r="C83" s="93">
        <f>VLOOKUP(A83,[26]Зерновые!$A$46:$W$64,23,)</f>
        <v>14.352</v>
      </c>
      <c r="D83" s="93">
        <f>VLOOKUP(A83,[26]Зерновые!$A$46:$AH$64,34,)</f>
        <v>1</v>
      </c>
      <c r="E83" s="93">
        <f>VLOOKUP(A83,[26]Зерновые!$A$50:$AS$64,45,)</f>
        <v>0</v>
      </c>
      <c r="F83" s="93">
        <f>VLOOKUP(A83,[26]Зерновые!$A$46:$BD$64,56,)</f>
        <v>0</v>
      </c>
      <c r="G83" s="105">
        <f>VLOOKUP(A83,[26]Зерновые!$A$46:$BO$64,67,FALSE)</f>
        <v>53.264510000000008</v>
      </c>
      <c r="H83" s="127">
        <f>VLOOKUP(A83,[26]Зерновые!$A$46:$BZ$64,78,)</f>
        <v>35.256510000000006</v>
      </c>
      <c r="I83" s="111">
        <f>VLOOKUP(A83,[26]Масличные!$A$46:$L$64,12,)</f>
        <v>15.80993</v>
      </c>
      <c r="J83" s="105">
        <f>VLOOKUP(A83,[26]Масличные!$A$46:$W$64,23,)</f>
        <v>0</v>
      </c>
      <c r="K83" s="163">
        <f>VLOOKUP(A83,[26]Масличные!$A$46:$AH$64,34,)</f>
        <v>0</v>
      </c>
      <c r="L83" s="105">
        <f>VLOOKUP(A83,[26]Масличные!$A$46:$AS$64,45,)</f>
        <v>0</v>
      </c>
      <c r="M83" s="127">
        <f>VLOOKUP(A83,[26]Масличные!$A$46:$BD$64,56,)</f>
        <v>5.1110999999999995</v>
      </c>
      <c r="N83" s="111">
        <f>VLOOKUP(A83,[26]Бобовые!$A$46:$L$64,12,)</f>
        <v>0</v>
      </c>
      <c r="O83" s="105">
        <f>VLOOKUP(A83,[26]Бобовые!$A$46:$W$64,23,)</f>
        <v>0</v>
      </c>
      <c r="P83" s="105">
        <f>VLOOKUP(A83,[26]Бобовые!$A$46:$AH$64,34,)</f>
        <v>0</v>
      </c>
      <c r="Q83" s="111">
        <f>VLOOKUP(A83,[26]Овощи!$A$46:$L$64,12,)</f>
        <v>184.47539</v>
      </c>
      <c r="R83" s="105">
        <f>VLOOKUP(A83,[26]Овощи!$A$46:$W$64,23,)</f>
        <v>315.71906999999999</v>
      </c>
      <c r="S83" s="105">
        <f>VLOOKUP(A83,[26]Овощи!$A$46:$AH$64,34,)</f>
        <v>199.76922000000002</v>
      </c>
      <c r="T83" s="105">
        <f>VLOOKUP(A83,[26]Овощи!$A$46:$AS$64,45,)</f>
        <v>317.07169000000005</v>
      </c>
      <c r="U83" s="105">
        <f>VLOOKUP(A83,[26]Овощи!$A$46:$BD$64,56,)</f>
        <v>227.73426000000001</v>
      </c>
      <c r="V83" s="105">
        <f>VLOOKUP(A83,[26]Овощи!$A$46:$BO$64,67,)</f>
        <v>265.78811000000002</v>
      </c>
      <c r="W83" s="127">
        <f>VLOOKUP(A83,[26]Овощи!$A$46:$BZ$64,78,)</f>
        <v>338.91537</v>
      </c>
      <c r="X83" s="111">
        <f>VLOOKUP(A83,[26]Бахчевые!$A$46:$L$64,12,)</f>
        <v>355.78147999999999</v>
      </c>
      <c r="Y83" s="127">
        <f>VLOOKUP(A83,[26]Бахчевые!$A$46:$W$64,23,)</f>
        <v>94.52</v>
      </c>
    </row>
    <row r="84" spans="1:25">
      <c r="A84" s="104" t="s">
        <v>108</v>
      </c>
      <c r="B84" s="92">
        <f>VLOOKUP(A84,[26]Зерновые!$A$46:$L$64,12,)</f>
        <v>16.034039999999997</v>
      </c>
      <c r="C84" s="93">
        <f>VLOOKUP(A84,[26]Зерновые!$A$46:$W$64,23,)</f>
        <v>16.06776</v>
      </c>
      <c r="D84" s="93">
        <f>VLOOKUP(A84,[26]Зерновые!$A$46:$AH$64,34,)</f>
        <v>15.417059999999998</v>
      </c>
      <c r="E84" s="93">
        <f>VLOOKUP(A84,[26]Зерновые!$A$50:$AS$64,45,)</f>
        <v>0.95</v>
      </c>
      <c r="F84" s="93">
        <f>VLOOKUP(A84,[26]Зерновые!$A$46:$BD$64,56,)</f>
        <v>13.088740000000001</v>
      </c>
      <c r="G84" s="105">
        <f>VLOOKUP(A84,[26]Зерновые!$A$46:$BO$64,67,FALSE)</f>
        <v>37.759680000000003</v>
      </c>
      <c r="H84" s="127">
        <f>VLOOKUP(A84,[26]Зерновые!$A$46:$BZ$64,78,)</f>
        <v>0</v>
      </c>
      <c r="I84" s="111">
        <f>VLOOKUP(A84,[26]Масличные!$A$46:$L$64,12,)</f>
        <v>12.855340000000002</v>
      </c>
      <c r="J84" s="105">
        <f>VLOOKUP(A84,[26]Масличные!$A$46:$W$64,23,)</f>
        <v>0.7</v>
      </c>
      <c r="K84" s="163">
        <f>VLOOKUP(A84,[26]Масличные!$A$46:$AH$64,34,)</f>
        <v>0</v>
      </c>
      <c r="L84" s="105">
        <f>VLOOKUP(A84,[26]Масличные!$A$46:$AS$64,45,)</f>
        <v>0</v>
      </c>
      <c r="M84" s="127">
        <f>VLOOKUP(A84,[26]Масличные!$A$46:$BD$64,56,)</f>
        <v>3.5549100000000005</v>
      </c>
      <c r="N84" s="111">
        <f>VLOOKUP(A84,[26]Бобовые!$A$46:$L$64,12,)</f>
        <v>0.5</v>
      </c>
      <c r="O84" s="105">
        <f>VLOOKUP(A84,[26]Бобовые!$A$46:$W$64,23,)</f>
        <v>0</v>
      </c>
      <c r="P84" s="105">
        <f>VLOOKUP(A84,[26]Бобовые!$A$46:$AH$64,34,)</f>
        <v>2.5</v>
      </c>
      <c r="Q84" s="111">
        <f>VLOOKUP(A84,[26]Овощи!$A$46:$L$64,12,)</f>
        <v>197.55883</v>
      </c>
      <c r="R84" s="105">
        <f>VLOOKUP(A84,[26]Овощи!$A$46:$W$64,23,)</f>
        <v>242.52321000000001</v>
      </c>
      <c r="S84" s="105">
        <f>VLOOKUP(A84,[26]Овощи!$A$46:$AH$64,34,)</f>
        <v>249.38478000000001</v>
      </c>
      <c r="T84" s="105">
        <f>VLOOKUP(A84,[26]Овощи!$A$46:$AS$64,45,)</f>
        <v>273.70418000000001</v>
      </c>
      <c r="U84" s="105">
        <f>VLOOKUP(A84,[26]Овощи!$A$46:$BD$64,56,)</f>
        <v>261.07342</v>
      </c>
      <c r="V84" s="105">
        <f>VLOOKUP(A84,[26]Овощи!$A$46:$BO$64,67,)</f>
        <v>261.66457000000003</v>
      </c>
      <c r="W84" s="127">
        <f>VLOOKUP(A84,[26]Овощи!$A$46:$BZ$64,78,)</f>
        <v>249.79824000000002</v>
      </c>
      <c r="X84" s="111">
        <f>VLOOKUP(A84,[26]Бахчевые!$A$46:$L$64,12,)</f>
        <v>170.90483</v>
      </c>
      <c r="Y84" s="127">
        <f>VLOOKUP(A84,[26]Бахчевые!$A$46:$W$64,23,)</f>
        <v>115.40439000000001</v>
      </c>
    </row>
    <row r="85" spans="1:25">
      <c r="A85" s="104" t="s">
        <v>109</v>
      </c>
      <c r="B85" s="92">
        <f>VLOOKUP(A85,[26]Зерновые!$A$46:$L$64,12,)</f>
        <v>21.659370000000003</v>
      </c>
      <c r="C85" s="93">
        <f>VLOOKUP(A85,[26]Зерновые!$A$46:$W$64,23,)</f>
        <v>19.553670000000004</v>
      </c>
      <c r="D85" s="93">
        <f>VLOOKUP(A85,[26]Зерновые!$A$46:$AH$64,34,)</f>
        <v>0</v>
      </c>
      <c r="E85" s="93">
        <f>VLOOKUP(A85,[26]Зерновые!$A$50:$AS$64,45,)</f>
        <v>0</v>
      </c>
      <c r="F85" s="93">
        <f>VLOOKUP(A85,[26]Зерновые!$A$46:$BD$64,56,)</f>
        <v>0</v>
      </c>
      <c r="G85" s="105">
        <f>VLOOKUP(A85,[26]Зерновые!$A$46:$BO$64,67,FALSE)</f>
        <v>54.756340000000002</v>
      </c>
      <c r="H85" s="127">
        <f>VLOOKUP(A85,[26]Зерновые!$A$46:$BZ$64,78,)</f>
        <v>0</v>
      </c>
      <c r="I85" s="111">
        <f>VLOOKUP(A85,[26]Масличные!$A$46:$L$64,12,)</f>
        <v>13.138859999999999</v>
      </c>
      <c r="J85" s="105">
        <f>VLOOKUP(A85,[26]Масличные!$A$46:$W$64,23,)</f>
        <v>0</v>
      </c>
      <c r="K85" s="163">
        <f>VLOOKUP(A85,[26]Масличные!$A$46:$AH$64,34,)</f>
        <v>0</v>
      </c>
      <c r="L85" s="105">
        <f>VLOOKUP(A85,[26]Масличные!$A$46:$AS$64,45,)</f>
        <v>0</v>
      </c>
      <c r="M85" s="127">
        <f>VLOOKUP(A85,[26]Масличные!$A$46:$BD$64,56,)</f>
        <v>10.34036</v>
      </c>
      <c r="N85" s="111">
        <f>VLOOKUP(A85,[26]Бобовые!$A$46:$L$64,12,)</f>
        <v>0</v>
      </c>
      <c r="O85" s="105">
        <f>VLOOKUP(A85,[26]Бобовые!$A$46:$W$64,23,)</f>
        <v>0</v>
      </c>
      <c r="P85" s="105">
        <f>VLOOKUP(A85,[26]Бобовые!$A$46:$AH$64,34,)</f>
        <v>0</v>
      </c>
      <c r="Q85" s="111">
        <f>VLOOKUP(A85,[26]Овощи!$A$46:$L$64,12,)</f>
        <v>193.02098000000001</v>
      </c>
      <c r="R85" s="105">
        <f>VLOOKUP(A85,[26]Овощи!$A$46:$W$64,23,)</f>
        <v>315.5052</v>
      </c>
      <c r="S85" s="105">
        <f>VLOOKUP(A85,[26]Овощи!$A$46:$AH$64,34,)</f>
        <v>323.41793999999999</v>
      </c>
      <c r="T85" s="105">
        <f>VLOOKUP(A85,[26]Овощи!$A$46:$AS$64,45,)</f>
        <v>322.43761999999998</v>
      </c>
      <c r="U85" s="105">
        <f>VLOOKUP(A85,[26]Овощи!$A$46:$BD$64,56,)</f>
        <v>319.12103999999999</v>
      </c>
      <c r="V85" s="105">
        <f>VLOOKUP(A85,[26]Овощи!$A$46:$BO$64,67,)</f>
        <v>325.03973999999994</v>
      </c>
      <c r="W85" s="127">
        <f>VLOOKUP(A85,[26]Овощи!$A$46:$BZ$64,78,)</f>
        <v>311.98275999999998</v>
      </c>
      <c r="X85" s="111">
        <f>VLOOKUP(A85,[26]Бахчевые!$A$46:$L$64,12,)</f>
        <v>175.37996000000001</v>
      </c>
      <c r="Y85" s="127">
        <f>VLOOKUP(A85,[26]Бахчевые!$A$46:$W$64,23,)</f>
        <v>0</v>
      </c>
    </row>
    <row r="86" spans="1:25">
      <c r="A86" s="104" t="s">
        <v>110</v>
      </c>
      <c r="B86" s="92">
        <f>VLOOKUP(A86,[26]Зерновые!$A$46:$L$64,12,)</f>
        <v>20.330810000000003</v>
      </c>
      <c r="C86" s="93">
        <f>VLOOKUP(A86,[26]Зерновые!$A$46:$W$64,23,)</f>
        <v>19.11674</v>
      </c>
      <c r="D86" s="93">
        <f>VLOOKUP(A86,[26]Зерновые!$A$46:$AH$64,34,)</f>
        <v>0</v>
      </c>
      <c r="E86" s="93">
        <f>VLOOKUP(A86,[26]Зерновые!$A$50:$AS$64,45,)</f>
        <v>0</v>
      </c>
      <c r="F86" s="93">
        <f>VLOOKUP(A86,[26]Зерновые!$A$46:$BD$64,56,)</f>
        <v>0</v>
      </c>
      <c r="G86" s="105">
        <f>VLOOKUP(A86,[26]Зерновые!$A$46:$BO$64,67,FALSE)</f>
        <v>55.465130000000002</v>
      </c>
      <c r="H86" s="127">
        <f>VLOOKUP(A86,[26]Зерновые!$A$46:$BZ$64,78,)</f>
        <v>0</v>
      </c>
      <c r="I86" s="111">
        <f>VLOOKUP(A86,[26]Масличные!$A$46:$L$64,12,)</f>
        <v>16.864149999999999</v>
      </c>
      <c r="J86" s="105">
        <f>VLOOKUP(A86,[26]Масличные!$A$46:$W$64,23,)</f>
        <v>0</v>
      </c>
      <c r="K86" s="163">
        <f>VLOOKUP(A86,[26]Масличные!$A$46:$AH$64,34,)</f>
        <v>0</v>
      </c>
      <c r="L86" s="105">
        <f>VLOOKUP(A86,[26]Масличные!$A$46:$AS$64,45,)</f>
        <v>0</v>
      </c>
      <c r="M86" s="127">
        <f>VLOOKUP(A86,[26]Масличные!$A$46:$BD$64,56,)</f>
        <v>0.16999999999999998</v>
      </c>
      <c r="N86" s="111">
        <f>VLOOKUP(A86,[26]Бобовые!$A$46:$L$64,12,)</f>
        <v>0</v>
      </c>
      <c r="O86" s="105">
        <f>VLOOKUP(A86,[26]Бобовые!$A$46:$W$64,23,)</f>
        <v>0</v>
      </c>
      <c r="P86" s="105">
        <f>VLOOKUP(A86,[26]Бобовые!$A$46:$AH$64,34,)</f>
        <v>0</v>
      </c>
      <c r="Q86" s="111">
        <f>VLOOKUP(A86,[26]Овощи!$A$46:$L$64,12,)</f>
        <v>151.77503000000002</v>
      </c>
      <c r="R86" s="105">
        <f>VLOOKUP(A86,[26]Овощи!$A$46:$W$64,23,)</f>
        <v>213.46147000000002</v>
      </c>
      <c r="S86" s="105">
        <f>VLOOKUP(A86,[26]Овощи!$A$46:$AH$64,34,)</f>
        <v>215.33190999999997</v>
      </c>
      <c r="T86" s="105">
        <f>VLOOKUP(A86,[26]Овощи!$A$46:$AS$64,45,)</f>
        <v>221.46965999999998</v>
      </c>
      <c r="U86" s="105">
        <f>VLOOKUP(A86,[26]Овощи!$A$46:$BD$64,56,)</f>
        <v>219.30634000000003</v>
      </c>
      <c r="V86" s="105">
        <f>VLOOKUP(A86,[26]Овощи!$A$46:$BO$64,67,)</f>
        <v>213.77435999999997</v>
      </c>
      <c r="W86" s="127">
        <f>VLOOKUP(A86,[26]Овощи!$A$46:$BZ$64,78,)</f>
        <v>237.89546999999999</v>
      </c>
      <c r="X86" s="111">
        <f>VLOOKUP(A86,[26]Бахчевые!$A$46:$L$64,12,)</f>
        <v>201.97096999999999</v>
      </c>
      <c r="Y86" s="127">
        <f>VLOOKUP(A86,[26]Бахчевые!$A$46:$W$64,23,)</f>
        <v>200.89587</v>
      </c>
    </row>
    <row r="87" spans="1:25">
      <c r="A87" s="104" t="s">
        <v>111</v>
      </c>
      <c r="B87" s="92">
        <f>VLOOKUP(A87,[26]Зерновые!$A$46:$L$64,12,)</f>
        <v>16.105450000000001</v>
      </c>
      <c r="C87" s="93">
        <f>VLOOKUP(A87,[26]Зерновые!$A$46:$W$64,23,)</f>
        <v>18.297719999999998</v>
      </c>
      <c r="D87" s="93">
        <f>VLOOKUP(A87,[26]Зерновые!$A$46:$AH$64,34,)</f>
        <v>0.26667000000000002</v>
      </c>
      <c r="E87" s="93">
        <f>VLOOKUP(A87,[26]Зерновые!$A$50:$AS$64,45,)</f>
        <v>0</v>
      </c>
      <c r="F87" s="93">
        <f>VLOOKUP(A87,[26]Зерновые!$A$46:$BD$64,56,)</f>
        <v>0</v>
      </c>
      <c r="G87" s="105">
        <f>VLOOKUP(A87,[26]Зерновые!$A$46:$BO$64,67,FALSE)</f>
        <v>0</v>
      </c>
      <c r="H87" s="127">
        <f>VLOOKUP(A87,[26]Зерновые!$A$46:$BZ$64,78,)</f>
        <v>0</v>
      </c>
      <c r="I87" s="111">
        <f>VLOOKUP(A87,[26]Масличные!$A$46:$L$64,12,)</f>
        <v>0</v>
      </c>
      <c r="J87" s="105">
        <f>VLOOKUP(A87,[26]Масличные!$A$46:$W$64,23,)</f>
        <v>1.4300000000000002</v>
      </c>
      <c r="K87" s="163">
        <f>VLOOKUP(A87,[26]Масличные!$A$46:$AH$64,34,)</f>
        <v>0</v>
      </c>
      <c r="L87" s="105">
        <f>VLOOKUP(A87,[26]Масличные!$A$46:$AS$64,45,)</f>
        <v>0</v>
      </c>
      <c r="M87" s="127">
        <f>VLOOKUP(A87,[26]Масличные!$A$46:$BD$64,56,)</f>
        <v>0</v>
      </c>
      <c r="N87" s="111">
        <f>VLOOKUP(A87,[26]Бобовые!$A$46:$L$64,12,)</f>
        <v>0</v>
      </c>
      <c r="O87" s="105">
        <f>VLOOKUP(A87,[26]Бобовые!$A$46:$W$64,23,)</f>
        <v>0</v>
      </c>
      <c r="P87" s="105">
        <f>VLOOKUP(A87,[26]Бобовые!$A$46:$AH$64,34,)</f>
        <v>0</v>
      </c>
      <c r="Q87" s="111">
        <f>VLOOKUP(A87,[26]Овощи!$A$46:$L$64,12,)</f>
        <v>168.41382999999999</v>
      </c>
      <c r="R87" s="105">
        <f>VLOOKUP(A87,[26]Овощи!$A$46:$W$64,23,)</f>
        <v>29.9</v>
      </c>
      <c r="S87" s="105">
        <f>VLOOKUP(A87,[26]Овощи!$A$46:$AH$64,34,)</f>
        <v>230.90418</v>
      </c>
      <c r="T87" s="105">
        <f>VLOOKUP(A87,[26]Овощи!$A$46:$AS$64,45,)</f>
        <v>238.66444999999999</v>
      </c>
      <c r="U87" s="105">
        <f>VLOOKUP(A87,[26]Овощи!$A$46:$BD$64,56,)</f>
        <v>44.7</v>
      </c>
      <c r="V87" s="105">
        <f>VLOOKUP(A87,[26]Овощи!$A$46:$BO$64,67,)</f>
        <v>0</v>
      </c>
      <c r="W87" s="127">
        <f>VLOOKUP(A87,[26]Овощи!$A$46:$BZ$64,78,)</f>
        <v>227.73844000000003</v>
      </c>
      <c r="X87" s="111">
        <f>VLOOKUP(A87,[26]Бахчевые!$A$46:$L$64,12,)</f>
        <v>0</v>
      </c>
      <c r="Y87" s="127">
        <f>VLOOKUP(A87,[26]Бахчевые!$A$46:$W$64,23,)</f>
        <v>0</v>
      </c>
    </row>
    <row r="88" spans="1:25">
      <c r="A88" s="104" t="s">
        <v>112</v>
      </c>
      <c r="B88" s="92">
        <f>VLOOKUP(A88,[26]Зерновые!$A$46:$L$64,12,)</f>
        <v>18.448709999999998</v>
      </c>
      <c r="C88" s="93">
        <f>VLOOKUP(A88,[26]Зерновые!$A$46:$W$64,23,)</f>
        <v>21.413789999999999</v>
      </c>
      <c r="D88" s="93">
        <f>VLOOKUP(A88,[26]Зерновые!$A$46:$AH$64,34,)</f>
        <v>13.139799999999999</v>
      </c>
      <c r="E88" s="93">
        <f>VLOOKUP(A88,[26]Зерновые!$A$50:$AS$64,45,)</f>
        <v>13.363049999999998</v>
      </c>
      <c r="F88" s="93">
        <f>VLOOKUP(A88,[26]Зерновые!$A$46:$BD$64,56,)</f>
        <v>13.582999999999998</v>
      </c>
      <c r="G88" s="105">
        <f>VLOOKUP(A88,[26]Зерновые!$A$46:$BO$64,67,FALSE)</f>
        <v>37.064500000000002</v>
      </c>
      <c r="H88" s="127">
        <f>VLOOKUP(A88,[26]Зерновые!$A$46:$BZ$64,78,)</f>
        <v>0</v>
      </c>
      <c r="I88" s="111">
        <f>VLOOKUP(A88,[26]Масличные!$A$46:$L$64,12,)</f>
        <v>8.4362899999999996</v>
      </c>
      <c r="J88" s="105">
        <f>VLOOKUP(A88,[26]Масличные!$A$46:$W$64,23,)</f>
        <v>0.06</v>
      </c>
      <c r="K88" s="163">
        <f>VLOOKUP(A88,[26]Масличные!$A$46:$AH$64,34,)</f>
        <v>0</v>
      </c>
      <c r="L88" s="105">
        <f>VLOOKUP(A88,[26]Масличные!$A$46:$AS$64,45,)</f>
        <v>0</v>
      </c>
      <c r="M88" s="127">
        <f>VLOOKUP(A88,[26]Масличные!$A$46:$BD$64,56,)</f>
        <v>5.9224100000000002</v>
      </c>
      <c r="N88" s="111">
        <f>VLOOKUP(A88,[26]Бобовые!$A$46:$L$64,12,)</f>
        <v>2.9829800000000004</v>
      </c>
      <c r="O88" s="105">
        <f>VLOOKUP(A88,[26]Бобовые!$A$46:$W$64,23,)</f>
        <v>0</v>
      </c>
      <c r="P88" s="105">
        <f>VLOOKUP(A88,[26]Бобовые!$A$46:$AH$64,34,)</f>
        <v>0</v>
      </c>
      <c r="Q88" s="111">
        <f>VLOOKUP(A88,[26]Овощи!$A$46:$L$64,12,)</f>
        <v>176.55624</v>
      </c>
      <c r="R88" s="105">
        <f>VLOOKUP(A88,[26]Овощи!$A$46:$W$64,23,)</f>
        <v>220.81164999999996</v>
      </c>
      <c r="S88" s="105">
        <f>VLOOKUP(A88,[26]Овощи!$A$46:$AH$64,34,)</f>
        <v>253.79572999999999</v>
      </c>
      <c r="T88" s="105">
        <f>VLOOKUP(A88,[26]Овощи!$A$46:$AS$64,45,)</f>
        <v>265.28630000000004</v>
      </c>
      <c r="U88" s="105">
        <f>VLOOKUP(A88,[26]Овощи!$A$46:$BD$64,56,)</f>
        <v>251.95396</v>
      </c>
      <c r="V88" s="105">
        <f>VLOOKUP(A88,[26]Овощи!$A$46:$BO$64,67,)</f>
        <v>252.07123999999999</v>
      </c>
      <c r="W88" s="127">
        <f>VLOOKUP(A88,[26]Овощи!$A$46:$BZ$64,78,)</f>
        <v>256.73394999999999</v>
      </c>
      <c r="X88" s="111">
        <f>VLOOKUP(A88,[26]Бахчевые!$A$46:$L$64,12,)</f>
        <v>161.79094000000001</v>
      </c>
      <c r="Y88" s="127">
        <f>VLOOKUP(A88,[26]Бахчевые!$A$46:$W$64,23,)</f>
        <v>160.74802</v>
      </c>
    </row>
    <row r="89" spans="1:25">
      <c r="A89" s="104" t="s">
        <v>113</v>
      </c>
      <c r="B89" s="92">
        <f>VLOOKUP(A89,[26]Зерновые!$A$46:$L$64,12,)</f>
        <v>23.1709</v>
      </c>
      <c r="C89" s="93">
        <f>VLOOKUP(A89,[26]Зерновые!$A$46:$W$64,23,)</f>
        <v>22.126449999999998</v>
      </c>
      <c r="D89" s="93">
        <f>VLOOKUP(A89,[26]Зерновые!$A$46:$AH$64,34,)</f>
        <v>18.680720000000001</v>
      </c>
      <c r="E89" s="93">
        <f>VLOOKUP(A89,[26]Зерновые!$A$50:$AS$64,45,)</f>
        <v>0</v>
      </c>
      <c r="F89" s="93">
        <f>VLOOKUP(A89,[26]Зерновые!$A$46:$BD$64,56,)</f>
        <v>0</v>
      </c>
      <c r="G89" s="105">
        <f>VLOOKUP(A89,[26]Зерновые!$A$46:$BO$64,67,FALSE)</f>
        <v>67.860489999999999</v>
      </c>
      <c r="H89" s="127">
        <f>VLOOKUP(A89,[26]Зерновые!$A$46:$BZ$64,78,)</f>
        <v>0</v>
      </c>
      <c r="I89" s="111">
        <f>VLOOKUP(A89,[26]Масличные!$A$46:$L$64,12,)</f>
        <v>3.2700000000000005</v>
      </c>
      <c r="J89" s="105">
        <f>VLOOKUP(A89,[26]Масличные!$A$46:$W$64,23,)</f>
        <v>0.73000000000000009</v>
      </c>
      <c r="K89" s="163">
        <f>VLOOKUP(A89,[26]Масличные!$A$46:$AH$64,34,)</f>
        <v>0</v>
      </c>
      <c r="L89" s="105">
        <f>VLOOKUP(A89,[26]Масличные!$A$46:$AS$64,45,)</f>
        <v>0</v>
      </c>
      <c r="M89" s="127">
        <f>VLOOKUP(A89,[26]Масличные!$A$46:$BD$64,56,)</f>
        <v>6.9361199999999998</v>
      </c>
      <c r="N89" s="111">
        <f>VLOOKUP(A89,[26]Бобовые!$A$46:$L$64,12,)</f>
        <v>0</v>
      </c>
      <c r="O89" s="105">
        <f>VLOOKUP(A89,[26]Бобовые!$A$46:$W$64,23,)</f>
        <v>0</v>
      </c>
      <c r="P89" s="105">
        <f>VLOOKUP(A89,[26]Бобовые!$A$46:$AH$64,34,)</f>
        <v>0</v>
      </c>
      <c r="Q89" s="111">
        <f>VLOOKUP(A89,[26]Овощи!$A$46:$L$64,12,)</f>
        <v>177.20368000000002</v>
      </c>
      <c r="R89" s="105">
        <f>VLOOKUP(A89,[26]Овощи!$A$46:$W$64,23,)</f>
        <v>313.56007</v>
      </c>
      <c r="S89" s="105">
        <f>VLOOKUP(A89,[26]Овощи!$A$46:$AH$64,34,)</f>
        <v>310.76058999999998</v>
      </c>
      <c r="T89" s="105">
        <f>VLOOKUP(A89,[26]Овощи!$A$46:$AS$64,45,)</f>
        <v>318.3075</v>
      </c>
      <c r="U89" s="105">
        <f>VLOOKUP(A89,[26]Овощи!$A$46:$BD$64,56,)</f>
        <v>302.29043999999999</v>
      </c>
      <c r="V89" s="105">
        <f>VLOOKUP(A89,[26]Овощи!$A$46:$BO$64,67,)</f>
        <v>306.28243000000003</v>
      </c>
      <c r="W89" s="127">
        <f>VLOOKUP(A89,[26]Овощи!$A$46:$BZ$64,78,)</f>
        <v>315.70442000000003</v>
      </c>
      <c r="X89" s="111">
        <f>VLOOKUP(A89,[26]Бахчевые!$A$46:$L$64,12,)</f>
        <v>224.64403999999999</v>
      </c>
      <c r="Y89" s="127">
        <f>VLOOKUP(A89,[26]Бахчевые!$A$46:$W$64,23,)</f>
        <v>165.35564000000002</v>
      </c>
    </row>
    <row r="90" spans="1:25">
      <c r="A90" s="104" t="s">
        <v>114</v>
      </c>
      <c r="B90" s="92">
        <f>VLOOKUP(A90,[26]Зерновые!$A$46:$L$64,12,)</f>
        <v>18.196100000000001</v>
      </c>
      <c r="C90" s="93">
        <f>VLOOKUP(A90,[26]Зерновые!$A$46:$W$64,23,)</f>
        <v>17.634809999999998</v>
      </c>
      <c r="D90" s="93">
        <f>VLOOKUP(A90,[26]Зерновые!$A$46:$AH$64,34,)</f>
        <v>0</v>
      </c>
      <c r="E90" s="93">
        <f>VLOOKUP(A90,[26]Зерновые!$A$50:$AS$64,45,)</f>
        <v>0</v>
      </c>
      <c r="F90" s="93">
        <f>VLOOKUP(A90,[26]Зерновые!$A$46:$BD$64,56,)</f>
        <v>0</v>
      </c>
      <c r="G90" s="105">
        <f>VLOOKUP(A90,[26]Зерновые!$A$46:$BO$64,67,FALSE)</f>
        <v>55.273709999999994</v>
      </c>
      <c r="H90" s="127">
        <f>VLOOKUP(A90,[26]Зерновые!$A$46:$BZ$64,78,)</f>
        <v>0.3</v>
      </c>
      <c r="I90" s="111">
        <f>VLOOKUP(A90,[26]Масличные!$A$46:$L$64,12,)</f>
        <v>14.209099999999998</v>
      </c>
      <c r="J90" s="105">
        <f>VLOOKUP(A90,[26]Масличные!$A$46:$W$64,23,)</f>
        <v>0</v>
      </c>
      <c r="K90" s="163">
        <f>VLOOKUP(A90,[26]Масличные!$A$46:$AH$64,34,)</f>
        <v>0</v>
      </c>
      <c r="L90" s="105">
        <f>VLOOKUP(A90,[26]Масличные!$A$46:$AS$64,45,)</f>
        <v>0</v>
      </c>
      <c r="M90" s="127">
        <f>VLOOKUP(A90,[26]Масличные!$A$46:$BD$64,56,)</f>
        <v>0</v>
      </c>
      <c r="N90" s="111">
        <f>VLOOKUP(A90,[26]Бобовые!$A$46:$L$64,12,)</f>
        <v>0</v>
      </c>
      <c r="O90" s="105">
        <f>VLOOKUP(A90,[26]Бобовые!$A$46:$W$64,23,)</f>
        <v>0</v>
      </c>
      <c r="P90" s="105">
        <f>VLOOKUP(A90,[26]Бобовые!$A$46:$AH$64,34,)</f>
        <v>0</v>
      </c>
      <c r="Q90" s="111">
        <f>VLOOKUP(A90,[26]Овощи!$A$46:$L$64,12,)</f>
        <v>189.65254000000002</v>
      </c>
      <c r="R90" s="105">
        <f>VLOOKUP(A90,[26]Овощи!$A$46:$W$64,23,)</f>
        <v>230.20232000000001</v>
      </c>
      <c r="S90" s="105">
        <f>VLOOKUP(A90,[26]Овощи!$A$46:$AH$64,34,)</f>
        <v>252.91815000000003</v>
      </c>
      <c r="T90" s="105">
        <f>VLOOKUP(A90,[26]Овощи!$A$46:$AS$64,45,)</f>
        <v>251.78101999999998</v>
      </c>
      <c r="U90" s="105">
        <f>VLOOKUP(A90,[26]Овощи!$A$46:$BD$64,56,)</f>
        <v>244.87460999999999</v>
      </c>
      <c r="V90" s="105">
        <f>VLOOKUP(A90,[26]Овощи!$A$46:$BO$64,67,)</f>
        <v>204.88178000000002</v>
      </c>
      <c r="W90" s="127">
        <f>VLOOKUP(A90,[26]Овощи!$A$46:$BZ$64,78,)</f>
        <v>236.62245000000001</v>
      </c>
      <c r="X90" s="111">
        <f>VLOOKUP(A90,[26]Бахчевые!$A$46:$L$64,12,)</f>
        <v>166.11388000000002</v>
      </c>
      <c r="Y90" s="127">
        <f>VLOOKUP(A90,[26]Бахчевые!$A$46:$W$64,23,)</f>
        <v>0</v>
      </c>
    </row>
    <row r="91" spans="1:25">
      <c r="A91" s="104" t="s">
        <v>115</v>
      </c>
      <c r="B91" s="92">
        <f>VLOOKUP(A91,[26]Зерновые!$A$46:$L$64,12,)</f>
        <v>12.471240000000002</v>
      </c>
      <c r="C91" s="93">
        <f>VLOOKUP(A91,[26]Зерновые!$A$46:$W$64,23,)</f>
        <v>13.381870000000001</v>
      </c>
      <c r="D91" s="93">
        <f>VLOOKUP(A91,[26]Зерновые!$A$46:$AH$64,34,)</f>
        <v>0.2</v>
      </c>
      <c r="E91" s="93">
        <f>VLOOKUP(A91,[26]Зерновые!$A$50:$AS$64,45,)</f>
        <v>0</v>
      </c>
      <c r="F91" s="93">
        <f>VLOOKUP(A91,[26]Зерновые!$A$46:$BD$64,56,)</f>
        <v>0</v>
      </c>
      <c r="G91" s="105">
        <f>VLOOKUP(A91,[26]Зерновые!$A$46:$BO$64,67,FALSE)</f>
        <v>52.237210000000005</v>
      </c>
      <c r="H91" s="127">
        <f>VLOOKUP(A91,[26]Зерновые!$A$46:$BZ$64,78,)</f>
        <v>0</v>
      </c>
      <c r="I91" s="111">
        <f>VLOOKUP(A91,[26]Масличные!$A$46:$L$64,12,)</f>
        <v>0</v>
      </c>
      <c r="J91" s="105">
        <f>VLOOKUP(A91,[26]Масличные!$A$46:$W$64,23,)</f>
        <v>0</v>
      </c>
      <c r="K91" s="163">
        <f>VLOOKUP(A91,[26]Масличные!$A$46:$AH$64,34,)</f>
        <v>0</v>
      </c>
      <c r="L91" s="105">
        <f>VLOOKUP(A91,[26]Масличные!$A$46:$AS$64,45,)</f>
        <v>0</v>
      </c>
      <c r="M91" s="127">
        <f>VLOOKUP(A91,[26]Масличные!$A$46:$BD$64,56,)</f>
        <v>12.202070000000001</v>
      </c>
      <c r="N91" s="111">
        <f>VLOOKUP(A91,[26]Бобовые!$A$46:$L$64,12,)</f>
        <v>0</v>
      </c>
      <c r="O91" s="105">
        <f>VLOOKUP(A91,[26]Бобовые!$A$46:$W$64,23,)</f>
        <v>0</v>
      </c>
      <c r="P91" s="105">
        <f>VLOOKUP(A91,[26]Бобовые!$A$46:$AH$64,34,)</f>
        <v>0</v>
      </c>
      <c r="Q91" s="111">
        <f>VLOOKUP(A91,[26]Овощи!$A$46:$L$64,12,)</f>
        <v>212.56338999999997</v>
      </c>
      <c r="R91" s="105">
        <f>VLOOKUP(A91,[26]Овощи!$A$46:$W$64,23,)</f>
        <v>411.77076999999997</v>
      </c>
      <c r="S91" s="105">
        <f>VLOOKUP(A91,[26]Овощи!$A$46:$AH$64,34,)</f>
        <v>259.85287</v>
      </c>
      <c r="T91" s="105">
        <f>VLOOKUP(A91,[26]Овощи!$A$46:$AS$64,45,)</f>
        <v>343.39088999999996</v>
      </c>
      <c r="U91" s="105">
        <f>VLOOKUP(A91,[26]Овощи!$A$46:$BD$64,56,)</f>
        <v>270.25234</v>
      </c>
      <c r="V91" s="105">
        <f>VLOOKUP(A91,[26]Овощи!$A$46:$BO$64,67,)</f>
        <v>273.76008000000002</v>
      </c>
      <c r="W91" s="127">
        <f>VLOOKUP(A91,[26]Овощи!$A$46:$BZ$64,78,)</f>
        <v>235.40190999999999</v>
      </c>
      <c r="X91" s="111">
        <f>VLOOKUP(A91,[26]Бахчевые!$A$46:$L$64,12,)</f>
        <v>214.55276000000003</v>
      </c>
      <c r="Y91" s="127">
        <f>VLOOKUP(A91,[26]Бахчевые!$A$46:$W$64,23,)</f>
        <v>142.71476999999999</v>
      </c>
    </row>
    <row r="92" spans="1:25">
      <c r="A92" s="104" t="s">
        <v>116</v>
      </c>
      <c r="B92" s="92">
        <f>VLOOKUP(A92,[26]Зерновые!$A$46:$L$64,12,)</f>
        <v>13.309229999999999</v>
      </c>
      <c r="C92" s="93">
        <f>VLOOKUP(A92,[26]Зерновые!$A$46:$W$64,23,)</f>
        <v>19.20102</v>
      </c>
      <c r="D92" s="93">
        <f>VLOOKUP(A92,[26]Зерновые!$A$46:$AH$64,34,)</f>
        <v>7.6899999999999995</v>
      </c>
      <c r="E92" s="93">
        <f>VLOOKUP(A92,[26]Зерновые!$A$50:$AS$64,45,)</f>
        <v>0</v>
      </c>
      <c r="F92" s="93">
        <f>VLOOKUP(A92,[26]Зерновые!$A$46:$BD$64,56,)</f>
        <v>0</v>
      </c>
      <c r="G92" s="105">
        <f>VLOOKUP(A92,[26]Зерновые!$A$46:$BO$64,67,FALSE)</f>
        <v>41.393560000000001</v>
      </c>
      <c r="H92" s="127">
        <f>VLOOKUP(A92,[26]Зерновые!$A$46:$BZ$64,78,)</f>
        <v>0</v>
      </c>
      <c r="I92" s="111">
        <f>VLOOKUP(A92,[26]Масличные!$A$46:$L$64,12,)</f>
        <v>11.61192</v>
      </c>
      <c r="J92" s="105">
        <f>VLOOKUP(A92,[26]Масличные!$A$46:$W$64,23,)</f>
        <v>0</v>
      </c>
      <c r="K92" s="163">
        <f>VLOOKUP(A92,[26]Масличные!$A$46:$AH$64,34,)</f>
        <v>0</v>
      </c>
      <c r="L92" s="105">
        <f>VLOOKUP(A92,[26]Масличные!$A$46:$AS$64,45,)</f>
        <v>0</v>
      </c>
      <c r="M92" s="127">
        <f>VLOOKUP(A92,[26]Масличные!$A$46:$BD$64,56,)</f>
        <v>3.95</v>
      </c>
      <c r="N92" s="111">
        <f>VLOOKUP(A92,[26]Бобовые!$A$46:$L$64,12,)</f>
        <v>0</v>
      </c>
      <c r="O92" s="105">
        <f>VLOOKUP(A92,[26]Бобовые!$A$46:$W$64,23,)</f>
        <v>0</v>
      </c>
      <c r="P92" s="105">
        <f>VLOOKUP(A92,[26]Бобовые!$A$46:$AH$64,34,)</f>
        <v>0</v>
      </c>
      <c r="Q92" s="111">
        <f>VLOOKUP(A92,[26]Овощи!$A$46:$L$64,12,)</f>
        <v>167.20909</v>
      </c>
      <c r="R92" s="105">
        <f>VLOOKUP(A92,[26]Овощи!$A$46:$W$64,23,)</f>
        <v>239.85325999999995</v>
      </c>
      <c r="S92" s="105">
        <f>VLOOKUP(A92,[26]Овощи!$A$46:$AH$64,34,)</f>
        <v>234.81383999999997</v>
      </c>
      <c r="T92" s="105">
        <f>VLOOKUP(A92,[26]Овощи!$A$46:$AS$64,45,)</f>
        <v>237.05315000000002</v>
      </c>
      <c r="U92" s="105">
        <f>VLOOKUP(A92,[26]Овощи!$A$46:$BD$64,56,)</f>
        <v>237.09128999999999</v>
      </c>
      <c r="V92" s="105">
        <f>VLOOKUP(A92,[26]Овощи!$A$46:$BO$64,67,)</f>
        <v>233.82907</v>
      </c>
      <c r="W92" s="127">
        <f>VLOOKUP(A92,[26]Овощи!$A$46:$BZ$64,78,)</f>
        <v>237.68117999999998</v>
      </c>
      <c r="X92" s="111">
        <f>VLOOKUP(A92,[26]Бахчевые!$A$46:$L$64,12,)</f>
        <v>147.59273000000002</v>
      </c>
      <c r="Y92" s="127">
        <f>VLOOKUP(A92,[26]Бахчевые!$A$46:$W$64,23,)</f>
        <v>157.43363000000002</v>
      </c>
    </row>
    <row r="93" spans="1:25" ht="13.8" thickBot="1">
      <c r="A93" s="107" t="s">
        <v>117</v>
      </c>
      <c r="B93" s="98">
        <f>VLOOKUP(A93,[26]Зерновые!$A$46:$L$64,12,)</f>
        <v>11.02</v>
      </c>
      <c r="C93" s="99">
        <f>VLOOKUP(A93,[26]Зерновые!$A$46:$W$64,23,)</f>
        <v>22.574059999999996</v>
      </c>
      <c r="D93" s="99">
        <f>VLOOKUP(A93,[26]Зерновые!$A$46:$AH$64,34,)</f>
        <v>0</v>
      </c>
      <c r="E93" s="99">
        <f>VLOOKUP(A93,[26]Зерновые!$A$50:$AS$64,45,)</f>
        <v>0</v>
      </c>
      <c r="F93" s="99">
        <f>VLOOKUP(A93,[26]Зерновые!$A$46:$BD$64,56,)</f>
        <v>0</v>
      </c>
      <c r="G93" s="108">
        <f>VLOOKUP(A93,[26]Зерновые!$A$46:$BO$64,67,FALSE)</f>
        <v>34.15</v>
      </c>
      <c r="H93" s="128">
        <f>VLOOKUP(A93,[26]Зерновые!$A$46:$BZ$64,78,)</f>
        <v>0</v>
      </c>
      <c r="I93" s="112">
        <f>VLOOKUP(A93,[26]Масличные!$A$46:$L$64,12,)</f>
        <v>14.1</v>
      </c>
      <c r="J93" s="108">
        <f>VLOOKUP(A93,[26]Масличные!$A$46:$W$64,23,)</f>
        <v>0</v>
      </c>
      <c r="K93" s="164">
        <f>VLOOKUP(A93,[26]Масличные!$A$46:$AH$64,34,)</f>
        <v>0</v>
      </c>
      <c r="L93" s="108">
        <f>VLOOKUP(A93,[26]Масличные!$A$46:$AS$64,45,)</f>
        <v>0</v>
      </c>
      <c r="M93" s="128">
        <f>VLOOKUP(A93,[26]Масличные!$A$46:$BD$64,56,)</f>
        <v>0</v>
      </c>
      <c r="N93" s="112">
        <f>VLOOKUP(A93,[26]Бобовые!$A$46:$L$64,12,)</f>
        <v>0</v>
      </c>
      <c r="O93" s="108">
        <f>VLOOKUP(A93,[26]Бобовые!$A$46:$W$64,23,)</f>
        <v>6.4</v>
      </c>
      <c r="P93" s="108">
        <f>VLOOKUP(A93,[26]Бобовые!$A$46:$AH$64,34,)</f>
        <v>0</v>
      </c>
      <c r="Q93" s="112">
        <f>VLOOKUP(A93,[26]Овощи!$A$46:$L$64,12,)</f>
        <v>150.85920999999999</v>
      </c>
      <c r="R93" s="108">
        <f>VLOOKUP(A93,[26]Овощи!$A$46:$W$64,23,)</f>
        <v>237.22174000000001</v>
      </c>
      <c r="S93" s="108">
        <f>VLOOKUP(A93,[26]Овощи!$A$46:$AH$64,34,)</f>
        <v>322.45508000000001</v>
      </c>
      <c r="T93" s="108">
        <f>VLOOKUP(A93,[26]Овощи!$A$46:$AS$64,45,)</f>
        <v>418.57345999999995</v>
      </c>
      <c r="U93" s="108">
        <f>VLOOKUP(A93,[26]Овощи!$A$46:$BD$64,56,)</f>
        <v>241.87157000000002</v>
      </c>
      <c r="V93" s="108">
        <f>VLOOKUP(A93,[26]Овощи!$A$46:$BO$64,67,)</f>
        <v>240.93141</v>
      </c>
      <c r="W93" s="128">
        <f>VLOOKUP(A93,[26]Овощи!$A$46:$BZ$64,78,)</f>
        <v>264.65608000000003</v>
      </c>
      <c r="X93" s="112">
        <f>VLOOKUP(A93,[26]Бахчевые!$A$46:$L$64,12,)</f>
        <v>0</v>
      </c>
      <c r="Y93" s="128">
        <f>VLOOKUP(A93,[26]Бахчевые!$A$46:$W$64,23,)</f>
        <v>0</v>
      </c>
    </row>
    <row r="94" spans="1:25">
      <c r="A94" s="91"/>
      <c r="B94" s="90"/>
      <c r="C94" s="90"/>
      <c r="D94" s="90"/>
      <c r="E94" s="90"/>
      <c r="F94" s="90"/>
      <c r="G94" s="90"/>
      <c r="H94" s="90"/>
    </row>
    <row r="95" spans="1:25" ht="13.8" thickBot="1">
      <c r="A95" s="91"/>
      <c r="B95" s="90"/>
      <c r="C95" s="90"/>
      <c r="D95" s="90"/>
      <c r="E95" s="90"/>
      <c r="F95" s="90"/>
      <c r="G95" s="90"/>
      <c r="H95" s="90"/>
    </row>
    <row r="96" spans="1:25">
      <c r="A96" s="808" t="s">
        <v>276</v>
      </c>
      <c r="B96" s="805" t="s">
        <v>269</v>
      </c>
      <c r="C96" s="806"/>
      <c r="D96" s="806"/>
      <c r="E96" s="806"/>
      <c r="F96" s="806"/>
      <c r="G96" s="806"/>
      <c r="H96" s="807"/>
      <c r="I96" s="799" t="s">
        <v>316</v>
      </c>
      <c r="J96" s="800"/>
      <c r="K96" s="800"/>
      <c r="L96" s="800"/>
      <c r="M96" s="801"/>
      <c r="N96" s="799" t="s">
        <v>317</v>
      </c>
      <c r="O96" s="800"/>
      <c r="P96" s="800"/>
      <c r="Q96" s="799" t="s">
        <v>322</v>
      </c>
      <c r="R96" s="800"/>
      <c r="S96" s="800"/>
      <c r="T96" s="800"/>
      <c r="U96" s="800"/>
      <c r="V96" s="800"/>
      <c r="W96" s="801"/>
      <c r="X96" s="799" t="s">
        <v>330</v>
      </c>
      <c r="Y96" s="801"/>
    </row>
    <row r="97" spans="1:25" ht="20.399999999999999">
      <c r="A97" s="809"/>
      <c r="B97" s="119" t="s">
        <v>270</v>
      </c>
      <c r="C97" s="116" t="s">
        <v>83</v>
      </c>
      <c r="D97" s="116" t="s">
        <v>84</v>
      </c>
      <c r="E97" s="116" t="s">
        <v>271</v>
      </c>
      <c r="F97" s="116" t="s">
        <v>272</v>
      </c>
      <c r="G97" s="116" t="s">
        <v>314</v>
      </c>
      <c r="H97" s="120" t="s">
        <v>273</v>
      </c>
      <c r="I97" s="119" t="s">
        <v>243</v>
      </c>
      <c r="J97" s="116" t="s">
        <v>244</v>
      </c>
      <c r="K97" s="116" t="s">
        <v>258</v>
      </c>
      <c r="L97" s="116" t="s">
        <v>315</v>
      </c>
      <c r="M97" s="120" t="s">
        <v>245</v>
      </c>
      <c r="N97" s="119" t="s">
        <v>318</v>
      </c>
      <c r="O97" s="116" t="s">
        <v>319</v>
      </c>
      <c r="P97" s="116" t="s">
        <v>320</v>
      </c>
      <c r="Q97" s="119" t="s">
        <v>323</v>
      </c>
      <c r="R97" s="116" t="s">
        <v>324</v>
      </c>
      <c r="S97" s="116" t="s">
        <v>325</v>
      </c>
      <c r="T97" s="116" t="s">
        <v>326</v>
      </c>
      <c r="U97" s="116" t="s">
        <v>327</v>
      </c>
      <c r="V97" s="116" t="s">
        <v>328</v>
      </c>
      <c r="W97" s="120" t="s">
        <v>329</v>
      </c>
      <c r="X97" s="119" t="s">
        <v>331</v>
      </c>
      <c r="Y97" s="120" t="s">
        <v>332</v>
      </c>
    </row>
    <row r="98" spans="1:25">
      <c r="A98" s="104" t="s">
        <v>277</v>
      </c>
      <c r="B98" s="95">
        <f>VLOOKUP(A98,[26]Зерновые!$A$69:$L$76,12,)</f>
        <v>0</v>
      </c>
      <c r="C98" s="93">
        <f>VLOOKUP(A98,[26]Зерновые!$A$69:$W$76,23,)</f>
        <v>2</v>
      </c>
      <c r="D98" s="93">
        <f>VLOOKUP(A98,[26]Зерновые!$A$69:$AH$76,34,)</f>
        <v>0</v>
      </c>
      <c r="E98" s="96">
        <f>VLOOKUP(A98,[26]Зерновые!$A$69:$AS$76,45,)</f>
        <v>0</v>
      </c>
      <c r="F98" s="96">
        <f>VLOOKUP(A98,[26]Зерновые!$A$69:$BD$76,56,)</f>
        <v>0</v>
      </c>
      <c r="G98" s="96">
        <f>VLOOKUP(A98,[26]Зерновые!$A$69:$BO$76,67,)</f>
        <v>0</v>
      </c>
      <c r="H98" s="130">
        <f>VLOOKUP(A98,[26]Зерновые!$A$69:$BZ$76,78,FALSE)</f>
        <v>0</v>
      </c>
      <c r="I98" s="95">
        <f>VLOOKUP(A98,[26]Масличные!$A$69:$L$76,12,)</f>
        <v>0</v>
      </c>
      <c r="J98" s="96">
        <f>VLOOKUP(A98,[26]Масличные!$A$69:$W$76,23,FALSE)</f>
        <v>0</v>
      </c>
      <c r="K98" s="96">
        <f>VLOOKUP(A98,[26]Масличные!$A$69:$AH$76,34,)</f>
        <v>0</v>
      </c>
      <c r="L98" s="96">
        <f>VLOOKUP(A98,[26]Масличные!$A$69:$AS$76,45,)</f>
        <v>0</v>
      </c>
      <c r="M98" s="132">
        <f>VLOOKUP(A98,[26]Масличные!$A$69:$BD$76,56,)</f>
        <v>0</v>
      </c>
      <c r="N98" s="95">
        <f>VLOOKUP(A98,[26]Бобовые!$A$69:$L$76,12,)</f>
        <v>0</v>
      </c>
      <c r="O98" s="96">
        <f>VLOOKUP(A98,[26]Бобовые!$A$69:$W$76,23,)</f>
        <v>0</v>
      </c>
      <c r="P98" s="96">
        <f>VLOOKUP(A98,[26]Бобовые!$A$69:$AH$76,34,FALSE)</f>
        <v>0</v>
      </c>
      <c r="Q98" s="92">
        <f>VLOOKUP(A98,[26]Овощи!$A$69:$L$76,12,)</f>
        <v>163.72304999999997</v>
      </c>
      <c r="R98" s="93">
        <f>VLOOKUP(A98,[26]Овощи!$A$69:$W$76,23,)</f>
        <v>286.54651000000001</v>
      </c>
      <c r="S98" s="93">
        <f>VLOOKUP(A98,[26]Овощи!$A$69:$AH$76,34,)</f>
        <v>353.10151000000002</v>
      </c>
      <c r="T98" s="93">
        <f>VLOOKUP(A98,[26]Овощи!$A$69:$AS$76,45,)</f>
        <v>256.23857000000004</v>
      </c>
      <c r="U98" s="93">
        <f>VLOOKUP(A98,[26]Овощи!$A$69:$BD$76,56,)</f>
        <v>299.52537999999993</v>
      </c>
      <c r="V98" s="93">
        <f>VLOOKUP(A98,[26]Овощи!$A$69:$BO$76,67,)</f>
        <v>277.98509999999999</v>
      </c>
      <c r="W98" s="123">
        <f>VLOOKUP(A98,[26]Овощи!$A$69:$BZ$76,78,)</f>
        <v>294.77644999999995</v>
      </c>
      <c r="X98" s="92">
        <f>VLOOKUP(A98,[26]Бахчевые!$A$69:$L$76,12,)</f>
        <v>264.33457000000004</v>
      </c>
      <c r="Y98" s="123">
        <f>VLOOKUP(A98,[26]Бахчевые!$A$69:$W$76,23,)</f>
        <v>240.86763000000002</v>
      </c>
    </row>
    <row r="99" spans="1:25">
      <c r="A99" s="104" t="s">
        <v>278</v>
      </c>
      <c r="B99" s="95">
        <f>VLOOKUP(A99,[26]Зерновые!$A$69:$L$76,12,)</f>
        <v>0</v>
      </c>
      <c r="C99" s="93">
        <f>VLOOKUP(A99,[26]Зерновые!$A$69:$W$76,23,)</f>
        <v>0</v>
      </c>
      <c r="D99" s="93">
        <f>VLOOKUP(A99,[26]Зерновые!$A$69:$AH$76,34,)</f>
        <v>0</v>
      </c>
      <c r="E99" s="96">
        <f>VLOOKUP(A99,[26]Зерновые!$A$69:$AS$76,45,)</f>
        <v>0</v>
      </c>
      <c r="F99" s="96">
        <f>VLOOKUP(A99,[26]Зерновые!$A$69:$BD$76,56,)</f>
        <v>0</v>
      </c>
      <c r="G99" s="96">
        <f>VLOOKUP(A99,[26]Зерновые!$A$69:$BO$76,67,)</f>
        <v>0</v>
      </c>
      <c r="H99" s="130">
        <f>VLOOKUP(A99,[26]Зерновые!$A$69:$BZ$76,78,FALSE)</f>
        <v>0</v>
      </c>
      <c r="I99" s="95">
        <f>VLOOKUP(A99,[26]Масличные!$A$69:$L$76,12,)</f>
        <v>0</v>
      </c>
      <c r="J99" s="96">
        <f>VLOOKUP(A99,[26]Масличные!$A$69:$W$76,23,FALSE)</f>
        <v>0</v>
      </c>
      <c r="K99" s="96">
        <f>VLOOKUP(A99,[26]Масличные!$A$69:$AH$76,34,)</f>
        <v>0</v>
      </c>
      <c r="L99" s="96">
        <f>VLOOKUP(A99,[26]Масличные!$A$69:$AS$76,45,)</f>
        <v>0</v>
      </c>
      <c r="M99" s="132">
        <f>VLOOKUP(A99,[26]Масличные!$A$69:$BD$76,56,)</f>
        <v>0</v>
      </c>
      <c r="N99" s="95">
        <f>VLOOKUP(A99,[26]Бобовые!$A$69:$L$76,12,)</f>
        <v>0</v>
      </c>
      <c r="O99" s="96">
        <f>VLOOKUP(A99,[26]Бобовые!$A$69:$W$76,23,)</f>
        <v>0</v>
      </c>
      <c r="P99" s="96">
        <f>VLOOKUP(A99,[26]Бобовые!$A$69:$AH$76,34,FALSE)</f>
        <v>0</v>
      </c>
      <c r="Q99" s="92">
        <f>VLOOKUP(A99,[26]Овощи!$A$69:$L$76,12,)</f>
        <v>0</v>
      </c>
      <c r="R99" s="93">
        <f>VLOOKUP(A99,[26]Овощи!$A$69:$W$76,23,)</f>
        <v>41.869169999999997</v>
      </c>
      <c r="S99" s="93">
        <f>VLOOKUP(A99,[26]Овощи!$A$69:$AH$76,34,)</f>
        <v>94.563829999999996</v>
      </c>
      <c r="T99" s="93">
        <f>VLOOKUP(A99,[26]Овощи!$A$69:$AS$76,45,)</f>
        <v>61.149999999999991</v>
      </c>
      <c r="U99" s="93">
        <f>VLOOKUP(A99,[26]Овощи!$A$69:$BD$76,56,)</f>
        <v>121.52954</v>
      </c>
      <c r="V99" s="93">
        <f>VLOOKUP(A99,[26]Овощи!$A$69:$BO$76,67,)</f>
        <v>130.34237999999999</v>
      </c>
      <c r="W99" s="123">
        <f>VLOOKUP(A99,[26]Овощи!$A$69:$BZ$76,78,)</f>
        <v>0</v>
      </c>
      <c r="X99" s="92">
        <f>VLOOKUP(A99,[26]Бахчевые!$A$69:$L$76,12,)</f>
        <v>134.27759999999998</v>
      </c>
      <c r="Y99" s="123">
        <f>VLOOKUP(A99,[26]Бахчевые!$A$69:$W$76,23,)</f>
        <v>125.85015999999999</v>
      </c>
    </row>
    <row r="100" spans="1:25">
      <c r="A100" s="104" t="s">
        <v>279</v>
      </c>
      <c r="B100" s="95">
        <f>VLOOKUP(A100,[26]Зерновые!$A$69:$L$76,12,)</f>
        <v>0</v>
      </c>
      <c r="C100" s="93">
        <f>VLOOKUP(A100,[26]Зерновые!$A$69:$W$76,23,)</f>
        <v>0</v>
      </c>
      <c r="D100" s="93">
        <f>VLOOKUP(A100,[26]Зерновые!$A$69:$AH$76,34,)</f>
        <v>0</v>
      </c>
      <c r="E100" s="96">
        <f>VLOOKUP(A100,[26]Зерновые!$A$69:$AS$76,45,)</f>
        <v>0</v>
      </c>
      <c r="F100" s="96">
        <f>VLOOKUP(A100,[26]Зерновые!$A$69:$BD$76,56,)</f>
        <v>0</v>
      </c>
      <c r="G100" s="96">
        <f>VLOOKUP(A100,[26]Зерновые!$A$69:$BO$76,67,)</f>
        <v>0</v>
      </c>
      <c r="H100" s="130">
        <f>VLOOKUP(A100,[26]Зерновые!$A$69:$BZ$76,78,FALSE)</f>
        <v>0</v>
      </c>
      <c r="I100" s="95">
        <f>VLOOKUP(A100,[26]Масличные!$A$69:$L$76,12,)</f>
        <v>0</v>
      </c>
      <c r="J100" s="96">
        <f>VLOOKUP(A100,[26]Масличные!$A$69:$W$76,23,FALSE)</f>
        <v>0</v>
      </c>
      <c r="K100" s="96">
        <f>VLOOKUP(A100,[26]Масличные!$A$69:$AH$76,34,)</f>
        <v>0</v>
      </c>
      <c r="L100" s="96">
        <f>VLOOKUP(A100,[26]Масличные!$A$69:$AS$76,45,)</f>
        <v>0</v>
      </c>
      <c r="M100" s="132">
        <f>VLOOKUP(A100,[26]Масличные!$A$69:$BD$76,56,)</f>
        <v>0</v>
      </c>
      <c r="N100" s="95">
        <f>VLOOKUP(A100,[26]Бобовые!$A$69:$L$76,12,)</f>
        <v>0</v>
      </c>
      <c r="O100" s="96">
        <f>VLOOKUP(A100,[26]Бобовые!$A$69:$W$76,23,)</f>
        <v>0</v>
      </c>
      <c r="P100" s="96">
        <f>VLOOKUP(A100,[26]Бобовые!$A$69:$AH$76,34,FALSE)</f>
        <v>0</v>
      </c>
      <c r="Q100" s="92">
        <f>VLOOKUP(A100,[26]Овощи!$A$69:$L$76,12,)</f>
        <v>122.78426999999999</v>
      </c>
      <c r="R100" s="93">
        <f>VLOOKUP(A100,[26]Овощи!$A$69:$W$76,23,)</f>
        <v>201.09056000000004</v>
      </c>
      <c r="S100" s="93">
        <f>VLOOKUP(A100,[26]Овощи!$A$69:$AH$76,34,)</f>
        <v>195.07846999999998</v>
      </c>
      <c r="T100" s="93">
        <f>VLOOKUP(A100,[26]Овощи!$A$69:$AS$76,45,)</f>
        <v>186.12694999999999</v>
      </c>
      <c r="U100" s="93">
        <f>VLOOKUP(A100,[26]Овощи!$A$69:$BD$76,56,)</f>
        <v>168.86106000000001</v>
      </c>
      <c r="V100" s="93">
        <f>VLOOKUP(A100,[26]Овощи!$A$69:$BO$76,67,)</f>
        <v>220.38330000000005</v>
      </c>
      <c r="W100" s="123">
        <f>VLOOKUP(A100,[26]Овощи!$A$69:$BZ$76,78,)</f>
        <v>156.33959999999999</v>
      </c>
      <c r="X100" s="92">
        <f>VLOOKUP(A100,[26]Бахчевые!$A$69:$L$76,12,)</f>
        <v>188.84399000000002</v>
      </c>
      <c r="Y100" s="123">
        <f>VLOOKUP(A100,[26]Бахчевые!$A$69:$W$76,23,)</f>
        <v>200.87959999999998</v>
      </c>
    </row>
    <row r="101" spans="1:25">
      <c r="A101" s="104" t="s">
        <v>280</v>
      </c>
      <c r="B101" s="95">
        <f>VLOOKUP(A101,[26]Зерновые!$A$69:$L$76,12,)</f>
        <v>0</v>
      </c>
      <c r="C101" s="93">
        <f>VLOOKUP(A101,[26]Зерновые!$A$69:$W$76,23,)</f>
        <v>0</v>
      </c>
      <c r="D101" s="93">
        <f>VLOOKUP(A101,[26]Зерновые!$A$69:$AH$76,34,)</f>
        <v>0</v>
      </c>
      <c r="E101" s="96">
        <f>VLOOKUP(A101,[26]Зерновые!$A$69:$AS$76,45,)</f>
        <v>0</v>
      </c>
      <c r="F101" s="96">
        <f>VLOOKUP(A101,[26]Зерновые!$A$69:$BD$76,56,)</f>
        <v>0</v>
      </c>
      <c r="G101" s="96">
        <f>VLOOKUP(A101,[26]Зерновые!$A$69:$BO$76,67,)</f>
        <v>0</v>
      </c>
      <c r="H101" s="130">
        <f>VLOOKUP(A101,[26]Зерновые!$A$69:$BZ$76,78,FALSE)</f>
        <v>0</v>
      </c>
      <c r="I101" s="95">
        <f>VLOOKUP(A101,[26]Масличные!$A$69:$L$76,12,)</f>
        <v>0</v>
      </c>
      <c r="J101" s="96">
        <f>VLOOKUP(A101,[26]Масличные!$A$69:$W$76,23,FALSE)</f>
        <v>0</v>
      </c>
      <c r="K101" s="96">
        <f>VLOOKUP(A101,[26]Масличные!$A$69:$AH$76,34,)</f>
        <v>0</v>
      </c>
      <c r="L101" s="96">
        <f>VLOOKUP(A101,[26]Масличные!$A$69:$AS$76,45,)</f>
        <v>0</v>
      </c>
      <c r="M101" s="132">
        <f>VLOOKUP(A101,[26]Масличные!$A$69:$BD$76,56,)</f>
        <v>0</v>
      </c>
      <c r="N101" s="95">
        <f>VLOOKUP(A101,[26]Бобовые!$A$69:$L$76,12,)</f>
        <v>0</v>
      </c>
      <c r="O101" s="96">
        <f>VLOOKUP(A101,[26]Бобовые!$A$69:$W$76,23,)</f>
        <v>0</v>
      </c>
      <c r="P101" s="96">
        <f>VLOOKUP(A101,[26]Бобовые!$A$69:$AH$76,34,FALSE)</f>
        <v>0</v>
      </c>
      <c r="Q101" s="92">
        <f>VLOOKUP(A101,[26]Овощи!$A$69:$L$76,12,)</f>
        <v>37.83</v>
      </c>
      <c r="R101" s="93">
        <f>VLOOKUP(A101,[26]Овощи!$A$69:$W$76,23,)</f>
        <v>155.25162</v>
      </c>
      <c r="S101" s="93">
        <f>VLOOKUP(A101,[26]Овощи!$A$69:$AH$76,34,)</f>
        <v>176.18</v>
      </c>
      <c r="T101" s="93">
        <f>VLOOKUP(A101,[26]Овощи!$A$69:$AS$76,45,)</f>
        <v>144.44</v>
      </c>
      <c r="U101" s="93">
        <f>VLOOKUP(A101,[26]Овощи!$A$69:$BD$76,56,)</f>
        <v>147.358</v>
      </c>
      <c r="V101" s="93">
        <f>VLOOKUP(A101,[26]Овощи!$A$69:$BO$76,67,)</f>
        <v>126.126</v>
      </c>
      <c r="W101" s="123">
        <f>VLOOKUP(A101,[26]Овощи!$A$69:$BZ$76,78,)</f>
        <v>133.72</v>
      </c>
      <c r="X101" s="92">
        <f>VLOOKUP(A101,[26]Бахчевые!$A$69:$L$76,12,)</f>
        <v>61.48</v>
      </c>
      <c r="Y101" s="123">
        <f>VLOOKUP(A101,[26]Бахчевые!$A$69:$W$76,23,)</f>
        <v>111.39250000000001</v>
      </c>
    </row>
    <row r="102" spans="1:25">
      <c r="A102" s="104" t="s">
        <v>281</v>
      </c>
      <c r="B102" s="95">
        <f>VLOOKUP(A102,[26]Зерновые!$A$69:$L$76,12,)</f>
        <v>0</v>
      </c>
      <c r="C102" s="93">
        <f>VLOOKUP(A102,[26]Зерновые!$A$69:$W$76,23,)</f>
        <v>0</v>
      </c>
      <c r="D102" s="93">
        <f>VLOOKUP(A102,[26]Зерновые!$A$69:$AH$76,34,)</f>
        <v>0</v>
      </c>
      <c r="E102" s="96">
        <f>VLOOKUP(A102,[26]Зерновые!$A$69:$AS$76,45,)</f>
        <v>0</v>
      </c>
      <c r="F102" s="96">
        <f>VLOOKUP(A102,[26]Зерновые!$A$69:$BD$76,56,)</f>
        <v>0</v>
      </c>
      <c r="G102" s="96">
        <f>VLOOKUP(A102,[26]Зерновые!$A$69:$BO$76,67,)</f>
        <v>0</v>
      </c>
      <c r="H102" s="130">
        <f>VLOOKUP(A102,[26]Зерновые!$A$69:$BZ$76,78,FALSE)</f>
        <v>0</v>
      </c>
      <c r="I102" s="95">
        <f>VLOOKUP(A102,[26]Масличные!$A$69:$L$76,12,)</f>
        <v>0</v>
      </c>
      <c r="J102" s="96">
        <f>VLOOKUP(A102,[26]Масличные!$A$69:$W$76,23,FALSE)</f>
        <v>0</v>
      </c>
      <c r="K102" s="96">
        <f>VLOOKUP(A102,[26]Масличные!$A$69:$AH$76,34,)</f>
        <v>0</v>
      </c>
      <c r="L102" s="96">
        <f>VLOOKUP(A102,[26]Масличные!$A$69:$AS$76,45,)</f>
        <v>0</v>
      </c>
      <c r="M102" s="132">
        <f>VLOOKUP(A102,[26]Масличные!$A$69:$BD$76,56,)</f>
        <v>0</v>
      </c>
      <c r="N102" s="95">
        <f>VLOOKUP(A102,[26]Бобовые!$A$69:$L$76,12,)</f>
        <v>0</v>
      </c>
      <c r="O102" s="96">
        <f>VLOOKUP(A102,[26]Бобовые!$A$69:$W$76,23,)</f>
        <v>0</v>
      </c>
      <c r="P102" s="96">
        <f>VLOOKUP(A102,[26]Бобовые!$A$69:$AH$76,34,FALSE)</f>
        <v>0</v>
      </c>
      <c r="Q102" s="92">
        <f>VLOOKUP(A102,[26]Овощи!$A$69:$L$76,12,)</f>
        <v>124.80061000000001</v>
      </c>
      <c r="R102" s="93">
        <f>VLOOKUP(A102,[26]Овощи!$A$69:$W$76,23,)</f>
        <v>155.89136999999999</v>
      </c>
      <c r="S102" s="93">
        <f>VLOOKUP(A102,[26]Овощи!$A$69:$AH$76,34,)</f>
        <v>150.81079</v>
      </c>
      <c r="T102" s="93">
        <f>VLOOKUP(A102,[26]Овощи!$A$69:$AS$76,45,)</f>
        <v>120.06146000000001</v>
      </c>
      <c r="U102" s="93">
        <f>VLOOKUP(A102,[26]Овощи!$A$69:$BD$76,56,)</f>
        <v>159.17627999999999</v>
      </c>
      <c r="V102" s="93">
        <f>VLOOKUP(A102,[26]Овощи!$A$69:$BO$76,67,)</f>
        <v>162.71296000000001</v>
      </c>
      <c r="W102" s="123">
        <f>VLOOKUP(A102,[26]Овощи!$A$69:$BZ$76,78,)</f>
        <v>145.89222000000001</v>
      </c>
      <c r="X102" s="92">
        <f>VLOOKUP(A102,[26]Бахчевые!$A$69:$L$76,12,)</f>
        <v>191.37721000000005</v>
      </c>
      <c r="Y102" s="123">
        <f>VLOOKUP(A102,[26]Бахчевые!$A$69:$W$76,23,)</f>
        <v>189.58566999999999</v>
      </c>
    </row>
    <row r="103" spans="1:25">
      <c r="A103" s="104" t="s">
        <v>282</v>
      </c>
      <c r="B103" s="95">
        <f>VLOOKUP(A103,[26]Зерновые!$A$69:$L$76,12,)</f>
        <v>0</v>
      </c>
      <c r="C103" s="93">
        <f>VLOOKUP(A103,[26]Зерновые!$A$69:$W$76,23,)</f>
        <v>2.19</v>
      </c>
      <c r="D103" s="93">
        <f>VLOOKUP(A103,[26]Зерновые!$A$69:$AH$76,34,)</f>
        <v>0</v>
      </c>
      <c r="E103" s="96">
        <f>VLOOKUP(A103,[26]Зерновые!$A$69:$AS$76,45,)</f>
        <v>0.38</v>
      </c>
      <c r="F103" s="96">
        <f>VLOOKUP(A103,[26]Зерновые!$A$69:$BD$76,56,)</f>
        <v>0</v>
      </c>
      <c r="G103" s="96">
        <f>VLOOKUP(A103,[26]Зерновые!$A$69:$BO$76,67,)</f>
        <v>0</v>
      </c>
      <c r="H103" s="130">
        <f>VLOOKUP(A103,[26]Зерновые!$A$69:$BZ$76,78,FALSE)</f>
        <v>0</v>
      </c>
      <c r="I103" s="95">
        <f>VLOOKUP(A103,[26]Масличные!$A$69:$L$76,12,)</f>
        <v>0</v>
      </c>
      <c r="J103" s="96">
        <f>VLOOKUP(A103,[26]Масличные!$A$69:$W$76,23,FALSE)</f>
        <v>0</v>
      </c>
      <c r="K103" s="96">
        <f>VLOOKUP(A103,[26]Масличные!$A$69:$AH$76,34,)</f>
        <v>0</v>
      </c>
      <c r="L103" s="96">
        <f>VLOOKUP(A103,[26]Масличные!$A$69:$AS$76,45,)</f>
        <v>0</v>
      </c>
      <c r="M103" s="132">
        <f>VLOOKUP(A103,[26]Масличные!$A$69:$BD$76,56,)</f>
        <v>0</v>
      </c>
      <c r="N103" s="95">
        <f>VLOOKUP(A103,[26]Бобовые!$A$69:$L$76,12,)</f>
        <v>0</v>
      </c>
      <c r="O103" s="96">
        <f>VLOOKUP(A103,[26]Бобовые!$A$69:$W$76,23,)</f>
        <v>0</v>
      </c>
      <c r="P103" s="96">
        <f>VLOOKUP(A103,[26]Бобовые!$A$69:$AH$76,34,FALSE)</f>
        <v>0</v>
      </c>
      <c r="Q103" s="92">
        <f>VLOOKUP(A103,[26]Овощи!$A$69:$L$76,12,)</f>
        <v>70.97999999999999</v>
      </c>
      <c r="R103" s="93">
        <f>VLOOKUP(A103,[26]Овощи!$A$69:$W$76,23,)</f>
        <v>45.87</v>
      </c>
      <c r="S103" s="93">
        <f>VLOOKUP(A103,[26]Овощи!$A$69:$AH$76,34,)</f>
        <v>108.66102999999998</v>
      </c>
      <c r="T103" s="93">
        <f>VLOOKUP(A103,[26]Овощи!$A$69:$AS$76,45,)</f>
        <v>64.67</v>
      </c>
      <c r="U103" s="93">
        <f>VLOOKUP(A103,[26]Овощи!$A$69:$BD$76,56,)</f>
        <v>150.31556</v>
      </c>
      <c r="V103" s="93">
        <f>VLOOKUP(A103,[26]Овощи!$A$69:$BO$76,67,)</f>
        <v>157.60499999999999</v>
      </c>
      <c r="W103" s="123">
        <f>VLOOKUP(A103,[26]Овощи!$A$69:$BZ$76,78,)</f>
        <v>82.495829999999998</v>
      </c>
      <c r="X103" s="92">
        <f>VLOOKUP(A103,[26]Бахчевые!$A$69:$L$76,12,)</f>
        <v>136.65343000000001</v>
      </c>
      <c r="Y103" s="123">
        <f>VLOOKUP(A103,[26]Бахчевые!$A$69:$W$76,23,)</f>
        <v>137.36633</v>
      </c>
    </row>
    <row r="104" spans="1:25">
      <c r="A104" s="104" t="s">
        <v>283</v>
      </c>
      <c r="B104" s="95">
        <f>VLOOKUP(A104,[26]Зерновые!$A$69:$L$76,12,)</f>
        <v>0</v>
      </c>
      <c r="C104" s="93">
        <f>VLOOKUP(A104,[26]Зерновые!$A$69:$W$76,23,)</f>
        <v>0</v>
      </c>
      <c r="D104" s="93">
        <f>VLOOKUP(A104,[26]Зерновые!$A$69:$AH$76,34,)</f>
        <v>0</v>
      </c>
      <c r="E104" s="96">
        <f>VLOOKUP(A104,[26]Зерновые!$A$69:$AS$76,45,)</f>
        <v>0</v>
      </c>
      <c r="F104" s="96">
        <f>VLOOKUP(A104,[26]Зерновые!$A$69:$BD$76,56,)</f>
        <v>0</v>
      </c>
      <c r="G104" s="96">
        <f>VLOOKUP(A104,[26]Зерновые!$A$69:$BO$76,67,)</f>
        <v>0</v>
      </c>
      <c r="H104" s="130">
        <f>VLOOKUP(A104,[26]Зерновые!$A$69:$BZ$76,78,FALSE)</f>
        <v>0</v>
      </c>
      <c r="I104" s="95">
        <f>VLOOKUP(A104,[26]Масличные!$A$69:$L$76,12,)</f>
        <v>0</v>
      </c>
      <c r="J104" s="96">
        <f>VLOOKUP(A104,[26]Масличные!$A$69:$W$76,23,FALSE)</f>
        <v>0</v>
      </c>
      <c r="K104" s="96">
        <f>VLOOKUP(A104,[26]Масличные!$A$69:$AH$76,34,)</f>
        <v>0</v>
      </c>
      <c r="L104" s="96">
        <f>VLOOKUP(A104,[26]Масличные!$A$69:$AS$76,45,)</f>
        <v>0</v>
      </c>
      <c r="M104" s="132">
        <f>VLOOKUP(A104,[26]Масличные!$A$69:$BD$76,56,)</f>
        <v>0</v>
      </c>
      <c r="N104" s="95">
        <f>VLOOKUP(A104,[26]Бобовые!$A$69:$L$76,12,)</f>
        <v>0</v>
      </c>
      <c r="O104" s="96">
        <f>VLOOKUP(A104,[26]Бобовые!$A$69:$W$76,23,)</f>
        <v>0</v>
      </c>
      <c r="P104" s="96">
        <f>VLOOKUP(A104,[26]Бобовые!$A$69:$AH$76,34,FALSE)</f>
        <v>0</v>
      </c>
      <c r="Q104" s="92">
        <f>VLOOKUP(A104,[26]Овощи!$A$69:$L$76,12,)</f>
        <v>73.250669999999985</v>
      </c>
      <c r="R104" s="93">
        <f>VLOOKUP(A104,[26]Овощи!$A$69:$W$76,23,)</f>
        <v>73.701340000000002</v>
      </c>
      <c r="S104" s="93">
        <f>VLOOKUP(A104,[26]Овощи!$A$69:$AH$76,34,)</f>
        <v>91.725240000000014</v>
      </c>
      <c r="T104" s="93">
        <f>VLOOKUP(A104,[26]Овощи!$A$69:$AS$76,45,)</f>
        <v>85.809209999999979</v>
      </c>
      <c r="U104" s="93">
        <f>VLOOKUP(A104,[26]Овощи!$A$69:$BD$76,56,)</f>
        <v>91.338039999999992</v>
      </c>
      <c r="V104" s="93">
        <f>VLOOKUP(A104,[26]Овощи!$A$69:$BO$76,67,)</f>
        <v>93.127030000000005</v>
      </c>
      <c r="W104" s="123">
        <f>VLOOKUP(A104,[26]Овощи!$A$69:$BZ$76,78,)</f>
        <v>0</v>
      </c>
      <c r="X104" s="92">
        <f>VLOOKUP(A104,[26]Бахчевые!$A$69:$L$76,12,)</f>
        <v>0</v>
      </c>
      <c r="Y104" s="123">
        <f>VLOOKUP(A104,[26]Бахчевые!$A$69:$W$76,23,)</f>
        <v>0</v>
      </c>
    </row>
    <row r="105" spans="1:25" ht="13.8" thickBot="1">
      <c r="A105" s="107" t="s">
        <v>284</v>
      </c>
      <c r="B105" s="102">
        <f>VLOOKUP(A105,[26]Зерновые!$A$69:$L$76,12,)</f>
        <v>0</v>
      </c>
      <c r="C105" s="99">
        <f>VLOOKUP(A105,[26]Зерновые!$A$69:$W$76,23,)</f>
        <v>0</v>
      </c>
      <c r="D105" s="99">
        <f>VLOOKUP(A105,[26]Зерновые!$A$69:$AH$76,34,)</f>
        <v>8.61</v>
      </c>
      <c r="E105" s="103">
        <f>VLOOKUP(A105,[26]Зерновые!$A$69:$AS$76,45,)</f>
        <v>0</v>
      </c>
      <c r="F105" s="103">
        <f>VLOOKUP(A105,[26]Зерновые!$A$69:$BD$76,56,)</f>
        <v>0</v>
      </c>
      <c r="G105" s="103">
        <f>VLOOKUP(A105,[26]Зерновые!$A$69:$BO$76,67,)</f>
        <v>0</v>
      </c>
      <c r="H105" s="131">
        <f>VLOOKUP(A105,[26]Зерновые!$A$69:$BZ$76,78,FALSE)</f>
        <v>0</v>
      </c>
      <c r="I105" s="102">
        <f>VLOOKUP(A105,[26]Масличные!$A$69:$L$76,12,)</f>
        <v>0</v>
      </c>
      <c r="J105" s="103">
        <f>VLOOKUP(A105,[26]Масличные!$A$69:$W$76,23,FALSE)</f>
        <v>0</v>
      </c>
      <c r="K105" s="103">
        <f>VLOOKUP(A105,[26]Масличные!$A$69:$AH$76,34,)</f>
        <v>0</v>
      </c>
      <c r="L105" s="103">
        <f>VLOOKUP(A105,[26]Масличные!$A$69:$AS$76,45,)</f>
        <v>0</v>
      </c>
      <c r="M105" s="133">
        <f>VLOOKUP(A105,[26]Масличные!$A$69:$BD$76,56,)</f>
        <v>0</v>
      </c>
      <c r="N105" s="102">
        <f>VLOOKUP(A105,[26]Бобовые!$A$69:$L$76,12,)</f>
        <v>0</v>
      </c>
      <c r="O105" s="103">
        <f>VLOOKUP(A105,[26]Бобовые!$A$69:$W$76,23,)</f>
        <v>0</v>
      </c>
      <c r="P105" s="103">
        <f>VLOOKUP(A105,[26]Бобовые!$A$69:$AH$76,34,FALSE)</f>
        <v>0</v>
      </c>
      <c r="Q105" s="98">
        <f>VLOOKUP(A105,[26]Овощи!$A$69:$L$76,12,)</f>
        <v>136.88184000000001</v>
      </c>
      <c r="R105" s="99">
        <f>VLOOKUP(A105,[26]Овощи!$A$69:$W$76,23,)</f>
        <v>217.08968999999996</v>
      </c>
      <c r="S105" s="99">
        <f>VLOOKUP(A105,[26]Овощи!$A$69:$AH$76,34,)</f>
        <v>205.22019999999998</v>
      </c>
      <c r="T105" s="99">
        <f>VLOOKUP(A105,[26]Овощи!$A$69:$AS$76,45,)</f>
        <v>203.24035000000001</v>
      </c>
      <c r="U105" s="99">
        <f>VLOOKUP(A105,[26]Овощи!$A$69:$BD$76,56,)</f>
        <v>192.05506</v>
      </c>
      <c r="V105" s="99">
        <f>VLOOKUP(A105,[26]Овощи!$A$69:$BO$76,67,)</f>
        <v>190.53115999999997</v>
      </c>
      <c r="W105" s="124">
        <f>VLOOKUP(A105,[26]Овощи!$A$69:$BZ$76,78,)</f>
        <v>200.85074</v>
      </c>
      <c r="X105" s="98">
        <f>VLOOKUP(A105,[26]Бахчевые!$A$69:$L$76,12,)</f>
        <v>246.95702</v>
      </c>
      <c r="Y105" s="124">
        <f>VLOOKUP(A105,[26]Бахчевые!$A$69:$W$76,23,)</f>
        <v>226.80300000000003</v>
      </c>
    </row>
    <row r="106" spans="1:25">
      <c r="A106" s="91"/>
      <c r="B106" s="90"/>
      <c r="C106" s="90"/>
      <c r="D106" s="90"/>
      <c r="E106" s="90"/>
      <c r="F106" s="90"/>
      <c r="G106" s="90"/>
      <c r="H106" s="90"/>
    </row>
    <row r="107" spans="1:25">
      <c r="A107" s="91"/>
      <c r="B107" s="90"/>
      <c r="C107" s="90"/>
      <c r="D107" s="90"/>
      <c r="E107" s="90"/>
      <c r="F107" s="90"/>
      <c r="G107" s="90"/>
      <c r="H107" s="90"/>
    </row>
    <row r="108" spans="1:25">
      <c r="A108" s="91"/>
      <c r="B108" s="90"/>
      <c r="C108" s="90"/>
      <c r="D108" s="90"/>
      <c r="E108" s="90"/>
      <c r="F108" s="90"/>
      <c r="G108" s="90"/>
      <c r="H108" s="90"/>
    </row>
    <row r="109" spans="1:25">
      <c r="A109" s="91"/>
      <c r="B109" s="90"/>
      <c r="C109" s="90"/>
      <c r="D109" s="90"/>
      <c r="E109" s="90"/>
      <c r="F109" s="90"/>
      <c r="G109" s="90"/>
      <c r="H109" s="90"/>
    </row>
    <row r="110" spans="1:25">
      <c r="A110" s="91"/>
      <c r="B110" s="90"/>
      <c r="C110" s="90"/>
      <c r="D110" s="90"/>
      <c r="E110" s="90"/>
      <c r="F110" s="90"/>
      <c r="G110" s="90"/>
      <c r="H110" s="90"/>
    </row>
    <row r="111" spans="1:25">
      <c r="A111" s="91"/>
      <c r="B111" s="90"/>
      <c r="C111" s="90"/>
      <c r="D111" s="90"/>
      <c r="E111" s="90"/>
      <c r="F111" s="90"/>
      <c r="G111" s="90"/>
      <c r="H111" s="90"/>
    </row>
    <row r="112" spans="1:25">
      <c r="A112" s="91"/>
      <c r="B112" s="90"/>
      <c r="C112" s="90"/>
      <c r="D112" s="90"/>
      <c r="E112" s="90"/>
      <c r="F112" s="90"/>
      <c r="G112" s="90"/>
      <c r="H112" s="90"/>
    </row>
    <row r="113" spans="1:25">
      <c r="A113" s="91"/>
      <c r="B113" s="90"/>
      <c r="C113" s="90"/>
      <c r="D113" s="90"/>
      <c r="E113" s="90"/>
      <c r="F113" s="90"/>
      <c r="G113" s="90"/>
      <c r="H113" s="90"/>
    </row>
    <row r="114" spans="1:25">
      <c r="A114" s="91"/>
      <c r="B114" s="90"/>
      <c r="C114" s="90"/>
      <c r="D114" s="90"/>
      <c r="E114" s="90"/>
      <c r="F114" s="90"/>
      <c r="G114" s="90"/>
      <c r="H114" s="90"/>
    </row>
    <row r="115" spans="1:25">
      <c r="A115" s="91"/>
      <c r="B115" s="90"/>
      <c r="C115" s="90"/>
      <c r="D115" s="90"/>
      <c r="E115" s="90"/>
      <c r="F115" s="90"/>
      <c r="G115" s="90"/>
      <c r="H115" s="90"/>
    </row>
    <row r="116" spans="1:25">
      <c r="A116" s="91"/>
      <c r="B116" s="90"/>
      <c r="C116" s="90"/>
      <c r="D116" s="90"/>
      <c r="E116" s="90"/>
      <c r="F116" s="90"/>
      <c r="G116" s="90"/>
      <c r="H116" s="90"/>
    </row>
    <row r="117" spans="1:25">
      <c r="A117" s="91"/>
      <c r="B117" s="90"/>
      <c r="C117" s="90"/>
      <c r="D117" s="90"/>
      <c r="E117" s="90"/>
      <c r="F117" s="90"/>
      <c r="G117" s="90"/>
      <c r="H117" s="90"/>
    </row>
    <row r="118" spans="1:25" ht="13.8" thickBot="1">
      <c r="A118" s="91"/>
      <c r="B118" s="90"/>
      <c r="C118" s="90"/>
      <c r="D118" s="90"/>
      <c r="E118" s="90"/>
      <c r="F118" s="90"/>
      <c r="G118" s="90"/>
      <c r="H118" s="90"/>
    </row>
    <row r="119" spans="1:25" ht="13.5" customHeight="1">
      <c r="A119" s="808" t="s">
        <v>285</v>
      </c>
      <c r="B119" s="805" t="s">
        <v>269</v>
      </c>
      <c r="C119" s="806"/>
      <c r="D119" s="806"/>
      <c r="E119" s="806"/>
      <c r="F119" s="806"/>
      <c r="G119" s="806"/>
      <c r="H119" s="807"/>
      <c r="I119" s="799" t="s">
        <v>316</v>
      </c>
      <c r="J119" s="800"/>
      <c r="K119" s="800"/>
      <c r="L119" s="800"/>
      <c r="M119" s="801"/>
      <c r="N119" s="799" t="s">
        <v>317</v>
      </c>
      <c r="O119" s="800"/>
      <c r="P119" s="800"/>
      <c r="Q119" s="799" t="s">
        <v>322</v>
      </c>
      <c r="R119" s="800"/>
      <c r="S119" s="800"/>
      <c r="T119" s="800"/>
      <c r="U119" s="800"/>
      <c r="V119" s="800"/>
      <c r="W119" s="801"/>
      <c r="X119" s="799" t="s">
        <v>330</v>
      </c>
      <c r="Y119" s="801"/>
    </row>
    <row r="120" spans="1:25" ht="20.399999999999999">
      <c r="A120" s="809"/>
      <c r="B120" s="119" t="s">
        <v>270</v>
      </c>
      <c r="C120" s="116" t="s">
        <v>83</v>
      </c>
      <c r="D120" s="116" t="s">
        <v>84</v>
      </c>
      <c r="E120" s="116" t="s">
        <v>271</v>
      </c>
      <c r="F120" s="116" t="s">
        <v>272</v>
      </c>
      <c r="G120" s="116" t="s">
        <v>314</v>
      </c>
      <c r="H120" s="120" t="s">
        <v>273</v>
      </c>
      <c r="I120" s="119" t="s">
        <v>243</v>
      </c>
      <c r="J120" s="116" t="s">
        <v>244</v>
      </c>
      <c r="K120" s="116" t="s">
        <v>258</v>
      </c>
      <c r="L120" s="116" t="s">
        <v>315</v>
      </c>
      <c r="M120" s="120" t="s">
        <v>245</v>
      </c>
      <c r="N120" s="119" t="s">
        <v>318</v>
      </c>
      <c r="O120" s="116" t="s">
        <v>319</v>
      </c>
      <c r="P120" s="116" t="s">
        <v>320</v>
      </c>
      <c r="Q120" s="119" t="s">
        <v>323</v>
      </c>
      <c r="R120" s="116" t="s">
        <v>324</v>
      </c>
      <c r="S120" s="116" t="s">
        <v>325</v>
      </c>
      <c r="T120" s="116" t="s">
        <v>326</v>
      </c>
      <c r="U120" s="116" t="s">
        <v>327</v>
      </c>
      <c r="V120" s="116" t="s">
        <v>328</v>
      </c>
      <c r="W120" s="120" t="s">
        <v>329</v>
      </c>
      <c r="X120" s="119" t="s">
        <v>331</v>
      </c>
      <c r="Y120" s="120" t="s">
        <v>332</v>
      </c>
    </row>
    <row r="121" spans="1:25">
      <c r="A121" s="109" t="s">
        <v>181</v>
      </c>
      <c r="B121" s="97">
        <f>VLOOKUP(A121,[26]Зерновые!$A$81:$L$99,12,)</f>
        <v>10.50163</v>
      </c>
      <c r="C121" s="94">
        <f>VLOOKUP(A121,[26]Зерновые!$A$81:$W$99,23,)</f>
        <v>11.103959999999999</v>
      </c>
      <c r="D121" s="94">
        <f>VLOOKUP(A121,[26]Зерновые!$A$81:$AH$99,34,)</f>
        <v>3.1485799999999999</v>
      </c>
      <c r="E121" s="94">
        <f>VLOOKUP(A121,[26]Зерновые!$A$81:$AS$99,45,)</f>
        <v>0</v>
      </c>
      <c r="F121" s="94">
        <f>VLOOKUP(A121,[26]Зерновые!$A$81:$BD$99,56,)</f>
        <v>8.35215</v>
      </c>
      <c r="G121" s="94">
        <f>VLOOKUP(A121,[26]Зерновые!$A$81:$BO$81,67,)</f>
        <v>4.5600000000000005</v>
      </c>
      <c r="H121" s="159">
        <f>VLOOKUP(A121,[26]Зерновые!$A$81:$BZ$99,78,)</f>
        <v>0</v>
      </c>
      <c r="I121" s="97">
        <f>VLOOKUP(A121,[26]Масличные!$A$81:$L$99,12,)</f>
        <v>8.6090599999999995</v>
      </c>
      <c r="J121" s="94">
        <f>VLOOKUP(A121,[26]Масличные!$A$81:$W$99,23,)</f>
        <v>0</v>
      </c>
      <c r="K121" s="94">
        <f>VLOOKUP(A121,[26]Масличные!$A$81:$AH$99,34,)</f>
        <v>0</v>
      </c>
      <c r="L121" s="94">
        <f>VLOOKUP(A121,[26]Масличные!$A$81:$AS$99,45,)</f>
        <v>0</v>
      </c>
      <c r="M121" s="121">
        <f>VLOOKUP(A121,[26]Масличные!$A$81:$BD$99,56,)</f>
        <v>0</v>
      </c>
      <c r="N121" s="97">
        <f>VLOOKUP(A121,[26]Бобовые!$A$81:$L$99,12,)</f>
        <v>0</v>
      </c>
      <c r="O121" s="94">
        <f>VLOOKUP(A121,[26]Бобовые!$A$81:$W$99,23,)</f>
        <v>14.718459999999999</v>
      </c>
      <c r="P121" s="94">
        <f>VLOOKUP(A121,[26]Бобовые!$A$81:$AH$99,34,)</f>
        <v>19.125999999999998</v>
      </c>
      <c r="Q121" s="97">
        <f>VLOOKUP(A121,[26]Овощи!$A$81:$L$99,12,)</f>
        <v>180.41066000000001</v>
      </c>
      <c r="R121" s="94">
        <f>VLOOKUP(A121,[26]Овощи!$A$81:$W$99,23,)</f>
        <v>226.51141000000001</v>
      </c>
      <c r="S121" s="94">
        <f>VLOOKUP(A121,[26]Овощи!$A$81:$AH$99,34,)</f>
        <v>337.10937999999999</v>
      </c>
      <c r="T121" s="94">
        <f>VLOOKUP(A121,[26]Овощи!$A$81:$AS$99,45,)</f>
        <v>415.69291000000004</v>
      </c>
      <c r="U121" s="94">
        <f>VLOOKUP(A121,[26]Овощи!$A$81:$BD$99,56,)</f>
        <v>330.39186000000001</v>
      </c>
      <c r="V121" s="94">
        <f>VLOOKUP(A121,[26]Овощи!$A$81:$BO$99,67,)</f>
        <v>322.70142999999996</v>
      </c>
      <c r="W121" s="121">
        <f>VLOOKUP(A121,[26]Овощи!$A$81:$BZ$99,78,)</f>
        <v>375.43115</v>
      </c>
      <c r="X121" s="97">
        <f>VLOOKUP(A121,[26]Бахчевые!$A$81:$L$99,12,)</f>
        <v>48.92</v>
      </c>
      <c r="Y121" s="121">
        <f>VLOOKUP(A121,[26]Бахчевые!$A$81:$W$99,23,)</f>
        <v>135.97999999999999</v>
      </c>
    </row>
    <row r="122" spans="1:25">
      <c r="A122" s="109" t="s">
        <v>182</v>
      </c>
      <c r="B122" s="97">
        <f>VLOOKUP(A122,[26]Зерновые!$A$81:$L$99,12,)</f>
        <v>5.2897499999999997</v>
      </c>
      <c r="C122" s="94">
        <f>VLOOKUP(A122,[26]Зерновые!$A$81:$W$99,23,)</f>
        <v>9.6727200000000018</v>
      </c>
      <c r="D122" s="94">
        <f>VLOOKUP(A122,[26]Зерновые!$A$81:$AH$99,34,)</f>
        <v>11.52346</v>
      </c>
      <c r="E122" s="94">
        <f>VLOOKUP(A122,[26]Зерновые!$A$81:$AS$99,45,)</f>
        <v>0</v>
      </c>
      <c r="F122" s="94">
        <f>VLOOKUP(A122,[26]Зерновые!$A$81:$BD$99,56,)</f>
        <v>0</v>
      </c>
      <c r="G122" s="94">
        <f>VLOOKUP(A122,[26]Зерновые!$A$82:$BO$82,67,)</f>
        <v>14.45</v>
      </c>
      <c r="H122" s="159">
        <f>VLOOKUP(A122,[26]Зерновые!$A$81:$BZ$99,78,)</f>
        <v>0</v>
      </c>
      <c r="I122" s="97">
        <f>VLOOKUP(A122,[26]Масличные!$A$81:$L$99,12,)</f>
        <v>9.769680000000001</v>
      </c>
      <c r="J122" s="94">
        <f>VLOOKUP(A122,[26]Масличные!$A$81:$W$99,23,)</f>
        <v>0</v>
      </c>
      <c r="K122" s="94">
        <f>VLOOKUP(A122,[26]Масличные!$A$81:$AH$99,34,)</f>
        <v>0</v>
      </c>
      <c r="L122" s="94">
        <f>VLOOKUP(A122,[26]Масличные!$A$81:$AS$99,45,)</f>
        <v>0</v>
      </c>
      <c r="M122" s="121">
        <f>VLOOKUP(A122,[26]Масличные!$A$81:$BD$99,56,)</f>
        <v>0</v>
      </c>
      <c r="N122" s="97">
        <f>VLOOKUP(A122,[26]Бобовые!$A$81:$L$99,12,)</f>
        <v>0</v>
      </c>
      <c r="O122" s="94">
        <f>VLOOKUP(A122,[26]Бобовые!$A$81:$W$99,23,)</f>
        <v>4.2</v>
      </c>
      <c r="P122" s="94">
        <f>VLOOKUP(A122,[26]Бобовые!$A$81:$AH$99,34,)</f>
        <v>8.2200000000000006</v>
      </c>
      <c r="Q122" s="97">
        <f>VLOOKUP(A122,[26]Овощи!$A$81:$L$99,12,)</f>
        <v>162.97516000000002</v>
      </c>
      <c r="R122" s="94">
        <f>VLOOKUP(A122,[26]Овощи!$A$81:$W$99,23,)</f>
        <v>187.59432999999996</v>
      </c>
      <c r="S122" s="94">
        <f>VLOOKUP(A122,[26]Овощи!$A$81:$AH$99,34,)</f>
        <v>251.21094000000002</v>
      </c>
      <c r="T122" s="94">
        <f>VLOOKUP(A122,[26]Овощи!$A$81:$AS$99,45,)</f>
        <v>264.1318</v>
      </c>
      <c r="U122" s="94">
        <f>VLOOKUP(A122,[26]Овощи!$A$81:$BD$99,56,)</f>
        <v>177.32223000000002</v>
      </c>
      <c r="V122" s="94">
        <f>VLOOKUP(A122,[26]Овощи!$A$81:$BO$99,67,)</f>
        <v>183.38773</v>
      </c>
      <c r="W122" s="121">
        <f>VLOOKUP(A122,[26]Овощи!$A$81:$BZ$99,78,)</f>
        <v>221.54178999999999</v>
      </c>
      <c r="X122" s="97">
        <f>VLOOKUP(A122,[26]Бахчевые!$A$81:$L$99,12,)</f>
        <v>163.04122999999998</v>
      </c>
      <c r="Y122" s="121">
        <f>VLOOKUP(A122,[26]Бахчевые!$A$81:$W$99,23,)</f>
        <v>130.05160000000001</v>
      </c>
    </row>
    <row r="123" spans="1:25">
      <c r="A123" s="109" t="s">
        <v>183</v>
      </c>
      <c r="B123" s="97">
        <f>VLOOKUP(A123,[26]Зерновые!$A$81:$L$99,12,)</f>
        <v>17.830100000000002</v>
      </c>
      <c r="C123" s="94">
        <f>VLOOKUP(A123,[26]Зерновые!$A$81:$W$99,23,)</f>
        <v>12.268459999999999</v>
      </c>
      <c r="D123" s="94">
        <f>VLOOKUP(A123,[26]Зерновые!$A$81:$AH$99,34,)</f>
        <v>18.220469999999999</v>
      </c>
      <c r="E123" s="94">
        <f>VLOOKUP(A123,[26]Зерновые!$A$81:$AS$99,45,)</f>
        <v>0</v>
      </c>
      <c r="F123" s="94">
        <f>VLOOKUP(A123,[26]Зерновые!$A$81:$BD$99,56,)</f>
        <v>0</v>
      </c>
      <c r="G123" s="94">
        <f>VLOOKUP(A123,[26]Зерновые!$A$83:$BO$83,67,)</f>
        <v>0</v>
      </c>
      <c r="H123" s="159">
        <f>VLOOKUP(A123,[26]Зерновые!$A$81:$BZ$99,78,)</f>
        <v>0</v>
      </c>
      <c r="I123" s="97">
        <f>VLOOKUP(A123,[26]Масличные!$A$81:$L$99,12,)</f>
        <v>0</v>
      </c>
      <c r="J123" s="94">
        <f>VLOOKUP(A123,[26]Масличные!$A$81:$W$99,23,)</f>
        <v>0</v>
      </c>
      <c r="K123" s="94">
        <f>VLOOKUP(A123,[26]Масличные!$A$81:$AH$99,34,)</f>
        <v>0</v>
      </c>
      <c r="L123" s="94">
        <f>VLOOKUP(A123,[26]Масличные!$A$81:$AS$99,45,)</f>
        <v>0</v>
      </c>
      <c r="M123" s="121">
        <f>VLOOKUP(A123,[26]Масличные!$A$81:$BD$99,56,)</f>
        <v>0</v>
      </c>
      <c r="N123" s="97">
        <f>VLOOKUP(A123,[26]Бобовые!$A$81:$L$99,12,)</f>
        <v>0</v>
      </c>
      <c r="O123" s="94">
        <f>VLOOKUP(A123,[26]Бобовые!$A$81:$W$99,23,)</f>
        <v>0</v>
      </c>
      <c r="P123" s="94">
        <f>VLOOKUP(A123,[26]Бобовые!$A$81:$AH$99,34,)</f>
        <v>0</v>
      </c>
      <c r="Q123" s="97">
        <f>VLOOKUP(A123,[26]Овощи!$A$81:$L$99,12,)</f>
        <v>175.2313</v>
      </c>
      <c r="R123" s="94">
        <f>VLOOKUP(A123,[26]Овощи!$A$81:$W$99,23,)</f>
        <v>106.36206999999999</v>
      </c>
      <c r="S123" s="94">
        <f>VLOOKUP(A123,[26]Овощи!$A$81:$AH$99,34,)</f>
        <v>208.28665999999998</v>
      </c>
      <c r="T123" s="94">
        <f>VLOOKUP(A123,[26]Овощи!$A$81:$AS$99,45,)</f>
        <v>252.27749000000003</v>
      </c>
      <c r="U123" s="94">
        <f>VLOOKUP(A123,[26]Овощи!$A$81:$BD$99,56,)</f>
        <v>142.00533000000001</v>
      </c>
      <c r="V123" s="94">
        <f>VLOOKUP(A123,[26]Овощи!$A$81:$BO$99,67,)</f>
        <v>153.56377000000001</v>
      </c>
      <c r="W123" s="121">
        <f>VLOOKUP(A123,[26]Овощи!$A$81:$BZ$99,78,)</f>
        <v>170.38545999999997</v>
      </c>
      <c r="X123" s="97">
        <f>VLOOKUP(A123,[26]Бахчевые!$A$81:$L$99,12,)</f>
        <v>189.29667000000001</v>
      </c>
      <c r="Y123" s="121">
        <f>VLOOKUP(A123,[26]Бахчевые!$A$81:$W$99,23,)</f>
        <v>156.44</v>
      </c>
    </row>
    <row r="124" spans="1:25">
      <c r="A124" s="109" t="s">
        <v>184</v>
      </c>
      <c r="B124" s="97">
        <f>VLOOKUP(A124,[26]Зерновые!$A$81:$L$99,12,)</f>
        <v>0</v>
      </c>
      <c r="C124" s="94">
        <f>VLOOKUP(A124,[26]Зерновые!$A$81:$W$99,23,)</f>
        <v>0</v>
      </c>
      <c r="D124" s="94">
        <f>VLOOKUP(A124,[26]Зерновые!$A$81:$AH$99,34,)</f>
        <v>0</v>
      </c>
      <c r="E124" s="94">
        <f>VLOOKUP(A124,[26]Зерновые!$A$81:$AS$99,45,)</f>
        <v>0</v>
      </c>
      <c r="F124" s="94">
        <f>VLOOKUP(A124,[26]Зерновые!$A$81:$BD$99,56,)</f>
        <v>0</v>
      </c>
      <c r="G124" s="94">
        <f>VLOOKUP(A124,[26]Зерновые!$A$84:$BO$84,67,)</f>
        <v>0</v>
      </c>
      <c r="H124" s="159">
        <f>VLOOKUP(A124,[26]Зерновые!$A$81:$BZ$99,78,)</f>
        <v>0</v>
      </c>
      <c r="I124" s="97">
        <f>VLOOKUP(A124,[26]Масличные!$A$81:$L$99,12,)</f>
        <v>0</v>
      </c>
      <c r="J124" s="94">
        <f>VLOOKUP(A124,[26]Масличные!$A$81:$W$99,23,)</f>
        <v>0</v>
      </c>
      <c r="K124" s="94">
        <f>VLOOKUP(A124,[26]Масличные!$A$81:$AH$99,34,)</f>
        <v>0</v>
      </c>
      <c r="L124" s="94">
        <f>VLOOKUP(A124,[26]Масличные!$A$81:$AS$99,45,)</f>
        <v>0</v>
      </c>
      <c r="M124" s="121">
        <f>VLOOKUP(A124,[26]Масличные!$A$81:$BD$99,56,)</f>
        <v>0</v>
      </c>
      <c r="N124" s="97">
        <f>VLOOKUP(A124,[26]Бобовые!$A$81:$L$99,12,)</f>
        <v>0</v>
      </c>
      <c r="O124" s="94">
        <f>VLOOKUP(A124,[26]Бобовые!$A$81:$W$99,23,)</f>
        <v>0</v>
      </c>
      <c r="P124" s="94">
        <f>VLOOKUP(A124,[26]Бобовые!$A$81:$AH$99,34,)</f>
        <v>0</v>
      </c>
      <c r="Q124" s="97">
        <f>VLOOKUP(A124,[26]Овощи!$A$81:$L$99,12,)</f>
        <v>228.21367000000001</v>
      </c>
      <c r="R124" s="94">
        <f>VLOOKUP(A124,[26]Овощи!$A$81:$W$99,23,)</f>
        <v>215.59666999999999</v>
      </c>
      <c r="S124" s="94">
        <f>VLOOKUP(A124,[26]Овощи!$A$81:$AH$99,34,)</f>
        <v>377.48450999999994</v>
      </c>
      <c r="T124" s="94">
        <f>VLOOKUP(A124,[26]Овощи!$A$81:$AS$99,45,)</f>
        <v>352.02951000000002</v>
      </c>
      <c r="U124" s="94">
        <f>VLOOKUP(A124,[26]Овощи!$A$81:$BD$99,56,)</f>
        <v>325.92761999999999</v>
      </c>
      <c r="V124" s="94">
        <f>VLOOKUP(A124,[26]Овощи!$A$81:$BO$99,67,)</f>
        <v>307.80067000000003</v>
      </c>
      <c r="W124" s="121">
        <f>VLOOKUP(A124,[26]Овощи!$A$81:$BZ$99,78,)</f>
        <v>360.50716</v>
      </c>
      <c r="X124" s="97">
        <f>VLOOKUP(A124,[26]Бахчевые!$A$81:$L$99,12,)</f>
        <v>202.27431999999999</v>
      </c>
      <c r="Y124" s="121">
        <f>VLOOKUP(A124,[26]Бахчевые!$A$81:$W$99,23,)</f>
        <v>257.44831000000005</v>
      </c>
    </row>
    <row r="125" spans="1:25">
      <c r="A125" s="109" t="s">
        <v>54</v>
      </c>
      <c r="B125" s="97">
        <f>VLOOKUP(A125,[26]Зерновые!$A$81:$L$99,12,)</f>
        <v>0</v>
      </c>
      <c r="C125" s="94">
        <f>VLOOKUP(A125,[26]Зерновые!$A$81:$W$99,23,)</f>
        <v>0</v>
      </c>
      <c r="D125" s="94">
        <f>VLOOKUP(A125,[26]Зерновые!$A$81:$AH$99,34,)</f>
        <v>0</v>
      </c>
      <c r="E125" s="94">
        <f>VLOOKUP(A125,[26]Зерновые!$A$81:$AS$99,45,)</f>
        <v>0</v>
      </c>
      <c r="F125" s="94">
        <f>VLOOKUP(A125,[26]Зерновые!$A$81:$BD$99,56,)</f>
        <v>0</v>
      </c>
      <c r="G125" s="94">
        <f>VLOOKUP(A125,[26]Зерновые!$A$85:$BO$85,67,)</f>
        <v>0</v>
      </c>
      <c r="H125" s="159">
        <f>VLOOKUP(A125,[26]Зерновые!$A$81:$BZ$99,78,)</f>
        <v>0</v>
      </c>
      <c r="I125" s="97">
        <f>VLOOKUP(A125,[26]Масличные!$A$81:$L$99,12,)</f>
        <v>0</v>
      </c>
      <c r="J125" s="94">
        <f>VLOOKUP(A125,[26]Масличные!$A$81:$W$99,23,)</f>
        <v>0</v>
      </c>
      <c r="K125" s="94">
        <f>VLOOKUP(A125,[26]Масличные!$A$81:$AH$99,34,)</f>
        <v>0</v>
      </c>
      <c r="L125" s="94">
        <f>VLOOKUP(A125,[26]Масличные!$A$81:$AS$99,45,)</f>
        <v>0</v>
      </c>
      <c r="M125" s="121">
        <f>VLOOKUP(A125,[26]Масличные!$A$81:$BD$99,56,)</f>
        <v>0</v>
      </c>
      <c r="N125" s="97">
        <f>VLOOKUP(A125,[26]Бобовые!$A$81:$L$99,12,)</f>
        <v>0</v>
      </c>
      <c r="O125" s="94">
        <f>VLOOKUP(A125,[26]Бобовые!$A$81:$W$99,23,)</f>
        <v>0</v>
      </c>
      <c r="P125" s="94">
        <f>VLOOKUP(A125,[26]Бобовые!$A$81:$AH$99,34,)</f>
        <v>0</v>
      </c>
      <c r="Q125" s="97">
        <f>VLOOKUP(A125,[26]Овощи!$A$81:$L$99,12,)</f>
        <v>121.47668999999999</v>
      </c>
      <c r="R125" s="94">
        <f>VLOOKUP(A125,[26]Овощи!$A$81:$W$99,23,)</f>
        <v>0</v>
      </c>
      <c r="S125" s="94">
        <f>VLOOKUP(A125,[26]Овощи!$A$81:$AH$99,34,)</f>
        <v>211.56828999999999</v>
      </c>
      <c r="T125" s="94">
        <f>VLOOKUP(A125,[26]Овощи!$A$81:$AS$99,45,)</f>
        <v>251.43805000000003</v>
      </c>
      <c r="U125" s="94">
        <f>VLOOKUP(A125,[26]Овощи!$A$81:$BD$99,56,)</f>
        <v>224.31122999999997</v>
      </c>
      <c r="V125" s="94">
        <f>VLOOKUP(A125,[26]Овощи!$A$81:$BO$99,67,)</f>
        <v>220.72571000000002</v>
      </c>
      <c r="W125" s="121">
        <f>VLOOKUP(A125,[26]Овощи!$A$81:$BZ$99,78,)</f>
        <v>225.21297999999996</v>
      </c>
      <c r="X125" s="97">
        <f>VLOOKUP(A125,[26]Бахчевые!$A$81:$L$99,12,)</f>
        <v>0</v>
      </c>
      <c r="Y125" s="121">
        <f>VLOOKUP(A125,[26]Бахчевые!$A$81:$W$99,23,)</f>
        <v>0</v>
      </c>
    </row>
    <row r="126" spans="1:25">
      <c r="A126" s="109" t="s">
        <v>55</v>
      </c>
      <c r="B126" s="97">
        <f>VLOOKUP(A126,[26]Зерновые!$A$81:$L$99,12,)</f>
        <v>7.1362799999999993</v>
      </c>
      <c r="C126" s="94">
        <f>VLOOKUP(A126,[26]Зерновые!$A$81:$W$99,23,)</f>
        <v>9.0292099999999991</v>
      </c>
      <c r="D126" s="94">
        <f>VLOOKUP(A126,[26]Зерновые!$A$81:$AH$99,34,)</f>
        <v>0.36</v>
      </c>
      <c r="E126" s="94">
        <f>VLOOKUP(A126,[26]Зерновые!$A$81:$AS$99,45,)</f>
        <v>0</v>
      </c>
      <c r="F126" s="94">
        <f>VLOOKUP(A126,[26]Зерновые!$A$81:$BD$99,56,)</f>
        <v>0.9</v>
      </c>
      <c r="G126" s="94">
        <f>VLOOKUP(A126,[26]Зерновые!$A$86:$BO$86,67,)</f>
        <v>0</v>
      </c>
      <c r="H126" s="159">
        <f>VLOOKUP(A126,[26]Зерновые!$A$81:$BZ$99,78,)</f>
        <v>0</v>
      </c>
      <c r="I126" s="97">
        <f>VLOOKUP(A126,[26]Масличные!$A$81:$L$99,12,)</f>
        <v>3.0694100000000004</v>
      </c>
      <c r="J126" s="94">
        <f>VLOOKUP(A126,[26]Масличные!$A$81:$W$99,23,)</f>
        <v>0</v>
      </c>
      <c r="K126" s="94">
        <f>VLOOKUP(A126,[26]Масличные!$A$81:$AH$99,34,)</f>
        <v>0</v>
      </c>
      <c r="L126" s="94">
        <f>VLOOKUP(A126,[26]Масличные!$A$81:$AS$99,45,)</f>
        <v>0</v>
      </c>
      <c r="M126" s="121">
        <f>VLOOKUP(A126,[26]Масличные!$A$81:$BD$99,56,)</f>
        <v>0</v>
      </c>
      <c r="N126" s="97">
        <f>VLOOKUP(A126,[26]Бобовые!$A$81:$L$99,12,)</f>
        <v>0</v>
      </c>
      <c r="O126" s="94">
        <f>VLOOKUP(A126,[26]Бобовые!$A$81:$W$99,23,)</f>
        <v>0</v>
      </c>
      <c r="P126" s="94">
        <f>VLOOKUP(A126,[26]Бобовые!$A$81:$AH$99,34,)</f>
        <v>0</v>
      </c>
      <c r="Q126" s="97">
        <f>VLOOKUP(A126,[26]Овощи!$A$81:$L$99,12,)</f>
        <v>105.40792000000002</v>
      </c>
      <c r="R126" s="94">
        <f>VLOOKUP(A126,[26]Овощи!$A$81:$W$99,23,)</f>
        <v>111.21400000000001</v>
      </c>
      <c r="S126" s="94">
        <f>VLOOKUP(A126,[26]Овощи!$A$81:$AH$99,34,)</f>
        <v>128.24021999999999</v>
      </c>
      <c r="T126" s="94">
        <f>VLOOKUP(A126,[26]Овощи!$A$81:$AS$99,45,)</f>
        <v>144.50773999999998</v>
      </c>
      <c r="U126" s="94">
        <f>VLOOKUP(A126,[26]Овощи!$A$81:$BD$99,56,)</f>
        <v>132.21791999999999</v>
      </c>
      <c r="V126" s="94">
        <f>VLOOKUP(A126,[26]Овощи!$A$81:$BO$99,67,)</f>
        <v>130.35677999999999</v>
      </c>
      <c r="W126" s="121">
        <f>VLOOKUP(A126,[26]Овощи!$A$81:$BZ$99,78,)</f>
        <v>135.44978</v>
      </c>
      <c r="X126" s="97">
        <f>VLOOKUP(A126,[26]Бахчевые!$A$81:$L$99,12,)</f>
        <v>132.8665</v>
      </c>
      <c r="Y126" s="121">
        <f>VLOOKUP(A126,[26]Бахчевые!$A$81:$W$99,23,)</f>
        <v>121.34700000000001</v>
      </c>
    </row>
    <row r="127" spans="1:25">
      <c r="A127" s="109" t="s">
        <v>56</v>
      </c>
      <c r="B127" s="97">
        <f>VLOOKUP(A127,[26]Зерновые!$A$81:$L$99,12,)</f>
        <v>8.011239999999999</v>
      </c>
      <c r="C127" s="94">
        <f>VLOOKUP(A127,[26]Зерновые!$A$81:$W$99,23,)</f>
        <v>8.3202499999999997</v>
      </c>
      <c r="D127" s="94">
        <f>VLOOKUP(A127,[26]Зерновые!$A$81:$AH$99,34,)</f>
        <v>7.0172600000000003</v>
      </c>
      <c r="E127" s="94">
        <f>VLOOKUP(A127,[26]Зерновые!$A$81:$AS$99,45,)</f>
        <v>0.02</v>
      </c>
      <c r="F127" s="94">
        <f>VLOOKUP(A127,[26]Зерновые!$A$81:$BD$99,56,)</f>
        <v>5.34</v>
      </c>
      <c r="G127" s="94">
        <f>VLOOKUP(A127,[26]Зерновые!$A$87:$BO$87,67,)</f>
        <v>5.26</v>
      </c>
      <c r="H127" s="159">
        <f>VLOOKUP(A127,[26]Зерновые!$A$81:$BZ$99,78,)</f>
        <v>0</v>
      </c>
      <c r="I127" s="97">
        <f>VLOOKUP(A127,[26]Масличные!$A$81:$L$99,12,)</f>
        <v>4.3087400000000002</v>
      </c>
      <c r="J127" s="94">
        <f>VLOOKUP(A127,[26]Масличные!$A$81:$W$99,23,)</f>
        <v>0</v>
      </c>
      <c r="K127" s="94">
        <f>VLOOKUP(A127,[26]Масличные!$A$81:$AH$99,34,)</f>
        <v>0</v>
      </c>
      <c r="L127" s="94">
        <f>VLOOKUP(A127,[26]Масличные!$A$81:$AS$99,45,)</f>
        <v>0</v>
      </c>
      <c r="M127" s="121">
        <f>VLOOKUP(A127,[26]Масличные!$A$81:$BD$99,56,)</f>
        <v>0</v>
      </c>
      <c r="N127" s="97">
        <f>VLOOKUP(A127,[26]Бобовые!$A$81:$L$99,12,)</f>
        <v>0</v>
      </c>
      <c r="O127" s="94">
        <f>VLOOKUP(A127,[26]Бобовые!$A$81:$W$99,23,)</f>
        <v>0</v>
      </c>
      <c r="P127" s="94">
        <f>VLOOKUP(A127,[26]Бобовые!$A$81:$AH$99,34,)</f>
        <v>0</v>
      </c>
      <c r="Q127" s="97">
        <f>VLOOKUP(A127,[26]Овощи!$A$81:$L$99,12,)</f>
        <v>166.29318999999998</v>
      </c>
      <c r="R127" s="94">
        <f>VLOOKUP(A127,[26]Овощи!$A$81:$W$99,23,)</f>
        <v>202.12783999999999</v>
      </c>
      <c r="S127" s="94">
        <f>VLOOKUP(A127,[26]Овощи!$A$81:$AH$99,34,)</f>
        <v>244.52772999999996</v>
      </c>
      <c r="T127" s="94">
        <f>VLOOKUP(A127,[26]Овощи!$A$81:$AS$99,45,)</f>
        <v>264.21728000000002</v>
      </c>
      <c r="U127" s="94">
        <f>VLOOKUP(A127,[26]Овощи!$A$81:$BD$99,56,)</f>
        <v>228.96770999999998</v>
      </c>
      <c r="V127" s="94">
        <f>VLOOKUP(A127,[26]Овощи!$A$81:$BO$99,67,)</f>
        <v>233.84585999999996</v>
      </c>
      <c r="W127" s="121">
        <f>VLOOKUP(A127,[26]Овощи!$A$81:$BZ$99,78,)</f>
        <v>233.30622</v>
      </c>
      <c r="X127" s="97">
        <f>VLOOKUP(A127,[26]Бахчевые!$A$81:$L$99,12,)</f>
        <v>207.17427000000004</v>
      </c>
      <c r="Y127" s="121">
        <f>VLOOKUP(A127,[26]Бахчевые!$A$81:$W$99,23,)</f>
        <v>175.54374000000001</v>
      </c>
    </row>
    <row r="128" spans="1:25">
      <c r="A128" s="109" t="s">
        <v>57</v>
      </c>
      <c r="B128" s="97">
        <f>VLOOKUP(A128,[26]Зерновые!$A$81:$L$99,12,)</f>
        <v>9.8831900000000008</v>
      </c>
      <c r="C128" s="94">
        <f>VLOOKUP(A128,[26]Зерновые!$A$81:$W$99,23,)</f>
        <v>9.8091199999999983</v>
      </c>
      <c r="D128" s="94">
        <f>VLOOKUP(A128,[26]Зерновые!$A$81:$AH$99,34,)</f>
        <v>11.502689999999998</v>
      </c>
      <c r="E128" s="94">
        <f>VLOOKUP(A128,[26]Зерновые!$A$81:$AS$99,45,)</f>
        <v>0</v>
      </c>
      <c r="F128" s="94">
        <f>VLOOKUP(A128,[26]Зерновые!$A$81:$BD$99,56,)</f>
        <v>5.9207400000000003</v>
      </c>
      <c r="G128" s="94">
        <f>VLOOKUP(A128,[26]Зерновые!$A$88:$BO$88,67,)</f>
        <v>2.3133299999999997</v>
      </c>
      <c r="H128" s="159">
        <f>VLOOKUP(A128,[26]Зерновые!$A$81:$BZ$99,78,)</f>
        <v>0</v>
      </c>
      <c r="I128" s="97">
        <f>VLOOKUP(A128,[26]Масличные!$A$81:$L$99,12,)</f>
        <v>5.3</v>
      </c>
      <c r="J128" s="94">
        <f>VLOOKUP(A128,[26]Масличные!$A$81:$W$99,23,)</f>
        <v>2.9966699999999999</v>
      </c>
      <c r="K128" s="94">
        <f>VLOOKUP(A128,[26]Масличные!$A$81:$AH$99,34,)</f>
        <v>0.45999999999999996</v>
      </c>
      <c r="L128" s="94">
        <f>VLOOKUP(A128,[26]Масличные!$A$81:$AS$99,45,)</f>
        <v>0</v>
      </c>
      <c r="M128" s="121">
        <f>VLOOKUP(A128,[26]Масличные!$A$81:$BD$99,56,)</f>
        <v>0</v>
      </c>
      <c r="N128" s="97">
        <f>VLOOKUP(A128,[26]Бобовые!$A$81:$L$99,12,)</f>
        <v>0</v>
      </c>
      <c r="O128" s="94">
        <f>VLOOKUP(A128,[26]Бобовые!$A$81:$W$99,23,)</f>
        <v>5.80037</v>
      </c>
      <c r="P128" s="94">
        <f>VLOOKUP(A128,[26]Бобовые!$A$81:$AH$99,34,)</f>
        <v>0</v>
      </c>
      <c r="Q128" s="97">
        <f>VLOOKUP(A128,[26]Овощи!$A$81:$L$99,12,)</f>
        <v>144.70000999999999</v>
      </c>
      <c r="R128" s="94">
        <f>VLOOKUP(A128,[26]Овощи!$A$81:$W$99,23,)</f>
        <v>161.24124</v>
      </c>
      <c r="S128" s="94">
        <f>VLOOKUP(A128,[26]Овощи!$A$81:$AH$99,34,)</f>
        <v>186.95465000000002</v>
      </c>
      <c r="T128" s="94">
        <f>VLOOKUP(A128,[26]Овощи!$A$81:$AS$99,45,)</f>
        <v>189.02211</v>
      </c>
      <c r="U128" s="94">
        <f>VLOOKUP(A128,[26]Овощи!$A$81:$BD$99,56,)</f>
        <v>187.00068000000002</v>
      </c>
      <c r="V128" s="94">
        <f>VLOOKUP(A128,[26]Овощи!$A$81:$BO$99,67,)</f>
        <v>196.88185999999999</v>
      </c>
      <c r="W128" s="121">
        <f>VLOOKUP(A128,[26]Овощи!$A$81:$BZ$99,78,)</f>
        <v>184.55819000000002</v>
      </c>
      <c r="X128" s="97">
        <f>VLOOKUP(A128,[26]Бахчевые!$A$81:$L$99,12,)</f>
        <v>125.89721</v>
      </c>
      <c r="Y128" s="121">
        <f>VLOOKUP(A128,[26]Бахчевые!$A$81:$W$99,23,)</f>
        <v>31.47</v>
      </c>
    </row>
    <row r="129" spans="1:25">
      <c r="A129" s="109" t="s">
        <v>58</v>
      </c>
      <c r="B129" s="97">
        <f>VLOOKUP(A129,[26]Зерновые!$A$81:$L$99,12,)</f>
        <v>15.69571</v>
      </c>
      <c r="C129" s="94">
        <f>VLOOKUP(A129,[26]Зерновые!$A$81:$W$99,23,)</f>
        <v>15.601800000000001</v>
      </c>
      <c r="D129" s="94">
        <f>VLOOKUP(A129,[26]Зерновые!$A$81:$AH$99,34,)</f>
        <v>16.882509999999996</v>
      </c>
      <c r="E129" s="94">
        <f>VLOOKUP(A129,[26]Зерновые!$A$81:$AS$99,45,)</f>
        <v>9.0335400000000003</v>
      </c>
      <c r="F129" s="94">
        <f>VLOOKUP(A129,[26]Зерновые!$A$81:$BD$99,56,)</f>
        <v>11.057570000000002</v>
      </c>
      <c r="G129" s="94">
        <f>VLOOKUP(A129,[26]Зерновые!$A$89:$BO$89,67,)</f>
        <v>11.56982</v>
      </c>
      <c r="H129" s="159">
        <f>VLOOKUP(A129,[26]Зерновые!$A$81:$BZ$99,78,)</f>
        <v>0</v>
      </c>
      <c r="I129" s="97">
        <f>VLOOKUP(A129,[26]Масличные!$A$81:$L$99,12,)</f>
        <v>12.48442</v>
      </c>
      <c r="J129" s="94">
        <f>VLOOKUP(A129,[26]Масличные!$A$81:$W$99,23,)</f>
        <v>8.9818800000000003</v>
      </c>
      <c r="K129" s="94">
        <f>VLOOKUP(A129,[26]Масличные!$A$81:$AH$99,34,)</f>
        <v>6.5200000000000005</v>
      </c>
      <c r="L129" s="94">
        <f>VLOOKUP(A129,[26]Масличные!$A$81:$AS$99,45,)</f>
        <v>0.45</v>
      </c>
      <c r="M129" s="121">
        <f>VLOOKUP(A129,[26]Масличные!$A$81:$BD$99,56,)</f>
        <v>0</v>
      </c>
      <c r="N129" s="97">
        <f>VLOOKUP(A129,[26]Бобовые!$A$81:$L$99,12,)</f>
        <v>1.56</v>
      </c>
      <c r="O129" s="94">
        <f>VLOOKUP(A129,[26]Бобовые!$A$81:$W$99,23,)</f>
        <v>14.590020000000001</v>
      </c>
      <c r="P129" s="94">
        <f>VLOOKUP(A129,[26]Бобовые!$A$81:$AH$99,34,)</f>
        <v>0</v>
      </c>
      <c r="Q129" s="97">
        <f>VLOOKUP(A129,[26]Овощи!$A$81:$L$99,12,)</f>
        <v>172.13399999999996</v>
      </c>
      <c r="R129" s="94">
        <f>VLOOKUP(A129,[26]Овощи!$A$81:$W$99,23,)</f>
        <v>299.50229999999999</v>
      </c>
      <c r="S129" s="94">
        <f>VLOOKUP(A129,[26]Овощи!$A$81:$AH$99,34,)</f>
        <v>395.30782999999997</v>
      </c>
      <c r="T129" s="94">
        <f>VLOOKUP(A129,[26]Овощи!$A$81:$AS$99,45,)</f>
        <v>445.49126999999999</v>
      </c>
      <c r="U129" s="94">
        <f>VLOOKUP(A129,[26]Овощи!$A$81:$BD$99,56,)</f>
        <v>359.41327000000001</v>
      </c>
      <c r="V129" s="94">
        <f>VLOOKUP(A129,[26]Овощи!$A$81:$BO$99,67,)</f>
        <v>368.96756000000005</v>
      </c>
      <c r="W129" s="121">
        <f>VLOOKUP(A129,[26]Овощи!$A$81:$BZ$99,78,)</f>
        <v>415.29037</v>
      </c>
      <c r="X129" s="97">
        <f>VLOOKUP(A129,[26]Бахчевые!$A$81:$L$99,12,)</f>
        <v>217.80057999999994</v>
      </c>
      <c r="Y129" s="121">
        <f>VLOOKUP(A129,[26]Бахчевые!$A$81:$W$99,23,)</f>
        <v>223.26377000000002</v>
      </c>
    </row>
    <row r="130" spans="1:25">
      <c r="A130" s="109" t="s">
        <v>66</v>
      </c>
      <c r="B130" s="97">
        <f>VLOOKUP(A130,[26]Зерновые!$A$81:$L$99,12,)</f>
        <v>8.8724099999999986</v>
      </c>
      <c r="C130" s="94">
        <f>VLOOKUP(A130,[26]Зерновые!$A$81:$W$99,23,)</f>
        <v>9.2121999999999993</v>
      </c>
      <c r="D130" s="94">
        <f>VLOOKUP(A130,[26]Зерновые!$A$81:$AH$99,34,)</f>
        <v>8.7584600000000012</v>
      </c>
      <c r="E130" s="94">
        <f>VLOOKUP(A130,[26]Зерновые!$A$81:$AS$99,45,)</f>
        <v>0.2</v>
      </c>
      <c r="F130" s="94">
        <f>VLOOKUP(A130,[26]Зерновые!$A$81:$BD$99,56,)</f>
        <v>6.7316699999999994</v>
      </c>
      <c r="G130" s="94">
        <f>VLOOKUP(A130,[26]Зерновые!$A$90:$BO$90,67,)</f>
        <v>0</v>
      </c>
      <c r="H130" s="159">
        <f>VLOOKUP(A130,[26]Зерновые!$A$81:$BZ$99,78,)</f>
        <v>0</v>
      </c>
      <c r="I130" s="97">
        <f>VLOOKUP(A130,[26]Масличные!$A$81:$L$99,12,)</f>
        <v>4.42563</v>
      </c>
      <c r="J130" s="94">
        <f>VLOOKUP(A130,[26]Масличные!$A$81:$W$99,23,)</f>
        <v>0.5</v>
      </c>
      <c r="K130" s="94">
        <f>VLOOKUP(A130,[26]Масличные!$A$81:$AH$99,34,)</f>
        <v>0</v>
      </c>
      <c r="L130" s="94">
        <f>VLOOKUP(A130,[26]Масличные!$A$81:$AS$99,45,)</f>
        <v>0</v>
      </c>
      <c r="M130" s="121">
        <f>VLOOKUP(A130,[26]Масличные!$A$81:$BD$99,56,)</f>
        <v>0</v>
      </c>
      <c r="N130" s="97">
        <f>VLOOKUP(A130,[26]Бобовые!$A$81:$L$99,12,)</f>
        <v>0</v>
      </c>
      <c r="O130" s="94">
        <f>VLOOKUP(A130,[26]Бобовые!$A$81:$W$99,23,)</f>
        <v>2.15</v>
      </c>
      <c r="P130" s="94">
        <f>VLOOKUP(A130,[26]Бобовые!$A$81:$AH$99,34,)</f>
        <v>0</v>
      </c>
      <c r="Q130" s="97">
        <f>VLOOKUP(A130,[26]Овощи!$A$81:$L$99,12,)</f>
        <v>138.00922</v>
      </c>
      <c r="R130" s="94">
        <f>VLOOKUP(A130,[26]Овощи!$A$81:$W$99,23,)</f>
        <v>156.50109000000003</v>
      </c>
      <c r="S130" s="94">
        <f>VLOOKUP(A130,[26]Овощи!$A$81:$AH$99,34,)</f>
        <v>186.25468999999998</v>
      </c>
      <c r="T130" s="94">
        <f>VLOOKUP(A130,[26]Овощи!$A$81:$AS$99,45,)</f>
        <v>243.65589999999997</v>
      </c>
      <c r="U130" s="94">
        <f>VLOOKUP(A130,[26]Овощи!$A$81:$BD$99,56,)</f>
        <v>168.62245999999999</v>
      </c>
      <c r="V130" s="94">
        <f>VLOOKUP(A130,[26]Овощи!$A$81:$BO$99,67,)</f>
        <v>173.85952000000003</v>
      </c>
      <c r="W130" s="121">
        <f>VLOOKUP(A130,[26]Овощи!$A$81:$BZ$99,78,)</f>
        <v>192.88417000000001</v>
      </c>
      <c r="X130" s="97">
        <f>VLOOKUP(A130,[26]Бахчевые!$A$81:$L$99,12,)</f>
        <v>112.31233</v>
      </c>
      <c r="Y130" s="121">
        <f>VLOOKUP(A130,[26]Бахчевые!$A$81:$W$99,23,)</f>
        <v>0</v>
      </c>
    </row>
    <row r="131" spans="1:25">
      <c r="A131" s="109" t="s">
        <v>65</v>
      </c>
      <c r="B131" s="97">
        <f>VLOOKUP(A131,[26]Зерновые!$A$81:$L$99,12,)</f>
        <v>15.902550000000002</v>
      </c>
      <c r="C131" s="94">
        <f>VLOOKUP(A131,[26]Зерновые!$A$81:$W$99,23,)</f>
        <v>16.65232</v>
      </c>
      <c r="D131" s="94">
        <f>VLOOKUP(A131,[26]Зерновые!$A$81:$AH$99,34,)</f>
        <v>15.820460000000002</v>
      </c>
      <c r="E131" s="94">
        <f>VLOOKUP(A131,[26]Зерновые!$A$81:$AS$99,45,)</f>
        <v>16.788400000000003</v>
      </c>
      <c r="F131" s="94">
        <f>VLOOKUP(A131,[26]Зерновые!$A$81:$BD$99,56,)</f>
        <v>1.6799999999999997</v>
      </c>
      <c r="G131" s="94">
        <f>VLOOKUP(A131,[26]Зерновые!$A$91:$BO$91,67,)</f>
        <v>8.8999199999999998</v>
      </c>
      <c r="H131" s="159">
        <f>VLOOKUP(A131,[26]Зерновые!$A$81:$BZ$99,78,)</f>
        <v>0</v>
      </c>
      <c r="I131" s="97">
        <f>VLOOKUP(A131,[26]Масличные!$A$81:$L$99,12,)</f>
        <v>7.8900000000000006</v>
      </c>
      <c r="J131" s="94">
        <f>VLOOKUP(A131,[26]Масличные!$A$81:$W$99,23,)</f>
        <v>0.16</v>
      </c>
      <c r="K131" s="94">
        <f>VLOOKUP(A131,[26]Масличные!$A$81:$AH$99,34,)</f>
        <v>0</v>
      </c>
      <c r="L131" s="94">
        <f>VLOOKUP(A131,[26]Масличные!$A$81:$AS$99,45,)</f>
        <v>0</v>
      </c>
      <c r="M131" s="121">
        <f>VLOOKUP(A131,[26]Масличные!$A$81:$BD$99,56,)</f>
        <v>0</v>
      </c>
      <c r="N131" s="97">
        <f>VLOOKUP(A131,[26]Бобовые!$A$81:$L$99,12,)</f>
        <v>0</v>
      </c>
      <c r="O131" s="94">
        <f>VLOOKUP(A131,[26]Бобовые!$A$81:$W$99,23,)</f>
        <v>0</v>
      </c>
      <c r="P131" s="94">
        <f>VLOOKUP(A131,[26]Бобовые!$A$81:$AH$99,34,)</f>
        <v>0</v>
      </c>
      <c r="Q131" s="97">
        <f>VLOOKUP(A131,[26]Овощи!$A$81:$L$99,12,)</f>
        <v>121.05456999999998</v>
      </c>
      <c r="R131" s="94">
        <f>VLOOKUP(A131,[26]Овощи!$A$81:$W$99,23,)</f>
        <v>126.73042999999998</v>
      </c>
      <c r="S131" s="94">
        <f>VLOOKUP(A131,[26]Овощи!$A$81:$AH$99,34,)</f>
        <v>157.04578000000001</v>
      </c>
      <c r="T131" s="94">
        <f>VLOOKUP(A131,[26]Овощи!$A$81:$AS$99,45,)</f>
        <v>164.98544000000001</v>
      </c>
      <c r="U131" s="94">
        <f>VLOOKUP(A131,[26]Овощи!$A$81:$BD$99,56,)</f>
        <v>153.47202000000001</v>
      </c>
      <c r="V131" s="94">
        <f>VLOOKUP(A131,[26]Овощи!$A$81:$BO$99,67,)</f>
        <v>150.77025</v>
      </c>
      <c r="W131" s="121">
        <f>VLOOKUP(A131,[26]Овощи!$A$81:$BZ$99,78,)</f>
        <v>169.81120999999999</v>
      </c>
      <c r="X131" s="97">
        <f>VLOOKUP(A131,[26]Бахчевые!$A$81:$L$99,12,)</f>
        <v>173.93083000000001</v>
      </c>
      <c r="Y131" s="121">
        <f>VLOOKUP(A131,[26]Бахчевые!$A$81:$W$99,23,)</f>
        <v>167.08385999999999</v>
      </c>
    </row>
    <row r="132" spans="1:25">
      <c r="A132" s="109" t="s">
        <v>67</v>
      </c>
      <c r="B132" s="97">
        <f>VLOOKUP(A132,[26]Зерновые!$A$81:$L$99,12,)</f>
        <v>15.393660000000001</v>
      </c>
      <c r="C132" s="94">
        <f>VLOOKUP(A132,[26]Зерновые!$A$81:$W$99,23,)</f>
        <v>14.683240000000003</v>
      </c>
      <c r="D132" s="94">
        <f>VLOOKUP(A132,[26]Зерновые!$A$81:$AH$99,34,)</f>
        <v>14.854519999999999</v>
      </c>
      <c r="E132" s="94">
        <f>VLOOKUP(A132,[26]Зерновые!$A$81:$AS$99,45,)</f>
        <v>3.34</v>
      </c>
      <c r="F132" s="94">
        <f>VLOOKUP(A132,[26]Зерновые!$A$81:$BD$99,56,)</f>
        <v>11.800879999999999</v>
      </c>
      <c r="G132" s="94">
        <f>VLOOKUP(A132,[26]Зерновые!$A$92:$BO$99,67,)</f>
        <v>0</v>
      </c>
      <c r="H132" s="159">
        <f>VLOOKUP(A132,[26]Зерновые!$A$81:$BZ$99,78,)</f>
        <v>0</v>
      </c>
      <c r="I132" s="97">
        <f>VLOOKUP(A132,[26]Масличные!$A$81:$L$99,12,)</f>
        <v>12.99184</v>
      </c>
      <c r="J132" s="94">
        <f>VLOOKUP(A132,[26]Масличные!$A$81:$W$99,23,)</f>
        <v>8.4146299999999989</v>
      </c>
      <c r="K132" s="94">
        <f>VLOOKUP(A132,[26]Масличные!$A$81:$AH$99,34,)</f>
        <v>4.2900000000000009</v>
      </c>
      <c r="L132" s="94">
        <f>VLOOKUP(A132,[26]Масличные!$A$81:$AS$99,45,)</f>
        <v>0.75</v>
      </c>
      <c r="M132" s="121">
        <f>VLOOKUP(A132,[26]Масличные!$A$81:$BD$99,56,)</f>
        <v>0</v>
      </c>
      <c r="N132" s="97">
        <f>VLOOKUP(A132,[26]Бобовые!$A$81:$L$99,12,)</f>
        <v>0</v>
      </c>
      <c r="O132" s="94">
        <f>VLOOKUP(A132,[26]Бобовые!$A$81:$W$99,23,)</f>
        <v>13.505469999999999</v>
      </c>
      <c r="P132" s="94">
        <f>VLOOKUP(A132,[26]Бобовые!$A$81:$AH$99,34,)</f>
        <v>2.4</v>
      </c>
      <c r="Q132" s="97">
        <f>VLOOKUP(A132,[26]Овощи!$A$81:$L$99,12,)</f>
        <v>180.79634999999999</v>
      </c>
      <c r="R132" s="94">
        <f>VLOOKUP(A132,[26]Овощи!$A$81:$W$99,23,)</f>
        <v>203.27726999999999</v>
      </c>
      <c r="S132" s="94">
        <f>VLOOKUP(A132,[26]Овощи!$A$81:$AH$99,34,)</f>
        <v>207.10794999999999</v>
      </c>
      <c r="T132" s="94">
        <f>VLOOKUP(A132,[26]Овощи!$A$81:$AS$99,45,)</f>
        <v>319.46965000000006</v>
      </c>
      <c r="U132" s="94">
        <f>VLOOKUP(A132,[26]Овощи!$A$81:$BD$99,56,)</f>
        <v>222.22142999999997</v>
      </c>
      <c r="V132" s="94">
        <f>VLOOKUP(A132,[26]Овощи!$A$81:$BO$99,67,)</f>
        <v>225.68662</v>
      </c>
      <c r="W132" s="121">
        <f>VLOOKUP(A132,[26]Овощи!$A$81:$BZ$99,78,)</f>
        <v>263.91471000000001</v>
      </c>
      <c r="X132" s="97">
        <f>VLOOKUP(A132,[26]Бахчевые!$A$81:$L$99,12,)</f>
        <v>168.17</v>
      </c>
      <c r="Y132" s="121">
        <f>VLOOKUP(A132,[26]Бахчевые!$A$81:$W$99,23,)</f>
        <v>194.73930999999999</v>
      </c>
    </row>
    <row r="133" spans="1:25">
      <c r="A133" s="109" t="s">
        <v>118</v>
      </c>
      <c r="B133" s="97">
        <f>VLOOKUP(A133,[26]Зерновые!$A$81:$L$99,12,)</f>
        <v>13.542199999999999</v>
      </c>
      <c r="C133" s="94">
        <f>VLOOKUP(A133,[26]Зерновые!$A$81:$W$99,23,)</f>
        <v>13.899260000000002</v>
      </c>
      <c r="D133" s="94">
        <f>VLOOKUP(A133,[26]Зерновые!$A$81:$AH$99,34,)</f>
        <v>15.590370000000002</v>
      </c>
      <c r="E133" s="94">
        <f>VLOOKUP(A133,[26]Зерновые!$A$81:$AS$99,45,)</f>
        <v>0</v>
      </c>
      <c r="F133" s="94">
        <f>VLOOKUP(A133,[26]Зерновые!$A$81:$BD$99,56,)</f>
        <v>8.6311900000000001</v>
      </c>
      <c r="G133" s="94">
        <f>VLOOKUP(A133,[26]Зерновые!$A$92:$BO$99,67,)</f>
        <v>0</v>
      </c>
      <c r="H133" s="159">
        <f>VLOOKUP(A133,[26]Зерновые!$A$81:$BZ$99,78,)</f>
        <v>0</v>
      </c>
      <c r="I133" s="97">
        <f>VLOOKUP(A133,[26]Масличные!$A$81:$L$99,12,)</f>
        <v>7.9491399999999999</v>
      </c>
      <c r="J133" s="94">
        <f>VLOOKUP(A133,[26]Масличные!$A$81:$W$99,23,)</f>
        <v>3.47</v>
      </c>
      <c r="K133" s="94">
        <f>VLOOKUP(A133,[26]Масличные!$A$81:$AH$99,34,)</f>
        <v>0</v>
      </c>
      <c r="L133" s="94">
        <f>VLOOKUP(A133,[26]Масличные!$A$81:$AS$99,45,)</f>
        <v>0</v>
      </c>
      <c r="M133" s="121">
        <f>VLOOKUP(A133,[26]Масличные!$A$81:$BD$99,56,)</f>
        <v>0</v>
      </c>
      <c r="N133" s="97">
        <f>VLOOKUP(A133,[26]Бобовые!$A$81:$L$99,12,)</f>
        <v>0</v>
      </c>
      <c r="O133" s="94">
        <f>VLOOKUP(A133,[26]Бобовые!$A$81:$W$99,23,)</f>
        <v>3.34</v>
      </c>
      <c r="P133" s="94">
        <f>VLOOKUP(A133,[26]Бобовые!$A$81:$AH$99,34,)</f>
        <v>0</v>
      </c>
      <c r="Q133" s="97">
        <f>VLOOKUP(A133,[26]Овощи!$A$81:$L$99,12,)</f>
        <v>162.50443999999999</v>
      </c>
      <c r="R133" s="94">
        <f>VLOOKUP(A133,[26]Овощи!$A$81:$W$99,23,)</f>
        <v>236.68579</v>
      </c>
      <c r="S133" s="94">
        <f>VLOOKUP(A133,[26]Овощи!$A$81:$AH$99,34,)</f>
        <v>321.13607999999994</v>
      </c>
      <c r="T133" s="94">
        <f>VLOOKUP(A133,[26]Овощи!$A$81:$AS$99,45,)</f>
        <v>363.77589</v>
      </c>
      <c r="U133" s="94">
        <f>VLOOKUP(A133,[26]Овощи!$A$81:$BD$99,56,)</f>
        <v>244.66524000000004</v>
      </c>
      <c r="V133" s="94">
        <f>VLOOKUP(A133,[26]Овощи!$A$81:$BO$99,67,)</f>
        <v>287.26965000000001</v>
      </c>
      <c r="W133" s="121">
        <f>VLOOKUP(A133,[26]Овощи!$A$81:$BZ$99,78,)</f>
        <v>293.02951999999999</v>
      </c>
      <c r="X133" s="97">
        <f>VLOOKUP(A133,[26]Бахчевые!$A$81:$L$99,12,)</f>
        <v>67.963888888888889</v>
      </c>
      <c r="Y133" s="121">
        <f>VLOOKUP(A133,[26]Бахчевые!$A$81:$W$99,23,)</f>
        <v>122.56772000000001</v>
      </c>
    </row>
    <row r="134" spans="1:25">
      <c r="A134" s="109" t="s">
        <v>59</v>
      </c>
      <c r="B134" s="97">
        <f>VLOOKUP(A134,[26]Зерновые!$A$81:$L$99,12,)</f>
        <v>10.002189999999999</v>
      </c>
      <c r="C134" s="94">
        <f>VLOOKUP(A134,[26]Зерновые!$A$81:$W$99,23,)</f>
        <v>11.06939</v>
      </c>
      <c r="D134" s="94">
        <f>VLOOKUP(A134,[26]Зерновые!$A$81:$AH$99,34,)</f>
        <v>10.45139</v>
      </c>
      <c r="E134" s="94">
        <f>VLOOKUP(A134,[26]Зерновые!$A$81:$AS$99,45,)</f>
        <v>10.27454</v>
      </c>
      <c r="F134" s="94">
        <f>VLOOKUP(A134,[26]Зерновые!$A$81:$BD$99,56,)</f>
        <v>4.4735500000000004</v>
      </c>
      <c r="G134" s="94">
        <f>VLOOKUP(A134,[26]Зерновые!$A$92:$BO$99,67,)</f>
        <v>0</v>
      </c>
      <c r="H134" s="159">
        <f>VLOOKUP(A134,[26]Зерновые!$A$81:$BZ$99,78,)</f>
        <v>0</v>
      </c>
      <c r="I134" s="97">
        <f>VLOOKUP(A134,[26]Масличные!$A$81:$L$99,12,)</f>
        <v>7.0031699999999999</v>
      </c>
      <c r="J134" s="94">
        <f>VLOOKUP(A134,[26]Масличные!$A$81:$W$99,23,)</f>
        <v>0.2</v>
      </c>
      <c r="K134" s="94">
        <f>VLOOKUP(A134,[26]Масличные!$A$81:$AH$99,34,)</f>
        <v>0</v>
      </c>
      <c r="L134" s="94">
        <f>VLOOKUP(A134,[26]Масличные!$A$81:$AS$99,45,)</f>
        <v>2.2800000000000002</v>
      </c>
      <c r="M134" s="121">
        <f>VLOOKUP(A134,[26]Масличные!$A$81:$BD$99,56,)</f>
        <v>0.3</v>
      </c>
      <c r="N134" s="97">
        <f>VLOOKUP(A134,[26]Бобовые!$A$81:$L$99,12,)</f>
        <v>2</v>
      </c>
      <c r="O134" s="94">
        <f>VLOOKUP(A134,[26]Бобовые!$A$81:$W$99,23,)</f>
        <v>1.0899999999999999</v>
      </c>
      <c r="P134" s="94">
        <f>VLOOKUP(A134,[26]Бобовые!$A$81:$AH$99,34,)</f>
        <v>0</v>
      </c>
      <c r="Q134" s="97">
        <f>VLOOKUP(A134,[26]Овощи!$A$81:$L$99,12,)</f>
        <v>157.09780000000001</v>
      </c>
      <c r="R134" s="94">
        <f>VLOOKUP(A134,[26]Овощи!$A$81:$W$99,23,)</f>
        <v>260.93696999999997</v>
      </c>
      <c r="S134" s="94">
        <f>VLOOKUP(A134,[26]Овощи!$A$81:$AH$99,34,)</f>
        <v>377.97759000000002</v>
      </c>
      <c r="T134" s="94">
        <f>VLOOKUP(A134,[26]Овощи!$A$81:$AS$99,45,)</f>
        <v>438.83978999999999</v>
      </c>
      <c r="U134" s="94">
        <f>VLOOKUP(A134,[26]Овощи!$A$81:$BD$99,56,)</f>
        <v>338.85835999999995</v>
      </c>
      <c r="V134" s="94">
        <f>VLOOKUP(A134,[26]Овощи!$A$81:$BO$99,67,)</f>
        <v>350.37465000000009</v>
      </c>
      <c r="W134" s="121">
        <f>VLOOKUP(A134,[26]Овощи!$A$81:$BZ$99,78,)</f>
        <v>330.53467999999998</v>
      </c>
      <c r="X134" s="97">
        <f>VLOOKUP(A134,[26]Бахчевые!$A$81:$L$99,12,)</f>
        <v>135.13708</v>
      </c>
      <c r="Y134" s="121">
        <f>VLOOKUP(A134,[26]Бахчевые!$A$81:$W$99,23,)</f>
        <v>94.131429999999995</v>
      </c>
    </row>
    <row r="135" spans="1:25">
      <c r="A135" s="109" t="s">
        <v>60</v>
      </c>
      <c r="B135" s="97">
        <f>VLOOKUP(A135,[26]Зерновые!$A$81:$L$99,12,)</f>
        <v>13.40924</v>
      </c>
      <c r="C135" s="94">
        <f>VLOOKUP(A135,[26]Зерновые!$A$81:$W$99,23,)</f>
        <v>14.160230000000002</v>
      </c>
      <c r="D135" s="94">
        <f>VLOOKUP(A135,[26]Зерновые!$A$81:$AH$99,34,)</f>
        <v>14.650380000000002</v>
      </c>
      <c r="E135" s="94">
        <f>VLOOKUP(A135,[26]Зерновые!$A$81:$AS$99,45,)</f>
        <v>13.778839999999999</v>
      </c>
      <c r="F135" s="94">
        <f>VLOOKUP(A135,[26]Зерновые!$A$81:$BD$99,56,)</f>
        <v>2.5963000000000003</v>
      </c>
      <c r="G135" s="94">
        <f>VLOOKUP(A135,[26]Зерновые!$A$92:$BO$99,67,)</f>
        <v>2.95</v>
      </c>
      <c r="H135" s="159">
        <f>VLOOKUP(A135,[26]Зерновые!$A$81:$BZ$99,78,)</f>
        <v>0</v>
      </c>
      <c r="I135" s="97">
        <f>VLOOKUP(A135,[26]Масличные!$A$81:$L$99,12,)</f>
        <v>8.9188299999999998</v>
      </c>
      <c r="J135" s="94">
        <f>VLOOKUP(A135,[26]Масличные!$A$81:$W$99,23,)</f>
        <v>0</v>
      </c>
      <c r="K135" s="94">
        <f>VLOOKUP(A135,[26]Масличные!$A$81:$AH$99,34,)</f>
        <v>0</v>
      </c>
      <c r="L135" s="94">
        <f>VLOOKUP(A135,[26]Масличные!$A$81:$AS$99,45,)</f>
        <v>0</v>
      </c>
      <c r="M135" s="121">
        <f>VLOOKUP(A135,[26]Масличные!$A$81:$BD$99,56,)</f>
        <v>0</v>
      </c>
      <c r="N135" s="97">
        <f>VLOOKUP(A135,[26]Бобовые!$A$81:$L$99,12,)</f>
        <v>0</v>
      </c>
      <c r="O135" s="94">
        <f>VLOOKUP(A135,[26]Бобовые!$A$81:$W$99,23,)</f>
        <v>0.5</v>
      </c>
      <c r="P135" s="94">
        <f>VLOOKUP(A135,[26]Бобовые!$A$81:$AH$99,34,)</f>
        <v>0</v>
      </c>
      <c r="Q135" s="97">
        <f>VLOOKUP(A135,[26]Овощи!$A$81:$L$99,12,)</f>
        <v>211.30936000000003</v>
      </c>
      <c r="R135" s="94">
        <f>VLOOKUP(A135,[26]Овощи!$A$81:$W$99,23,)</f>
        <v>290.66682000000003</v>
      </c>
      <c r="S135" s="94">
        <f>VLOOKUP(A135,[26]Овощи!$A$81:$AH$99,34,)</f>
        <v>315.18130000000008</v>
      </c>
      <c r="T135" s="94">
        <f>VLOOKUP(A135,[26]Овощи!$A$81:$AS$99,45,)</f>
        <v>316.37963000000002</v>
      </c>
      <c r="U135" s="94">
        <f>VLOOKUP(A135,[26]Овощи!$A$81:$BD$99,56,)</f>
        <v>319.45236999999997</v>
      </c>
      <c r="V135" s="94">
        <f>VLOOKUP(A135,[26]Овощи!$A$81:$BO$99,67,)</f>
        <v>327.13299000000006</v>
      </c>
      <c r="W135" s="121">
        <f>VLOOKUP(A135,[26]Овощи!$A$81:$BZ$99,78,)</f>
        <v>323.58612000000005</v>
      </c>
      <c r="X135" s="97">
        <f>VLOOKUP(A135,[26]Бахчевые!$A$81:$L$99,12,)</f>
        <v>366.13394000000005</v>
      </c>
      <c r="Y135" s="121">
        <f>VLOOKUP(A135,[26]Бахчевые!$A$81:$W$99,23,)</f>
        <v>54.051649999999995</v>
      </c>
    </row>
    <row r="136" spans="1:25">
      <c r="A136" s="109" t="s">
        <v>62</v>
      </c>
      <c r="B136" s="97">
        <f>VLOOKUP(A136,[26]Зерновые!$A$81:$L$99,12,)</f>
        <v>14.529689999999999</v>
      </c>
      <c r="C136" s="94">
        <f>VLOOKUP(A136,[26]Зерновые!$A$81:$W$99,23,)</f>
        <v>10.93519</v>
      </c>
      <c r="D136" s="94">
        <f>VLOOKUP(A136,[26]Зерновые!$A$81:$AH$99,34,)</f>
        <v>8.3204799999999999</v>
      </c>
      <c r="E136" s="94">
        <f>VLOOKUP(A136,[26]Зерновые!$A$81:$AS$99,45,)</f>
        <v>5.3606099999999994</v>
      </c>
      <c r="F136" s="94">
        <f>VLOOKUP(A136,[26]Зерновые!$A$81:$BD$99,56,)</f>
        <v>0</v>
      </c>
      <c r="G136" s="94">
        <f>VLOOKUP(A136,[26]Зерновые!$A$92:$BO$99,67,)</f>
        <v>0</v>
      </c>
      <c r="H136" s="159">
        <f>VLOOKUP(A136,[26]Зерновые!$A$81:$BZ$99,78,)</f>
        <v>0</v>
      </c>
      <c r="I136" s="97">
        <f>VLOOKUP(A136,[26]Масличные!$A$81:$L$99,12,)</f>
        <v>6.42</v>
      </c>
      <c r="J136" s="94">
        <f>VLOOKUP(A136,[26]Масличные!$A$81:$W$99,23,)</f>
        <v>2</v>
      </c>
      <c r="K136" s="94">
        <f>VLOOKUP(A136,[26]Масличные!$A$81:$AH$99,34,)</f>
        <v>0</v>
      </c>
      <c r="L136" s="94">
        <f>VLOOKUP(A136,[26]Масличные!$A$81:$AS$99,45,)</f>
        <v>0</v>
      </c>
      <c r="M136" s="121">
        <f>VLOOKUP(A136,[26]Масличные!$A$81:$BD$99,56,)</f>
        <v>0</v>
      </c>
      <c r="N136" s="97">
        <f>VLOOKUP(A136,[26]Бобовые!$A$81:$L$99,12,)</f>
        <v>0</v>
      </c>
      <c r="O136" s="94">
        <f>VLOOKUP(A136,[26]Бобовые!$A$81:$W$99,23,)</f>
        <v>0</v>
      </c>
      <c r="P136" s="94">
        <f>VLOOKUP(A136,[26]Бобовые!$A$81:$AH$99,34,)</f>
        <v>0</v>
      </c>
      <c r="Q136" s="97">
        <f>VLOOKUP(A136,[26]Овощи!$A$81:$L$99,12,)</f>
        <v>115.79167</v>
      </c>
      <c r="R136" s="94">
        <f>VLOOKUP(A136,[26]Овощи!$A$81:$W$99,23,)</f>
        <v>114.68355</v>
      </c>
      <c r="S136" s="94">
        <f>VLOOKUP(A136,[26]Овощи!$A$81:$AH$99,34,)</f>
        <v>116.65707999999999</v>
      </c>
      <c r="T136" s="94">
        <f>VLOOKUP(A136,[26]Овощи!$A$81:$AS$99,45,)</f>
        <v>121.86180999999999</v>
      </c>
      <c r="U136" s="94">
        <f>VLOOKUP(A136,[26]Овощи!$A$81:$BD$99,56,)</f>
        <v>116.73456999999999</v>
      </c>
      <c r="V136" s="94">
        <f>VLOOKUP(A136,[26]Овощи!$A$81:$BO$99,67,)</f>
        <v>116.64098999999999</v>
      </c>
      <c r="W136" s="121">
        <f>VLOOKUP(A136,[26]Овощи!$A$81:$BZ$99,78,)</f>
        <v>113.81187</v>
      </c>
      <c r="X136" s="97">
        <f>VLOOKUP(A136,[26]Бахчевые!$A$81:$L$99,12,)</f>
        <v>123.05064</v>
      </c>
      <c r="Y136" s="121">
        <f>VLOOKUP(A136,[26]Бахчевые!$A$81:$W$99,23,)</f>
        <v>96.679020000000008</v>
      </c>
    </row>
    <row r="137" spans="1:25">
      <c r="A137" s="109" t="s">
        <v>63</v>
      </c>
      <c r="B137" s="97">
        <f>VLOOKUP(A137,[26]Зерновые!$A$81:$L$99,12,)</f>
        <v>8.2709399999999995</v>
      </c>
      <c r="C137" s="94">
        <f>VLOOKUP(A137,[26]Зерновые!$A$81:$W$99,23,)</f>
        <v>9.4247499999999995</v>
      </c>
      <c r="D137" s="94">
        <f>VLOOKUP(A137,[26]Зерновые!$A$81:$AH$99,34,)</f>
        <v>10.3649</v>
      </c>
      <c r="E137" s="94">
        <f>VLOOKUP(A137,[26]Зерновые!$A$81:$AS$99,45,)</f>
        <v>1.6149999999999998</v>
      </c>
      <c r="F137" s="94">
        <f>VLOOKUP(A137,[26]Зерновые!$A$81:$BD$99,56,)</f>
        <v>5.8512500000000003</v>
      </c>
      <c r="G137" s="94">
        <f>VLOOKUP(A137,[26]Зерновые!$A$92:$BO$99,67,)</f>
        <v>3</v>
      </c>
      <c r="H137" s="159">
        <f>VLOOKUP(A137,[26]Зерновые!$A$81:$BZ$99,78,)</f>
        <v>0</v>
      </c>
      <c r="I137" s="97">
        <f>VLOOKUP(A137,[26]Масличные!$A$81:$L$99,12,)</f>
        <v>6.1499999999999995</v>
      </c>
      <c r="J137" s="94">
        <f>VLOOKUP(A137,[26]Масличные!$A$81:$W$99,23,)</f>
        <v>0</v>
      </c>
      <c r="K137" s="94">
        <f>VLOOKUP(A137,[26]Масличные!$A$81:$AH$99,34,)</f>
        <v>0</v>
      </c>
      <c r="L137" s="94">
        <f>VLOOKUP(A137,[26]Масличные!$A$81:$AS$99,45,)</f>
        <v>0</v>
      </c>
      <c r="M137" s="121">
        <f>VLOOKUP(A137,[26]Масличные!$A$81:$BD$99,56,)</f>
        <v>0</v>
      </c>
      <c r="N137" s="97">
        <f>VLOOKUP(A137,[26]Бобовые!$A$81:$L$99,12,)</f>
        <v>1.42</v>
      </c>
      <c r="O137" s="94">
        <f>VLOOKUP(A137,[26]Бобовые!$A$81:$W$99,23,)</f>
        <v>3.20452</v>
      </c>
      <c r="P137" s="94">
        <f>VLOOKUP(A137,[26]Бобовые!$A$81:$AH$99,34,)</f>
        <v>0</v>
      </c>
      <c r="Q137" s="97">
        <f>VLOOKUP(A137,[26]Овощи!$A$81:$L$99,12,)</f>
        <v>147.99651</v>
      </c>
      <c r="R137" s="94">
        <f>VLOOKUP(A137,[26]Овощи!$A$81:$W$99,23,)</f>
        <v>191.66967999999997</v>
      </c>
      <c r="S137" s="94">
        <f>VLOOKUP(A137,[26]Овощи!$A$81:$AH$99,34,)</f>
        <v>288.46227000000005</v>
      </c>
      <c r="T137" s="94">
        <f>VLOOKUP(A137,[26]Овощи!$A$81:$AS$99,45,)</f>
        <v>345.12497000000002</v>
      </c>
      <c r="U137" s="94">
        <f>VLOOKUP(A137,[26]Овощи!$A$81:$BD$99,56,)</f>
        <v>240.72788000000006</v>
      </c>
      <c r="V137" s="94">
        <f>VLOOKUP(A137,[26]Овощи!$A$81:$BO$99,67,)</f>
        <v>255.34942000000001</v>
      </c>
      <c r="W137" s="121">
        <f>VLOOKUP(A137,[26]Овощи!$A$81:$BZ$99,78,)</f>
        <v>290.22852</v>
      </c>
      <c r="X137" s="97">
        <f>VLOOKUP(A137,[26]Бахчевые!$A$81:$L$99,12,)</f>
        <v>72.876930000000002</v>
      </c>
      <c r="Y137" s="121">
        <f>VLOOKUP(A137,[26]Бахчевые!$A$81:$W$99,23,)</f>
        <v>55.070000000000007</v>
      </c>
    </row>
    <row r="138" spans="1:25">
      <c r="A138" s="109" t="s">
        <v>64</v>
      </c>
      <c r="B138" s="97">
        <f>VLOOKUP(A138,[26]Зерновые!$A$81:$L$99,12,)</f>
        <v>11.373619999999999</v>
      </c>
      <c r="C138" s="94">
        <f>VLOOKUP(A138,[26]Зерновые!$A$81:$W$99,23,)</f>
        <v>12.701240000000002</v>
      </c>
      <c r="D138" s="94">
        <f>VLOOKUP(A138,[26]Зерновые!$A$81:$AH$99,34,)</f>
        <v>12.235289999999999</v>
      </c>
      <c r="E138" s="94">
        <f>VLOOKUP(A138,[26]Зерновые!$A$81:$AS$99,45,)</f>
        <v>4.7833300000000003</v>
      </c>
      <c r="F138" s="94">
        <f>VLOOKUP(A138,[26]Зерновые!$A$81:$BD$99,56,)</f>
        <v>2.81</v>
      </c>
      <c r="G138" s="94">
        <f>VLOOKUP(A138,[26]Зерновые!$A$92:$BO$99,67,)</f>
        <v>12.701689999999999</v>
      </c>
      <c r="H138" s="159">
        <f>VLOOKUP(A138,[26]Зерновые!$A$81:$BZ$99,78,)</f>
        <v>0</v>
      </c>
      <c r="I138" s="97">
        <f>VLOOKUP(A138,[26]Масличные!$A$81:$L$99,12,)</f>
        <v>4.5878500000000004</v>
      </c>
      <c r="J138" s="94">
        <f>VLOOKUP(A138,[26]Масличные!$A$81:$W$99,23,)</f>
        <v>1.1000000000000001</v>
      </c>
      <c r="K138" s="94">
        <f>VLOOKUP(A138,[26]Масличные!$A$81:$AH$99,34,)</f>
        <v>0</v>
      </c>
      <c r="L138" s="94">
        <f>VLOOKUP(A138,[26]Масличные!$A$81:$AS$99,45,)</f>
        <v>0</v>
      </c>
      <c r="M138" s="121">
        <f>VLOOKUP(A138,[26]Масличные!$A$81:$BD$99,56,)</f>
        <v>4.1570400000000003</v>
      </c>
      <c r="N138" s="97">
        <f>VLOOKUP(A138,[26]Бобовые!$A$81:$L$99,12,)</f>
        <v>0</v>
      </c>
      <c r="O138" s="94">
        <f>VLOOKUP(A138,[26]Бобовые!$A$81:$W$99,23,)</f>
        <v>0</v>
      </c>
      <c r="P138" s="94">
        <f>VLOOKUP(A138,[26]Бобовые!$A$81:$AH$99,34,)</f>
        <v>0</v>
      </c>
      <c r="Q138" s="97">
        <f>VLOOKUP(A138,[26]Овощи!$A$81:$L$99,12,)</f>
        <v>225.15707000000003</v>
      </c>
      <c r="R138" s="94">
        <f>VLOOKUP(A138,[26]Овощи!$A$81:$W$99,23,)</f>
        <v>223.50252999999998</v>
      </c>
      <c r="S138" s="94">
        <f>VLOOKUP(A138,[26]Овощи!$A$81:$AH$99,34,)</f>
        <v>251.35216</v>
      </c>
      <c r="T138" s="94">
        <f>VLOOKUP(A138,[26]Овощи!$A$81:$AS$99,45,)</f>
        <v>253.32889</v>
      </c>
      <c r="U138" s="94">
        <f>VLOOKUP(A138,[26]Овощи!$A$81:$BD$99,56,)</f>
        <v>240.36777999999998</v>
      </c>
      <c r="V138" s="94">
        <f>VLOOKUP(A138,[26]Овощи!$A$81:$BO$99,67,)</f>
        <v>246.65920999999997</v>
      </c>
      <c r="W138" s="121">
        <f>VLOOKUP(A138,[26]Овощи!$A$81:$BZ$99,78,)</f>
        <v>235.79255000000003</v>
      </c>
      <c r="X138" s="97">
        <f>VLOOKUP(A138,[26]Бахчевые!$A$81:$L$99,12,)</f>
        <v>230.04664999999994</v>
      </c>
      <c r="Y138" s="121">
        <f>VLOOKUP(A138,[26]Бахчевые!$A$81:$W$99,23,)</f>
        <v>244.29129000000003</v>
      </c>
    </row>
    <row r="139" spans="1:25" ht="13.8" thickBot="1">
      <c r="A139" s="110" t="s">
        <v>61</v>
      </c>
      <c r="B139" s="101">
        <f>VLOOKUP(A139,[26]Зерновые!$A$81:$L$99,12,)</f>
        <v>13.749780000000001</v>
      </c>
      <c r="C139" s="100">
        <f>VLOOKUP(A139,[26]Зерновые!$A$81:$W$99,23,)</f>
        <v>14.239920000000001</v>
      </c>
      <c r="D139" s="100">
        <f>VLOOKUP(A139,[26]Зерновые!$A$81:$AH$99,34,)</f>
        <v>16.080369999999998</v>
      </c>
      <c r="E139" s="100">
        <f>VLOOKUP(A139,[26]Зерновые!$A$81:$AS$99,45,)</f>
        <v>0</v>
      </c>
      <c r="F139" s="100">
        <f>VLOOKUP(A139,[26]Зерновые!$A$81:$BD$99,56,)</f>
        <v>10.085740000000001</v>
      </c>
      <c r="G139" s="100">
        <f>VLOOKUP(A139,[26]Зерновые!$A$92:$BO$99,67,)</f>
        <v>17.498139999999999</v>
      </c>
      <c r="H139" s="160">
        <f>VLOOKUP(A139,[26]Зерновые!$A$81:$BZ$99,78,)</f>
        <v>0</v>
      </c>
      <c r="I139" s="101">
        <f>VLOOKUP(A139,[26]Масличные!$A$81:$L$99,12,)</f>
        <v>11.88602</v>
      </c>
      <c r="J139" s="100">
        <f>VLOOKUP(A139,[26]Масличные!$A$81:$W$99,23,)</f>
        <v>5.6800000000000006</v>
      </c>
      <c r="K139" s="100">
        <f>VLOOKUP(A139,[26]Масличные!$A$81:$AH$99,34,)</f>
        <v>1.9300000000000002</v>
      </c>
      <c r="L139" s="100">
        <f>VLOOKUP(A139,[26]Масличные!$A$81:$AS$99,45,)</f>
        <v>0</v>
      </c>
      <c r="M139" s="122">
        <f>VLOOKUP(A139,[26]Масличные!$A$81:$BD$99,56,)</f>
        <v>1.53</v>
      </c>
      <c r="N139" s="101">
        <f>VLOOKUP(A139,[26]Бобовые!$A$81:$L$99,12,)</f>
        <v>0</v>
      </c>
      <c r="O139" s="100">
        <f>VLOOKUP(A139,[26]Бобовые!$A$81:$W$99,23,)</f>
        <v>14.059209999999998</v>
      </c>
      <c r="P139" s="100">
        <f>VLOOKUP(A139,[26]Бобовые!$A$81:$AH$99,34,)</f>
        <v>1.69333</v>
      </c>
      <c r="Q139" s="101">
        <f>VLOOKUP(A139,[26]Овощи!$A$81:$L$99,12,)</f>
        <v>139.34563999999997</v>
      </c>
      <c r="R139" s="100">
        <f>VLOOKUP(A139,[26]Овощи!$A$81:$W$99,23,)</f>
        <v>242.26585</v>
      </c>
      <c r="S139" s="100">
        <f>VLOOKUP(A139,[26]Овощи!$A$81:$AH$99,34,)</f>
        <v>369.81171000000006</v>
      </c>
      <c r="T139" s="100">
        <f>VLOOKUP(A139,[26]Овощи!$A$81:$AS$99,45,)</f>
        <v>408.37146000000007</v>
      </c>
      <c r="U139" s="100">
        <f>VLOOKUP(A139,[26]Овощи!$A$81:$BD$99,56,)</f>
        <v>314.10124000000008</v>
      </c>
      <c r="V139" s="100">
        <f>VLOOKUP(A139,[26]Овощи!$A$81:$BO$99,67,)</f>
        <v>359.03760999999997</v>
      </c>
      <c r="W139" s="122">
        <f>VLOOKUP(A139,[26]Овощи!$A$81:$BZ$99,78,)</f>
        <v>388.83481999999998</v>
      </c>
      <c r="X139" s="101">
        <f>VLOOKUP(A139,[26]Бахчевые!$A$81:$L$99,12,)</f>
        <v>178.69927999999999</v>
      </c>
      <c r="Y139" s="122">
        <f>VLOOKUP(A139,[26]Бахчевые!$A$81:$W$99,23,)</f>
        <v>180.47654999999997</v>
      </c>
    </row>
    <row r="140" spans="1:25">
      <c r="A140" s="177"/>
      <c r="B140" s="178"/>
      <c r="C140" s="178"/>
      <c r="D140" s="178"/>
      <c r="E140" s="178"/>
      <c r="F140" s="178"/>
      <c r="G140" s="178"/>
      <c r="H140" s="174"/>
      <c r="I140" s="178"/>
      <c r="J140" s="178"/>
      <c r="K140" s="178"/>
      <c r="L140" s="178"/>
      <c r="M140" s="178"/>
      <c r="N140" s="178"/>
      <c r="O140" s="178"/>
      <c r="P140" s="178"/>
      <c r="Q140" s="178"/>
      <c r="R140" s="178"/>
      <c r="S140" s="178"/>
      <c r="T140" s="178"/>
      <c r="U140" s="178"/>
      <c r="V140" s="178"/>
      <c r="W140" s="178"/>
      <c r="X140" s="178"/>
      <c r="Y140" s="178"/>
    </row>
    <row r="141" spans="1:25" ht="13.8" thickBot="1">
      <c r="A141" s="91"/>
      <c r="B141" s="90"/>
      <c r="C141" s="90"/>
      <c r="D141" s="90"/>
      <c r="E141" s="90"/>
      <c r="F141" s="90"/>
      <c r="G141" s="90"/>
      <c r="H141" s="90"/>
    </row>
    <row r="142" spans="1:25">
      <c r="A142" s="808" t="s">
        <v>286</v>
      </c>
      <c r="B142" s="805" t="s">
        <v>269</v>
      </c>
      <c r="C142" s="806"/>
      <c r="D142" s="806"/>
      <c r="E142" s="806"/>
      <c r="F142" s="806"/>
      <c r="G142" s="806"/>
      <c r="H142" s="807"/>
      <c r="I142" s="799" t="s">
        <v>316</v>
      </c>
      <c r="J142" s="800"/>
      <c r="K142" s="800"/>
      <c r="L142" s="800"/>
      <c r="M142" s="801"/>
      <c r="N142" s="799" t="s">
        <v>317</v>
      </c>
      <c r="O142" s="800"/>
      <c r="P142" s="800"/>
      <c r="Q142" s="800" t="s">
        <v>322</v>
      </c>
      <c r="R142" s="800"/>
      <c r="S142" s="800"/>
      <c r="T142" s="800"/>
      <c r="U142" s="800"/>
      <c r="V142" s="800"/>
      <c r="W142" s="801"/>
      <c r="X142" s="799" t="s">
        <v>330</v>
      </c>
      <c r="Y142" s="801"/>
    </row>
    <row r="143" spans="1:25" ht="20.399999999999999">
      <c r="A143" s="809"/>
      <c r="B143" s="119" t="s">
        <v>270</v>
      </c>
      <c r="C143" s="116" t="s">
        <v>83</v>
      </c>
      <c r="D143" s="116" t="s">
        <v>84</v>
      </c>
      <c r="E143" s="116" t="s">
        <v>271</v>
      </c>
      <c r="F143" s="116" t="s">
        <v>272</v>
      </c>
      <c r="G143" s="116" t="s">
        <v>314</v>
      </c>
      <c r="H143" s="120" t="s">
        <v>273</v>
      </c>
      <c r="I143" s="119" t="s">
        <v>243</v>
      </c>
      <c r="J143" s="116" t="s">
        <v>244</v>
      </c>
      <c r="K143" s="116" t="s">
        <v>258</v>
      </c>
      <c r="L143" s="116" t="s">
        <v>315</v>
      </c>
      <c r="M143" s="120" t="s">
        <v>245</v>
      </c>
      <c r="N143" s="119" t="s">
        <v>318</v>
      </c>
      <c r="O143" s="116" t="s">
        <v>319</v>
      </c>
      <c r="P143" s="116" t="s">
        <v>320</v>
      </c>
      <c r="Q143" s="118" t="s">
        <v>323</v>
      </c>
      <c r="R143" s="116" t="s">
        <v>324</v>
      </c>
      <c r="S143" s="116" t="s">
        <v>325</v>
      </c>
      <c r="T143" s="116" t="s">
        <v>326</v>
      </c>
      <c r="U143" s="116" t="s">
        <v>327</v>
      </c>
      <c r="V143" s="116" t="s">
        <v>328</v>
      </c>
      <c r="W143" s="120" t="s">
        <v>329</v>
      </c>
      <c r="X143" s="119" t="s">
        <v>331</v>
      </c>
      <c r="Y143" s="120" t="s">
        <v>332</v>
      </c>
    </row>
    <row r="144" spans="1:25">
      <c r="A144" s="104" t="s">
        <v>185</v>
      </c>
      <c r="B144" s="92">
        <f>VLOOKUP(A144,[26]Зерновые!$A$104:$L$114,12,)</f>
        <v>1.7899999999999998</v>
      </c>
      <c r="C144" s="93">
        <f>VLOOKUP(A144,[26]Зерновые!$A$104:$W$114,23,)</f>
        <v>3.62</v>
      </c>
      <c r="D144" s="93">
        <f>VLOOKUP(A144,[26]Зерновые!$A$104:$AH$114,34,FALSE)</f>
        <v>0</v>
      </c>
      <c r="E144" s="93">
        <f>VLOOKUP(A144,[26]Зерновые!$A$104:$AS$114,45,)</f>
        <v>0</v>
      </c>
      <c r="F144" s="96">
        <f>VLOOKUP(A144,[26]Зерновые!$A$104:$BD$114,56,)</f>
        <v>0</v>
      </c>
      <c r="G144" s="93">
        <f>VLOOKUP(A144,[26]Зерновые!$A$104:$BO$114,67,)</f>
        <v>44.554209999999998</v>
      </c>
      <c r="H144" s="132">
        <f>VLOOKUP(A144,[26]Зерновые!$A$104:$BZ$114,78,)</f>
        <v>0</v>
      </c>
      <c r="I144" s="92">
        <f>VLOOKUP(A144,[26]Масличные!$A$104:$L$114,12,)</f>
        <v>2</v>
      </c>
      <c r="J144" s="93">
        <f>VLOOKUP(A144,[26]Масличные!$A$104:$W$114,23,)</f>
        <v>0</v>
      </c>
      <c r="K144" s="96">
        <f>VLOOKUP(A144,[26]Масличные!$A$104:$AH$114,34,)</f>
        <v>0</v>
      </c>
      <c r="L144" s="93">
        <f>VLOOKUP(A144,[26]Масличные!$A$104:$AS$114,45,)</f>
        <v>0</v>
      </c>
      <c r="M144" s="123">
        <f>VLOOKUP(A144,[26]Масличные!$A$104:$BD$114,56,)</f>
        <v>0</v>
      </c>
      <c r="N144" s="92">
        <f>VLOOKUP(A144,[26]Бобовые!$A$104:$L$114,12,)</f>
        <v>0</v>
      </c>
      <c r="O144" s="93">
        <f>VLOOKUP(A144,[26]Бобовые!$A$104:$W$114,23,)</f>
        <v>0</v>
      </c>
      <c r="P144" s="93">
        <f>VLOOKUP(A144,[26]Бобовые!$A$104:$AH$114,34,)</f>
        <v>15.919999999999998</v>
      </c>
      <c r="Q144" s="93">
        <f>VLOOKUP(A144,[26]Овощи!$A$104:$L$114,12,)</f>
        <v>118.73532</v>
      </c>
      <c r="R144" s="93">
        <f>VLOOKUP(A144,[26]Овощи!$A$104:$W$114,23,)</f>
        <v>265.19675999999998</v>
      </c>
      <c r="S144" s="93">
        <f>VLOOKUP(A144,[26]Овощи!$A$104:$AH$114,34,)</f>
        <v>154.75221999999999</v>
      </c>
      <c r="T144" s="93">
        <f>VLOOKUP(A144,[26]Овощи!$A$104:$AS$114,45,)</f>
        <v>177.53851000000003</v>
      </c>
      <c r="U144" s="93">
        <f>VLOOKUP(A144,[26]Овощи!$A$104:$BD$114,56,)</f>
        <v>145.43435000000002</v>
      </c>
      <c r="V144" s="93">
        <f>VLOOKUP(A144,[26]Овощи!$A$104:$BO$114,67,)</f>
        <v>141.15836000000002</v>
      </c>
      <c r="W144" s="93">
        <f>VLOOKUP(A144,[26]Овощи!$A$104:$BZ$114,78,)</f>
        <v>251.47448000000003</v>
      </c>
      <c r="X144" s="97">
        <f>VLOOKUP(A144,[26]Бахчевые!$A$104:$L$114,12,)</f>
        <v>18</v>
      </c>
      <c r="Y144" s="121">
        <f>VLOOKUP(A144,[26]Бахчевые!$A$104:$W$114,23,)</f>
        <v>0</v>
      </c>
    </row>
    <row r="145" spans="1:25">
      <c r="A145" s="104" t="s">
        <v>186</v>
      </c>
      <c r="B145" s="92">
        <f>VLOOKUP(A145,[26]Зерновые!$A$104:$L$114,12,)</f>
        <v>14.57405</v>
      </c>
      <c r="C145" s="93">
        <f>VLOOKUP(A145,[26]Зерновые!$A$104:$W$114,23,)</f>
        <v>11.576440000000002</v>
      </c>
      <c r="D145" s="93">
        <f>VLOOKUP(A145,[26]Зерновые!$A$104:$AH$114,34,FALSE)</f>
        <v>0</v>
      </c>
      <c r="E145" s="93">
        <f>VLOOKUP(A145,[26]Зерновые!$A$104:$AS$114,45,)</f>
        <v>0</v>
      </c>
      <c r="F145" s="96">
        <f>VLOOKUP(A145,[26]Зерновые!$A$104:$BD$114,56,)</f>
        <v>0</v>
      </c>
      <c r="G145" s="93">
        <f>VLOOKUP(A145,[26]Зерновые!$A$104:$BO$114,67,)</f>
        <v>43.413069999999998</v>
      </c>
      <c r="H145" s="132">
        <f>VLOOKUP(A145,[26]Зерновые!$A$104:$BZ$114,78,)</f>
        <v>0</v>
      </c>
      <c r="I145" s="92">
        <f>VLOOKUP(A145,[26]Масличные!$A$104:$L$114,12,)</f>
        <v>9.4578900000000008</v>
      </c>
      <c r="J145" s="93">
        <f>VLOOKUP(A145,[26]Масличные!$A$104:$W$114,23,)</f>
        <v>1</v>
      </c>
      <c r="K145" s="96">
        <f>VLOOKUP(A145,[26]Масличные!$A$104:$AH$114,34,)</f>
        <v>0</v>
      </c>
      <c r="L145" s="93">
        <f>VLOOKUP(A145,[26]Масличные!$A$104:$AS$114,45,)</f>
        <v>1.9300000000000002</v>
      </c>
      <c r="M145" s="123">
        <f>VLOOKUP(A145,[26]Масличные!$A$104:$BD$114,56,)</f>
        <v>4.7484599999999997</v>
      </c>
      <c r="N145" s="92">
        <f>VLOOKUP(A145,[26]Бобовые!$A$104:$L$114,12,)</f>
        <v>0</v>
      </c>
      <c r="O145" s="93">
        <f>VLOOKUP(A145,[26]Бобовые!$A$104:$W$114,23,)</f>
        <v>0</v>
      </c>
      <c r="P145" s="93">
        <f>VLOOKUP(A145,[26]Бобовые!$A$104:$AH$114,34,)</f>
        <v>18.09252</v>
      </c>
      <c r="Q145" s="93">
        <f>VLOOKUP(A145,[26]Овощи!$A$104:$L$114,12,)</f>
        <v>201.84956</v>
      </c>
      <c r="R145" s="93">
        <f>VLOOKUP(A145,[26]Овощи!$A$104:$W$114,23,)</f>
        <v>214.00360999999998</v>
      </c>
      <c r="S145" s="93">
        <f>VLOOKUP(A145,[26]Овощи!$A$104:$AH$114,34,)</f>
        <v>209.30001000000001</v>
      </c>
      <c r="T145" s="93">
        <f>VLOOKUP(A145,[26]Овощи!$A$104:$AS$114,45,)</f>
        <v>218.49252000000001</v>
      </c>
      <c r="U145" s="93">
        <f>VLOOKUP(A145,[26]Овощи!$A$104:$BD$114,56,)</f>
        <v>210.74501000000001</v>
      </c>
      <c r="V145" s="93">
        <f>VLOOKUP(A145,[26]Овощи!$A$104:$BO$114,67,)</f>
        <v>220.08667</v>
      </c>
      <c r="W145" s="93">
        <f>VLOOKUP(A145,[26]Овощи!$A$104:$BZ$114,78,)</f>
        <v>177.12756999999996</v>
      </c>
      <c r="X145" s="97">
        <f>VLOOKUP(A145,[26]Бахчевые!$A$104:$L$114,12,)</f>
        <v>200.63298</v>
      </c>
      <c r="Y145" s="121">
        <f>VLOOKUP(A145,[26]Бахчевые!$A$104:$W$114,23,)</f>
        <v>205.20028000000002</v>
      </c>
    </row>
    <row r="146" spans="1:25">
      <c r="A146" s="104" t="s">
        <v>12</v>
      </c>
      <c r="B146" s="92">
        <f>VLOOKUP(A146,[26]Зерновые!$A$104:$L$114,12,)</f>
        <v>13.077109999999999</v>
      </c>
      <c r="C146" s="93">
        <f>VLOOKUP(A146,[26]Зерновые!$A$104:$W$114,23,)</f>
        <v>12.572930000000001</v>
      </c>
      <c r="D146" s="93">
        <f>VLOOKUP(A146,[26]Зерновые!$A$104:$AH$114,34,FALSE)</f>
        <v>0</v>
      </c>
      <c r="E146" s="93">
        <f>VLOOKUP(A146,[26]Зерновые!$A$104:$AS$114,45,)</f>
        <v>0</v>
      </c>
      <c r="F146" s="96">
        <f>VLOOKUP(A146,[26]Зерновые!$A$104:$BD$114,56,)</f>
        <v>0</v>
      </c>
      <c r="G146" s="93">
        <f>VLOOKUP(A146,[26]Зерновые!$A$104:$BO$114,67,)</f>
        <v>43.080110000000005</v>
      </c>
      <c r="H146" s="132">
        <f>VLOOKUP(A146,[26]Зерновые!$A$104:$BZ$114,78,)</f>
        <v>0</v>
      </c>
      <c r="I146" s="92">
        <f>VLOOKUP(A146,[26]Масличные!$A$104:$L$114,12,)</f>
        <v>17.121829999999999</v>
      </c>
      <c r="J146" s="93">
        <f>VLOOKUP(A146,[26]Масличные!$A$104:$W$114,23,)</f>
        <v>0.48</v>
      </c>
      <c r="K146" s="96">
        <f>VLOOKUP(A146,[26]Масличные!$A$104:$AH$114,34,)</f>
        <v>0</v>
      </c>
      <c r="L146" s="93">
        <f>VLOOKUP(A146,[26]Масличные!$A$104:$AS$114,45,)</f>
        <v>1.8199999999999998</v>
      </c>
      <c r="M146" s="123">
        <f>VLOOKUP(A146,[26]Масличные!$A$104:$BD$114,56,)</f>
        <v>6.8722899999999996</v>
      </c>
      <c r="N146" s="92">
        <f>VLOOKUP(A146,[26]Бобовые!$A$104:$L$114,12,)</f>
        <v>1.45</v>
      </c>
      <c r="O146" s="93">
        <f>VLOOKUP(A146,[26]Бобовые!$A$104:$W$114,23,)</f>
        <v>0</v>
      </c>
      <c r="P146" s="93">
        <f>VLOOKUP(A146,[26]Бобовые!$A$104:$AH$114,34,)</f>
        <v>3</v>
      </c>
      <c r="Q146" s="93">
        <f>VLOOKUP(A146,[26]Овощи!$A$104:$L$114,12,)</f>
        <v>205.60993000000002</v>
      </c>
      <c r="R146" s="93">
        <f>VLOOKUP(A146,[26]Овощи!$A$104:$W$114,23,)</f>
        <v>218.74694</v>
      </c>
      <c r="S146" s="93">
        <f>VLOOKUP(A146,[26]Овощи!$A$104:$AH$114,34,)</f>
        <v>258.17617999999999</v>
      </c>
      <c r="T146" s="93">
        <f>VLOOKUP(A146,[26]Овощи!$A$104:$AS$114,45,)</f>
        <v>248.18959999999998</v>
      </c>
      <c r="U146" s="93">
        <f>VLOOKUP(A146,[26]Овощи!$A$104:$BD$114,56,)</f>
        <v>247.22445999999997</v>
      </c>
      <c r="V146" s="93">
        <f>VLOOKUP(A146,[26]Овощи!$A$104:$BO$114,67,)</f>
        <v>263.58786999999995</v>
      </c>
      <c r="W146" s="93">
        <f>VLOOKUP(A146,[26]Овощи!$A$104:$BZ$114,78,)</f>
        <v>251.45702999999995</v>
      </c>
      <c r="X146" s="97">
        <f>VLOOKUP(A146,[26]Бахчевые!$A$104:$L$114,12,)</f>
        <v>232.30688000000001</v>
      </c>
      <c r="Y146" s="121">
        <f>VLOOKUP(A146,[26]Бахчевые!$A$104:$W$114,23,)</f>
        <v>225.30828000000002</v>
      </c>
    </row>
    <row r="147" spans="1:25">
      <c r="A147" s="104" t="s">
        <v>187</v>
      </c>
      <c r="B147" s="92">
        <f>VLOOKUP(A147,[26]Зерновые!$A$104:$L$114,12,)</f>
        <v>14.520859999999999</v>
      </c>
      <c r="C147" s="93">
        <f>VLOOKUP(A147,[26]Зерновые!$A$104:$W$114,23,)</f>
        <v>17.199729999999999</v>
      </c>
      <c r="D147" s="93">
        <f>VLOOKUP(A147,[26]Зерновые!$A$104:$AH$114,34,FALSE)</f>
        <v>1.3</v>
      </c>
      <c r="E147" s="93">
        <f>VLOOKUP(A147,[26]Зерновые!$A$104:$AS$114,45,)</f>
        <v>1.17</v>
      </c>
      <c r="F147" s="96">
        <f>VLOOKUP(A147,[26]Зерновые!$A$104:$BD$114,56,)</f>
        <v>0</v>
      </c>
      <c r="G147" s="93">
        <f>VLOOKUP(A147,[26]Зерновые!$A$104:$BO$114,67,)</f>
        <v>36.725389999999997</v>
      </c>
      <c r="H147" s="132">
        <f>VLOOKUP(A147,[26]Зерновые!$A$104:$BZ$114,78,)</f>
        <v>0</v>
      </c>
      <c r="I147" s="92">
        <f>VLOOKUP(A147,[26]Масличные!$A$104:$L$114,12,)</f>
        <v>7.0437899999999996</v>
      </c>
      <c r="J147" s="93">
        <f>VLOOKUP(A147,[26]Масличные!$A$104:$W$114,23,)</f>
        <v>0.53</v>
      </c>
      <c r="K147" s="96">
        <f>VLOOKUP(A147,[26]Масличные!$A$104:$AH$114,34,)</f>
        <v>0</v>
      </c>
      <c r="L147" s="93">
        <f>VLOOKUP(A147,[26]Масличные!$A$104:$AS$114,45,)</f>
        <v>2.46</v>
      </c>
      <c r="M147" s="123">
        <f>VLOOKUP(A147,[26]Масличные!$A$104:$BD$114,56,)</f>
        <v>6.7000500000000001</v>
      </c>
      <c r="N147" s="92">
        <f>VLOOKUP(A147,[26]Бобовые!$A$104:$L$114,12,)</f>
        <v>1.28</v>
      </c>
      <c r="O147" s="93">
        <f>VLOOKUP(A147,[26]Бобовые!$A$104:$W$114,23,)</f>
        <v>5.8699999999999992</v>
      </c>
      <c r="P147" s="93">
        <f>VLOOKUP(A147,[26]Бобовые!$A$104:$AH$114,34,)</f>
        <v>8.5399999999999991</v>
      </c>
      <c r="Q147" s="93">
        <f>VLOOKUP(A147,[26]Овощи!$A$104:$L$114,12,)</f>
        <v>209.83798999999999</v>
      </c>
      <c r="R147" s="93">
        <f>VLOOKUP(A147,[26]Овощи!$A$104:$W$114,23,)</f>
        <v>218.44696999999996</v>
      </c>
      <c r="S147" s="93">
        <f>VLOOKUP(A147,[26]Овощи!$A$104:$AH$114,34,)</f>
        <v>227.23772</v>
      </c>
      <c r="T147" s="93">
        <f>VLOOKUP(A147,[26]Овощи!$A$104:$AS$114,45,)</f>
        <v>217.53513000000004</v>
      </c>
      <c r="U147" s="93">
        <f>VLOOKUP(A147,[26]Овощи!$A$104:$BD$114,56,)</f>
        <v>209.68854999999999</v>
      </c>
      <c r="V147" s="93">
        <f>VLOOKUP(A147,[26]Овощи!$A$104:$BO$114,67,)</f>
        <v>226.85605999999999</v>
      </c>
      <c r="W147" s="93">
        <f>VLOOKUP(A147,[26]Овощи!$A$104:$BZ$114,78,)</f>
        <v>210.39564000000001</v>
      </c>
      <c r="X147" s="97">
        <f>VLOOKUP(A147,[26]Бахчевые!$A$104:$L$114,12,)</f>
        <v>184.14722999999998</v>
      </c>
      <c r="Y147" s="121">
        <f>VLOOKUP(A147,[26]Бахчевые!$A$104:$W$114,23,)</f>
        <v>114.28884000000001</v>
      </c>
    </row>
    <row r="148" spans="1:25">
      <c r="A148" s="104" t="s">
        <v>188</v>
      </c>
      <c r="B148" s="92">
        <f>VLOOKUP(A148,[26]Зерновые!$A$104:$L$114,12,)</f>
        <v>16.003009999999996</v>
      </c>
      <c r="C148" s="93">
        <f>VLOOKUP(A148,[26]Зерновые!$A$104:$W$114,23,)</f>
        <v>15.233789999999999</v>
      </c>
      <c r="D148" s="93">
        <f>VLOOKUP(A148,[26]Зерновые!$A$104:$AH$114,34,FALSE)</f>
        <v>0</v>
      </c>
      <c r="E148" s="93">
        <f>VLOOKUP(A148,[26]Зерновые!$A$104:$AS$114,45,)</f>
        <v>0</v>
      </c>
      <c r="F148" s="96">
        <f>VLOOKUP(A148,[26]Зерновые!$A$104:$BD$114,56,)</f>
        <v>0</v>
      </c>
      <c r="G148" s="93">
        <f>VLOOKUP(A148,[26]Зерновые!$A$104:$BO$114,67,)</f>
        <v>50.514569999999999</v>
      </c>
      <c r="H148" s="132">
        <f>VLOOKUP(A148,[26]Зерновые!$A$104:$BZ$114,78,)</f>
        <v>0</v>
      </c>
      <c r="I148" s="92">
        <f>VLOOKUP(A148,[26]Масличные!$A$104:$L$114,12,)</f>
        <v>11.088420000000001</v>
      </c>
      <c r="J148" s="93">
        <f>VLOOKUP(A148,[26]Масличные!$A$104:$W$114,23,)</f>
        <v>0</v>
      </c>
      <c r="K148" s="96">
        <f>VLOOKUP(A148,[26]Масличные!$A$104:$AH$114,34,)</f>
        <v>0</v>
      </c>
      <c r="L148" s="93">
        <f>VLOOKUP(A148,[26]Масличные!$A$104:$AS$114,45,)</f>
        <v>0</v>
      </c>
      <c r="M148" s="123">
        <f>VLOOKUP(A148,[26]Масличные!$A$104:$BD$114,56,)</f>
        <v>7.3827599999999993</v>
      </c>
      <c r="N148" s="92">
        <f>VLOOKUP(A148,[26]Бобовые!$A$104:$L$114,12,)</f>
        <v>0</v>
      </c>
      <c r="O148" s="93">
        <f>VLOOKUP(A148,[26]Бобовые!$A$104:$W$114,23,)</f>
        <v>0</v>
      </c>
      <c r="P148" s="93">
        <f>VLOOKUP(A148,[26]Бобовые!$A$104:$AH$114,34,)</f>
        <v>0</v>
      </c>
      <c r="Q148" s="93">
        <f>VLOOKUP(A148,[26]Овощи!$A$104:$L$114,12,)</f>
        <v>217.23865000000001</v>
      </c>
      <c r="R148" s="93">
        <f>VLOOKUP(A148,[26]Овощи!$A$104:$W$114,23,)</f>
        <v>228.69274000000001</v>
      </c>
      <c r="S148" s="93">
        <f>VLOOKUP(A148,[26]Овощи!$A$104:$AH$114,34,)</f>
        <v>217.15337</v>
      </c>
      <c r="T148" s="93">
        <f>VLOOKUP(A148,[26]Овощи!$A$104:$AS$114,45,)</f>
        <v>196.50522999999998</v>
      </c>
      <c r="U148" s="93">
        <f>VLOOKUP(A148,[26]Овощи!$A$104:$BD$114,56,)</f>
        <v>212.68425999999999</v>
      </c>
      <c r="V148" s="93">
        <f>VLOOKUP(A148,[26]Овощи!$A$104:$BO$114,67,)</f>
        <v>225.11449000000002</v>
      </c>
      <c r="W148" s="93">
        <f>VLOOKUP(A148,[26]Овощи!$A$104:$BZ$114,78,)</f>
        <v>235.22800999999998</v>
      </c>
      <c r="X148" s="97">
        <f>VLOOKUP(A148,[26]Бахчевые!$A$104:$L$114,12,)</f>
        <v>202.75852000000003</v>
      </c>
      <c r="Y148" s="121">
        <f>VLOOKUP(A148,[26]Бахчевые!$A$104:$W$114,23,)</f>
        <v>67.337389999999999</v>
      </c>
    </row>
    <row r="149" spans="1:25">
      <c r="A149" s="104" t="s">
        <v>189</v>
      </c>
      <c r="B149" s="92">
        <f>VLOOKUP(A149,[26]Зерновые!$A$104:$L$114,12,)</f>
        <v>13.742610000000003</v>
      </c>
      <c r="C149" s="93">
        <f>VLOOKUP(A149,[26]Зерновые!$A$104:$W$114,23,)</f>
        <v>13.102360000000001</v>
      </c>
      <c r="D149" s="93">
        <f>VLOOKUP(A149,[26]Зерновые!$A$104:$AH$114,34,FALSE)</f>
        <v>8.07</v>
      </c>
      <c r="E149" s="93">
        <f>VLOOKUP(A149,[26]Зерновые!$A$104:$AS$114,45,)</f>
        <v>0</v>
      </c>
      <c r="F149" s="96">
        <f>VLOOKUP(A149,[26]Зерновые!$A$104:$BD$114,56,)</f>
        <v>0</v>
      </c>
      <c r="G149" s="93">
        <f>VLOOKUP(A149,[26]Зерновые!$A$104:$BO$114,67,)</f>
        <v>36.500819999999997</v>
      </c>
      <c r="H149" s="132">
        <f>VLOOKUP(A149,[26]Зерновые!$A$104:$BZ$114,78,)</f>
        <v>0</v>
      </c>
      <c r="I149" s="92">
        <f>VLOOKUP(A149,[26]Масличные!$A$104:$L$114,12,)</f>
        <v>13.730509999999999</v>
      </c>
      <c r="J149" s="93">
        <f>VLOOKUP(A149,[26]Масличные!$A$104:$W$114,23,)</f>
        <v>1.7</v>
      </c>
      <c r="K149" s="96">
        <f>VLOOKUP(A149,[26]Масличные!$A$104:$AH$114,34,)</f>
        <v>0</v>
      </c>
      <c r="L149" s="93">
        <f>VLOOKUP(A149,[26]Масличные!$A$104:$AS$114,45,)</f>
        <v>0</v>
      </c>
      <c r="M149" s="123">
        <f>VLOOKUP(A149,[26]Масличные!$A$104:$BD$114,56,)</f>
        <v>4.1330400000000003</v>
      </c>
      <c r="N149" s="92">
        <f>VLOOKUP(A149,[26]Бобовые!$A$104:$L$114,12,)</f>
        <v>0</v>
      </c>
      <c r="O149" s="93">
        <f>VLOOKUP(A149,[26]Бобовые!$A$104:$W$114,23,)</f>
        <v>12.484000000000002</v>
      </c>
      <c r="P149" s="93">
        <f>VLOOKUP(A149,[26]Бобовые!$A$104:$AH$114,34,)</f>
        <v>11.676</v>
      </c>
      <c r="Q149" s="93">
        <f>VLOOKUP(A149,[26]Овощи!$A$104:$L$114,12,)</f>
        <v>211.99608000000003</v>
      </c>
      <c r="R149" s="93">
        <f>VLOOKUP(A149,[26]Овощи!$A$104:$W$114,23,)</f>
        <v>231.04313999999999</v>
      </c>
      <c r="S149" s="93">
        <f>VLOOKUP(A149,[26]Овощи!$A$104:$AH$114,34,)</f>
        <v>224.01168999999999</v>
      </c>
      <c r="T149" s="93">
        <f>VLOOKUP(A149,[26]Овощи!$A$104:$AS$114,45,)</f>
        <v>201.44598000000002</v>
      </c>
      <c r="U149" s="93">
        <f>VLOOKUP(A149,[26]Овощи!$A$104:$BD$114,56,)</f>
        <v>200.86110999999997</v>
      </c>
      <c r="V149" s="93">
        <f>VLOOKUP(A149,[26]Овощи!$A$104:$BO$114,67,)</f>
        <v>259.37783999999999</v>
      </c>
      <c r="W149" s="93">
        <f>VLOOKUP(A149,[26]Овощи!$A$104:$BZ$114,78,)</f>
        <v>174.13826</v>
      </c>
      <c r="X149" s="97">
        <f>VLOOKUP(A149,[26]Бахчевые!$A$104:$L$114,12,)</f>
        <v>193.87440999999998</v>
      </c>
      <c r="Y149" s="121">
        <f>VLOOKUP(A149,[26]Бахчевые!$A$104:$W$114,23,)</f>
        <v>180.92644999999999</v>
      </c>
    </row>
    <row r="150" spans="1:25">
      <c r="A150" s="104" t="s">
        <v>190</v>
      </c>
      <c r="B150" s="92">
        <f>VLOOKUP(A150,[26]Зерновые!$A$104:$L$114,12,)</f>
        <v>12.80195</v>
      </c>
      <c r="C150" s="93">
        <f>VLOOKUP(A150,[26]Зерновые!$A$104:$W$114,23,)</f>
        <v>16.328150000000001</v>
      </c>
      <c r="D150" s="93">
        <f>VLOOKUP(A150,[26]Зерновые!$A$104:$AH$114,34,FALSE)</f>
        <v>0</v>
      </c>
      <c r="E150" s="93">
        <f>VLOOKUP(A150,[26]Зерновые!$A$104:$AS$114,45,)</f>
        <v>0</v>
      </c>
      <c r="F150" s="96">
        <f>VLOOKUP(A150,[26]Зерновые!$A$104:$BD$114,56,)</f>
        <v>0</v>
      </c>
      <c r="G150" s="93">
        <f>VLOOKUP(A150,[26]Зерновые!$A$104:$BO$114,67,)</f>
        <v>48.628470000000007</v>
      </c>
      <c r="H150" s="132">
        <f>VLOOKUP(A150,[26]Зерновые!$A$104:$BZ$114,78,)</f>
        <v>0</v>
      </c>
      <c r="I150" s="92">
        <f>VLOOKUP(A150,[26]Масличные!$A$104:$L$114,12,)</f>
        <v>0.96</v>
      </c>
      <c r="J150" s="93">
        <f>VLOOKUP(A150,[26]Масличные!$A$104:$W$114,23,)</f>
        <v>0</v>
      </c>
      <c r="K150" s="96">
        <f>VLOOKUP(A150,[26]Масличные!$A$104:$AH$114,34,)</f>
        <v>0</v>
      </c>
      <c r="L150" s="93">
        <f>VLOOKUP(A150,[26]Масличные!$A$104:$AS$114,45,)</f>
        <v>0</v>
      </c>
      <c r="M150" s="123">
        <f>VLOOKUP(A150,[26]Масличные!$A$104:$BD$114,56,)</f>
        <v>5.7351099999999988</v>
      </c>
      <c r="N150" s="92">
        <f>VLOOKUP(A150,[26]Бобовые!$A$104:$L$114,12,)</f>
        <v>0</v>
      </c>
      <c r="O150" s="93">
        <f>VLOOKUP(A150,[26]Бобовые!$A$104:$W$114,23,)</f>
        <v>0</v>
      </c>
      <c r="P150" s="93">
        <f>VLOOKUP(A150,[26]Бобовые!$A$104:$AH$114,34,)</f>
        <v>0</v>
      </c>
      <c r="Q150" s="93">
        <f>VLOOKUP(A150,[26]Овощи!$A$104:$L$114,12,)</f>
        <v>201.18531000000002</v>
      </c>
      <c r="R150" s="93">
        <f>VLOOKUP(A150,[26]Овощи!$A$104:$W$114,23,)</f>
        <v>202.98240000000001</v>
      </c>
      <c r="S150" s="93">
        <f>VLOOKUP(A150,[26]Овощи!$A$104:$AH$114,34,)</f>
        <v>212.23118000000005</v>
      </c>
      <c r="T150" s="93">
        <f>VLOOKUP(A150,[26]Овощи!$A$104:$AS$114,45,)</f>
        <v>192.66788</v>
      </c>
      <c r="U150" s="93">
        <f>VLOOKUP(A150,[26]Овощи!$A$104:$BD$114,56,)</f>
        <v>202.61100000000002</v>
      </c>
      <c r="V150" s="93">
        <f>VLOOKUP(A150,[26]Овощи!$A$104:$BO$114,67,)</f>
        <v>197.92353999999997</v>
      </c>
      <c r="W150" s="93">
        <f>VLOOKUP(A150,[26]Овощи!$A$104:$BZ$114,78,)</f>
        <v>211.01410000000001</v>
      </c>
      <c r="X150" s="97">
        <f>VLOOKUP(A150,[26]Бахчевые!$A$104:$L$114,12,)</f>
        <v>228.33463</v>
      </c>
      <c r="Y150" s="121">
        <f>VLOOKUP(A150,[26]Бахчевые!$A$104:$W$114,23,)</f>
        <v>247.89956000000001</v>
      </c>
    </row>
    <row r="151" spans="1:25">
      <c r="A151" s="104" t="s">
        <v>191</v>
      </c>
      <c r="B151" s="92">
        <f>VLOOKUP(A151,[26]Зерновые!$A$104:$L$114,12,)</f>
        <v>0</v>
      </c>
      <c r="C151" s="93">
        <f>VLOOKUP(A151,[26]Зерновые!$A$104:$W$114,23,)</f>
        <v>12.981260000000001</v>
      </c>
      <c r="D151" s="93">
        <f>VLOOKUP(A151,[26]Зерновые!$A$104:$AH$114,34,FALSE)</f>
        <v>0</v>
      </c>
      <c r="E151" s="93">
        <f>VLOOKUP(A151,[26]Зерновые!$A$104:$AS$114,45,)</f>
        <v>13.91132</v>
      </c>
      <c r="F151" s="96">
        <f>VLOOKUP(A151,[26]Зерновые!$A$104:$BD$114,56,)</f>
        <v>0</v>
      </c>
      <c r="G151" s="93">
        <f>VLOOKUP(A151,[26]Зерновые!$A$104:$BO$114,67,)</f>
        <v>32.789100000000005</v>
      </c>
      <c r="H151" s="132">
        <f>VLOOKUP(A151,[26]Зерновые!$A$104:$BZ$114,78,)</f>
        <v>0</v>
      </c>
      <c r="I151" s="92">
        <f>VLOOKUP(A151,[26]Масличные!$A$104:$L$114,12,)</f>
        <v>10.778049999999999</v>
      </c>
      <c r="J151" s="93">
        <f>VLOOKUP(A151,[26]Масличные!$A$104:$W$114,23,)</f>
        <v>0</v>
      </c>
      <c r="K151" s="96">
        <f>VLOOKUP(A151,[26]Масличные!$A$104:$AH$114,34,)</f>
        <v>0</v>
      </c>
      <c r="L151" s="93">
        <f>VLOOKUP(A151,[26]Масличные!$A$104:$AS$114,45,)</f>
        <v>0</v>
      </c>
      <c r="M151" s="123">
        <f>VLOOKUP(A151,[26]Масличные!$A$104:$BD$114,56,)</f>
        <v>1.17</v>
      </c>
      <c r="N151" s="92">
        <f>VLOOKUP(A151,[26]Бобовые!$A$104:$L$114,12,)</f>
        <v>0</v>
      </c>
      <c r="O151" s="93">
        <f>VLOOKUP(A151,[26]Бобовые!$A$104:$W$114,23,)</f>
        <v>0</v>
      </c>
      <c r="P151" s="93">
        <f>VLOOKUP(A151,[26]Бобовые!$A$104:$AH$114,34,)</f>
        <v>0</v>
      </c>
      <c r="Q151" s="93">
        <f>VLOOKUP(A151,[26]Овощи!$A$104:$L$114,12,)</f>
        <v>107.98390000000002</v>
      </c>
      <c r="R151" s="93">
        <f>VLOOKUP(A151,[26]Овощи!$A$104:$W$114,23,)</f>
        <v>177.47964999999999</v>
      </c>
      <c r="S151" s="93">
        <f>VLOOKUP(A151,[26]Овощи!$A$104:$AH$114,34,)</f>
        <v>155.50691999999998</v>
      </c>
      <c r="T151" s="93">
        <f>VLOOKUP(A151,[26]Овощи!$A$104:$AS$114,45,)</f>
        <v>132.41918000000001</v>
      </c>
      <c r="U151" s="93">
        <f>VLOOKUP(A151,[26]Овощи!$A$104:$BD$114,56,)</f>
        <v>143.20511999999997</v>
      </c>
      <c r="V151" s="93">
        <f>VLOOKUP(A151,[26]Овощи!$A$104:$BO$114,67,)</f>
        <v>130.99679</v>
      </c>
      <c r="W151" s="93">
        <f>VLOOKUP(A151,[26]Овощи!$A$104:$BZ$114,78,)</f>
        <v>9.67</v>
      </c>
      <c r="X151" s="97">
        <f>VLOOKUP(A151,[26]Бахчевые!$A$104:$L$114,12,)</f>
        <v>124.83921000000001</v>
      </c>
      <c r="Y151" s="121">
        <f>VLOOKUP(A151,[26]Бахчевые!$A$104:$W$114,23,)</f>
        <v>137.63137999999998</v>
      </c>
    </row>
    <row r="152" spans="1:25">
      <c r="A152" s="104" t="s">
        <v>192</v>
      </c>
      <c r="B152" s="92">
        <f>VLOOKUP(A152,[26]Зерновые!$A$104:$L$114,12,)</f>
        <v>11.424489999999999</v>
      </c>
      <c r="C152" s="93">
        <f>VLOOKUP(A152,[26]Зерновые!$A$104:$W$114,23,)</f>
        <v>11.390270000000001</v>
      </c>
      <c r="D152" s="93">
        <f>VLOOKUP(A152,[26]Зерновые!$A$104:$AH$114,34,FALSE)</f>
        <v>0</v>
      </c>
      <c r="E152" s="93">
        <f>VLOOKUP(A152,[26]Зерновые!$A$104:$AS$114,45,)</f>
        <v>0</v>
      </c>
      <c r="F152" s="96">
        <f>VLOOKUP(A152,[26]Зерновые!$A$104:$BD$114,56,)</f>
        <v>0</v>
      </c>
      <c r="G152" s="93">
        <f>VLOOKUP(A152,[26]Зерновые!$A$104:$BO$114,67,)</f>
        <v>49.685539999999996</v>
      </c>
      <c r="H152" s="132">
        <f>VLOOKUP(A152,[26]Зерновые!$A$104:$BZ$114,78,)</f>
        <v>0</v>
      </c>
      <c r="I152" s="92">
        <f>VLOOKUP(A152,[26]Масличные!$A$104:$L$114,12,)</f>
        <v>3.0300000000000002</v>
      </c>
      <c r="J152" s="93">
        <f>VLOOKUP(A152,[26]Масличные!$A$104:$W$114,23,)</f>
        <v>0</v>
      </c>
      <c r="K152" s="96">
        <f>VLOOKUP(A152,[26]Масличные!$A$104:$AH$114,34,)</f>
        <v>0</v>
      </c>
      <c r="L152" s="93">
        <f>VLOOKUP(A152,[26]Масличные!$A$104:$AS$114,45,)</f>
        <v>0</v>
      </c>
      <c r="M152" s="123">
        <f>VLOOKUP(A152,[26]Масличные!$A$104:$BD$114,56,)</f>
        <v>4.3922900000000009</v>
      </c>
      <c r="N152" s="92">
        <f>VLOOKUP(A152,[26]Бобовые!$A$104:$L$114,12,)</f>
        <v>0</v>
      </c>
      <c r="O152" s="93">
        <f>VLOOKUP(A152,[26]Бобовые!$A$104:$W$114,23,)</f>
        <v>0</v>
      </c>
      <c r="P152" s="93">
        <f>VLOOKUP(A152,[26]Бобовые!$A$104:$AH$114,34,)</f>
        <v>0</v>
      </c>
      <c r="Q152" s="93">
        <f>VLOOKUP(A152,[26]Овощи!$A$104:$L$114,12,)</f>
        <v>155.68887999999998</v>
      </c>
      <c r="R152" s="93">
        <f>VLOOKUP(A152,[26]Овощи!$A$104:$W$114,23,)</f>
        <v>207.16801999999998</v>
      </c>
      <c r="S152" s="93">
        <f>VLOOKUP(A152,[26]Овощи!$A$104:$AH$114,34,)</f>
        <v>201.39564000000001</v>
      </c>
      <c r="T152" s="93">
        <f>VLOOKUP(A152,[26]Овощи!$A$104:$AS$114,45,)</f>
        <v>193.12721000000002</v>
      </c>
      <c r="U152" s="93">
        <f>VLOOKUP(A152,[26]Овощи!$A$104:$BD$114,56,)</f>
        <v>197.73402999999999</v>
      </c>
      <c r="V152" s="93">
        <f>VLOOKUP(A152,[26]Овощи!$A$104:$BO$114,67,)</f>
        <v>199.47628999999998</v>
      </c>
      <c r="W152" s="93">
        <f>VLOOKUP(A152,[26]Овощи!$A$104:$BZ$114,78,)</f>
        <v>185.49458000000001</v>
      </c>
      <c r="X152" s="97">
        <f>VLOOKUP(A152,[26]Бахчевые!$A$104:$L$114,12,)</f>
        <v>207.93155000000002</v>
      </c>
      <c r="Y152" s="121">
        <f>VLOOKUP(A152,[26]Бахчевые!$A$104:$W$114,23,)</f>
        <v>209.84155000000001</v>
      </c>
    </row>
    <row r="153" spans="1:25">
      <c r="A153" s="104" t="s">
        <v>193</v>
      </c>
      <c r="B153" s="92">
        <f>VLOOKUP(A153,[26]Зерновые!$A$104:$L$114,12,)</f>
        <v>10.394139999999998</v>
      </c>
      <c r="C153" s="93">
        <f>VLOOKUP(A153,[26]Зерновые!$A$104:$W$114,23,)</f>
        <v>8.1353200000000001</v>
      </c>
      <c r="D153" s="93">
        <f>VLOOKUP(A153,[26]Зерновые!$A$104:$AH$114,34,FALSE)</f>
        <v>0</v>
      </c>
      <c r="E153" s="93">
        <f>VLOOKUP(A153,[26]Зерновые!$A$104:$AS$114,45,)</f>
        <v>0</v>
      </c>
      <c r="F153" s="96">
        <f>VLOOKUP(A153,[26]Зерновые!$A$104:$BD$114,56,)</f>
        <v>0</v>
      </c>
      <c r="G153" s="93">
        <f>VLOOKUP(A153,[26]Зерновые!$A$104:$BO$114,67,)</f>
        <v>29.110590000000002</v>
      </c>
      <c r="H153" s="132">
        <f>VLOOKUP(A153,[26]Зерновые!$A$104:$BZ$114,78,)</f>
        <v>0</v>
      </c>
      <c r="I153" s="92">
        <f>VLOOKUP(A153,[26]Масличные!$A$104:$L$114,12,)</f>
        <v>7.9103000000000012</v>
      </c>
      <c r="J153" s="93">
        <f>VLOOKUP(A153,[26]Масличные!$A$104:$W$114,23,)</f>
        <v>0</v>
      </c>
      <c r="K153" s="96">
        <f>VLOOKUP(A153,[26]Масличные!$A$104:$AH$114,34,)</f>
        <v>0</v>
      </c>
      <c r="L153" s="93">
        <f>VLOOKUP(A153,[26]Масличные!$A$104:$AS$114,45,)</f>
        <v>0</v>
      </c>
      <c r="M153" s="123">
        <f>VLOOKUP(A153,[26]Масличные!$A$104:$BD$114,56,)</f>
        <v>5.1661400000000004</v>
      </c>
      <c r="N153" s="92">
        <f>VLOOKUP(A153,[26]Бобовые!$A$104:$L$114,12,)</f>
        <v>0</v>
      </c>
      <c r="O153" s="93">
        <f>VLOOKUP(A153,[26]Бобовые!$A$104:$W$114,23,)</f>
        <v>0</v>
      </c>
      <c r="P153" s="93">
        <f>VLOOKUP(A153,[26]Бобовые!$A$104:$AH$114,34,)</f>
        <v>0</v>
      </c>
      <c r="Q153" s="93">
        <f>VLOOKUP(A153,[26]Овощи!$A$104:$L$114,12,)</f>
        <v>163.96629000000001</v>
      </c>
      <c r="R153" s="93">
        <f>VLOOKUP(A153,[26]Овощи!$A$104:$W$114,23,)</f>
        <v>173.2886</v>
      </c>
      <c r="S153" s="93">
        <f>VLOOKUP(A153,[26]Овощи!$A$104:$AH$114,34,)</f>
        <v>184.06527</v>
      </c>
      <c r="T153" s="93">
        <f>VLOOKUP(A153,[26]Овощи!$A$104:$AS$114,45,)</f>
        <v>178.92955000000001</v>
      </c>
      <c r="U153" s="93">
        <f>VLOOKUP(A153,[26]Овощи!$A$104:$BD$114,56,)</f>
        <v>187.5883</v>
      </c>
      <c r="V153" s="93">
        <f>VLOOKUP(A153,[26]Овощи!$A$104:$BO$114,67,)</f>
        <v>181.02334000000002</v>
      </c>
      <c r="W153" s="93">
        <f>VLOOKUP(A153,[26]Овощи!$A$104:$BZ$114,78,)</f>
        <v>196.47845999999998</v>
      </c>
      <c r="X153" s="97">
        <f>VLOOKUP(A153,[26]Бахчевые!$A$104:$L$114,12,)</f>
        <v>180.33614</v>
      </c>
      <c r="Y153" s="121">
        <f>VLOOKUP(A153,[26]Бахчевые!$A$104:$W$114,23,)</f>
        <v>195.61686000000003</v>
      </c>
    </row>
    <row r="154" spans="1:25" ht="13.8" thickBot="1">
      <c r="A154" s="107" t="s">
        <v>194</v>
      </c>
      <c r="B154" s="98">
        <f>VLOOKUP(A154,[26]Зерновые!$A$104:$L$114,12,)</f>
        <v>14.558769999999999</v>
      </c>
      <c r="C154" s="99">
        <f>VLOOKUP(A154,[26]Зерновые!$A$104:$W$114,23,)</f>
        <v>14.474160000000001</v>
      </c>
      <c r="D154" s="99">
        <f>VLOOKUP(A154,[26]Зерновые!$A$104:$AH$114,34,FALSE)</f>
        <v>0</v>
      </c>
      <c r="E154" s="99">
        <f>VLOOKUP(A154,[26]Зерновые!$A$104:$AS$114,45,)</f>
        <v>14.462860000000001</v>
      </c>
      <c r="F154" s="103">
        <f>VLOOKUP(A154,[26]Зерновые!$A$104:$BD$114,56,)</f>
        <v>0</v>
      </c>
      <c r="G154" s="99">
        <f>VLOOKUP(A154,[26]Зерновые!$A$104:$BO$114,67,)</f>
        <v>43.210850000000008</v>
      </c>
      <c r="H154" s="133">
        <f>VLOOKUP(A154,[26]Зерновые!$A$104:$BZ$114,78,)</f>
        <v>0</v>
      </c>
      <c r="I154" s="98">
        <f>VLOOKUP(A154,[26]Масличные!$A$104:$L$114,12,)</f>
        <v>15.968920000000002</v>
      </c>
      <c r="J154" s="99">
        <f>VLOOKUP(A154,[26]Масличные!$A$104:$W$114,23,)</f>
        <v>0</v>
      </c>
      <c r="K154" s="103">
        <f>VLOOKUP(A154,[26]Масличные!$A$104:$AH$114,34,)</f>
        <v>0</v>
      </c>
      <c r="L154" s="99">
        <f>VLOOKUP(A154,[26]Масличные!$A$104:$AS$114,45,)</f>
        <v>0</v>
      </c>
      <c r="M154" s="124">
        <f>VLOOKUP(A154,[26]Масличные!$A$104:$BD$114,56,)</f>
        <v>3.9696399999999996</v>
      </c>
      <c r="N154" s="98">
        <f>VLOOKUP(A154,[26]Бобовые!$A$104:$L$114,12,)</f>
        <v>0</v>
      </c>
      <c r="O154" s="99">
        <f>VLOOKUP(A154,[26]Бобовые!$A$104:$W$114,23,)</f>
        <v>0</v>
      </c>
      <c r="P154" s="99">
        <f>VLOOKUP(A154,[26]Бобовые!$A$104:$AH$114,34,)</f>
        <v>0</v>
      </c>
      <c r="Q154" s="99">
        <f>VLOOKUP(A154,[26]Овощи!$A$104:$L$114,12,)</f>
        <v>212.78545</v>
      </c>
      <c r="R154" s="99">
        <f>VLOOKUP(A154,[26]Овощи!$A$104:$W$114,23,)</f>
        <v>235.81012000000001</v>
      </c>
      <c r="S154" s="99">
        <f>VLOOKUP(A154,[26]Овощи!$A$104:$AH$114,34,)</f>
        <v>234.50162999999998</v>
      </c>
      <c r="T154" s="99">
        <f>VLOOKUP(A154,[26]Овощи!$A$104:$AS$114,45,)</f>
        <v>211.83678</v>
      </c>
      <c r="U154" s="99">
        <f>VLOOKUP(A154,[26]Овощи!$A$104:$BD$114,56,)</f>
        <v>227.05151999999998</v>
      </c>
      <c r="V154" s="99">
        <f>VLOOKUP(A154,[26]Овощи!$A$104:$BO$114,67,)</f>
        <v>215.56349</v>
      </c>
      <c r="W154" s="99">
        <f>VLOOKUP(A154,[26]Овощи!$A$104:$BZ$114,78,)</f>
        <v>212.26101999999997</v>
      </c>
      <c r="X154" s="101">
        <f>VLOOKUP(A154,[26]Бахчевые!$A$104:$L$114,12,)</f>
        <v>239.167</v>
      </c>
      <c r="Y154" s="122">
        <f>VLOOKUP(A154,[26]Бахчевые!$A$104:$W$114,23,)</f>
        <v>191.16906</v>
      </c>
    </row>
    <row r="155" spans="1:25">
      <c r="A155" s="172"/>
      <c r="B155" s="90"/>
      <c r="C155" s="90"/>
      <c r="D155" s="90"/>
      <c r="E155" s="90"/>
      <c r="F155" s="173"/>
      <c r="G155" s="90"/>
      <c r="H155" s="173"/>
      <c r="I155" s="90"/>
      <c r="J155" s="90"/>
      <c r="K155" s="173"/>
      <c r="L155" s="90"/>
      <c r="M155" s="90"/>
      <c r="N155" s="90"/>
      <c r="O155" s="90"/>
      <c r="P155" s="90"/>
      <c r="Q155" s="90"/>
      <c r="R155" s="90"/>
      <c r="S155" s="90"/>
      <c r="T155" s="90"/>
      <c r="U155" s="90"/>
      <c r="V155" s="90"/>
      <c r="W155" s="90"/>
      <c r="X155" s="178"/>
      <c r="Y155" s="178"/>
    </row>
    <row r="156" spans="1:25">
      <c r="A156" s="172"/>
      <c r="B156" s="90"/>
      <c r="C156" s="90"/>
      <c r="D156" s="90"/>
      <c r="E156" s="90"/>
      <c r="F156" s="173"/>
      <c r="G156" s="90"/>
      <c r="H156" s="173"/>
      <c r="I156" s="90"/>
      <c r="J156" s="90"/>
      <c r="K156" s="173"/>
      <c r="L156" s="90"/>
      <c r="M156" s="90"/>
      <c r="N156" s="90"/>
      <c r="O156" s="90"/>
      <c r="P156" s="90"/>
      <c r="Q156" s="90"/>
      <c r="R156" s="90"/>
      <c r="S156" s="90"/>
      <c r="T156" s="90"/>
      <c r="U156" s="90"/>
      <c r="V156" s="90"/>
      <c r="W156" s="90"/>
      <c r="X156" s="178"/>
      <c r="Y156" s="178"/>
    </row>
    <row r="157" spans="1:25">
      <c r="A157" s="172"/>
      <c r="B157" s="90"/>
      <c r="C157" s="90"/>
      <c r="D157" s="90"/>
      <c r="E157" s="90"/>
      <c r="F157" s="173"/>
      <c r="G157" s="90"/>
      <c r="H157" s="173"/>
      <c r="I157" s="90"/>
      <c r="J157" s="90"/>
      <c r="K157" s="173"/>
      <c r="L157" s="90"/>
      <c r="M157" s="90"/>
      <c r="N157" s="90"/>
      <c r="O157" s="90"/>
      <c r="P157" s="90"/>
      <c r="Q157" s="90"/>
      <c r="R157" s="90"/>
      <c r="S157" s="90"/>
      <c r="T157" s="90"/>
      <c r="U157" s="90"/>
      <c r="V157" s="90"/>
      <c r="W157" s="90"/>
      <c r="X157" s="178"/>
      <c r="Y157" s="178"/>
    </row>
    <row r="158" spans="1:25">
      <c r="A158" s="172"/>
      <c r="B158" s="90"/>
      <c r="C158" s="90"/>
      <c r="D158" s="90"/>
      <c r="E158" s="90"/>
      <c r="F158" s="173"/>
      <c r="G158" s="90"/>
      <c r="H158" s="173"/>
      <c r="I158" s="90"/>
      <c r="J158" s="90"/>
      <c r="K158" s="173"/>
      <c r="L158" s="90"/>
      <c r="M158" s="90"/>
      <c r="N158" s="90"/>
      <c r="O158" s="90"/>
      <c r="P158" s="90"/>
      <c r="Q158" s="90"/>
      <c r="R158" s="90"/>
      <c r="S158" s="90"/>
      <c r="T158" s="90"/>
      <c r="U158" s="90"/>
      <c r="V158" s="90"/>
      <c r="W158" s="90"/>
      <c r="X158" s="178"/>
      <c r="Y158" s="178"/>
    </row>
    <row r="159" spans="1:25">
      <c r="A159" s="172"/>
      <c r="B159" s="90"/>
      <c r="C159" s="90"/>
      <c r="D159" s="90"/>
      <c r="E159" s="90"/>
      <c r="F159" s="173"/>
      <c r="G159" s="90"/>
      <c r="H159" s="173"/>
      <c r="I159" s="90"/>
      <c r="J159" s="90"/>
      <c r="K159" s="173"/>
      <c r="L159" s="90"/>
      <c r="M159" s="90"/>
      <c r="N159" s="90"/>
      <c r="O159" s="90"/>
      <c r="P159" s="90"/>
      <c r="Q159" s="90"/>
      <c r="R159" s="90"/>
      <c r="S159" s="90"/>
      <c r="T159" s="90"/>
      <c r="U159" s="90"/>
      <c r="V159" s="90"/>
      <c r="W159" s="90"/>
      <c r="X159" s="178"/>
      <c r="Y159" s="178"/>
    </row>
    <row r="160" spans="1:25">
      <c r="A160" s="172"/>
      <c r="B160" s="90"/>
      <c r="C160" s="90"/>
      <c r="D160" s="90"/>
      <c r="E160" s="90"/>
      <c r="F160" s="173"/>
      <c r="G160" s="90"/>
      <c r="H160" s="173"/>
      <c r="I160" s="90"/>
      <c r="J160" s="90"/>
      <c r="K160" s="173"/>
      <c r="L160" s="90"/>
      <c r="M160" s="90"/>
      <c r="N160" s="90"/>
      <c r="O160" s="90"/>
      <c r="P160" s="90"/>
      <c r="Q160" s="90"/>
      <c r="R160" s="90"/>
      <c r="S160" s="90"/>
      <c r="T160" s="90"/>
      <c r="U160" s="90"/>
      <c r="V160" s="90"/>
      <c r="W160" s="90"/>
      <c r="X160" s="178"/>
      <c r="Y160" s="178"/>
    </row>
    <row r="161" spans="1:25">
      <c r="A161" s="172"/>
      <c r="B161" s="90"/>
      <c r="C161" s="90"/>
      <c r="D161" s="90"/>
      <c r="E161" s="90"/>
      <c r="F161" s="173"/>
      <c r="G161" s="90"/>
      <c r="H161" s="173"/>
      <c r="I161" s="90"/>
      <c r="J161" s="90"/>
      <c r="K161" s="173"/>
      <c r="L161" s="90"/>
      <c r="M161" s="90"/>
      <c r="N161" s="90"/>
      <c r="O161" s="90"/>
      <c r="P161" s="90"/>
      <c r="Q161" s="90"/>
      <c r="R161" s="90"/>
      <c r="S161" s="90"/>
      <c r="T161" s="90"/>
      <c r="U161" s="90"/>
      <c r="V161" s="90"/>
      <c r="W161" s="90"/>
      <c r="X161" s="178"/>
      <c r="Y161" s="178"/>
    </row>
    <row r="162" spans="1:25">
      <c r="A162" s="172"/>
      <c r="B162" s="90"/>
      <c r="C162" s="90"/>
      <c r="D162" s="90"/>
      <c r="E162" s="90"/>
      <c r="F162" s="173"/>
      <c r="G162" s="90"/>
      <c r="H162" s="173"/>
      <c r="I162" s="90"/>
      <c r="J162" s="90"/>
      <c r="K162" s="173"/>
      <c r="L162" s="90"/>
      <c r="M162" s="90"/>
      <c r="N162" s="90"/>
      <c r="O162" s="90"/>
      <c r="P162" s="90"/>
      <c r="Q162" s="90"/>
      <c r="R162" s="90"/>
      <c r="S162" s="90"/>
      <c r="T162" s="90"/>
      <c r="U162" s="90"/>
      <c r="V162" s="90"/>
      <c r="W162" s="90"/>
      <c r="X162" s="178"/>
      <c r="Y162" s="178"/>
    </row>
    <row r="163" spans="1:25">
      <c r="A163" s="172"/>
      <c r="B163" s="90"/>
      <c r="C163" s="90"/>
      <c r="D163" s="90"/>
      <c r="E163" s="90"/>
      <c r="F163" s="173"/>
      <c r="G163" s="90"/>
      <c r="H163" s="173"/>
      <c r="I163" s="90"/>
      <c r="J163" s="90"/>
      <c r="K163" s="173"/>
      <c r="L163" s="90"/>
      <c r="M163" s="90"/>
      <c r="N163" s="90"/>
      <c r="O163" s="90"/>
      <c r="P163" s="90"/>
      <c r="Q163" s="90"/>
      <c r="R163" s="90"/>
      <c r="S163" s="90"/>
      <c r="T163" s="90"/>
      <c r="U163" s="90"/>
      <c r="V163" s="90"/>
      <c r="W163" s="90"/>
      <c r="X163" s="178"/>
      <c r="Y163" s="178"/>
    </row>
    <row r="164" spans="1:25" ht="13.8" thickBot="1">
      <c r="A164" s="91"/>
      <c r="B164" s="90"/>
      <c r="C164" s="90"/>
      <c r="D164" s="90"/>
      <c r="E164" s="90"/>
      <c r="F164" s="90"/>
      <c r="G164" s="90"/>
      <c r="H164" s="90"/>
    </row>
    <row r="165" spans="1:25" ht="13.5" customHeight="1">
      <c r="A165" s="808" t="s">
        <v>287</v>
      </c>
      <c r="B165" s="805" t="s">
        <v>269</v>
      </c>
      <c r="C165" s="806"/>
      <c r="D165" s="806"/>
      <c r="E165" s="806"/>
      <c r="F165" s="806"/>
      <c r="G165" s="806"/>
      <c r="H165" s="807"/>
      <c r="I165" s="799" t="s">
        <v>316</v>
      </c>
      <c r="J165" s="800"/>
      <c r="K165" s="800"/>
      <c r="L165" s="800"/>
      <c r="M165" s="801"/>
      <c r="N165" s="800" t="s">
        <v>317</v>
      </c>
      <c r="O165" s="800"/>
      <c r="P165" s="800"/>
      <c r="Q165" s="799" t="s">
        <v>322</v>
      </c>
      <c r="R165" s="800"/>
      <c r="S165" s="800"/>
      <c r="T165" s="800"/>
      <c r="U165" s="800"/>
      <c r="V165" s="800"/>
      <c r="W165" s="801"/>
      <c r="X165" s="799" t="s">
        <v>330</v>
      </c>
      <c r="Y165" s="801"/>
    </row>
    <row r="166" spans="1:25" ht="21" thickBot="1">
      <c r="A166" s="809"/>
      <c r="B166" s="119" t="s">
        <v>270</v>
      </c>
      <c r="C166" s="116" t="s">
        <v>83</v>
      </c>
      <c r="D166" s="116" t="s">
        <v>84</v>
      </c>
      <c r="E166" s="116" t="s">
        <v>271</v>
      </c>
      <c r="F166" s="116" t="s">
        <v>272</v>
      </c>
      <c r="G166" s="116" t="s">
        <v>314</v>
      </c>
      <c r="H166" s="120" t="s">
        <v>273</v>
      </c>
      <c r="I166" s="119" t="s">
        <v>243</v>
      </c>
      <c r="J166" s="116" t="s">
        <v>244</v>
      </c>
      <c r="K166" s="116" t="s">
        <v>258</v>
      </c>
      <c r="L166" s="116" t="s">
        <v>315</v>
      </c>
      <c r="M166" s="120" t="s">
        <v>245</v>
      </c>
      <c r="N166" s="118" t="s">
        <v>318</v>
      </c>
      <c r="O166" s="116" t="s">
        <v>319</v>
      </c>
      <c r="P166" s="116" t="s">
        <v>320</v>
      </c>
      <c r="Q166" s="119" t="s">
        <v>323</v>
      </c>
      <c r="R166" s="116" t="s">
        <v>324</v>
      </c>
      <c r="S166" s="116" t="s">
        <v>325</v>
      </c>
      <c r="T166" s="116" t="s">
        <v>326</v>
      </c>
      <c r="U166" s="116" t="s">
        <v>327</v>
      </c>
      <c r="V166" s="116" t="s">
        <v>328</v>
      </c>
      <c r="W166" s="120" t="s">
        <v>329</v>
      </c>
      <c r="X166" s="134" t="s">
        <v>331</v>
      </c>
      <c r="Y166" s="129" t="s">
        <v>332</v>
      </c>
    </row>
    <row r="167" spans="1:25">
      <c r="A167" s="104" t="s">
        <v>119</v>
      </c>
      <c r="B167" s="92">
        <f>VLOOKUP(A167,[26]Зерновые!$A$119:$L$131,12,)</f>
        <v>0.39</v>
      </c>
      <c r="C167" s="93">
        <f>VLOOKUP(A167,[26]Зерновые!$A$119:$W$131,23,)</f>
        <v>1.1000000000000001</v>
      </c>
      <c r="D167" s="93">
        <f>VLOOKUP(A167,[26]Зерновые!$A$119:$AH$131,34,)</f>
        <v>0</v>
      </c>
      <c r="E167" s="93">
        <f>VLOOKUP(A167,[26]Зерновые!$A$119:$AS$131,45,)</f>
        <v>0</v>
      </c>
      <c r="F167" s="93">
        <f>VLOOKUP(A167,[26]Зерновые!$A$119:$BD$131,56,)</f>
        <v>0</v>
      </c>
      <c r="G167" s="96">
        <f>VLOOKUP(A167,[26]Зерновые!$A$119:$BO$131,67,)</f>
        <v>0</v>
      </c>
      <c r="H167" s="132">
        <f>VLOOKUP(A167,[26]Зерновые!$A$119:$BZ$131,78,)</f>
        <v>0</v>
      </c>
      <c r="I167" s="92">
        <f>VLOOKUP(A167,[26]Масличные!$A$119:$L$131,12,)</f>
        <v>0</v>
      </c>
      <c r="J167" s="96">
        <f>VLOOKUP(A167,[26]Масличные!$A$119:$W$131,23,)</f>
        <v>0</v>
      </c>
      <c r="K167" s="93">
        <f>VLOOKUP(A167,[26]Масличные!$A$119:$AH$131,34,)</f>
        <v>0</v>
      </c>
      <c r="L167" s="93">
        <f>VLOOKUP(A167,[26]Масличные!$A$119:$AS$131,45,)</f>
        <v>0</v>
      </c>
      <c r="M167" s="123">
        <f>VLOOKUP(A167,[26]Масличные!$A$119:$BD$131,56,)</f>
        <v>0.1</v>
      </c>
      <c r="N167" s="93">
        <f>VLOOKUP(A167,[26]Бобовые!$A$119:$L$131,12,)</f>
        <v>0</v>
      </c>
      <c r="O167" s="96">
        <f>VLOOKUP(A167,[26]Бобовые!$A$119:$W$131,23,)</f>
        <v>0</v>
      </c>
      <c r="P167" s="96">
        <f>VLOOKUP(A167,[26]Бобовые!$A$119:$AH$131,34,)</f>
        <v>0</v>
      </c>
      <c r="Q167" s="92">
        <f>VLOOKUP(A167,[26]Овощи!$A$119:$L$131,12,)</f>
        <v>99.34</v>
      </c>
      <c r="R167" s="93">
        <f>VLOOKUP(A167,[26]Овощи!$A$119:$W$131,23,)</f>
        <v>110.23999999999998</v>
      </c>
      <c r="S167" s="93">
        <f>VLOOKUP(A167,[26]Овощи!$A$119:$AH$131,34,)</f>
        <v>115.35</v>
      </c>
      <c r="T167" s="93">
        <f>VLOOKUP(A167,[26]Овощи!$A$119:$AS$131,45,)</f>
        <v>125.76999999999998</v>
      </c>
      <c r="U167" s="93">
        <f>VLOOKUP(A167,[26]Овощи!$A$119:$BD$131,56,)</f>
        <v>102.08000000000001</v>
      </c>
      <c r="V167" s="93">
        <f>VLOOKUP(A167,[26]Овощи!$A$119:$BO$131,67,)</f>
        <v>102.47</v>
      </c>
      <c r="W167" s="123">
        <f>VLOOKUP(A167,[26]Овощи!$A$119:$BZ$131,78,)</f>
        <v>109.7</v>
      </c>
      <c r="X167" s="135">
        <f>VLOOKUP(A167,[26]Бахчевые!$A$119:$L$131,12,)</f>
        <v>127.92999999999998</v>
      </c>
      <c r="Y167" s="136">
        <f>VLOOKUP(A167,[26]Бахчевые!$A$119:$W$131,23,)</f>
        <v>111.3</v>
      </c>
    </row>
    <row r="168" spans="1:25">
      <c r="A168" s="104" t="s">
        <v>120</v>
      </c>
      <c r="B168" s="92">
        <f>VLOOKUP(A168,[26]Зерновые!$A$119:$L$131,12,)</f>
        <v>0</v>
      </c>
      <c r="C168" s="93">
        <f>VLOOKUP(A168,[26]Зерновые!$A$119:$W$131,23,)</f>
        <v>2.2000000000000002</v>
      </c>
      <c r="D168" s="93">
        <f>VLOOKUP(A168,[26]Зерновые!$A$119:$AH$131,34,)</f>
        <v>0</v>
      </c>
      <c r="E168" s="93">
        <f>VLOOKUP(A168,[26]Зерновые!$A$119:$AS$131,45,)</f>
        <v>0</v>
      </c>
      <c r="F168" s="93">
        <f>VLOOKUP(A168,[26]Зерновые!$A$119:$BD$131,56,)</f>
        <v>0</v>
      </c>
      <c r="G168" s="96">
        <f>VLOOKUP(A168,[26]Зерновые!$A$119:$BO$131,67,)</f>
        <v>0</v>
      </c>
      <c r="H168" s="132">
        <f>VLOOKUP(A168,[26]Зерновые!$A$119:$BZ$131,78,)</f>
        <v>0</v>
      </c>
      <c r="I168" s="92">
        <f>VLOOKUP(A168,[26]Масличные!$A$119:$L$131,12,)</f>
        <v>0</v>
      </c>
      <c r="J168" s="96">
        <f>VLOOKUP(A168,[26]Масличные!$A$119:$W$131,23,)</f>
        <v>0</v>
      </c>
      <c r="K168" s="93">
        <f>VLOOKUP(A168,[26]Масличные!$A$119:$AH$131,34,)</f>
        <v>0</v>
      </c>
      <c r="L168" s="93">
        <f>VLOOKUP(A168,[26]Масличные!$A$119:$AS$131,45,)</f>
        <v>0</v>
      </c>
      <c r="M168" s="123">
        <f>VLOOKUP(A168,[26]Масличные!$A$119:$BD$131,56,)</f>
        <v>0</v>
      </c>
      <c r="N168" s="93">
        <f>VLOOKUP(A168,[26]Бобовые!$A$119:$L$131,12,)</f>
        <v>0</v>
      </c>
      <c r="O168" s="96">
        <f>VLOOKUP(A168,[26]Бобовые!$A$119:$W$131,23,)</f>
        <v>0</v>
      </c>
      <c r="P168" s="96">
        <f>VLOOKUP(A168,[26]Бобовые!$A$119:$AH$131,34,)</f>
        <v>0</v>
      </c>
      <c r="Q168" s="92">
        <f>VLOOKUP(A168,[26]Овощи!$A$119:$L$131,12,)</f>
        <v>46.350000000000009</v>
      </c>
      <c r="R168" s="93">
        <f>VLOOKUP(A168,[26]Овощи!$A$119:$W$131,23,)</f>
        <v>61.410000000000004</v>
      </c>
      <c r="S168" s="93">
        <f>VLOOKUP(A168,[26]Овощи!$A$119:$AH$131,34,)</f>
        <v>37.840000000000003</v>
      </c>
      <c r="T168" s="93">
        <f>VLOOKUP(A168,[26]Овощи!$A$119:$AS$131,45,)</f>
        <v>0</v>
      </c>
      <c r="U168" s="93">
        <f>VLOOKUP(A168,[26]Овощи!$A$119:$BD$131,56,)</f>
        <v>86.81</v>
      </c>
      <c r="V168" s="93">
        <f>VLOOKUP(A168,[26]Овощи!$A$119:$BO$131,67,)</f>
        <v>86</v>
      </c>
      <c r="W168" s="123">
        <f>VLOOKUP(A168,[26]Овощи!$A$119:$BZ$131,78,)</f>
        <v>18.649999999999999</v>
      </c>
      <c r="X168" s="97">
        <f>VLOOKUP(A168,[26]Бахчевые!$A$119:$L$131,12,)</f>
        <v>87.36</v>
      </c>
      <c r="Y168" s="121">
        <f>VLOOKUP(A168,[26]Бахчевые!$A$119:$W$131,23,)</f>
        <v>67.650000000000006</v>
      </c>
    </row>
    <row r="169" spans="1:25">
      <c r="A169" s="104" t="s">
        <v>121</v>
      </c>
      <c r="B169" s="92">
        <f>VLOOKUP(A169,[26]Зерновые!$A$119:$L$131,12,)</f>
        <v>6.610796107916852</v>
      </c>
      <c r="C169" s="93">
        <f>VLOOKUP(A169,[26]Зерновые!$A$119:$W$131,23,)</f>
        <v>6.6601886792452829</v>
      </c>
      <c r="D169" s="93">
        <f>VLOOKUP(A169,[26]Зерновые!$A$119:$AH$131,34,)</f>
        <v>5.9300000000000006</v>
      </c>
      <c r="E169" s="93">
        <f>VLOOKUP(A169,[26]Зерновые!$A$119:$AS$131,45,)</f>
        <v>5.5267729083665342</v>
      </c>
      <c r="F169" s="93">
        <f>VLOOKUP(A169,[26]Зерновые!$A$119:$BD$131,56,)</f>
        <v>0</v>
      </c>
      <c r="G169" s="96">
        <f>VLOOKUP(A169,[26]Зерновые!$A$119:$BO$131,67,)</f>
        <v>0.49000000000000005</v>
      </c>
      <c r="H169" s="132">
        <f>VLOOKUP(A169,[26]Зерновые!$A$119:$BZ$131,78,)</f>
        <v>0</v>
      </c>
      <c r="I169" s="92">
        <f>VLOOKUP(A169,[26]Масличные!$A$119:$L$131,12,)</f>
        <v>3.9891443850267381</v>
      </c>
      <c r="J169" s="96">
        <f>VLOOKUP(A169,[26]Масличные!$A$119:$W$131,23,)</f>
        <v>0.18</v>
      </c>
      <c r="K169" s="93">
        <f>VLOOKUP(A169,[26]Масличные!$A$119:$AH$131,34,)</f>
        <v>0</v>
      </c>
      <c r="L169" s="93">
        <f>VLOOKUP(A169,[26]Масличные!$A$119:$AS$131,45,)</f>
        <v>0.86</v>
      </c>
      <c r="M169" s="123">
        <f>VLOOKUP(A169,[26]Масличные!$A$119:$BD$131,56,)</f>
        <v>2.8585196641626163</v>
      </c>
      <c r="N169" s="93">
        <f>VLOOKUP(A169,[26]Бобовые!$A$119:$L$131,12,)</f>
        <v>3.0700000000000003</v>
      </c>
      <c r="O169" s="96">
        <f>VLOOKUP(A169,[26]Бобовые!$A$119:$W$131,23,)</f>
        <v>0</v>
      </c>
      <c r="P169" s="96">
        <f>VLOOKUP(A169,[26]Бобовые!$A$119:$AH$131,34,)</f>
        <v>0</v>
      </c>
      <c r="Q169" s="92">
        <f>VLOOKUP(A169,[26]Овощи!$A$119:$L$131,12,)</f>
        <v>127.27000000000001</v>
      </c>
      <c r="R169" s="93">
        <f>VLOOKUP(A169,[26]Овощи!$A$119:$W$131,23,)</f>
        <v>140.15</v>
      </c>
      <c r="S169" s="93">
        <f>VLOOKUP(A169,[26]Овощи!$A$119:$AH$131,34,)</f>
        <v>143.95999999999998</v>
      </c>
      <c r="T169" s="93">
        <f>VLOOKUP(A169,[26]Овощи!$A$119:$AS$131,45,)</f>
        <v>149.85</v>
      </c>
      <c r="U169" s="93">
        <f>VLOOKUP(A169,[26]Овощи!$A$119:$BD$131,56,)</f>
        <v>165.1</v>
      </c>
      <c r="V169" s="93">
        <f>VLOOKUP(A169,[26]Овощи!$A$119:$BO$131,67,)</f>
        <v>167.54000000000002</v>
      </c>
      <c r="W169" s="123">
        <f>VLOOKUP(A169,[26]Овощи!$A$119:$BZ$131,78,)</f>
        <v>137.44999999999999</v>
      </c>
      <c r="X169" s="97">
        <f>VLOOKUP(A169,[26]Бахчевые!$A$119:$L$131,12,)</f>
        <v>178.85999999999999</v>
      </c>
      <c r="Y169" s="121">
        <f>VLOOKUP(A169,[26]Бахчевые!$A$119:$W$131,23,)</f>
        <v>174.44000000000003</v>
      </c>
    </row>
    <row r="170" spans="1:25">
      <c r="A170" s="104" t="s">
        <v>122</v>
      </c>
      <c r="B170" s="92">
        <f>VLOOKUP(A170,[26]Зерновые!$A$119:$L$131,12,)</f>
        <v>0.38</v>
      </c>
      <c r="C170" s="93">
        <f>VLOOKUP(A170,[26]Зерновые!$A$119:$W$131,23,)</f>
        <v>1.05</v>
      </c>
      <c r="D170" s="93">
        <f>VLOOKUP(A170,[26]Зерновые!$A$119:$AH$131,34,)</f>
        <v>0</v>
      </c>
      <c r="E170" s="93">
        <f>VLOOKUP(A170,[26]Зерновые!$A$119:$AS$131,45,)</f>
        <v>0</v>
      </c>
      <c r="F170" s="93">
        <f>VLOOKUP(A170,[26]Зерновые!$A$119:$BD$131,56,)</f>
        <v>0</v>
      </c>
      <c r="G170" s="96">
        <f>VLOOKUP(A170,[26]Зерновые!$A$119:$BO$131,67,)</f>
        <v>0</v>
      </c>
      <c r="H170" s="132">
        <f>VLOOKUP(A170,[26]Зерновые!$A$119:$BZ$131,78,)</f>
        <v>0</v>
      </c>
      <c r="I170" s="92">
        <f>VLOOKUP(A170,[26]Масличные!$A$119:$L$131,12,)</f>
        <v>0</v>
      </c>
      <c r="J170" s="96">
        <f>VLOOKUP(A170,[26]Масличные!$A$119:$W$131,23,)</f>
        <v>0</v>
      </c>
      <c r="K170" s="93">
        <f>VLOOKUP(A170,[26]Масличные!$A$119:$AH$131,34,)</f>
        <v>0</v>
      </c>
      <c r="L170" s="93">
        <f>VLOOKUP(A170,[26]Масличные!$A$119:$AS$131,45,)</f>
        <v>0</v>
      </c>
      <c r="M170" s="123">
        <f>VLOOKUP(A170,[26]Масличные!$A$119:$BD$131,56,)</f>
        <v>0</v>
      </c>
      <c r="N170" s="93">
        <f>VLOOKUP(A170,[26]Бобовые!$A$119:$L$131,12,)</f>
        <v>0</v>
      </c>
      <c r="O170" s="96">
        <f>VLOOKUP(A170,[26]Бобовые!$A$119:$W$131,23,)</f>
        <v>0</v>
      </c>
      <c r="P170" s="96">
        <f>VLOOKUP(A170,[26]Бобовые!$A$119:$AH$131,34,)</f>
        <v>0</v>
      </c>
      <c r="Q170" s="92">
        <f>VLOOKUP(A170,[26]Овощи!$A$119:$L$131,12,)</f>
        <v>111.76999999999998</v>
      </c>
      <c r="R170" s="93">
        <f>VLOOKUP(A170,[26]Овощи!$A$119:$W$131,23,)</f>
        <v>107.5</v>
      </c>
      <c r="S170" s="93">
        <f>VLOOKUP(A170,[26]Овощи!$A$119:$AH$131,34,)</f>
        <v>106.84</v>
      </c>
      <c r="T170" s="93">
        <f>VLOOKUP(A170,[26]Овощи!$A$119:$AS$131,45,)</f>
        <v>107.29</v>
      </c>
      <c r="U170" s="93">
        <f>VLOOKUP(A170,[26]Овощи!$A$119:$BD$131,56,)</f>
        <v>115.39999999999998</v>
      </c>
      <c r="V170" s="93">
        <f>VLOOKUP(A170,[26]Овощи!$A$119:$BO$131,67,)</f>
        <v>114.08000000000001</v>
      </c>
      <c r="W170" s="123">
        <f>VLOOKUP(A170,[26]Овощи!$A$119:$BZ$131,78,)</f>
        <v>111.95</v>
      </c>
      <c r="X170" s="97">
        <f>VLOOKUP(A170,[26]Бахчевые!$A$119:$L$131,12,)</f>
        <v>122.63</v>
      </c>
      <c r="Y170" s="121">
        <f>VLOOKUP(A170,[26]Бахчевые!$A$119:$W$131,23,)</f>
        <v>112.80999999999999</v>
      </c>
    </row>
    <row r="171" spans="1:25">
      <c r="A171" s="104" t="s">
        <v>123</v>
      </c>
      <c r="B171" s="92">
        <f>VLOOKUP(A171,[26]Зерновые!$A$119:$L$131,12,)</f>
        <v>3.2399999999999998</v>
      </c>
      <c r="C171" s="93">
        <f>VLOOKUP(A171,[26]Зерновые!$A$119:$W$131,23,)</f>
        <v>3.2</v>
      </c>
      <c r="D171" s="93">
        <f>VLOOKUP(A171,[26]Зерновые!$A$119:$AH$131,34,)</f>
        <v>0</v>
      </c>
      <c r="E171" s="93">
        <f>VLOOKUP(A171,[26]Зерновые!$A$119:$AS$131,45,)</f>
        <v>0</v>
      </c>
      <c r="F171" s="93">
        <f>VLOOKUP(A171,[26]Зерновые!$A$119:$BD$131,56,)</f>
        <v>0</v>
      </c>
      <c r="G171" s="96">
        <f>VLOOKUP(A171,[26]Зерновые!$A$119:$BO$131,67,)</f>
        <v>0</v>
      </c>
      <c r="H171" s="132">
        <f>VLOOKUP(A171,[26]Зерновые!$A$119:$BZ$131,78,)</f>
        <v>0</v>
      </c>
      <c r="I171" s="92">
        <f>VLOOKUP(A171,[26]Масличные!$A$119:$L$131,12,)</f>
        <v>0</v>
      </c>
      <c r="J171" s="96">
        <f>VLOOKUP(A171,[26]Масличные!$A$119:$W$131,23,)</f>
        <v>0</v>
      </c>
      <c r="K171" s="93">
        <f>VLOOKUP(A171,[26]Масличные!$A$119:$AH$131,34,)</f>
        <v>0</v>
      </c>
      <c r="L171" s="93">
        <f>VLOOKUP(A171,[26]Масличные!$A$119:$AS$131,45,)</f>
        <v>0</v>
      </c>
      <c r="M171" s="123">
        <f>VLOOKUP(A171,[26]Масличные!$A$119:$BD$131,56,)</f>
        <v>0</v>
      </c>
      <c r="N171" s="93">
        <f>VLOOKUP(A171,[26]Бобовые!$A$119:$L$131,12,)</f>
        <v>0</v>
      </c>
      <c r="O171" s="96">
        <f>VLOOKUP(A171,[26]Бобовые!$A$119:$W$131,23,)</f>
        <v>0</v>
      </c>
      <c r="P171" s="96">
        <f>VLOOKUP(A171,[26]Бобовые!$A$119:$AH$131,34,)</f>
        <v>0</v>
      </c>
      <c r="Q171" s="92">
        <f>VLOOKUP(A171,[26]Овощи!$A$119:$L$131,12,)</f>
        <v>101.53</v>
      </c>
      <c r="R171" s="93">
        <f>VLOOKUP(A171,[26]Овощи!$A$119:$W$131,23,)</f>
        <v>102.58</v>
      </c>
      <c r="S171" s="93">
        <f>VLOOKUP(A171,[26]Овощи!$A$119:$AH$131,34,)</f>
        <v>103.59</v>
      </c>
      <c r="T171" s="93">
        <f>VLOOKUP(A171,[26]Овощи!$A$119:$AS$131,45,)</f>
        <v>116.63000000000002</v>
      </c>
      <c r="U171" s="93">
        <f>VLOOKUP(A171,[26]Овощи!$A$119:$BD$131,56,)</f>
        <v>108.59</v>
      </c>
      <c r="V171" s="93">
        <f>VLOOKUP(A171,[26]Овощи!$A$119:$BO$131,67,)</f>
        <v>106.94000000000001</v>
      </c>
      <c r="W171" s="123">
        <f>VLOOKUP(A171,[26]Овощи!$A$119:$BZ$131,78,)</f>
        <v>97.99</v>
      </c>
      <c r="X171" s="97">
        <f>VLOOKUP(A171,[26]Бахчевые!$A$119:$L$131,12,)</f>
        <v>111.18000000000002</v>
      </c>
      <c r="Y171" s="121">
        <f>VLOOKUP(A171,[26]Бахчевые!$A$119:$W$131,23,)</f>
        <v>103.73000000000002</v>
      </c>
    </row>
    <row r="172" spans="1:25">
      <c r="A172" s="104" t="s">
        <v>124</v>
      </c>
      <c r="B172" s="92">
        <f>VLOOKUP(A172,[26]Зерновые!$A$119:$L$131,12,)</f>
        <v>9.9699999999999989</v>
      </c>
      <c r="C172" s="93">
        <f>VLOOKUP(A172,[26]Зерновые!$A$119:$W$131,23,)</f>
        <v>6.5680948487326249</v>
      </c>
      <c r="D172" s="93">
        <f>VLOOKUP(A172,[26]Зерновые!$A$119:$AH$131,34,)</f>
        <v>7.3150717703349288</v>
      </c>
      <c r="E172" s="93">
        <f>VLOOKUP(A172,[26]Зерновые!$A$119:$AS$131,45,)</f>
        <v>7.9085673352435535</v>
      </c>
      <c r="F172" s="93">
        <f>VLOOKUP(A172,[26]Зерновые!$A$119:$BD$131,56,)</f>
        <v>1.45</v>
      </c>
      <c r="G172" s="96">
        <f>VLOOKUP(A172,[26]Зерновые!$A$119:$BO$131,67,)</f>
        <v>1</v>
      </c>
      <c r="H172" s="132">
        <f>VLOOKUP(A172,[26]Зерновые!$A$119:$BZ$131,78,)</f>
        <v>0</v>
      </c>
      <c r="I172" s="92">
        <f>VLOOKUP(A172,[26]Масличные!$A$119:$L$131,12,)</f>
        <v>5.1939306821596709</v>
      </c>
      <c r="J172" s="96">
        <f>VLOOKUP(A172,[26]Масличные!$A$119:$W$131,23,)</f>
        <v>0</v>
      </c>
      <c r="K172" s="93">
        <f>VLOOKUP(A172,[26]Масличные!$A$119:$AH$131,34,)</f>
        <v>0</v>
      </c>
      <c r="L172" s="93">
        <f>VLOOKUP(A172,[26]Масличные!$A$119:$AS$131,45,)</f>
        <v>0.97982300884955753</v>
      </c>
      <c r="M172" s="123">
        <f>VLOOKUP(A172,[26]Масличные!$A$119:$BD$131,56,)</f>
        <v>1.24</v>
      </c>
      <c r="N172" s="93">
        <f>VLOOKUP(A172,[26]Бобовые!$A$119:$L$131,12,)</f>
        <v>5.39</v>
      </c>
      <c r="O172" s="96">
        <f>VLOOKUP(A172,[26]Бобовые!$A$119:$W$131,23,)</f>
        <v>0</v>
      </c>
      <c r="P172" s="96">
        <f>VLOOKUP(A172,[26]Бобовые!$A$119:$AH$131,34,)</f>
        <v>0</v>
      </c>
      <c r="Q172" s="92">
        <f>VLOOKUP(A172,[26]Овощи!$A$119:$L$131,12,)</f>
        <v>146.82999999999998</v>
      </c>
      <c r="R172" s="93">
        <f>VLOOKUP(A172,[26]Овощи!$A$119:$W$131,23,)</f>
        <v>127.06999999999998</v>
      </c>
      <c r="S172" s="93">
        <f>VLOOKUP(A172,[26]Овощи!$A$119:$AH$131,34,)</f>
        <v>133.87999999999997</v>
      </c>
      <c r="T172" s="93">
        <f>VLOOKUP(A172,[26]Овощи!$A$119:$AS$131,45,)</f>
        <v>159.98000000000002</v>
      </c>
      <c r="U172" s="93">
        <f>VLOOKUP(A172,[26]Овощи!$A$119:$BD$131,56,)</f>
        <v>136.98000000000002</v>
      </c>
      <c r="V172" s="93">
        <f>VLOOKUP(A172,[26]Овощи!$A$119:$BO$131,67,)</f>
        <v>133.58999999999997</v>
      </c>
      <c r="W172" s="123">
        <f>VLOOKUP(A172,[26]Овощи!$A$119:$BZ$131,78,)</f>
        <v>146.56</v>
      </c>
      <c r="X172" s="97">
        <f>VLOOKUP(A172,[26]Бахчевые!$A$119:$L$131,12,)</f>
        <v>176.23000000000005</v>
      </c>
      <c r="Y172" s="121">
        <f>VLOOKUP(A172,[26]Бахчевые!$A$119:$W$131,23,)</f>
        <v>159.09999999999997</v>
      </c>
    </row>
    <row r="173" spans="1:25">
      <c r="A173" s="104" t="s">
        <v>125</v>
      </c>
      <c r="B173" s="92">
        <f>VLOOKUP(A173,[26]Зерновые!$A$119:$L$131,12,)</f>
        <v>0.71</v>
      </c>
      <c r="C173" s="93">
        <f>VLOOKUP(A173,[26]Зерновые!$A$119:$W$131,23,)</f>
        <v>1.41</v>
      </c>
      <c r="D173" s="93">
        <f>VLOOKUP(A173,[26]Зерновые!$A$119:$AH$131,34,)</f>
        <v>0</v>
      </c>
      <c r="E173" s="93">
        <f>VLOOKUP(A173,[26]Зерновые!$A$119:$AS$131,45,)</f>
        <v>0</v>
      </c>
      <c r="F173" s="93">
        <f>VLOOKUP(A173,[26]Зерновые!$A$119:$BD$131,56,)</f>
        <v>0</v>
      </c>
      <c r="G173" s="96">
        <f>VLOOKUP(A173,[26]Зерновые!$A$119:$BO$131,67,)</f>
        <v>0</v>
      </c>
      <c r="H173" s="132">
        <f>VLOOKUP(A173,[26]Зерновые!$A$119:$BZ$131,78,)</f>
        <v>0</v>
      </c>
      <c r="I173" s="92">
        <f>VLOOKUP(A173,[26]Масличные!$A$119:$L$131,12,)</f>
        <v>0</v>
      </c>
      <c r="J173" s="96">
        <f>VLOOKUP(A173,[26]Масличные!$A$119:$W$131,23,)</f>
        <v>0</v>
      </c>
      <c r="K173" s="93">
        <f>VLOOKUP(A173,[26]Масличные!$A$119:$AH$131,34,)</f>
        <v>0</v>
      </c>
      <c r="L173" s="93">
        <f>VLOOKUP(A173,[26]Масличные!$A$119:$AS$131,45,)</f>
        <v>0</v>
      </c>
      <c r="M173" s="123">
        <f>VLOOKUP(A173,[26]Масличные!$A$119:$BD$131,56,)</f>
        <v>0</v>
      </c>
      <c r="N173" s="93">
        <f>VLOOKUP(A173,[26]Бобовые!$A$119:$L$131,12,)</f>
        <v>0</v>
      </c>
      <c r="O173" s="96">
        <f>VLOOKUP(A173,[26]Бобовые!$A$119:$W$131,23,)</f>
        <v>0</v>
      </c>
      <c r="P173" s="96">
        <f>VLOOKUP(A173,[26]Бобовые!$A$119:$AH$131,34,)</f>
        <v>0</v>
      </c>
      <c r="Q173" s="92">
        <f>VLOOKUP(A173,[26]Овощи!$A$119:$L$131,12,)</f>
        <v>77.390000000000015</v>
      </c>
      <c r="R173" s="93">
        <f>VLOOKUP(A173,[26]Овощи!$A$119:$W$131,23,)</f>
        <v>82.070000000000007</v>
      </c>
      <c r="S173" s="93">
        <f>VLOOKUP(A173,[26]Овощи!$A$119:$AH$131,34,)</f>
        <v>82.1</v>
      </c>
      <c r="T173" s="93">
        <f>VLOOKUP(A173,[26]Овощи!$A$119:$AS$131,45,)</f>
        <v>83.97</v>
      </c>
      <c r="U173" s="93">
        <f>VLOOKUP(A173,[26]Овощи!$A$119:$BD$131,56,)</f>
        <v>88.86999999999999</v>
      </c>
      <c r="V173" s="93">
        <f>VLOOKUP(A173,[26]Овощи!$A$119:$BO$131,67,)</f>
        <v>88.690000000000012</v>
      </c>
      <c r="W173" s="123">
        <f>VLOOKUP(A173,[26]Овощи!$A$119:$BZ$131,78,)</f>
        <v>67.52000000000001</v>
      </c>
      <c r="X173" s="97">
        <f>VLOOKUP(A173,[26]Бахчевые!$A$119:$L$131,12,)</f>
        <v>98.890000000000015</v>
      </c>
      <c r="Y173" s="121">
        <f>VLOOKUP(A173,[26]Бахчевые!$A$119:$W$131,23,)</f>
        <v>89.239999999999981</v>
      </c>
    </row>
    <row r="174" spans="1:25">
      <c r="A174" s="104" t="s">
        <v>126</v>
      </c>
      <c r="B174" s="92">
        <f>VLOOKUP(A174,[26]Зерновые!$A$119:$L$131,12,)</f>
        <v>1.2100000000000002</v>
      </c>
      <c r="C174" s="93">
        <f>VLOOKUP(A174,[26]Зерновые!$A$119:$W$131,23,)</f>
        <v>1.23</v>
      </c>
      <c r="D174" s="93">
        <f>VLOOKUP(A174,[26]Зерновые!$A$119:$AH$131,34,)</f>
        <v>0</v>
      </c>
      <c r="E174" s="93">
        <f>VLOOKUP(A174,[26]Зерновые!$A$119:$AS$131,45,)</f>
        <v>1.2899999999999998</v>
      </c>
      <c r="F174" s="93">
        <f>VLOOKUP(A174,[26]Зерновые!$A$119:$BD$131,56,)</f>
        <v>0</v>
      </c>
      <c r="G174" s="96">
        <f>VLOOKUP(A174,[26]Зерновые!$A$119:$BO$131,67,)</f>
        <v>0</v>
      </c>
      <c r="H174" s="132">
        <f>VLOOKUP(A174,[26]Зерновые!$A$119:$BZ$131,78,)</f>
        <v>0</v>
      </c>
      <c r="I174" s="92">
        <f>VLOOKUP(A174,[26]Масличные!$A$119:$L$131,12,)</f>
        <v>0</v>
      </c>
      <c r="J174" s="96">
        <f>VLOOKUP(A174,[26]Масличные!$A$119:$W$131,23,)</f>
        <v>0</v>
      </c>
      <c r="K174" s="93">
        <f>VLOOKUP(A174,[26]Масличные!$A$119:$AH$131,34,)</f>
        <v>0</v>
      </c>
      <c r="L174" s="93">
        <f>VLOOKUP(A174,[26]Масличные!$A$119:$AS$131,45,)</f>
        <v>0</v>
      </c>
      <c r="M174" s="123">
        <f>VLOOKUP(A174,[26]Масличные!$A$119:$BD$131,56,)</f>
        <v>0</v>
      </c>
      <c r="N174" s="93">
        <f>VLOOKUP(A174,[26]Бобовые!$A$119:$L$131,12,)</f>
        <v>0</v>
      </c>
      <c r="O174" s="96">
        <f>VLOOKUP(A174,[26]Бобовые!$A$119:$W$131,23,)</f>
        <v>0</v>
      </c>
      <c r="P174" s="96">
        <f>VLOOKUP(A174,[26]Бобовые!$A$119:$AH$131,34,)</f>
        <v>0</v>
      </c>
      <c r="Q174" s="92">
        <f>VLOOKUP(A174,[26]Овощи!$A$119:$L$131,12,)</f>
        <v>80.489999999999995</v>
      </c>
      <c r="R174" s="93">
        <f>VLOOKUP(A174,[26]Овощи!$A$119:$W$131,23,)</f>
        <v>93.789999999999992</v>
      </c>
      <c r="S174" s="93">
        <f>VLOOKUP(A174,[26]Овощи!$A$119:$AH$131,34,)</f>
        <v>86.01</v>
      </c>
      <c r="T174" s="93">
        <f>VLOOKUP(A174,[26]Овощи!$A$119:$AS$131,45,)</f>
        <v>30.76</v>
      </c>
      <c r="U174" s="93">
        <f>VLOOKUP(A174,[26]Овощи!$A$119:$BD$131,56,)</f>
        <v>103.22999999999999</v>
      </c>
      <c r="V174" s="93">
        <f>VLOOKUP(A174,[26]Овощи!$A$119:$BO$131,67,)</f>
        <v>101.72</v>
      </c>
      <c r="W174" s="123">
        <f>VLOOKUP(A174,[26]Овощи!$A$119:$BZ$131,78,)</f>
        <v>54.260000000000005</v>
      </c>
      <c r="X174" s="97">
        <f>VLOOKUP(A174,[26]Бахчевые!$A$119:$L$131,12,)</f>
        <v>152.97000000000003</v>
      </c>
      <c r="Y174" s="121">
        <f>VLOOKUP(A174,[26]Бахчевые!$A$119:$W$131,23,)</f>
        <v>130.80000000000001</v>
      </c>
    </row>
    <row r="175" spans="1:25">
      <c r="A175" s="104" t="s">
        <v>127</v>
      </c>
      <c r="B175" s="92">
        <f>VLOOKUP(A175,[26]Зерновые!$A$119:$L$131,12,)</f>
        <v>5.2630501930501925</v>
      </c>
      <c r="C175" s="93">
        <f>VLOOKUP(A175,[26]Зерновые!$A$119:$W$131,23,)</f>
        <v>5.6334065934065922</v>
      </c>
      <c r="D175" s="93">
        <f>VLOOKUP(A175,[26]Зерновые!$A$119:$AH$131,34,)</f>
        <v>0</v>
      </c>
      <c r="E175" s="93">
        <f>VLOOKUP(A175,[26]Зерновые!$A$119:$AS$131,45,)</f>
        <v>2.58</v>
      </c>
      <c r="F175" s="93">
        <f>VLOOKUP(A175,[26]Зерновые!$A$119:$BD$131,56,)</f>
        <v>0</v>
      </c>
      <c r="G175" s="96">
        <f>VLOOKUP(A175,[26]Зерновые!$A$119:$BO$131,67,)</f>
        <v>0</v>
      </c>
      <c r="H175" s="132">
        <f>VLOOKUP(A175,[26]Зерновые!$A$119:$BZ$131,78,)</f>
        <v>0</v>
      </c>
      <c r="I175" s="92">
        <f>VLOOKUP(A175,[26]Масличные!$A$119:$L$131,12,)</f>
        <v>1.4604761904761905</v>
      </c>
      <c r="J175" s="96">
        <f>VLOOKUP(A175,[26]Масличные!$A$119:$W$131,23,)</f>
        <v>0</v>
      </c>
      <c r="K175" s="93">
        <f>VLOOKUP(A175,[26]Масличные!$A$119:$AH$131,34,)</f>
        <v>0.54</v>
      </c>
      <c r="L175" s="93">
        <f>VLOOKUP(A175,[26]Масличные!$A$119:$AS$131,45,)</f>
        <v>0.74</v>
      </c>
      <c r="M175" s="123">
        <f>VLOOKUP(A175,[26]Масличные!$A$119:$BD$131,56,)</f>
        <v>3.04</v>
      </c>
      <c r="N175" s="93">
        <f>VLOOKUP(A175,[26]Бобовые!$A$119:$L$131,12,)</f>
        <v>1.7100000000000002</v>
      </c>
      <c r="O175" s="96">
        <f>VLOOKUP(A175,[26]Бобовые!$A$119:$W$131,23,)</f>
        <v>0</v>
      </c>
      <c r="P175" s="96">
        <f>VLOOKUP(A175,[26]Бобовые!$A$119:$AH$131,34,)</f>
        <v>0</v>
      </c>
      <c r="Q175" s="92">
        <f>VLOOKUP(A175,[26]Овощи!$A$119:$L$131,12,)</f>
        <v>112.25999999999999</v>
      </c>
      <c r="R175" s="93">
        <f>VLOOKUP(A175,[26]Овощи!$A$119:$W$131,23,)</f>
        <v>112.02000000000001</v>
      </c>
      <c r="S175" s="93">
        <f>VLOOKUP(A175,[26]Овощи!$A$119:$AH$131,34,)</f>
        <v>104.6</v>
      </c>
      <c r="T175" s="93">
        <f>VLOOKUP(A175,[26]Овощи!$A$119:$AS$131,45,)</f>
        <v>124.97999999999998</v>
      </c>
      <c r="U175" s="93">
        <f>VLOOKUP(A175,[26]Овощи!$A$119:$BD$131,56,)</f>
        <v>113.06000000000002</v>
      </c>
      <c r="V175" s="93">
        <f>VLOOKUP(A175,[26]Овощи!$A$119:$BO$131,67,)</f>
        <v>116.56999999999998</v>
      </c>
      <c r="W175" s="123">
        <f>VLOOKUP(A175,[26]Овощи!$A$119:$BZ$131,78,)</f>
        <v>103.25</v>
      </c>
      <c r="X175" s="97">
        <f>VLOOKUP(A175,[26]Бахчевые!$A$119:$L$131,12,)</f>
        <v>108.22</v>
      </c>
      <c r="Y175" s="121">
        <f>VLOOKUP(A175,[26]Бахчевые!$A$119:$W$131,23,)</f>
        <v>102.63</v>
      </c>
    </row>
    <row r="176" spans="1:25">
      <c r="A176" s="104" t="s">
        <v>128</v>
      </c>
      <c r="B176" s="92">
        <f>VLOOKUP(A176,[26]Зерновые!$A$119:$L$131,12,)</f>
        <v>6.45</v>
      </c>
      <c r="C176" s="93">
        <f>VLOOKUP(A176,[26]Зерновые!$A$119:$W$131,23,)</f>
        <v>7.0933333333333337</v>
      </c>
      <c r="D176" s="93">
        <f>VLOOKUP(A176,[26]Зерновые!$A$119:$AH$131,34,)</f>
        <v>1.03</v>
      </c>
      <c r="E176" s="93">
        <f>VLOOKUP(A176,[26]Зерновые!$A$119:$AS$131,45,)</f>
        <v>5.67</v>
      </c>
      <c r="F176" s="93">
        <f>VLOOKUP(A176,[26]Зерновые!$A$119:$BD$131,56,)</f>
        <v>0</v>
      </c>
      <c r="G176" s="96">
        <f>VLOOKUP(A176,[26]Зерновые!$A$119:$BO$131,67,)</f>
        <v>0</v>
      </c>
      <c r="H176" s="132">
        <f>VLOOKUP(A176,[26]Зерновые!$A$119:$BZ$131,78,)</f>
        <v>0</v>
      </c>
      <c r="I176" s="92">
        <f>VLOOKUP(A176,[26]Масличные!$A$119:$L$131,12,)</f>
        <v>2.5100000000000002</v>
      </c>
      <c r="J176" s="96">
        <f>VLOOKUP(A176,[26]Масличные!$A$119:$W$131,23,)</f>
        <v>0</v>
      </c>
      <c r="K176" s="93">
        <f>VLOOKUP(A176,[26]Масличные!$A$119:$AH$131,34,)</f>
        <v>0.22000000000000003</v>
      </c>
      <c r="L176" s="93">
        <f>VLOOKUP(A176,[26]Масличные!$A$119:$AS$131,45,)</f>
        <v>0.9</v>
      </c>
      <c r="M176" s="123">
        <f>VLOOKUP(A176,[26]Масличные!$A$119:$BD$131,56,)</f>
        <v>0</v>
      </c>
      <c r="N176" s="93">
        <f>VLOOKUP(A176,[26]Бобовые!$A$119:$L$131,12,)</f>
        <v>2.08</v>
      </c>
      <c r="O176" s="96">
        <f>VLOOKUP(A176,[26]Бобовые!$A$119:$W$131,23,)</f>
        <v>0</v>
      </c>
      <c r="P176" s="96">
        <f>VLOOKUP(A176,[26]Бобовые!$A$119:$AH$131,34,)</f>
        <v>0</v>
      </c>
      <c r="Q176" s="92">
        <f>VLOOKUP(A176,[26]Овощи!$A$119:$L$131,12,)</f>
        <v>106.53999999999999</v>
      </c>
      <c r="R176" s="93">
        <f>VLOOKUP(A176,[26]Овощи!$A$119:$W$131,23,)</f>
        <v>97.580000000000013</v>
      </c>
      <c r="S176" s="93">
        <f>VLOOKUP(A176,[26]Овощи!$A$119:$AH$131,34,)</f>
        <v>101.02000000000001</v>
      </c>
      <c r="T176" s="93">
        <f>VLOOKUP(A176,[26]Овощи!$A$119:$AS$131,45,)</f>
        <v>102.76999999999998</v>
      </c>
      <c r="U176" s="93">
        <f>VLOOKUP(A176,[26]Овощи!$A$119:$BD$131,56,)</f>
        <v>97.34</v>
      </c>
      <c r="V176" s="93">
        <f>VLOOKUP(A176,[26]Овощи!$A$119:$BO$131,67,)</f>
        <v>99.7</v>
      </c>
      <c r="W176" s="123">
        <f>VLOOKUP(A176,[26]Овощи!$A$119:$BZ$131,78,)</f>
        <v>101.91</v>
      </c>
      <c r="X176" s="97">
        <f>VLOOKUP(A176,[26]Бахчевые!$A$119:$L$131,12,)</f>
        <v>110.17</v>
      </c>
      <c r="Y176" s="121">
        <f>VLOOKUP(A176,[26]Бахчевые!$A$119:$W$131,23,)</f>
        <v>53.92</v>
      </c>
    </row>
    <row r="177" spans="1:25">
      <c r="A177" s="104" t="s">
        <v>129</v>
      </c>
      <c r="B177" s="92">
        <f>VLOOKUP(A177,[26]Зерновые!$A$119:$L$131,12,)</f>
        <v>7.7000000000000011</v>
      </c>
      <c r="C177" s="93">
        <f>VLOOKUP(A177,[26]Зерновые!$A$119:$W$131,23,)</f>
        <v>6.2793028705330993</v>
      </c>
      <c r="D177" s="93">
        <f>VLOOKUP(A177,[26]Зерновые!$A$119:$AH$131,34,)</f>
        <v>3.2675000000000005</v>
      </c>
      <c r="E177" s="93">
        <f>VLOOKUP(A177,[26]Зерновые!$A$119:$AS$131,45,)</f>
        <v>5.2387500000000005</v>
      </c>
      <c r="F177" s="93">
        <f>VLOOKUP(A177,[26]Зерновые!$A$119:$BD$131,56,)</f>
        <v>1.27</v>
      </c>
      <c r="G177" s="96">
        <f>VLOOKUP(A177,[26]Зерновые!$A$119:$BO$131,67,)</f>
        <v>0</v>
      </c>
      <c r="H177" s="132">
        <f>VLOOKUP(A177,[26]Зерновые!$A$119:$BZ$131,78,)</f>
        <v>0</v>
      </c>
      <c r="I177" s="92">
        <f>VLOOKUP(A177,[26]Масличные!$A$119:$L$131,12,)</f>
        <v>3.7688328075709778</v>
      </c>
      <c r="J177" s="96">
        <f>VLOOKUP(A177,[26]Масличные!$A$119:$W$131,23,)</f>
        <v>0</v>
      </c>
      <c r="K177" s="93">
        <f>VLOOKUP(A177,[26]Масличные!$A$119:$AH$131,34,)</f>
        <v>1.5726337688442211</v>
      </c>
      <c r="L177" s="93">
        <f>VLOOKUP(A177,[26]Масличные!$A$119:$AS$131,45,)</f>
        <v>0.82</v>
      </c>
      <c r="M177" s="123">
        <f>VLOOKUP(A177,[26]Масличные!$A$119:$BD$131,56,)</f>
        <v>3.7621397379912667</v>
      </c>
      <c r="N177" s="93">
        <f>VLOOKUP(A177,[26]Бобовые!$A$119:$L$131,12,)</f>
        <v>5.3324324324324319</v>
      </c>
      <c r="O177" s="96">
        <f>VLOOKUP(A177,[26]Бобовые!$A$119:$W$131,23,)</f>
        <v>0</v>
      </c>
      <c r="P177" s="96">
        <f>VLOOKUP(A177,[26]Бобовые!$A$119:$AH$131,34,)</f>
        <v>0</v>
      </c>
      <c r="Q177" s="92">
        <f>VLOOKUP(A177,[26]Овощи!$A$119:$L$131,12,)</f>
        <v>135.65000000000003</v>
      </c>
      <c r="R177" s="93">
        <f>VLOOKUP(A177,[26]Овощи!$A$119:$W$131,23,)</f>
        <v>118.4</v>
      </c>
      <c r="S177" s="93">
        <f>VLOOKUP(A177,[26]Овощи!$A$119:$AH$131,34,)</f>
        <v>116.16</v>
      </c>
      <c r="T177" s="93">
        <f>VLOOKUP(A177,[26]Овощи!$A$119:$AS$131,45,)</f>
        <v>145.66</v>
      </c>
      <c r="U177" s="93">
        <f>VLOOKUP(A177,[26]Овощи!$A$119:$BD$131,56,)</f>
        <v>111.29</v>
      </c>
      <c r="V177" s="93">
        <f>VLOOKUP(A177,[26]Овощи!$A$119:$BO$131,67,)</f>
        <v>119.16</v>
      </c>
      <c r="W177" s="123">
        <f>VLOOKUP(A177,[26]Овощи!$A$119:$BZ$131,78,)</f>
        <v>112.26000000000002</v>
      </c>
      <c r="X177" s="137">
        <f>VLOOKUP(A177,[26]Бахчевые!$A$119:$L$131,12,)</f>
        <v>129.53</v>
      </c>
      <c r="Y177" s="121">
        <f>VLOOKUP(A177,[26]Бахчевые!$A$119:$W$131,23,)</f>
        <v>125.71</v>
      </c>
    </row>
    <row r="178" spans="1:25">
      <c r="A178" s="104" t="s">
        <v>130</v>
      </c>
      <c r="B178" s="92">
        <f>VLOOKUP(A178,[26]Зерновые!$A$119:$L$131,12,)</f>
        <v>6.18923076923077</v>
      </c>
      <c r="C178" s="93">
        <f>VLOOKUP(A178,[26]Зерновые!$A$119:$W$131,23,)</f>
        <v>5.4036541143654109</v>
      </c>
      <c r="D178" s="93">
        <f>VLOOKUP(A178,[26]Зерновые!$A$119:$AH$131,34,)</f>
        <v>1.26</v>
      </c>
      <c r="E178" s="93">
        <f>VLOOKUP(A178,[26]Зерновые!$A$119:$AS$131,45,)</f>
        <v>5.865041551246537</v>
      </c>
      <c r="F178" s="93">
        <f>VLOOKUP(A178,[26]Зерновые!$A$119:$BD$131,56,)</f>
        <v>0.28999999999999998</v>
      </c>
      <c r="G178" s="96">
        <f>VLOOKUP(A178,[26]Зерновые!$A$119:$BO$131,67,)</f>
        <v>0</v>
      </c>
      <c r="H178" s="132">
        <f>VLOOKUP(A178,[26]Зерновые!$A$119:$BZ$131,78,)</f>
        <v>0</v>
      </c>
      <c r="I178" s="92">
        <f>VLOOKUP(A178,[26]Масличные!$A$119:$L$131,12,)</f>
        <v>3.1856172839506174</v>
      </c>
      <c r="J178" s="96">
        <f>VLOOKUP(A178,[26]Масличные!$A$119:$W$131,23,)</f>
        <v>0</v>
      </c>
      <c r="K178" s="93">
        <f>VLOOKUP(A178,[26]Масличные!$A$119:$AH$131,34,)</f>
        <v>0</v>
      </c>
      <c r="L178" s="93">
        <f>VLOOKUP(A178,[26]Масличные!$A$119:$AS$131,45,)</f>
        <v>0.8933333333333332</v>
      </c>
      <c r="M178" s="123">
        <f>VLOOKUP(A178,[26]Масличные!$A$119:$BD$131,56,)</f>
        <v>1.9620000000000002</v>
      </c>
      <c r="N178" s="93">
        <f>VLOOKUP(A178,[26]Бобовые!$A$119:$L$131,12,)</f>
        <v>0</v>
      </c>
      <c r="O178" s="96">
        <f>VLOOKUP(A178,[26]Бобовые!$A$119:$W$131,23,)</f>
        <v>0</v>
      </c>
      <c r="P178" s="96">
        <f>VLOOKUP(A178,[26]Бобовые!$A$119:$AH$131,34,)</f>
        <v>0</v>
      </c>
      <c r="Q178" s="92">
        <f>VLOOKUP(A178,[26]Овощи!$A$119:$L$131,12,)</f>
        <v>103.96999999999998</v>
      </c>
      <c r="R178" s="93">
        <f>VLOOKUP(A178,[26]Овощи!$A$119:$W$131,23,)</f>
        <v>95.53</v>
      </c>
      <c r="S178" s="93">
        <f>VLOOKUP(A178,[26]Овощи!$A$119:$AH$131,34,)</f>
        <v>102.80999999999999</v>
      </c>
      <c r="T178" s="93">
        <f>VLOOKUP(A178,[26]Овощи!$A$119:$AS$131,45,)</f>
        <v>102.06</v>
      </c>
      <c r="U178" s="93">
        <f>VLOOKUP(A178,[26]Овощи!$A$119:$BD$131,56,)</f>
        <v>98.610000000000014</v>
      </c>
      <c r="V178" s="93">
        <f>VLOOKUP(A178,[26]Овощи!$A$119:$BO$131,67,)</f>
        <v>101.76</v>
      </c>
      <c r="W178" s="123">
        <f>VLOOKUP(A178,[26]Овощи!$A$119:$BZ$131,78,)</f>
        <v>97.45999999999998</v>
      </c>
      <c r="X178" s="97">
        <f>VLOOKUP(A178,[26]Бахчевые!$A$119:$L$131,12,)</f>
        <v>103.33</v>
      </c>
      <c r="Y178" s="138">
        <f>VLOOKUP(A178,[26]Бахчевые!$A$119:$W$131,23,)</f>
        <v>82.24</v>
      </c>
    </row>
    <row r="179" spans="1:25" ht="13.8" thickBot="1">
      <c r="A179" s="107" t="s">
        <v>131</v>
      </c>
      <c r="B179" s="98">
        <f>VLOOKUP(A179,[26]Зерновые!$A$119:$L$131,12,)</f>
        <v>6.0884182305630024</v>
      </c>
      <c r="C179" s="99">
        <f>VLOOKUP(A179,[26]Зерновые!$A$119:$W$131,23,)</f>
        <v>6.3350000000000009</v>
      </c>
      <c r="D179" s="99">
        <f>VLOOKUP(A179,[26]Зерновые!$A$119:$AH$131,34,)</f>
        <v>5.14</v>
      </c>
      <c r="E179" s="99">
        <f>VLOOKUP(A179,[26]Зерновые!$A$119:$AS$131,45,)</f>
        <v>5.1815384615384614</v>
      </c>
      <c r="F179" s="99">
        <f>VLOOKUP(A179,[26]Зерновые!$A$119:$BD$131,56,)</f>
        <v>0</v>
      </c>
      <c r="G179" s="103">
        <f>VLOOKUP(A179,[26]Зерновые!$A$119:$BO$131,67,)</f>
        <v>0</v>
      </c>
      <c r="H179" s="133">
        <f>VLOOKUP(A179,[26]Зерновые!$A$119:$BZ$131,78,)</f>
        <v>0</v>
      </c>
      <c r="I179" s="98">
        <f>VLOOKUP(A179,[26]Масличные!$A$119:$L$131,12,)</f>
        <v>1.1300000000000001</v>
      </c>
      <c r="J179" s="103">
        <f>VLOOKUP(A179,[26]Масличные!$A$119:$W$131,23,)</f>
        <v>0</v>
      </c>
      <c r="K179" s="99">
        <f>VLOOKUP(A179,[26]Масличные!$A$119:$AH$131,34,)</f>
        <v>0</v>
      </c>
      <c r="L179" s="99">
        <f>VLOOKUP(A179,[26]Масличные!$A$119:$AS$131,45,)</f>
        <v>0.01</v>
      </c>
      <c r="M179" s="124">
        <f>VLOOKUP(A179,[26]Масличные!$A$119:$BD$131,56,)</f>
        <v>0.29500000000000004</v>
      </c>
      <c r="N179" s="99">
        <f>VLOOKUP(A179,[26]Бобовые!$A$119:$L$131,12,)</f>
        <v>4.2625242718446597</v>
      </c>
      <c r="O179" s="103">
        <f>VLOOKUP(A179,[26]Бобовые!$A$119:$W$131,23,)</f>
        <v>0</v>
      </c>
      <c r="P179" s="103">
        <f>VLOOKUP(A179,[26]Бобовые!$A$119:$AH$131,34,)</f>
        <v>0</v>
      </c>
      <c r="Q179" s="98">
        <f>VLOOKUP(A179,[26]Овощи!$A$119:$L$131,12,)</f>
        <v>134.37</v>
      </c>
      <c r="R179" s="99">
        <f>VLOOKUP(A179,[26]Овощи!$A$119:$W$131,23,)</f>
        <v>141.45999999999998</v>
      </c>
      <c r="S179" s="99">
        <f>VLOOKUP(A179,[26]Овощи!$A$119:$AH$131,34,)</f>
        <v>138.97</v>
      </c>
      <c r="T179" s="99">
        <f>VLOOKUP(A179,[26]Овощи!$A$119:$AS$131,45,)</f>
        <v>161.87</v>
      </c>
      <c r="U179" s="99">
        <f>VLOOKUP(A179,[26]Овощи!$A$119:$BD$131,56,)</f>
        <v>134.67000000000002</v>
      </c>
      <c r="V179" s="99">
        <f>VLOOKUP(A179,[26]Овощи!$A$119:$BO$131,67,)</f>
        <v>142.18</v>
      </c>
      <c r="W179" s="124">
        <f>VLOOKUP(A179,[26]Овощи!$A$119:$BZ$131,78,)</f>
        <v>139.89999999999998</v>
      </c>
      <c r="X179" s="101">
        <f>VLOOKUP(A179,[26]Бахчевые!$A$119:$L$131,12,)</f>
        <v>174.14</v>
      </c>
      <c r="Y179" s="122">
        <f>VLOOKUP(A179,[26]Бахчевые!$A$119:$W$131,23,)</f>
        <v>147.87</v>
      </c>
    </row>
    <row r="180" spans="1:25">
      <c r="A180" s="172"/>
      <c r="B180" s="90"/>
      <c r="C180" s="90"/>
      <c r="D180" s="90"/>
      <c r="E180" s="90"/>
      <c r="F180" s="90"/>
      <c r="G180" s="173"/>
      <c r="H180" s="173"/>
      <c r="I180" s="90"/>
      <c r="J180" s="173"/>
      <c r="K180" s="90"/>
      <c r="L180" s="90"/>
      <c r="M180" s="90"/>
      <c r="N180" s="90"/>
      <c r="O180" s="173"/>
      <c r="P180" s="173"/>
      <c r="Q180" s="90"/>
      <c r="R180" s="90"/>
      <c r="S180" s="90"/>
      <c r="T180" s="90"/>
      <c r="U180" s="90"/>
      <c r="V180" s="90"/>
      <c r="W180" s="90"/>
      <c r="X180" s="178"/>
      <c r="Y180" s="178"/>
    </row>
    <row r="181" spans="1:25">
      <c r="A181" s="172"/>
      <c r="B181" s="90"/>
      <c r="C181" s="90"/>
      <c r="D181" s="90"/>
      <c r="E181" s="90"/>
      <c r="F181" s="90"/>
      <c r="G181" s="173"/>
      <c r="H181" s="173"/>
      <c r="I181" s="90"/>
      <c r="J181" s="173"/>
      <c r="K181" s="90"/>
      <c r="L181" s="90"/>
      <c r="M181" s="90"/>
      <c r="N181" s="90"/>
      <c r="O181" s="173"/>
      <c r="P181" s="173"/>
      <c r="Q181" s="90"/>
      <c r="R181" s="90"/>
      <c r="S181" s="90"/>
      <c r="T181" s="90"/>
      <c r="U181" s="90"/>
      <c r="V181" s="90"/>
      <c r="W181" s="90"/>
      <c r="X181" s="178"/>
      <c r="Y181" s="178"/>
    </row>
    <row r="182" spans="1:25">
      <c r="A182" s="172"/>
      <c r="B182" s="90"/>
      <c r="C182" s="90"/>
      <c r="D182" s="90"/>
      <c r="E182" s="90"/>
      <c r="F182" s="90"/>
      <c r="G182" s="173"/>
      <c r="H182" s="173"/>
      <c r="I182" s="90"/>
      <c r="J182" s="173"/>
      <c r="K182" s="90"/>
      <c r="L182" s="90"/>
      <c r="M182" s="90"/>
      <c r="N182" s="90"/>
      <c r="O182" s="173"/>
      <c r="P182" s="173"/>
      <c r="Q182" s="90"/>
      <c r="R182" s="90"/>
      <c r="S182" s="90"/>
      <c r="T182" s="90"/>
      <c r="U182" s="90"/>
      <c r="V182" s="90"/>
      <c r="W182" s="90"/>
      <c r="X182" s="178"/>
      <c r="Y182" s="178"/>
    </row>
    <row r="183" spans="1:25">
      <c r="A183" s="172"/>
      <c r="B183" s="90"/>
      <c r="C183" s="90"/>
      <c r="D183" s="90"/>
      <c r="E183" s="90"/>
      <c r="F183" s="90"/>
      <c r="G183" s="173"/>
      <c r="H183" s="173"/>
      <c r="I183" s="90"/>
      <c r="J183" s="173"/>
      <c r="K183" s="90"/>
      <c r="L183" s="90"/>
      <c r="M183" s="90"/>
      <c r="N183" s="90"/>
      <c r="O183" s="173"/>
      <c r="P183" s="173"/>
      <c r="Q183" s="90"/>
      <c r="R183" s="90"/>
      <c r="S183" s="90"/>
      <c r="T183" s="90"/>
      <c r="U183" s="90"/>
      <c r="V183" s="90"/>
      <c r="W183" s="90"/>
      <c r="X183" s="178"/>
      <c r="Y183" s="178"/>
    </row>
    <row r="184" spans="1:25">
      <c r="A184" s="172"/>
      <c r="B184" s="90"/>
      <c r="C184" s="90"/>
      <c r="D184" s="90"/>
      <c r="E184" s="90"/>
      <c r="F184" s="90"/>
      <c r="G184" s="173"/>
      <c r="H184" s="173"/>
      <c r="I184" s="90"/>
      <c r="J184" s="173"/>
      <c r="K184" s="90"/>
      <c r="L184" s="90"/>
      <c r="M184" s="90"/>
      <c r="N184" s="90"/>
      <c r="O184" s="173"/>
      <c r="P184" s="173"/>
      <c r="Q184" s="90"/>
      <c r="R184" s="90"/>
      <c r="S184" s="90"/>
      <c r="T184" s="90"/>
      <c r="U184" s="90"/>
      <c r="V184" s="90"/>
      <c r="W184" s="90"/>
      <c r="X184" s="178"/>
      <c r="Y184" s="178"/>
    </row>
    <row r="185" spans="1:25">
      <c r="A185" s="172"/>
      <c r="B185" s="90"/>
      <c r="C185" s="90"/>
      <c r="D185" s="90"/>
      <c r="E185" s="90"/>
      <c r="F185" s="90"/>
      <c r="G185" s="173"/>
      <c r="H185" s="173"/>
      <c r="I185" s="90"/>
      <c r="J185" s="173"/>
      <c r="K185" s="90"/>
      <c r="L185" s="90"/>
      <c r="M185" s="90"/>
      <c r="N185" s="90"/>
      <c r="O185" s="173"/>
      <c r="P185" s="173"/>
      <c r="Q185" s="90"/>
      <c r="R185" s="90"/>
      <c r="S185" s="90"/>
      <c r="T185" s="90"/>
      <c r="U185" s="90"/>
      <c r="V185" s="90"/>
      <c r="W185" s="90"/>
      <c r="X185" s="178"/>
      <c r="Y185" s="178"/>
    </row>
    <row r="186" spans="1:25">
      <c r="A186" s="172"/>
      <c r="B186" s="90"/>
      <c r="C186" s="90"/>
      <c r="D186" s="90"/>
      <c r="E186" s="90"/>
      <c r="F186" s="90"/>
      <c r="G186" s="173"/>
      <c r="H186" s="173"/>
      <c r="I186" s="90"/>
      <c r="J186" s="173"/>
      <c r="K186" s="90"/>
      <c r="L186" s="90"/>
      <c r="M186" s="90"/>
      <c r="N186" s="90"/>
      <c r="O186" s="173"/>
      <c r="P186" s="173"/>
      <c r="Q186" s="90"/>
      <c r="R186" s="90"/>
      <c r="S186" s="90"/>
      <c r="T186" s="90"/>
      <c r="U186" s="90"/>
      <c r="V186" s="90"/>
      <c r="W186" s="90"/>
      <c r="X186" s="178"/>
      <c r="Y186" s="178"/>
    </row>
    <row r="187" spans="1:25" ht="13.8" thickBot="1">
      <c r="A187" s="91"/>
      <c r="B187" s="90"/>
      <c r="C187" s="90"/>
      <c r="D187" s="90"/>
      <c r="E187" s="90"/>
      <c r="F187" s="90"/>
      <c r="G187" s="90"/>
      <c r="H187" s="90"/>
    </row>
    <row r="188" spans="1:25">
      <c r="A188" s="808" t="s">
        <v>288</v>
      </c>
      <c r="B188" s="805" t="s">
        <v>269</v>
      </c>
      <c r="C188" s="806"/>
      <c r="D188" s="806"/>
      <c r="E188" s="806"/>
      <c r="F188" s="806"/>
      <c r="G188" s="806"/>
      <c r="H188" s="807"/>
      <c r="I188" s="799" t="s">
        <v>316</v>
      </c>
      <c r="J188" s="800"/>
      <c r="K188" s="800"/>
      <c r="L188" s="800"/>
      <c r="M188" s="801"/>
      <c r="N188" s="799" t="s">
        <v>317</v>
      </c>
      <c r="O188" s="800"/>
      <c r="P188" s="800"/>
      <c r="Q188" s="800" t="s">
        <v>322</v>
      </c>
      <c r="R188" s="800"/>
      <c r="S188" s="800"/>
      <c r="T188" s="800"/>
      <c r="U188" s="800"/>
      <c r="V188" s="800"/>
      <c r="W188" s="800"/>
      <c r="X188" s="799" t="s">
        <v>330</v>
      </c>
      <c r="Y188" s="801"/>
    </row>
    <row r="189" spans="1:25" ht="20.399999999999999">
      <c r="A189" s="809"/>
      <c r="B189" s="119" t="s">
        <v>270</v>
      </c>
      <c r="C189" s="116" t="s">
        <v>83</v>
      </c>
      <c r="D189" s="116" t="s">
        <v>84</v>
      </c>
      <c r="E189" s="116" t="s">
        <v>271</v>
      </c>
      <c r="F189" s="116" t="s">
        <v>272</v>
      </c>
      <c r="G189" s="116" t="s">
        <v>314</v>
      </c>
      <c r="H189" s="120" t="s">
        <v>273</v>
      </c>
      <c r="I189" s="119" t="s">
        <v>243</v>
      </c>
      <c r="J189" s="116" t="s">
        <v>244</v>
      </c>
      <c r="K189" s="116" t="s">
        <v>258</v>
      </c>
      <c r="L189" s="116" t="s">
        <v>315</v>
      </c>
      <c r="M189" s="120" t="s">
        <v>245</v>
      </c>
      <c r="N189" s="119" t="s">
        <v>318</v>
      </c>
      <c r="O189" s="116" t="s">
        <v>319</v>
      </c>
      <c r="P189" s="116" t="s">
        <v>320</v>
      </c>
      <c r="Q189" s="118" t="s">
        <v>323</v>
      </c>
      <c r="R189" s="116" t="s">
        <v>324</v>
      </c>
      <c r="S189" s="116" t="s">
        <v>325</v>
      </c>
      <c r="T189" s="116" t="s">
        <v>326</v>
      </c>
      <c r="U189" s="116" t="s">
        <v>327</v>
      </c>
      <c r="V189" s="116" t="s">
        <v>328</v>
      </c>
      <c r="W189" s="125" t="s">
        <v>329</v>
      </c>
      <c r="X189" s="119" t="s">
        <v>331</v>
      </c>
      <c r="Y189" s="120" t="s">
        <v>332</v>
      </c>
    </row>
    <row r="190" spans="1:25">
      <c r="A190" s="104" t="s">
        <v>132</v>
      </c>
      <c r="B190" s="111">
        <f>VLOOKUP(A190,[26]Зерновые!$A$136:$L$153,12,)</f>
        <v>3.9918300000000002</v>
      </c>
      <c r="C190" s="105">
        <f>VLOOKUP(A190,[26]Зерновые!$A$136:$W$153,23,)</f>
        <v>3.7189999999999999</v>
      </c>
      <c r="D190" s="105">
        <f>VLOOKUP(A190,[26]Зерновые!$A$136:$AH$153,34,)</f>
        <v>0</v>
      </c>
      <c r="E190" s="105">
        <f>VLOOKUP(A190,[26]Зерновые!$A$136:$AS$153,45,)</f>
        <v>0</v>
      </c>
      <c r="F190" s="105">
        <f>VLOOKUP(A190,[26]Зерновые!$A$136:$BD$153,56,)</f>
        <v>0</v>
      </c>
      <c r="G190" s="105">
        <f>VLOOKUP(A190,[26]Зерновые!$A$136:$BO$153,67,)</f>
        <v>0</v>
      </c>
      <c r="H190" s="159">
        <f>VLOOKUP(A190,[26]Зерновые!$A$136:$BZ$153,78,)</f>
        <v>0</v>
      </c>
      <c r="I190" s="111">
        <f>VLOOKUP(A190,[26]Масличные!$A$136:$L$153,12,)</f>
        <v>18.949669999999998</v>
      </c>
      <c r="J190" s="105">
        <f>VLOOKUP(A190,[26]Масличные!$A$136:$W$153,23,)</f>
        <v>0</v>
      </c>
      <c r="K190" s="105">
        <f>VLOOKUP(A190,[26]Масличные!$A$136:$AH$153,34,)</f>
        <v>0</v>
      </c>
      <c r="L190" s="163">
        <f>VLOOKUP(A190,[26]Масличные!$A$136:$AS$153,45,)</f>
        <v>0</v>
      </c>
      <c r="M190" s="127">
        <f>VLOOKUP(A190,[26]Масличные!$A$136:$BD$153,56,)</f>
        <v>0</v>
      </c>
      <c r="N190" s="111">
        <f>VLOOKUP(A190,[26]Бобовые!$A$136:$L$153,12,)</f>
        <v>0</v>
      </c>
      <c r="O190" s="105">
        <f>VLOOKUP(A190,[26]Бобовые!$A$136:$W$153,23,)</f>
        <v>29.125000000000007</v>
      </c>
      <c r="P190" s="105">
        <f>VLOOKUP(A190,[26]Бобовые!$A$136:$AH$153,34,)</f>
        <v>10.98333</v>
      </c>
      <c r="Q190" s="105">
        <f>VLOOKUP(A190,[26]Овощи!$A$136:$L$153,12,)</f>
        <v>196.86185000000003</v>
      </c>
      <c r="R190" s="105">
        <f>VLOOKUP(A190,[26]Овощи!$A$136:$W$153,23,)</f>
        <v>203.41932000000003</v>
      </c>
      <c r="S190" s="105">
        <f>VLOOKUP(A190,[26]Овощи!$A$136:$AH$153,34,)</f>
        <v>324.05909000000008</v>
      </c>
      <c r="T190" s="105">
        <f>VLOOKUP(A190,[26]Овощи!$A$136:$AS$153,45,)</f>
        <v>391.05005</v>
      </c>
      <c r="U190" s="105">
        <f>VLOOKUP(A190,[26]Овощи!$A$136:$BD$153,56,)</f>
        <v>307.23478</v>
      </c>
      <c r="V190" s="105">
        <f>VLOOKUP(A190,[26]Овощи!$A$136:$BO$153,67,)</f>
        <v>335.47080999999997</v>
      </c>
      <c r="W190" s="105">
        <f>VLOOKUP(A190,[26]Овощи!$A$136:$BZ$153,78,)</f>
        <v>352.97908999999999</v>
      </c>
      <c r="X190" s="97">
        <f>VLOOKUP(A190,[26]Бахчевые!$A$136:$L$153,12,FALSE)</f>
        <v>125.14000000000001</v>
      </c>
      <c r="Y190" s="121">
        <f>VLOOKUP(A190,[26]Бахчевые!$A$136:$W$153,23,)</f>
        <v>0</v>
      </c>
    </row>
    <row r="191" spans="1:25">
      <c r="A191" s="104" t="s">
        <v>133</v>
      </c>
      <c r="B191" s="111">
        <f>VLOOKUP(A191,[26]Зерновые!$A$136:$L$153,12,)</f>
        <v>0</v>
      </c>
      <c r="C191" s="105">
        <f>VLOOKUP(A191,[26]Зерновые!$A$136:$W$153,23,)</f>
        <v>0</v>
      </c>
      <c r="D191" s="105">
        <f>VLOOKUP(A191,[26]Зерновые!$A$136:$AH$153,34,)</f>
        <v>0</v>
      </c>
      <c r="E191" s="105">
        <f>VLOOKUP(A191,[26]Зерновые!$A$136:$AS$153,45,)</f>
        <v>0</v>
      </c>
      <c r="F191" s="105">
        <f>VLOOKUP(A191,[26]Зерновые!$A$136:$BD$153,56,)</f>
        <v>0</v>
      </c>
      <c r="G191" s="105">
        <f>VLOOKUP(A191,[26]Зерновые!$A$136:$BO$153,67,)</f>
        <v>2.2000000000000002</v>
      </c>
      <c r="H191" s="159">
        <f>VLOOKUP(A191,[26]Зерновые!$A$136:$BZ$153,78,)</f>
        <v>0</v>
      </c>
      <c r="I191" s="111">
        <f>VLOOKUP(A191,[26]Масличные!$A$136:$L$153,12,)</f>
        <v>16.29</v>
      </c>
      <c r="J191" s="105">
        <f>VLOOKUP(A191,[26]Масличные!$A$136:$W$153,23,)</f>
        <v>0</v>
      </c>
      <c r="K191" s="105">
        <f>VLOOKUP(A191,[26]Масличные!$A$136:$AH$153,34,)</f>
        <v>0</v>
      </c>
      <c r="L191" s="163">
        <f>VLOOKUP(A191,[26]Масличные!$A$136:$AS$153,45,)</f>
        <v>0</v>
      </c>
      <c r="M191" s="127">
        <f>VLOOKUP(A191,[26]Масличные!$A$136:$BD$153,56,)</f>
        <v>0</v>
      </c>
      <c r="N191" s="111">
        <f>VLOOKUP(A191,[26]Бобовые!$A$136:$L$153,12,)</f>
        <v>0</v>
      </c>
      <c r="O191" s="105">
        <f>VLOOKUP(A191,[26]Бобовые!$A$136:$W$153,23,)</f>
        <v>0</v>
      </c>
      <c r="P191" s="105">
        <f>VLOOKUP(A191,[26]Бобовые!$A$136:$AH$153,34,)</f>
        <v>0</v>
      </c>
      <c r="Q191" s="105">
        <f>VLOOKUP(A191,[26]Овощи!$A$136:$L$153,12,)</f>
        <v>179.26024999999998</v>
      </c>
      <c r="R191" s="105">
        <f>VLOOKUP(A191,[26]Овощи!$A$136:$W$153,23,)</f>
        <v>178.15165999999999</v>
      </c>
      <c r="S191" s="105">
        <f>VLOOKUP(A191,[26]Овощи!$A$136:$AH$153,34,)</f>
        <v>346.64767999999998</v>
      </c>
      <c r="T191" s="105">
        <f>VLOOKUP(A191,[26]Овощи!$A$136:$AS$153,45,)</f>
        <v>243.12963000000005</v>
      </c>
      <c r="U191" s="105">
        <f>VLOOKUP(A191,[26]Овощи!$A$136:$BD$153,56,)</f>
        <v>210.43271999999996</v>
      </c>
      <c r="V191" s="105">
        <f>VLOOKUP(A191,[26]Овощи!$A$136:$BO$153,67,)</f>
        <v>234.65093999999999</v>
      </c>
      <c r="W191" s="105">
        <f>VLOOKUP(A191,[26]Овощи!$A$136:$BZ$153,78,)</f>
        <v>176.13755999999998</v>
      </c>
      <c r="X191" s="97">
        <f>VLOOKUP(A191,[26]Бахчевые!$A$136:$L$153,12,FALSE)</f>
        <v>237.05</v>
      </c>
      <c r="Y191" s="121">
        <f>VLOOKUP(A191,[26]Бахчевые!$A$136:$W$153,23,)</f>
        <v>168.13091000000003</v>
      </c>
    </row>
    <row r="192" spans="1:25">
      <c r="A192" s="104" t="s">
        <v>134</v>
      </c>
      <c r="B192" s="111">
        <f>VLOOKUP(A192,[26]Зерновые!$A$136:$L$153,12,)</f>
        <v>0</v>
      </c>
      <c r="C192" s="105">
        <f>VLOOKUP(A192,[26]Зерновые!$A$136:$W$153,23,)</f>
        <v>0</v>
      </c>
      <c r="D192" s="105">
        <f>VLOOKUP(A192,[26]Зерновые!$A$136:$AH$153,34,)</f>
        <v>0</v>
      </c>
      <c r="E192" s="105">
        <f>VLOOKUP(A192,[26]Зерновые!$A$136:$AS$153,45,)</f>
        <v>0</v>
      </c>
      <c r="F192" s="105">
        <f>VLOOKUP(A192,[26]Зерновые!$A$136:$BD$153,56,)</f>
        <v>0</v>
      </c>
      <c r="G192" s="105">
        <f>VLOOKUP(A192,[26]Зерновые!$A$136:$BO$153,67,)</f>
        <v>0</v>
      </c>
      <c r="H192" s="159">
        <f>VLOOKUP(A192,[26]Зерновые!$A$136:$BZ$153,78,)</f>
        <v>0</v>
      </c>
      <c r="I192" s="111">
        <f>VLOOKUP(A192,[26]Масличные!$A$136:$L$153,12,)</f>
        <v>7.08</v>
      </c>
      <c r="J192" s="105">
        <f>VLOOKUP(A192,[26]Масличные!$A$136:$W$153,23,)</f>
        <v>0</v>
      </c>
      <c r="K192" s="105">
        <f>VLOOKUP(A192,[26]Масличные!$A$136:$AH$153,34,)</f>
        <v>0</v>
      </c>
      <c r="L192" s="163">
        <f>VLOOKUP(A192,[26]Масличные!$A$136:$AS$153,45,)</f>
        <v>0</v>
      </c>
      <c r="M192" s="127">
        <f>VLOOKUP(A192,[26]Масличные!$A$136:$BD$153,56,)</f>
        <v>0</v>
      </c>
      <c r="N192" s="111">
        <f>VLOOKUP(A192,[26]Бобовые!$A$136:$L$153,12,)</f>
        <v>0</v>
      </c>
      <c r="O192" s="105">
        <f>VLOOKUP(A192,[26]Бобовые!$A$136:$W$153,23,)</f>
        <v>0</v>
      </c>
      <c r="P192" s="105">
        <f>VLOOKUP(A192,[26]Бобовые!$A$136:$AH$153,34,)</f>
        <v>0</v>
      </c>
      <c r="Q192" s="105">
        <f>VLOOKUP(A192,[26]Овощи!$A$136:$L$153,12,)</f>
        <v>206.91131000000001</v>
      </c>
      <c r="R192" s="105">
        <f>VLOOKUP(A192,[26]Овощи!$A$136:$W$153,23,)</f>
        <v>163.79733999999999</v>
      </c>
      <c r="S192" s="105">
        <f>VLOOKUP(A192,[26]Овощи!$A$136:$AH$153,34,)</f>
        <v>341.44731999999999</v>
      </c>
      <c r="T192" s="105">
        <f>VLOOKUP(A192,[26]Овощи!$A$136:$AS$153,45,)</f>
        <v>252.96464</v>
      </c>
      <c r="U192" s="105">
        <f>VLOOKUP(A192,[26]Овощи!$A$136:$BD$153,56,)</f>
        <v>229.13878999999997</v>
      </c>
      <c r="V192" s="105">
        <f>VLOOKUP(A192,[26]Овощи!$A$136:$BO$153,67,)</f>
        <v>260.80080000000004</v>
      </c>
      <c r="W192" s="105">
        <f>VLOOKUP(A192,[26]Овощи!$A$136:$BZ$153,78,)</f>
        <v>260.24951000000004</v>
      </c>
      <c r="X192" s="97">
        <f>VLOOKUP(A192,[26]Бахчевые!$A$136:$L$153,12,FALSE)</f>
        <v>190.54794000000001</v>
      </c>
      <c r="Y192" s="121">
        <f>VLOOKUP(A192,[26]Бахчевые!$A$136:$W$153,23,)</f>
        <v>180.82729999999998</v>
      </c>
    </row>
    <row r="193" spans="1:25">
      <c r="A193" s="104" t="s">
        <v>135</v>
      </c>
      <c r="B193" s="111">
        <f>VLOOKUP(A193,[26]Зерновые!$A$136:$L$153,12,)</f>
        <v>0</v>
      </c>
      <c r="C193" s="105">
        <f>VLOOKUP(A193,[26]Зерновые!$A$136:$W$153,23,)</f>
        <v>0</v>
      </c>
      <c r="D193" s="105">
        <f>VLOOKUP(A193,[26]Зерновые!$A$136:$AH$153,34,)</f>
        <v>0</v>
      </c>
      <c r="E193" s="105">
        <f>VLOOKUP(A193,[26]Зерновые!$A$136:$AS$153,45,)</f>
        <v>0</v>
      </c>
      <c r="F193" s="105">
        <f>VLOOKUP(A193,[26]Зерновые!$A$136:$BD$153,56,)</f>
        <v>0</v>
      </c>
      <c r="G193" s="105">
        <f>VLOOKUP(A193,[26]Зерновые!$A$136:$BO$153,67,)</f>
        <v>0</v>
      </c>
      <c r="H193" s="159">
        <f>VLOOKUP(A193,[26]Зерновые!$A$136:$BZ$153,78,)</f>
        <v>0</v>
      </c>
      <c r="I193" s="111">
        <f>VLOOKUP(A193,[26]Масличные!$A$136:$L$153,12,)</f>
        <v>7.1</v>
      </c>
      <c r="J193" s="105">
        <f>VLOOKUP(A193,[26]Масличные!$A$136:$W$153,23,)</f>
        <v>0</v>
      </c>
      <c r="K193" s="105">
        <f>VLOOKUP(A193,[26]Масличные!$A$136:$AH$153,34,)</f>
        <v>0</v>
      </c>
      <c r="L193" s="163">
        <f>VLOOKUP(A193,[26]Масличные!$A$136:$AS$153,45,)</f>
        <v>0</v>
      </c>
      <c r="M193" s="127">
        <f>VLOOKUP(A193,[26]Масличные!$A$136:$BD$153,56,)</f>
        <v>0</v>
      </c>
      <c r="N193" s="111">
        <f>VLOOKUP(A193,[26]Бобовые!$A$136:$L$153,12,)</f>
        <v>0</v>
      </c>
      <c r="O193" s="105">
        <f>VLOOKUP(A193,[26]Бобовые!$A$136:$W$153,23,)</f>
        <v>0</v>
      </c>
      <c r="P193" s="105">
        <f>VLOOKUP(A193,[26]Бобовые!$A$136:$AH$153,34,)</f>
        <v>0</v>
      </c>
      <c r="Q193" s="105">
        <f>VLOOKUP(A193,[26]Овощи!$A$136:$L$153,12,)</f>
        <v>249.72376000000003</v>
      </c>
      <c r="R193" s="105">
        <f>VLOOKUP(A193,[26]Овощи!$A$136:$W$153,23,)</f>
        <v>257.11883</v>
      </c>
      <c r="S193" s="105">
        <f>VLOOKUP(A193,[26]Овощи!$A$136:$AH$153,34,)</f>
        <v>431.76105000000007</v>
      </c>
      <c r="T193" s="105">
        <f>VLOOKUP(A193,[26]Овощи!$A$136:$AS$153,45,)</f>
        <v>313.95000000000005</v>
      </c>
      <c r="U193" s="105">
        <f>VLOOKUP(A193,[26]Овощи!$A$136:$BD$153,56,)</f>
        <v>235.22318999999999</v>
      </c>
      <c r="V193" s="105">
        <f>VLOOKUP(A193,[26]Овощи!$A$136:$BO$153,67,)</f>
        <v>300.98347999999999</v>
      </c>
      <c r="W193" s="105">
        <f>VLOOKUP(A193,[26]Овощи!$A$136:$BZ$153,78,)</f>
        <v>361.40566000000001</v>
      </c>
      <c r="X193" s="97">
        <f>VLOOKUP(A193,[26]Бахчевые!$A$136:$L$153,12,FALSE)</f>
        <v>90.490000000000009</v>
      </c>
      <c r="Y193" s="121">
        <f>VLOOKUP(A193,[26]Бахчевые!$A$136:$W$153,23,)</f>
        <v>60.1</v>
      </c>
    </row>
    <row r="194" spans="1:25">
      <c r="A194" s="104" t="s">
        <v>198</v>
      </c>
      <c r="B194" s="111">
        <f>VLOOKUP(A194,[26]Зерновые!$A$136:$L$153,12,)</f>
        <v>0</v>
      </c>
      <c r="C194" s="105">
        <f>VLOOKUP(A194,[26]Зерновые!$A$136:$W$153,23,)</f>
        <v>0</v>
      </c>
      <c r="D194" s="105">
        <f>VLOOKUP(A194,[26]Зерновые!$A$136:$AH$153,34,)</f>
        <v>0</v>
      </c>
      <c r="E194" s="105">
        <f>VLOOKUP(A194,[26]Зерновые!$A$136:$AS$153,45,)</f>
        <v>0</v>
      </c>
      <c r="F194" s="105">
        <f>VLOOKUP(A194,[26]Зерновые!$A$136:$BD$153,56,)</f>
        <v>0</v>
      </c>
      <c r="G194" s="105">
        <f>VLOOKUP(A194,[26]Зерновые!$A$136:$BO$153,67,)</f>
        <v>0</v>
      </c>
      <c r="H194" s="159">
        <f>VLOOKUP(A194,[26]Зерновые!$A$136:$BZ$153,78,)</f>
        <v>0</v>
      </c>
      <c r="I194" s="111">
        <f>VLOOKUP(A194,[26]Масличные!$A$136:$L$153,12,)</f>
        <v>0</v>
      </c>
      <c r="J194" s="105">
        <f>VLOOKUP(A194,[26]Масличные!$A$136:$W$153,23,)</f>
        <v>0</v>
      </c>
      <c r="K194" s="105">
        <f>VLOOKUP(A194,[26]Масличные!$A$136:$AH$153,34,)</f>
        <v>0</v>
      </c>
      <c r="L194" s="163">
        <f>VLOOKUP(A194,[26]Масличные!$A$136:$AS$153,45,)</f>
        <v>0</v>
      </c>
      <c r="M194" s="127">
        <f>VLOOKUP(A194,[26]Масличные!$A$136:$BD$153,56,)</f>
        <v>0</v>
      </c>
      <c r="N194" s="111">
        <f>VLOOKUP(A194,[26]Бобовые!$A$136:$L$153,12,)</f>
        <v>0</v>
      </c>
      <c r="O194" s="105">
        <f>VLOOKUP(A194,[26]Бобовые!$A$136:$W$153,23,)</f>
        <v>0</v>
      </c>
      <c r="P194" s="105">
        <f>VLOOKUP(A194,[26]Бобовые!$A$136:$AH$153,34,)</f>
        <v>0</v>
      </c>
      <c r="Q194" s="105">
        <f>VLOOKUP(A194,[26]Овощи!$A$136:$L$153,12,)</f>
        <v>157.42174</v>
      </c>
      <c r="R194" s="105">
        <f>VLOOKUP(A194,[26]Овощи!$A$136:$W$153,23,)</f>
        <v>0</v>
      </c>
      <c r="S194" s="105">
        <f>VLOOKUP(A194,[26]Овощи!$A$136:$AH$153,34,)</f>
        <v>313.22999999999996</v>
      </c>
      <c r="T194" s="105">
        <f>VLOOKUP(A194,[26]Овощи!$A$136:$AS$153,45,)</f>
        <v>245.85999999999999</v>
      </c>
      <c r="U194" s="105">
        <f>VLOOKUP(A194,[26]Овощи!$A$136:$BD$153,56,)</f>
        <v>189.12223</v>
      </c>
      <c r="V194" s="105">
        <f>VLOOKUP(A194,[26]Овощи!$A$136:$BO$153,67,)</f>
        <v>138.49666999999999</v>
      </c>
      <c r="W194" s="105">
        <f>VLOOKUP(A194,[26]Овощи!$A$136:$BZ$153,78,)</f>
        <v>360.32000000000005</v>
      </c>
      <c r="X194" s="97">
        <f>VLOOKUP(A194,[26]Бахчевые!$A$136:$L$153,12,FALSE)</f>
        <v>0</v>
      </c>
      <c r="Y194" s="121">
        <f>VLOOKUP(A194,[26]Бахчевые!$A$136:$W$153,23,)</f>
        <v>0</v>
      </c>
    </row>
    <row r="195" spans="1:25">
      <c r="A195" s="104" t="s">
        <v>136</v>
      </c>
      <c r="B195" s="111">
        <f>VLOOKUP(A195,[26]Зерновые!$A$136:$L$153,12,)</f>
        <v>0</v>
      </c>
      <c r="C195" s="105">
        <f>VLOOKUP(A195,[26]Зерновые!$A$136:$W$153,23,)</f>
        <v>3.4200000000000004</v>
      </c>
      <c r="D195" s="105">
        <f>VLOOKUP(A195,[26]Зерновые!$A$136:$AH$153,34,)</f>
        <v>0</v>
      </c>
      <c r="E195" s="105">
        <f>VLOOKUP(A195,[26]Зерновые!$A$136:$AS$153,45,)</f>
        <v>0</v>
      </c>
      <c r="F195" s="105">
        <f>VLOOKUP(A195,[26]Зерновые!$A$136:$BD$153,56,)</f>
        <v>0</v>
      </c>
      <c r="G195" s="105">
        <f>VLOOKUP(A195,[26]Зерновые!$A$136:$BO$153,67,)</f>
        <v>0.5</v>
      </c>
      <c r="H195" s="159">
        <f>VLOOKUP(A195,[26]Зерновые!$A$136:$BZ$153,78,)</f>
        <v>0</v>
      </c>
      <c r="I195" s="111">
        <f>VLOOKUP(A195,[26]Масличные!$A$136:$L$153,12,)</f>
        <v>19.420000000000002</v>
      </c>
      <c r="J195" s="105">
        <f>VLOOKUP(A195,[26]Масличные!$A$136:$W$153,23,)</f>
        <v>0</v>
      </c>
      <c r="K195" s="105">
        <f>VLOOKUP(A195,[26]Масличные!$A$136:$AH$153,34,)</f>
        <v>0</v>
      </c>
      <c r="L195" s="163">
        <f>VLOOKUP(A195,[26]Масличные!$A$136:$AS$153,45,)</f>
        <v>0</v>
      </c>
      <c r="M195" s="127">
        <f>VLOOKUP(A195,[26]Масличные!$A$136:$BD$153,56,)</f>
        <v>0</v>
      </c>
      <c r="N195" s="111">
        <f>VLOOKUP(A195,[26]Бобовые!$A$136:$L$153,12,)</f>
        <v>0</v>
      </c>
      <c r="O195" s="105">
        <f>VLOOKUP(A195,[26]Бобовые!$A$136:$W$153,23,)</f>
        <v>0</v>
      </c>
      <c r="P195" s="105">
        <f>VLOOKUP(A195,[26]Бобовые!$A$136:$AH$153,34,)</f>
        <v>0</v>
      </c>
      <c r="Q195" s="105">
        <f>VLOOKUP(A195,[26]Овощи!$A$136:$L$153,12,)</f>
        <v>207.02235999999999</v>
      </c>
      <c r="R195" s="105">
        <f>VLOOKUP(A195,[26]Овощи!$A$136:$W$153,23,)</f>
        <v>205.07</v>
      </c>
      <c r="S195" s="105">
        <f>VLOOKUP(A195,[26]Овощи!$A$136:$AH$153,34,)</f>
        <v>288.63554999999997</v>
      </c>
      <c r="T195" s="105">
        <f>VLOOKUP(A195,[26]Овощи!$A$136:$AS$153,45,)</f>
        <v>378.47232000000008</v>
      </c>
      <c r="U195" s="105">
        <f>VLOOKUP(A195,[26]Овощи!$A$136:$BD$153,56,)</f>
        <v>197.41</v>
      </c>
      <c r="V195" s="105">
        <f>VLOOKUP(A195,[26]Овощи!$A$136:$BO$153,67,)</f>
        <v>370.37969999999996</v>
      </c>
      <c r="W195" s="105">
        <f>VLOOKUP(A195,[26]Овощи!$A$136:$BZ$153,78,)</f>
        <v>283.21510000000001</v>
      </c>
      <c r="X195" s="97">
        <f>VLOOKUP(A195,[26]Бахчевые!$A$136:$L$153,12,FALSE)</f>
        <v>215.78000000000003</v>
      </c>
      <c r="Y195" s="121">
        <f>VLOOKUP(A195,[26]Бахчевые!$A$136:$W$153,23,)</f>
        <v>237.61999999999998</v>
      </c>
    </row>
    <row r="196" spans="1:25">
      <c r="A196" s="104" t="s">
        <v>137</v>
      </c>
      <c r="B196" s="111">
        <f>VLOOKUP(A196,[26]Зерновые!$A$136:$L$153,12,)</f>
        <v>0</v>
      </c>
      <c r="C196" s="105">
        <f>VLOOKUP(A196,[26]Зерновые!$A$136:$W$153,23,)</f>
        <v>0</v>
      </c>
      <c r="D196" s="105">
        <f>VLOOKUP(A196,[26]Зерновые!$A$136:$AH$153,34,)</f>
        <v>0</v>
      </c>
      <c r="E196" s="105">
        <f>VLOOKUP(A196,[26]Зерновые!$A$136:$AS$153,45,)</f>
        <v>0</v>
      </c>
      <c r="F196" s="105">
        <f>VLOOKUP(A196,[26]Зерновые!$A$136:$BD$153,56,)</f>
        <v>0</v>
      </c>
      <c r="G196" s="105">
        <f>VLOOKUP(A196,[26]Зерновые!$A$136:$BO$153,67,)</f>
        <v>0</v>
      </c>
      <c r="H196" s="159">
        <f>VLOOKUP(A196,[26]Зерновые!$A$136:$BZ$153,78,)</f>
        <v>0</v>
      </c>
      <c r="I196" s="111">
        <f>VLOOKUP(A196,[26]Масличные!$A$136:$L$153,12,)</f>
        <v>0</v>
      </c>
      <c r="J196" s="105">
        <f>VLOOKUP(A196,[26]Масличные!$A$136:$W$153,23,)</f>
        <v>0</v>
      </c>
      <c r="K196" s="105">
        <f>VLOOKUP(A196,[26]Масличные!$A$136:$AH$153,34,)</f>
        <v>0</v>
      </c>
      <c r="L196" s="163">
        <f>VLOOKUP(A196,[26]Масличные!$A$136:$AS$153,45,)</f>
        <v>0</v>
      </c>
      <c r="M196" s="127">
        <f>VLOOKUP(A196,[26]Масличные!$A$136:$BD$153,56,)</f>
        <v>0</v>
      </c>
      <c r="N196" s="111">
        <f>VLOOKUP(A196,[26]Бобовые!$A$136:$L$153,12,)</f>
        <v>0</v>
      </c>
      <c r="O196" s="105">
        <f>VLOOKUP(A196,[26]Бобовые!$A$136:$W$153,23,)</f>
        <v>0</v>
      </c>
      <c r="P196" s="105">
        <f>VLOOKUP(A196,[26]Бобовые!$A$136:$AH$153,34,)</f>
        <v>0</v>
      </c>
      <c r="Q196" s="105">
        <f>VLOOKUP(A196,[26]Овощи!$A$136:$L$153,12,)</f>
        <v>172.34496999999999</v>
      </c>
      <c r="R196" s="105">
        <f>VLOOKUP(A196,[26]Овощи!$A$136:$W$153,23,)</f>
        <v>182.20406999999997</v>
      </c>
      <c r="S196" s="105">
        <f>VLOOKUP(A196,[26]Овощи!$A$136:$AH$153,34,)</f>
        <v>342.31594999999999</v>
      </c>
      <c r="T196" s="105">
        <f>VLOOKUP(A196,[26]Овощи!$A$136:$AS$153,45,)</f>
        <v>327.81970999999999</v>
      </c>
      <c r="U196" s="105">
        <f>VLOOKUP(A196,[26]Овощи!$A$136:$BD$153,56,)</f>
        <v>210.23129</v>
      </c>
      <c r="V196" s="105">
        <f>VLOOKUP(A196,[26]Овощи!$A$136:$BO$153,67,)</f>
        <v>254.72042999999999</v>
      </c>
      <c r="W196" s="105">
        <f>VLOOKUP(A196,[26]Овощи!$A$136:$BZ$153,78,)</f>
        <v>276.18</v>
      </c>
      <c r="X196" s="97">
        <f>VLOOKUP(A196,[26]Бахчевые!$A$136:$L$153,12,FALSE)</f>
        <v>113.54</v>
      </c>
      <c r="Y196" s="121">
        <f>VLOOKUP(A196,[26]Бахчевые!$A$136:$W$153,23,)</f>
        <v>156.43385000000001</v>
      </c>
    </row>
    <row r="197" spans="1:25">
      <c r="A197" s="104" t="s">
        <v>138</v>
      </c>
      <c r="B197" s="111">
        <f>VLOOKUP(A197,[26]Зерновые!$A$136:$L$153,12,)</f>
        <v>0</v>
      </c>
      <c r="C197" s="105">
        <f>VLOOKUP(A197,[26]Зерновые!$A$136:$W$153,23,)</f>
        <v>0</v>
      </c>
      <c r="D197" s="105">
        <f>VLOOKUP(A197,[26]Зерновые!$A$136:$AH$153,34,)</f>
        <v>0</v>
      </c>
      <c r="E197" s="105">
        <f>VLOOKUP(A197,[26]Зерновые!$A$136:$AS$153,45,)</f>
        <v>0</v>
      </c>
      <c r="F197" s="105">
        <f>VLOOKUP(A197,[26]Зерновые!$A$136:$BD$153,56,)</f>
        <v>0</v>
      </c>
      <c r="G197" s="105">
        <f>VLOOKUP(A197,[26]Зерновые!$A$136:$BO$153,67,)</f>
        <v>0</v>
      </c>
      <c r="H197" s="159">
        <f>VLOOKUP(A197,[26]Зерновые!$A$136:$BZ$153,78,)</f>
        <v>0</v>
      </c>
      <c r="I197" s="111">
        <f>VLOOKUP(A197,[26]Масличные!$A$136:$L$153,12,)</f>
        <v>14.62</v>
      </c>
      <c r="J197" s="105">
        <f>VLOOKUP(A197,[26]Масличные!$A$136:$W$153,23,)</f>
        <v>0</v>
      </c>
      <c r="K197" s="105">
        <f>VLOOKUP(A197,[26]Масличные!$A$136:$AH$153,34,)</f>
        <v>0</v>
      </c>
      <c r="L197" s="163">
        <f>VLOOKUP(A197,[26]Масличные!$A$136:$AS$153,45,)</f>
        <v>0</v>
      </c>
      <c r="M197" s="127">
        <f>VLOOKUP(A197,[26]Масличные!$A$136:$BD$153,56,)</f>
        <v>0</v>
      </c>
      <c r="N197" s="111">
        <f>VLOOKUP(A197,[26]Бобовые!$A$136:$L$153,12,)</f>
        <v>0</v>
      </c>
      <c r="O197" s="105">
        <f>VLOOKUP(A197,[26]Бобовые!$A$136:$W$153,23,)</f>
        <v>29.877930000000003</v>
      </c>
      <c r="P197" s="105">
        <f>VLOOKUP(A197,[26]Бобовые!$A$136:$AH$153,34,)</f>
        <v>18.53819</v>
      </c>
      <c r="Q197" s="105">
        <f>VLOOKUP(A197,[26]Овощи!$A$136:$L$153,12,)</f>
        <v>196.57077000000001</v>
      </c>
      <c r="R197" s="105">
        <f>VLOOKUP(A197,[26]Овощи!$A$136:$W$153,23,)</f>
        <v>212.27008999999998</v>
      </c>
      <c r="S197" s="105">
        <f>VLOOKUP(A197,[26]Овощи!$A$136:$AH$153,34,)</f>
        <v>313.03229999999996</v>
      </c>
      <c r="T197" s="105">
        <f>VLOOKUP(A197,[26]Овощи!$A$136:$AS$153,45,)</f>
        <v>299.33026000000007</v>
      </c>
      <c r="U197" s="105">
        <f>VLOOKUP(A197,[26]Овощи!$A$136:$BD$153,56,)</f>
        <v>231.99481</v>
      </c>
      <c r="V197" s="105">
        <f>VLOOKUP(A197,[26]Овощи!$A$136:$BO$153,67,)</f>
        <v>316.74571999999995</v>
      </c>
      <c r="W197" s="105">
        <f>VLOOKUP(A197,[26]Овощи!$A$136:$BZ$153,78,)</f>
        <v>302.43906000000004</v>
      </c>
      <c r="X197" s="97">
        <f>VLOOKUP(A197,[26]Бахчевые!$A$136:$L$153,12,FALSE)</f>
        <v>0</v>
      </c>
      <c r="Y197" s="121">
        <f>VLOOKUP(A197,[26]Бахчевые!$A$136:$W$153,23,)</f>
        <v>209.04000000000002</v>
      </c>
    </row>
    <row r="198" spans="1:25">
      <c r="A198" s="104" t="s">
        <v>139</v>
      </c>
      <c r="B198" s="111">
        <f>VLOOKUP(A198,[26]Зерновые!$A$136:$L$153,12,)</f>
        <v>0</v>
      </c>
      <c r="C198" s="105">
        <f>VLOOKUP(A198,[26]Зерновые!$A$136:$W$153,23,)</f>
        <v>0</v>
      </c>
      <c r="D198" s="105">
        <f>VLOOKUP(A198,[26]Зерновые!$A$136:$AH$153,34,)</f>
        <v>0</v>
      </c>
      <c r="E198" s="105">
        <f>VLOOKUP(A198,[26]Зерновые!$A$136:$AS$153,45,)</f>
        <v>0</v>
      </c>
      <c r="F198" s="105">
        <f>VLOOKUP(A198,[26]Зерновые!$A$136:$BD$153,56,)</f>
        <v>0</v>
      </c>
      <c r="G198" s="105">
        <f>VLOOKUP(A198,[26]Зерновые!$A$136:$BO$153,67,)</f>
        <v>0</v>
      </c>
      <c r="H198" s="159">
        <f>VLOOKUP(A198,[26]Зерновые!$A$136:$BZ$153,78,)</f>
        <v>0</v>
      </c>
      <c r="I198" s="111">
        <f>VLOOKUP(A198,[26]Масличные!$A$136:$L$153,12,)</f>
        <v>18.729999999999997</v>
      </c>
      <c r="J198" s="105">
        <f>VLOOKUP(A198,[26]Масличные!$A$136:$W$153,23,)</f>
        <v>0</v>
      </c>
      <c r="K198" s="105">
        <f>VLOOKUP(A198,[26]Масличные!$A$136:$AH$153,34,)</f>
        <v>0</v>
      </c>
      <c r="L198" s="163">
        <f>VLOOKUP(A198,[26]Масличные!$A$136:$AS$153,45,)</f>
        <v>0</v>
      </c>
      <c r="M198" s="127">
        <f>VLOOKUP(A198,[26]Масличные!$A$136:$BD$153,56,)</f>
        <v>0</v>
      </c>
      <c r="N198" s="111">
        <f>VLOOKUP(A198,[26]Бобовые!$A$136:$L$153,12,)</f>
        <v>0</v>
      </c>
      <c r="O198" s="105">
        <f>VLOOKUP(A198,[26]Бобовые!$A$136:$W$153,23,)</f>
        <v>0</v>
      </c>
      <c r="P198" s="105">
        <f>VLOOKUP(A198,[26]Бобовые!$A$136:$AH$153,34,)</f>
        <v>0</v>
      </c>
      <c r="Q198" s="105">
        <f>VLOOKUP(A198,[26]Овощи!$A$136:$L$153,12,)</f>
        <v>221.57168999999999</v>
      </c>
      <c r="R198" s="105">
        <f>VLOOKUP(A198,[26]Овощи!$A$136:$W$153,23,)</f>
        <v>175.29195999999999</v>
      </c>
      <c r="S198" s="105">
        <f>VLOOKUP(A198,[26]Овощи!$A$136:$AH$153,34,)</f>
        <v>328.86162000000002</v>
      </c>
      <c r="T198" s="105">
        <f>VLOOKUP(A198,[26]Овощи!$A$136:$AS$153,45,)</f>
        <v>346.17651000000006</v>
      </c>
      <c r="U198" s="105">
        <f>VLOOKUP(A198,[26]Овощи!$A$136:$BD$153,56,)</f>
        <v>347.80052000000001</v>
      </c>
      <c r="V198" s="105">
        <f>VLOOKUP(A198,[26]Овощи!$A$136:$BO$153,67,)</f>
        <v>367.28971000000001</v>
      </c>
      <c r="W198" s="105">
        <f>VLOOKUP(A198,[26]Овощи!$A$136:$BZ$153,78,)</f>
        <v>302.18716000000001</v>
      </c>
      <c r="X198" s="97">
        <f>VLOOKUP(A198,[26]Бахчевые!$A$136:$L$153,12,FALSE)</f>
        <v>94.3</v>
      </c>
      <c r="Y198" s="121">
        <f>VLOOKUP(A198,[26]Бахчевые!$A$136:$W$153,23,)</f>
        <v>14</v>
      </c>
    </row>
    <row r="199" spans="1:25">
      <c r="A199" s="104" t="s">
        <v>54</v>
      </c>
      <c r="B199" s="111">
        <f>VLOOKUP(A199,[26]Зерновые!$A$136:$L$153,12,)</f>
        <v>10.25512</v>
      </c>
      <c r="C199" s="105">
        <f>VLOOKUP(A199,[26]Зерновые!$A$136:$W$153,23,)</f>
        <v>10.184799999999999</v>
      </c>
      <c r="D199" s="105">
        <f>VLOOKUP(A199,[26]Зерновые!$A$136:$AH$153,34,)</f>
        <v>11.717449999999999</v>
      </c>
      <c r="E199" s="105">
        <f>VLOOKUP(A199,[26]Зерновые!$A$136:$AS$153,45,)</f>
        <v>0</v>
      </c>
      <c r="F199" s="105">
        <f>VLOOKUP(A199,[26]Зерновые!$A$136:$BD$153,56,)</f>
        <v>0</v>
      </c>
      <c r="G199" s="105">
        <f>VLOOKUP(A199,[26]Зерновые!$A$136:$BO$153,67,)</f>
        <v>0</v>
      </c>
      <c r="H199" s="159">
        <f>VLOOKUP(A199,[26]Зерновые!$A$136:$BZ$153,78,)</f>
        <v>0</v>
      </c>
      <c r="I199" s="111">
        <f>VLOOKUP(A199,[26]Масличные!$A$136:$L$153,12,)</f>
        <v>3</v>
      </c>
      <c r="J199" s="105">
        <f>VLOOKUP(A199,[26]Масличные!$A$136:$W$153,23,)</f>
        <v>1.3900000000000001</v>
      </c>
      <c r="K199" s="105">
        <f>VLOOKUP(A199,[26]Масличные!$A$136:$AH$153,34,)</f>
        <v>0</v>
      </c>
      <c r="L199" s="163">
        <f>VLOOKUP(A199,[26]Масличные!$A$136:$AS$153,45,)</f>
        <v>0.2</v>
      </c>
      <c r="M199" s="127">
        <f>VLOOKUP(A199,[26]Масличные!$A$136:$BD$153,56,)</f>
        <v>0.67799999999999994</v>
      </c>
      <c r="N199" s="111">
        <f>VLOOKUP(A199,[26]Бобовые!$A$136:$L$153,12,)</f>
        <v>0</v>
      </c>
      <c r="O199" s="105">
        <f>VLOOKUP(A199,[26]Бобовые!$A$136:$W$153,23,)</f>
        <v>0.27999999999999997</v>
      </c>
      <c r="P199" s="105">
        <f>VLOOKUP(A199,[26]Бобовые!$A$136:$AH$153,34,)</f>
        <v>0</v>
      </c>
      <c r="Q199" s="105">
        <f>VLOOKUP(A199,[26]Овощи!$A$136:$L$153,12,)</f>
        <v>215.71750000000003</v>
      </c>
      <c r="R199" s="105">
        <f>VLOOKUP(A199,[26]Овощи!$A$136:$W$153,23,)</f>
        <v>314.63844000000006</v>
      </c>
      <c r="S199" s="105">
        <f>VLOOKUP(A199,[26]Овощи!$A$136:$AH$153,34,)</f>
        <v>317.94369999999998</v>
      </c>
      <c r="T199" s="105">
        <f>VLOOKUP(A199,[26]Овощи!$A$136:$AS$153,45,)</f>
        <v>340.81218999999999</v>
      </c>
      <c r="U199" s="105">
        <f>VLOOKUP(A199,[26]Овощи!$A$136:$BD$153,56,)</f>
        <v>267.51680999999996</v>
      </c>
      <c r="V199" s="105">
        <f>VLOOKUP(A199,[26]Овощи!$A$136:$BO$153,67,)</f>
        <v>444.94283000000007</v>
      </c>
      <c r="W199" s="105">
        <f>VLOOKUP(A199,[26]Овощи!$A$136:$BZ$153,78,)</f>
        <v>307.78505999999999</v>
      </c>
      <c r="X199" s="97">
        <f>VLOOKUP(A199,[26]Бахчевые!$A$136:$L$153,12,FALSE)</f>
        <v>187.61</v>
      </c>
      <c r="Y199" s="121">
        <f>VLOOKUP(A199,[26]Бахчевые!$A$136:$W$153,23,)</f>
        <v>42.3</v>
      </c>
    </row>
    <row r="200" spans="1:25">
      <c r="A200" s="104" t="s">
        <v>44</v>
      </c>
      <c r="B200" s="111">
        <f>VLOOKUP(A200,[26]Зерновые!$A$136:$L$153,12,)</f>
        <v>7.30382</v>
      </c>
      <c r="C200" s="105">
        <f>VLOOKUP(A200,[26]Зерновые!$A$136:$W$153,23,)</f>
        <v>7.3519999999999994</v>
      </c>
      <c r="D200" s="105">
        <f>VLOOKUP(A200,[26]Зерновые!$A$136:$AH$153,34,)</f>
        <v>2.02</v>
      </c>
      <c r="E200" s="105">
        <f>VLOOKUP(A200,[26]Зерновые!$A$136:$AS$153,45,)</f>
        <v>0</v>
      </c>
      <c r="F200" s="105">
        <f>VLOOKUP(A200,[26]Зерновые!$A$136:$BD$153,56,)</f>
        <v>0</v>
      </c>
      <c r="G200" s="105">
        <f>VLOOKUP(A200,[26]Зерновые!$A$136:$BO$153,67,)</f>
        <v>0</v>
      </c>
      <c r="H200" s="159">
        <f>VLOOKUP(A200,[26]Зерновые!$A$136:$BZ$153,78,)</f>
        <v>0</v>
      </c>
      <c r="I200" s="111">
        <f>VLOOKUP(A200,[26]Масличные!$A$136:$L$153,12,)</f>
        <v>0</v>
      </c>
      <c r="J200" s="105">
        <f>VLOOKUP(A200,[26]Масличные!$A$136:$W$153,23,)</f>
        <v>0</v>
      </c>
      <c r="K200" s="105">
        <f>VLOOKUP(A200,[26]Масличные!$A$136:$AH$153,34,)</f>
        <v>0</v>
      </c>
      <c r="L200" s="163">
        <f>VLOOKUP(A200,[26]Масличные!$A$136:$AS$153,45,)</f>
        <v>0</v>
      </c>
      <c r="M200" s="127">
        <f>VLOOKUP(A200,[26]Масличные!$A$136:$BD$153,56,)</f>
        <v>0</v>
      </c>
      <c r="N200" s="111">
        <f>VLOOKUP(A200,[26]Бобовые!$A$136:$L$153,12,)</f>
        <v>0</v>
      </c>
      <c r="O200" s="105">
        <f>VLOOKUP(A200,[26]Бобовые!$A$136:$W$153,23,)</f>
        <v>0</v>
      </c>
      <c r="P200" s="105">
        <f>VLOOKUP(A200,[26]Бобовые!$A$136:$AH$153,34,)</f>
        <v>0</v>
      </c>
      <c r="Q200" s="105">
        <f>VLOOKUP(A200,[26]Овощи!$A$136:$L$153,12,)</f>
        <v>228.35020999999998</v>
      </c>
      <c r="R200" s="105">
        <f>VLOOKUP(A200,[26]Овощи!$A$136:$W$153,23,)</f>
        <v>240.61353</v>
      </c>
      <c r="S200" s="105">
        <f>VLOOKUP(A200,[26]Овощи!$A$136:$AH$153,34,)</f>
        <v>320.32843000000003</v>
      </c>
      <c r="T200" s="105">
        <f>VLOOKUP(A200,[26]Овощи!$A$136:$AS$153,45,)</f>
        <v>298.93911000000003</v>
      </c>
      <c r="U200" s="105">
        <f>VLOOKUP(A200,[26]Овощи!$A$136:$BD$153,56,)</f>
        <v>211.52282999999997</v>
      </c>
      <c r="V200" s="105">
        <f>VLOOKUP(A200,[26]Овощи!$A$136:$BO$153,67,)</f>
        <v>223.79803000000001</v>
      </c>
      <c r="W200" s="105">
        <f>VLOOKUP(A200,[26]Овощи!$A$136:$BZ$153,78,)</f>
        <v>309.12238000000002</v>
      </c>
      <c r="X200" s="97">
        <f>VLOOKUP(A200,[26]Бахчевые!$A$136:$L$153,12,FALSE)</f>
        <v>145.61999999999998</v>
      </c>
      <c r="Y200" s="121">
        <f>VLOOKUP(A200,[26]Бахчевые!$A$136:$W$153,23,)</f>
        <v>157.70999999999998</v>
      </c>
    </row>
    <row r="201" spans="1:25">
      <c r="A201" s="104" t="s">
        <v>140</v>
      </c>
      <c r="B201" s="111">
        <f>VLOOKUP(A201,[26]Зерновые!$A$136:$L$153,12,)</f>
        <v>8.41934</v>
      </c>
      <c r="C201" s="105">
        <f>VLOOKUP(A201,[26]Зерновые!$A$136:$W$153,23,)</f>
        <v>8.1333200000000012</v>
      </c>
      <c r="D201" s="105">
        <f>VLOOKUP(A201,[26]Зерновые!$A$136:$AH$153,34,)</f>
        <v>6.76837</v>
      </c>
      <c r="E201" s="105">
        <f>VLOOKUP(A201,[26]Зерновые!$A$136:$AS$153,45,)</f>
        <v>0</v>
      </c>
      <c r="F201" s="105">
        <f>VLOOKUP(A201,[26]Зерновые!$A$136:$BD$153,56,)</f>
        <v>1.75</v>
      </c>
      <c r="G201" s="105">
        <f>VLOOKUP(A201,[26]Зерновые!$A$136:$BO$153,67,)</f>
        <v>0</v>
      </c>
      <c r="H201" s="159">
        <f>VLOOKUP(A201,[26]Зерновые!$A$136:$BZ$153,78,)</f>
        <v>0</v>
      </c>
      <c r="I201" s="111">
        <f>VLOOKUP(A201,[26]Масличные!$A$136:$L$153,12,)</f>
        <v>7.825190000000001</v>
      </c>
      <c r="J201" s="105">
        <f>VLOOKUP(A201,[26]Масличные!$A$136:$W$153,23,)</f>
        <v>0</v>
      </c>
      <c r="K201" s="105">
        <f>VLOOKUP(A201,[26]Масличные!$A$136:$AH$153,34,)</f>
        <v>0.5</v>
      </c>
      <c r="L201" s="163">
        <f>VLOOKUP(A201,[26]Масличные!$A$136:$AS$153,45,)</f>
        <v>0</v>
      </c>
      <c r="M201" s="127">
        <f>VLOOKUP(A201,[26]Масличные!$A$136:$BD$153,56,)</f>
        <v>0.13999999999999999</v>
      </c>
      <c r="N201" s="111">
        <f>VLOOKUP(A201,[26]Бобовые!$A$136:$L$153,12,)</f>
        <v>0.49551999999999996</v>
      </c>
      <c r="O201" s="105">
        <f>VLOOKUP(A201,[26]Бобовые!$A$136:$W$153,23,)</f>
        <v>1.04</v>
      </c>
      <c r="P201" s="105">
        <f>VLOOKUP(A201,[26]Бобовые!$A$136:$AH$153,34,)</f>
        <v>0</v>
      </c>
      <c r="Q201" s="105">
        <f>VLOOKUP(A201,[26]Овощи!$A$136:$L$153,12,)</f>
        <v>190.59019000000004</v>
      </c>
      <c r="R201" s="105">
        <f>VLOOKUP(A201,[26]Овощи!$A$136:$W$153,23,)</f>
        <v>199.97003000000001</v>
      </c>
      <c r="S201" s="105">
        <f>VLOOKUP(A201,[26]Овощи!$A$136:$AH$153,34,)</f>
        <v>229.80817000000002</v>
      </c>
      <c r="T201" s="105">
        <f>VLOOKUP(A201,[26]Овощи!$A$136:$AS$153,45,)</f>
        <v>266.12358000000006</v>
      </c>
      <c r="U201" s="105">
        <f>VLOOKUP(A201,[26]Овощи!$A$136:$BD$153,56,)</f>
        <v>212.19047</v>
      </c>
      <c r="V201" s="105">
        <f>VLOOKUP(A201,[26]Овощи!$A$136:$BO$153,67,)</f>
        <v>233.44564999999997</v>
      </c>
      <c r="W201" s="105">
        <f>VLOOKUP(A201,[26]Овощи!$A$136:$BZ$153,78,)</f>
        <v>203.13105999999999</v>
      </c>
      <c r="X201" s="97">
        <f>VLOOKUP(A201,[26]Бахчевые!$A$136:$L$153,12,FALSE)</f>
        <v>160.95400000000001</v>
      </c>
      <c r="Y201" s="121">
        <f>VLOOKUP(A201,[26]Бахчевые!$A$136:$W$153,23,)</f>
        <v>75</v>
      </c>
    </row>
    <row r="202" spans="1:25">
      <c r="A202" s="104" t="s">
        <v>141</v>
      </c>
      <c r="B202" s="111">
        <f>VLOOKUP(A202,[26]Зерновые!$A$136:$L$153,12,)</f>
        <v>6.0369000000000002</v>
      </c>
      <c r="C202" s="105">
        <f>VLOOKUP(A202,[26]Зерновые!$A$136:$W$153,23,)</f>
        <v>7.73583</v>
      </c>
      <c r="D202" s="105">
        <f>VLOOKUP(A202,[26]Зерновые!$A$136:$AH$153,34,)</f>
        <v>3.3860000000000001</v>
      </c>
      <c r="E202" s="105">
        <f>VLOOKUP(A202,[26]Зерновые!$A$136:$AS$153,45,)</f>
        <v>0</v>
      </c>
      <c r="F202" s="105">
        <f>VLOOKUP(A202,[26]Зерновые!$A$136:$BD$153,56,)</f>
        <v>0</v>
      </c>
      <c r="G202" s="105">
        <f>VLOOKUP(A202,[26]Зерновые!$A$136:$BO$153,67,)</f>
        <v>0</v>
      </c>
      <c r="H202" s="159">
        <f>VLOOKUP(A202,[26]Зерновые!$A$136:$BZ$153,78,)</f>
        <v>0</v>
      </c>
      <c r="I202" s="111">
        <f>VLOOKUP(A202,[26]Масличные!$A$136:$L$153,12,)</f>
        <v>0</v>
      </c>
      <c r="J202" s="105">
        <f>VLOOKUP(A202,[26]Масличные!$A$136:$W$153,23,)</f>
        <v>0</v>
      </c>
      <c r="K202" s="105">
        <f>VLOOKUP(A202,[26]Масличные!$A$136:$AH$153,34,)</f>
        <v>0.3</v>
      </c>
      <c r="L202" s="163">
        <f>VLOOKUP(A202,[26]Масличные!$A$136:$AS$153,45,)</f>
        <v>0</v>
      </c>
      <c r="M202" s="127">
        <f>VLOOKUP(A202,[26]Масличные!$A$136:$BD$153,56,)</f>
        <v>1.8620000000000001</v>
      </c>
      <c r="N202" s="111">
        <f>VLOOKUP(A202,[26]Бобовые!$A$136:$L$153,12,)</f>
        <v>0</v>
      </c>
      <c r="O202" s="105">
        <f>VLOOKUP(A202,[26]Бобовые!$A$136:$W$153,23,)</f>
        <v>0</v>
      </c>
      <c r="P202" s="105">
        <f>VLOOKUP(A202,[26]Бобовые!$A$136:$AH$153,34,)</f>
        <v>0</v>
      </c>
      <c r="Q202" s="105">
        <f>VLOOKUP(A202,[26]Овощи!$A$136:$L$153,12,)</f>
        <v>171.77100000000002</v>
      </c>
      <c r="R202" s="105">
        <f>VLOOKUP(A202,[26]Овощи!$A$136:$W$153,23,)</f>
        <v>155.80023999999997</v>
      </c>
      <c r="S202" s="105">
        <f>VLOOKUP(A202,[26]Овощи!$A$136:$AH$153,34,)</f>
        <v>334.04832999999996</v>
      </c>
      <c r="T202" s="105">
        <f>VLOOKUP(A202,[26]Овощи!$A$136:$AS$153,45,)</f>
        <v>263.55006000000003</v>
      </c>
      <c r="U202" s="105">
        <f>VLOOKUP(A202,[26]Овощи!$A$136:$BD$153,56,)</f>
        <v>168.52272000000002</v>
      </c>
      <c r="V202" s="105">
        <f>VLOOKUP(A202,[26]Овощи!$A$136:$BO$153,67,)</f>
        <v>170.42678999999998</v>
      </c>
      <c r="W202" s="105">
        <f>VLOOKUP(A202,[26]Овощи!$A$136:$BZ$153,78,)</f>
        <v>335.50400999999999</v>
      </c>
      <c r="X202" s="97">
        <f>VLOOKUP(A202,[26]Бахчевые!$A$136:$L$153,12,FALSE)</f>
        <v>58.96</v>
      </c>
      <c r="Y202" s="121">
        <f>VLOOKUP(A202,[26]Бахчевые!$A$136:$W$153,23,)</f>
        <v>61.6</v>
      </c>
    </row>
    <row r="203" spans="1:25">
      <c r="A203" s="104" t="s">
        <v>78</v>
      </c>
      <c r="B203" s="111">
        <f>VLOOKUP(A203,[26]Зерновые!$A$136:$L$153,12,)</f>
        <v>7.7583899999999986</v>
      </c>
      <c r="C203" s="105">
        <f>VLOOKUP(A203,[26]Зерновые!$A$136:$W$153,23,)</f>
        <v>9.0992300000000004</v>
      </c>
      <c r="D203" s="105">
        <f>VLOOKUP(A203,[26]Зерновые!$A$136:$AH$153,34,)</f>
        <v>9.1650000000000009</v>
      </c>
      <c r="E203" s="105">
        <f>VLOOKUP(A203,[26]Зерновые!$A$136:$AS$153,45,)</f>
        <v>0</v>
      </c>
      <c r="F203" s="105">
        <f>VLOOKUP(A203,[26]Зерновые!$A$136:$BD$153,56,)</f>
        <v>0</v>
      </c>
      <c r="G203" s="105">
        <f>VLOOKUP(A203,[26]Зерновые!$A$136:$BO$153,67,)</f>
        <v>0</v>
      </c>
      <c r="H203" s="159">
        <f>VLOOKUP(A203,[26]Зерновые!$A$136:$BZ$153,78,)</f>
        <v>0</v>
      </c>
      <c r="I203" s="111">
        <f>VLOOKUP(A203,[26]Масличные!$A$136:$L$153,12,)</f>
        <v>0</v>
      </c>
      <c r="J203" s="105">
        <f>VLOOKUP(A203,[26]Масличные!$A$136:$W$153,23,)</f>
        <v>0</v>
      </c>
      <c r="K203" s="105">
        <f>VLOOKUP(A203,[26]Масличные!$A$136:$AH$153,34,)</f>
        <v>0</v>
      </c>
      <c r="L203" s="163">
        <f>VLOOKUP(A203,[26]Масличные!$A$136:$AS$153,45,)</f>
        <v>0</v>
      </c>
      <c r="M203" s="127">
        <f>VLOOKUP(A203,[26]Масличные!$A$136:$BD$153,56,)</f>
        <v>0</v>
      </c>
      <c r="N203" s="111">
        <f>VLOOKUP(A203,[26]Бобовые!$A$136:$L$153,12,)</f>
        <v>0</v>
      </c>
      <c r="O203" s="105">
        <f>VLOOKUP(A203,[26]Бобовые!$A$136:$W$153,23,)</f>
        <v>0</v>
      </c>
      <c r="P203" s="105">
        <f>VLOOKUP(A203,[26]Бобовые!$A$136:$AH$153,34,)</f>
        <v>0</v>
      </c>
      <c r="Q203" s="105">
        <f>VLOOKUP(A203,[26]Овощи!$A$136:$L$153,12,)</f>
        <v>175.14123000000001</v>
      </c>
      <c r="R203" s="105">
        <f>VLOOKUP(A203,[26]Овощи!$A$136:$W$153,23,)</f>
        <v>0</v>
      </c>
      <c r="S203" s="105">
        <f>VLOOKUP(A203,[26]Овощи!$A$136:$AH$153,34,)</f>
        <v>303.73</v>
      </c>
      <c r="T203" s="105">
        <f>VLOOKUP(A203,[26]Овощи!$A$136:$AS$153,45,)</f>
        <v>377.73908999999998</v>
      </c>
      <c r="U203" s="105">
        <f>VLOOKUP(A203,[26]Овощи!$A$136:$BD$153,56,)</f>
        <v>164.85333</v>
      </c>
      <c r="V203" s="105">
        <f>VLOOKUP(A203,[26]Овощи!$A$136:$BO$153,67,)</f>
        <v>171.74841999999998</v>
      </c>
      <c r="W203" s="105">
        <f>VLOOKUP(A203,[26]Овощи!$A$136:$BZ$153,78,)</f>
        <v>322.04332999999997</v>
      </c>
      <c r="X203" s="97">
        <f>VLOOKUP(A203,[26]Бахчевые!$A$136:$L$153,12,FALSE)</f>
        <v>0</v>
      </c>
      <c r="Y203" s="121">
        <f>VLOOKUP(A203,[26]Бахчевые!$A$136:$W$153,23,)</f>
        <v>0</v>
      </c>
    </row>
    <row r="204" spans="1:25">
      <c r="A204" s="104" t="s">
        <v>79</v>
      </c>
      <c r="B204" s="111">
        <f>VLOOKUP(A204,[26]Зерновые!$A$136:$L$153,12,)</f>
        <v>8.2562300000000004</v>
      </c>
      <c r="C204" s="105">
        <f>VLOOKUP(A204,[26]Зерновые!$A$136:$W$153,23,)</f>
        <v>7.4654299999999996</v>
      </c>
      <c r="D204" s="105">
        <f>VLOOKUP(A204,[26]Зерновые!$A$136:$AH$153,34,)</f>
        <v>7.1869399999999999</v>
      </c>
      <c r="E204" s="105">
        <f>VLOOKUP(A204,[26]Зерновые!$A$136:$AS$153,45,)</f>
        <v>1.008</v>
      </c>
      <c r="F204" s="105">
        <f>VLOOKUP(A204,[26]Зерновые!$A$136:$BD$153,56,)</f>
        <v>0</v>
      </c>
      <c r="G204" s="105">
        <f>VLOOKUP(A204,[26]Зерновые!$A$136:$BO$153,67,)</f>
        <v>0</v>
      </c>
      <c r="H204" s="159">
        <f>VLOOKUP(A204,[26]Зерновые!$A$136:$BZ$153,78,)</f>
        <v>0</v>
      </c>
      <c r="I204" s="111">
        <f>VLOOKUP(A204,[26]Масличные!$A$136:$L$153,12,)</f>
        <v>0.59</v>
      </c>
      <c r="J204" s="105">
        <f>VLOOKUP(A204,[26]Масличные!$A$136:$W$153,23,)</f>
        <v>0</v>
      </c>
      <c r="K204" s="105">
        <f>VLOOKUP(A204,[26]Масличные!$A$136:$AH$153,34,)</f>
        <v>2.81623</v>
      </c>
      <c r="L204" s="163">
        <f>VLOOKUP(A204,[26]Масличные!$A$136:$AS$153,45,)</f>
        <v>0.47000000000000003</v>
      </c>
      <c r="M204" s="127">
        <f>VLOOKUP(A204,[26]Масличные!$A$136:$BD$153,56,)</f>
        <v>3.3399099999999997</v>
      </c>
      <c r="N204" s="111">
        <f>VLOOKUP(A204,[26]Бобовые!$A$136:$L$153,12,)</f>
        <v>5.6690200000000015</v>
      </c>
      <c r="O204" s="105">
        <f>VLOOKUP(A204,[26]Бобовые!$A$136:$W$153,23,)</f>
        <v>0</v>
      </c>
      <c r="P204" s="105">
        <f>VLOOKUP(A204,[26]Бобовые!$A$136:$AH$153,34,)</f>
        <v>0</v>
      </c>
      <c r="Q204" s="105">
        <f>VLOOKUP(A204,[26]Овощи!$A$136:$L$153,12,)</f>
        <v>202.42170999999999</v>
      </c>
      <c r="R204" s="105">
        <f>VLOOKUP(A204,[26]Овощи!$A$136:$W$153,23,)</f>
        <v>233.13505999999998</v>
      </c>
      <c r="S204" s="105">
        <f>VLOOKUP(A204,[26]Овощи!$A$136:$AH$153,34,)</f>
        <v>249.95143000000002</v>
      </c>
      <c r="T204" s="105">
        <f>VLOOKUP(A204,[26]Овощи!$A$136:$AS$153,45,)</f>
        <v>315.16611999999998</v>
      </c>
      <c r="U204" s="105">
        <f>VLOOKUP(A204,[26]Овощи!$A$136:$BD$153,56,)</f>
        <v>326.44733000000002</v>
      </c>
      <c r="V204" s="105">
        <f>VLOOKUP(A204,[26]Овощи!$A$136:$BO$153,67,)</f>
        <v>383.51153999999997</v>
      </c>
      <c r="W204" s="105">
        <f>VLOOKUP(A204,[26]Овощи!$A$136:$BZ$153,78,)</f>
        <v>332.49986000000001</v>
      </c>
      <c r="X204" s="97">
        <f>VLOOKUP(A204,[26]Бахчевые!$A$136:$L$153,12,FALSE)</f>
        <v>260.63</v>
      </c>
      <c r="Y204" s="121">
        <f>VLOOKUP(A204,[26]Бахчевые!$A$136:$W$153,23,)</f>
        <v>53.089999999999996</v>
      </c>
    </row>
    <row r="205" spans="1:25">
      <c r="A205" s="104" t="s">
        <v>80</v>
      </c>
      <c r="B205" s="111">
        <f>VLOOKUP(A205,[26]Зерновые!$A$136:$L$153,12,)</f>
        <v>9.2950999999999997</v>
      </c>
      <c r="C205" s="105">
        <f>VLOOKUP(A205,[26]Зерновые!$A$136:$W$153,23,)</f>
        <v>9.1336600000000008</v>
      </c>
      <c r="D205" s="105">
        <f>VLOOKUP(A205,[26]Зерновые!$A$136:$AH$153,34,)</f>
        <v>8.714220000000001</v>
      </c>
      <c r="E205" s="105">
        <f>VLOOKUP(A205,[26]Зерновые!$A$136:$AS$153,45,)</f>
        <v>4.4700000000000006</v>
      </c>
      <c r="F205" s="105">
        <f>VLOOKUP(A205,[26]Зерновые!$A$136:$BD$153,56,)</f>
        <v>0.27999999999999997</v>
      </c>
      <c r="G205" s="105">
        <f>VLOOKUP(A205,[26]Зерновые!$A$136:$BO$153,67,)</f>
        <v>0.5</v>
      </c>
      <c r="H205" s="159">
        <f>VLOOKUP(A205,[26]Зерновые!$A$136:$BZ$153,78,)</f>
        <v>0</v>
      </c>
      <c r="I205" s="111">
        <f>VLOOKUP(A205,[26]Масличные!$A$136:$L$153,12,)</f>
        <v>2.8</v>
      </c>
      <c r="J205" s="105">
        <f>VLOOKUP(A205,[26]Масличные!$A$136:$W$153,23,)</f>
        <v>0</v>
      </c>
      <c r="K205" s="105">
        <f>VLOOKUP(A205,[26]Масличные!$A$136:$AH$153,34,)</f>
        <v>4.5247699999999993</v>
      </c>
      <c r="L205" s="163">
        <f>VLOOKUP(A205,[26]Масличные!$A$136:$AS$153,45,)</f>
        <v>0</v>
      </c>
      <c r="M205" s="127">
        <f>VLOOKUP(A205,[26]Масличные!$A$136:$BD$153,56,)</f>
        <v>1.0166799999999998</v>
      </c>
      <c r="N205" s="111">
        <f>VLOOKUP(A205,[26]Бобовые!$A$136:$L$153,12,)</f>
        <v>3.0795700000000004</v>
      </c>
      <c r="O205" s="105">
        <f>VLOOKUP(A205,[26]Бобовые!$A$136:$W$153,23,)</f>
        <v>3.8207700000000004</v>
      </c>
      <c r="P205" s="105">
        <f>VLOOKUP(A205,[26]Бобовые!$A$136:$AH$153,34,)</f>
        <v>0</v>
      </c>
      <c r="Q205" s="105">
        <f>VLOOKUP(A205,[26]Овощи!$A$136:$L$153,12,)</f>
        <v>201.45067</v>
      </c>
      <c r="R205" s="105">
        <f>VLOOKUP(A205,[26]Овощи!$A$136:$W$153,23,)</f>
        <v>172.66666000000001</v>
      </c>
      <c r="S205" s="105">
        <f>VLOOKUP(A205,[26]Овощи!$A$136:$AH$153,34,)</f>
        <v>232.00567000000001</v>
      </c>
      <c r="T205" s="105">
        <f>VLOOKUP(A205,[26]Овощи!$A$136:$AS$153,45,)</f>
        <v>239.58395999999999</v>
      </c>
      <c r="U205" s="105">
        <f>VLOOKUP(A205,[26]Овощи!$A$136:$BD$153,56,)</f>
        <v>169.55604</v>
      </c>
      <c r="V205" s="105">
        <f>VLOOKUP(A205,[26]Овощи!$A$136:$BO$153,67,)</f>
        <v>334.65665000000001</v>
      </c>
      <c r="W205" s="105">
        <f>VLOOKUP(A205,[26]Овощи!$A$136:$BZ$153,78,)</f>
        <v>222.23052999999999</v>
      </c>
      <c r="X205" s="97">
        <f>VLOOKUP(A205,[26]Бахчевые!$A$136:$L$153,12,FALSE)</f>
        <v>19.8</v>
      </c>
      <c r="Y205" s="121">
        <f>VLOOKUP(A205,[26]Бахчевые!$A$136:$W$153,23,)</f>
        <v>0</v>
      </c>
    </row>
    <row r="206" spans="1:25">
      <c r="A206" s="104" t="s">
        <v>81</v>
      </c>
      <c r="B206" s="111">
        <f>VLOOKUP(A206,[26]Зерновые!$A$136:$L$153,12,)</f>
        <v>8.392710000000001</v>
      </c>
      <c r="C206" s="105">
        <f>VLOOKUP(A206,[26]Зерновые!$A$136:$W$153,23,)</f>
        <v>10.105219999999999</v>
      </c>
      <c r="D206" s="105">
        <f>VLOOKUP(A206,[26]Зерновые!$A$136:$AH$153,34,)</f>
        <v>0</v>
      </c>
      <c r="E206" s="105">
        <f>VLOOKUP(A206,[26]Зерновые!$A$136:$AS$153,45,)</f>
        <v>0</v>
      </c>
      <c r="F206" s="105">
        <f>VLOOKUP(A206,[26]Зерновые!$A$136:$BD$153,56,)</f>
        <v>0</v>
      </c>
      <c r="G206" s="105">
        <f>VLOOKUP(A206,[26]Зерновые!$A$136:$BO$153,67,)</f>
        <v>0</v>
      </c>
      <c r="H206" s="159">
        <f>VLOOKUP(A206,[26]Зерновые!$A$136:$BZ$153,78,)</f>
        <v>0</v>
      </c>
      <c r="I206" s="111">
        <f>VLOOKUP(A206,[26]Масличные!$A$136:$L$153,12,)</f>
        <v>0</v>
      </c>
      <c r="J206" s="105">
        <f>VLOOKUP(A206,[26]Масличные!$A$136:$W$153,23,)</f>
        <v>0</v>
      </c>
      <c r="K206" s="105">
        <f>VLOOKUP(A206,[26]Масличные!$A$136:$AH$153,34,)</f>
        <v>0</v>
      </c>
      <c r="L206" s="163">
        <f>VLOOKUP(A206,[26]Масличные!$A$136:$AS$153,45,)</f>
        <v>0</v>
      </c>
      <c r="M206" s="127">
        <f>VLOOKUP(A206,[26]Масличные!$A$136:$BD$153,56,)</f>
        <v>1.2</v>
      </c>
      <c r="N206" s="111">
        <f>VLOOKUP(A206,[26]Бобовые!$A$136:$L$153,12,)</f>
        <v>0</v>
      </c>
      <c r="O206" s="105">
        <f>VLOOKUP(A206,[26]Бобовые!$A$136:$W$153,23,)</f>
        <v>0</v>
      </c>
      <c r="P206" s="105">
        <f>VLOOKUP(A206,[26]Бобовые!$A$136:$AH$153,34,)</f>
        <v>0</v>
      </c>
      <c r="Q206" s="105">
        <f>VLOOKUP(A206,[26]Овощи!$A$136:$L$153,12,)</f>
        <v>170.40369000000001</v>
      </c>
      <c r="R206" s="105">
        <f>VLOOKUP(A206,[26]Овощи!$A$136:$W$153,23,)</f>
        <v>0</v>
      </c>
      <c r="S206" s="105">
        <f>VLOOKUP(A206,[26]Овощи!$A$136:$AH$153,34,)</f>
        <v>356.23496</v>
      </c>
      <c r="T206" s="105">
        <f>VLOOKUP(A206,[26]Овощи!$A$136:$AS$153,45,)</f>
        <v>277.54939999999999</v>
      </c>
      <c r="U206" s="105">
        <f>VLOOKUP(A206,[26]Овощи!$A$136:$BD$153,56,)</f>
        <v>162.43394000000001</v>
      </c>
      <c r="V206" s="105">
        <f>VLOOKUP(A206,[26]Овощи!$A$136:$BO$153,67,)</f>
        <v>166.82145000000003</v>
      </c>
      <c r="W206" s="105">
        <f>VLOOKUP(A206,[26]Овощи!$A$136:$BZ$153,78,)</f>
        <v>246.88749999999999</v>
      </c>
      <c r="X206" s="97">
        <f>VLOOKUP(A206,[26]Бахчевые!$A$136:$L$153,12,FALSE)</f>
        <v>0</v>
      </c>
      <c r="Y206" s="139">
        <f>VLOOKUP(A206,[26]Бахчевые!$A$136:$W$153,23,)</f>
        <v>0</v>
      </c>
    </row>
    <row r="207" spans="1:25" ht="13.8" thickBot="1">
      <c r="A207" s="107" t="s">
        <v>82</v>
      </c>
      <c r="B207" s="112">
        <f>VLOOKUP(A207,[26]Зерновые!$A$136:$L$153,12,)</f>
        <v>6.9788100000000002</v>
      </c>
      <c r="C207" s="108">
        <f>VLOOKUP(A207,[26]Зерновые!$A$136:$W$153,23,)</f>
        <v>7.5223200000000006</v>
      </c>
      <c r="D207" s="108">
        <f>VLOOKUP(A207,[26]Зерновые!$A$136:$AH$153,34,)</f>
        <v>7.5761800000000008</v>
      </c>
      <c r="E207" s="108">
        <f>VLOOKUP(A207,[26]Зерновые!$A$136:$AS$153,45,)</f>
        <v>0</v>
      </c>
      <c r="F207" s="108">
        <f>VLOOKUP(A207,[26]Зерновые!$A$136:$BD$153,56,)</f>
        <v>0</v>
      </c>
      <c r="G207" s="108">
        <f>VLOOKUP(A207,[26]Зерновые!$A$136:$BO$153,67,)</f>
        <v>0</v>
      </c>
      <c r="H207" s="160">
        <f>VLOOKUP(A207,[26]Зерновые!$A$136:$BZ$153,78,)</f>
        <v>0</v>
      </c>
      <c r="I207" s="112">
        <f>VLOOKUP(A207,[26]Масличные!$A$136:$L$153,12,)</f>
        <v>0</v>
      </c>
      <c r="J207" s="108">
        <f>VLOOKUP(A207,[26]Масличные!$A$136:$W$153,23,)</f>
        <v>0</v>
      </c>
      <c r="K207" s="108">
        <f>VLOOKUP(A207,[26]Масличные!$A$136:$AH$153,34,)</f>
        <v>0</v>
      </c>
      <c r="L207" s="164">
        <f>VLOOKUP(A207,[26]Масличные!$A$136:$AS$153,45,)</f>
        <v>0</v>
      </c>
      <c r="M207" s="128">
        <f>VLOOKUP(A207,[26]Масличные!$A$136:$BD$153,56,)</f>
        <v>1.657</v>
      </c>
      <c r="N207" s="112">
        <f>VLOOKUP(A207,[26]Бобовые!$A$136:$L$153,12,)</f>
        <v>0</v>
      </c>
      <c r="O207" s="108">
        <f>VLOOKUP(A207,[26]Бобовые!$A$136:$W$153,23,)</f>
        <v>0</v>
      </c>
      <c r="P207" s="108">
        <f>VLOOKUP(A207,[26]Бобовые!$A$136:$AH$153,34,)</f>
        <v>0</v>
      </c>
      <c r="Q207" s="108">
        <f>VLOOKUP(A207,[26]Овощи!$A$136:$L$153,12,)</f>
        <v>217.91192999999998</v>
      </c>
      <c r="R207" s="108">
        <f>VLOOKUP(A207,[26]Овощи!$A$136:$W$153,23,)</f>
        <v>25.869999999999997</v>
      </c>
      <c r="S207" s="108">
        <f>VLOOKUP(A207,[26]Овощи!$A$136:$AH$153,34,)</f>
        <v>207.00248999999999</v>
      </c>
      <c r="T207" s="108">
        <f>VLOOKUP(A207,[26]Овощи!$A$136:$AS$153,45,)</f>
        <v>259.59681999999998</v>
      </c>
      <c r="U207" s="108">
        <f>VLOOKUP(A207,[26]Овощи!$A$136:$BD$153,56,)</f>
        <v>154.99342999999999</v>
      </c>
      <c r="V207" s="108">
        <f>VLOOKUP(A207,[26]Овощи!$A$136:$BO$153,67,)</f>
        <v>310.53564999999998</v>
      </c>
      <c r="W207" s="108">
        <f>VLOOKUP(A207,[26]Овощи!$A$136:$BZ$153,78,)</f>
        <v>222.96667000000002</v>
      </c>
      <c r="X207" s="140">
        <f>VLOOKUP(A207,[26]Бахчевые!$A$136:$L$153,12,FALSE)</f>
        <v>0</v>
      </c>
      <c r="Y207" s="122">
        <f>VLOOKUP(A207,[26]Бахчевые!$A$136:$W$153,23,)</f>
        <v>0</v>
      </c>
    </row>
    <row r="208" spans="1:25">
      <c r="A208" s="91"/>
      <c r="B208" s="90"/>
      <c r="C208" s="90"/>
      <c r="D208" s="90"/>
      <c r="E208" s="90"/>
      <c r="F208" s="90"/>
      <c r="G208" s="90"/>
      <c r="H208" s="90"/>
    </row>
    <row r="209" spans="1:25">
      <c r="A209" s="91"/>
      <c r="B209" s="90"/>
      <c r="C209" s="90"/>
      <c r="D209" s="90"/>
      <c r="E209" s="90"/>
      <c r="F209" s="90"/>
      <c r="G209" s="90"/>
      <c r="H209" s="90"/>
    </row>
    <row r="210" spans="1:25" ht="13.8" thickBot="1">
      <c r="A210" s="91"/>
      <c r="B210" s="90"/>
      <c r="C210" s="90"/>
      <c r="D210" s="90"/>
      <c r="E210" s="90"/>
      <c r="F210" s="90"/>
      <c r="G210" s="90"/>
      <c r="H210" s="90"/>
    </row>
    <row r="211" spans="1:25">
      <c r="A211" s="808" t="s">
        <v>289</v>
      </c>
      <c r="B211" s="805" t="s">
        <v>269</v>
      </c>
      <c r="C211" s="806"/>
      <c r="D211" s="806"/>
      <c r="E211" s="806"/>
      <c r="F211" s="806"/>
      <c r="G211" s="806"/>
      <c r="H211" s="807"/>
      <c r="I211" s="799" t="s">
        <v>316</v>
      </c>
      <c r="J211" s="800"/>
      <c r="K211" s="800"/>
      <c r="L211" s="800"/>
      <c r="M211" s="801"/>
      <c r="N211" s="800" t="s">
        <v>317</v>
      </c>
      <c r="O211" s="800"/>
      <c r="P211" s="800"/>
      <c r="Q211" s="799" t="s">
        <v>322</v>
      </c>
      <c r="R211" s="800"/>
      <c r="S211" s="800"/>
      <c r="T211" s="800"/>
      <c r="U211" s="800"/>
      <c r="V211" s="800"/>
      <c r="W211" s="800"/>
      <c r="X211" s="799" t="s">
        <v>330</v>
      </c>
      <c r="Y211" s="801"/>
    </row>
    <row r="212" spans="1:25" ht="20.399999999999999">
      <c r="A212" s="809"/>
      <c r="B212" s="119" t="s">
        <v>270</v>
      </c>
      <c r="C212" s="116" t="s">
        <v>83</v>
      </c>
      <c r="D212" s="116" t="s">
        <v>84</v>
      </c>
      <c r="E212" s="116" t="s">
        <v>271</v>
      </c>
      <c r="F212" s="116" t="s">
        <v>272</v>
      </c>
      <c r="G212" s="116" t="s">
        <v>314</v>
      </c>
      <c r="H212" s="120" t="s">
        <v>273</v>
      </c>
      <c r="I212" s="119" t="s">
        <v>243</v>
      </c>
      <c r="J212" s="116" t="s">
        <v>244</v>
      </c>
      <c r="K212" s="116" t="s">
        <v>258</v>
      </c>
      <c r="L212" s="116" t="s">
        <v>315</v>
      </c>
      <c r="M212" s="120" t="s">
        <v>245</v>
      </c>
      <c r="N212" s="118" t="s">
        <v>318</v>
      </c>
      <c r="O212" s="116" t="s">
        <v>319</v>
      </c>
      <c r="P212" s="116" t="s">
        <v>320</v>
      </c>
      <c r="Q212" s="119" t="s">
        <v>323</v>
      </c>
      <c r="R212" s="116" t="s">
        <v>324</v>
      </c>
      <c r="S212" s="116" t="s">
        <v>325</v>
      </c>
      <c r="T212" s="116" t="s">
        <v>326</v>
      </c>
      <c r="U212" s="116" t="s">
        <v>327</v>
      </c>
      <c r="V212" s="116" t="s">
        <v>328</v>
      </c>
      <c r="W212" s="125" t="s">
        <v>329</v>
      </c>
      <c r="X212" s="119" t="s">
        <v>331</v>
      </c>
      <c r="Y212" s="120" t="s">
        <v>332</v>
      </c>
    </row>
    <row r="213" spans="1:25">
      <c r="A213" s="104" t="s">
        <v>13</v>
      </c>
      <c r="B213" s="92">
        <f>VLOOKUP(A213,[26]Зерновые!$A$158:$L$177,12,)</f>
        <v>11.719650000000003</v>
      </c>
      <c r="C213" s="93">
        <f>VLOOKUP(A213,[26]Зерновые!$A$158:$W$177,23,)</f>
        <v>13.454380000000004</v>
      </c>
      <c r="D213" s="93">
        <f>VLOOKUP(A213,[26]Зерновые!$A$158:$AH$177,34,)</f>
        <v>14.214789999999999</v>
      </c>
      <c r="E213" s="93">
        <f>VLOOKUP(A213,[26]Зерновые!$A$158:$AS$177,45,)</f>
        <v>11.629300000000001</v>
      </c>
      <c r="F213" s="93">
        <f>VLOOKUP(A213,[26]Зерновые!$A$158:$BD$177,56,)</f>
        <v>5.4188500000000008</v>
      </c>
      <c r="G213" s="94">
        <f>VLOOKUP(A213,[26]Зерновые!$A$158:$BO$177,67,)</f>
        <v>0</v>
      </c>
      <c r="H213" s="161">
        <f>VLOOKUP(A213,[26]Зерновые!$A$158:$BZ$177,78,)</f>
        <v>0</v>
      </c>
      <c r="I213" s="92">
        <f>VLOOKUP(A213,[26]Масличные!$A$158:$L$177,12,)</f>
        <v>4.1612799999999996</v>
      </c>
      <c r="J213" s="93">
        <f>VLOOKUP(A213,[26]Масличные!$A$158:$W$177,23,)</f>
        <v>1.5649000000000002</v>
      </c>
      <c r="K213" s="93">
        <f>VLOOKUP(A213,[26]Масличные!$A$158:$AH$177,34,)</f>
        <v>5.3080699999999998</v>
      </c>
      <c r="L213" s="93">
        <f>VLOOKUP(A213,[26]Масличные!$A$158:$AS$177,45,)</f>
        <v>0.99750000000000016</v>
      </c>
      <c r="M213" s="123">
        <f>VLOOKUP(A213,[26]Масличные!$A$158:$BD$177,56,)</f>
        <v>0.59000000000000008</v>
      </c>
      <c r="N213" s="117">
        <f>VLOOKUP(A213,[26]Бобовые!$A$158:$L$177,12,)</f>
        <v>2.4647399999999999</v>
      </c>
      <c r="O213" s="93">
        <f>VLOOKUP(A213,[26]Бобовые!$A$158:$W$177,23,)</f>
        <v>5.5518300000000007</v>
      </c>
      <c r="P213" s="93">
        <f>VLOOKUP(A213,[26]Бобовые!$A$158:$AH$177,34,)</f>
        <v>1.33</v>
      </c>
      <c r="Q213" s="93">
        <f>VLOOKUP(A213,[26]Овощи!$A$158:$L$177,12,)</f>
        <v>176.31128000000001</v>
      </c>
      <c r="R213" s="93">
        <f>VLOOKUP(A213,[26]Овощи!$A$158:$W$177,23,)</f>
        <v>219.35849000000002</v>
      </c>
      <c r="S213" s="93">
        <f>VLOOKUP(A213,[26]Овощи!$A$158:$AH$177,34,)</f>
        <v>245.46610000000001</v>
      </c>
      <c r="T213" s="93">
        <f>VLOOKUP(A213,[26]Овощи!$A$158:$AS$177,45,)</f>
        <v>189.38807000000003</v>
      </c>
      <c r="U213" s="93">
        <f>VLOOKUP(A213,[26]Овощи!$A$158:$BD$177,56,)</f>
        <v>136.06358000000003</v>
      </c>
      <c r="V213" s="93">
        <f>VLOOKUP(A213,[26]Овощи!$A$158:$BO$177,67,)</f>
        <v>242.71835999999999</v>
      </c>
      <c r="W213" s="93">
        <f>VLOOKUP(A213,[26]Овощи!$A$158:$BZ$177,78,)</f>
        <v>138.57238000000001</v>
      </c>
      <c r="X213" s="92">
        <f>VLOOKUP(A213,[26]Бахчевые!$A$158:$L$177,12,)</f>
        <v>37.239999999999995</v>
      </c>
      <c r="Y213" s="121">
        <f>VLOOKUP(A213,[26]Бахчевые!$A$158:$W$177,23,)</f>
        <v>54.919999999999995</v>
      </c>
    </row>
    <row r="214" spans="1:25">
      <c r="A214" s="104" t="s">
        <v>14</v>
      </c>
      <c r="B214" s="92">
        <f>VLOOKUP(A214,[26]Зерновые!$A$158:$L$177,12,)</f>
        <v>8.7000599999999988</v>
      </c>
      <c r="C214" s="93">
        <f>VLOOKUP(A214,[26]Зерновые!$A$158:$W$177,23,)</f>
        <v>8.6238500000000009</v>
      </c>
      <c r="D214" s="93">
        <f>VLOOKUP(A214,[26]Зерновые!$A$158:$AH$177,34,)</f>
        <v>2.3950000000000005</v>
      </c>
      <c r="E214" s="93">
        <f>VLOOKUP(A214,[26]Зерновые!$A$158:$AS$177,45,)</f>
        <v>0</v>
      </c>
      <c r="F214" s="93">
        <f>VLOOKUP(A214,[26]Зерновые!$A$158:$BD$177,56,)</f>
        <v>0</v>
      </c>
      <c r="G214" s="94">
        <f>VLOOKUP(A214,[26]Зерновые!$A$158:$BO$177,67,)</f>
        <v>0</v>
      </c>
      <c r="H214" s="161">
        <f>VLOOKUP(A214,[26]Зерновые!$A$158:$BZ$177,78,)</f>
        <v>0</v>
      </c>
      <c r="I214" s="92">
        <f>VLOOKUP(A214,[26]Масличные!$A$158:$L$177,12,)</f>
        <v>0.66232000000000002</v>
      </c>
      <c r="J214" s="93">
        <f>VLOOKUP(A214,[26]Масличные!$A$158:$W$177,23,)</f>
        <v>0</v>
      </c>
      <c r="K214" s="93">
        <f>VLOOKUP(A214,[26]Масличные!$A$158:$AH$177,34,)</f>
        <v>0.1</v>
      </c>
      <c r="L214" s="93">
        <f>VLOOKUP(A214,[26]Масличные!$A$158:$AS$177,45,)</f>
        <v>0.27</v>
      </c>
      <c r="M214" s="123">
        <f>VLOOKUP(A214,[26]Масличные!$A$158:$BD$177,56,)</f>
        <v>0.7</v>
      </c>
      <c r="N214" s="117">
        <f>VLOOKUP(A214,[26]Бобовые!$A$158:$L$177,12,)</f>
        <v>0</v>
      </c>
      <c r="O214" s="93">
        <f>VLOOKUP(A214,[26]Бобовые!$A$158:$W$177,23,)</f>
        <v>0</v>
      </c>
      <c r="P214" s="93">
        <f>VLOOKUP(A214,[26]Бобовые!$A$158:$AH$177,34,)</f>
        <v>0</v>
      </c>
      <c r="Q214" s="93">
        <f>VLOOKUP(A214,[26]Овощи!$A$158:$L$177,12,)</f>
        <v>122.94679000000001</v>
      </c>
      <c r="R214" s="93">
        <f>VLOOKUP(A214,[26]Овощи!$A$158:$W$177,23,)</f>
        <v>101.35314000000001</v>
      </c>
      <c r="S214" s="93">
        <f>VLOOKUP(A214,[26]Овощи!$A$158:$AH$177,34,)</f>
        <v>107.27633</v>
      </c>
      <c r="T214" s="93">
        <f>VLOOKUP(A214,[26]Овощи!$A$158:$AS$177,45,)</f>
        <v>117.35686000000001</v>
      </c>
      <c r="U214" s="93">
        <f>VLOOKUP(A214,[26]Овощи!$A$158:$BD$177,56,)</f>
        <v>127.59308000000001</v>
      </c>
      <c r="V214" s="93">
        <f>VLOOKUP(A214,[26]Овощи!$A$158:$BO$177,67,)</f>
        <v>126.44472</v>
      </c>
      <c r="W214" s="93">
        <f>VLOOKUP(A214,[26]Овощи!$A$158:$BZ$177,78,)</f>
        <v>104.66068</v>
      </c>
      <c r="X214" s="92">
        <f>VLOOKUP(A214,[26]Бахчевые!$A$158:$L$177,12,)</f>
        <v>101.60468</v>
      </c>
      <c r="Y214" s="121">
        <f>VLOOKUP(A214,[26]Бахчевые!$A$158:$W$177,23,)</f>
        <v>85.059999999999988</v>
      </c>
    </row>
    <row r="215" spans="1:25">
      <c r="A215" s="104" t="s">
        <v>15</v>
      </c>
      <c r="B215" s="92">
        <f>VLOOKUP(A215,[26]Зерновые!$A$158:$L$177,12,)</f>
        <v>9.0974900000000005</v>
      </c>
      <c r="C215" s="93">
        <f>VLOOKUP(A215,[26]Зерновые!$A$158:$W$177,23,)</f>
        <v>9.6681299999999997</v>
      </c>
      <c r="D215" s="93">
        <f>VLOOKUP(A215,[26]Зерновые!$A$158:$AH$177,34,)</f>
        <v>8.3852399999999996</v>
      </c>
      <c r="E215" s="93">
        <f>VLOOKUP(A215,[26]Зерновые!$A$158:$AS$177,45,)</f>
        <v>5.5901300000000003</v>
      </c>
      <c r="F215" s="93">
        <f>VLOOKUP(A215,[26]Зерновые!$A$158:$BD$177,56,)</f>
        <v>0.31</v>
      </c>
      <c r="G215" s="94">
        <f>VLOOKUP(A215,[26]Зерновые!$A$158:$BO$177,67,)</f>
        <v>0</v>
      </c>
      <c r="H215" s="161">
        <f>VLOOKUP(A215,[26]Зерновые!$A$158:$BZ$177,78,)</f>
        <v>0</v>
      </c>
      <c r="I215" s="92">
        <f>VLOOKUP(A215,[26]Масличные!$A$158:$L$177,12,)</f>
        <v>3.36972</v>
      </c>
      <c r="J215" s="93">
        <f>VLOOKUP(A215,[26]Масличные!$A$158:$W$177,23,)</f>
        <v>0.5</v>
      </c>
      <c r="K215" s="93">
        <f>VLOOKUP(A215,[26]Масличные!$A$158:$AH$177,34,)</f>
        <v>2.3158300000000001</v>
      </c>
      <c r="L215" s="93">
        <f>VLOOKUP(A215,[26]Масличные!$A$158:$AS$177,45,)</f>
        <v>0.95804000000000011</v>
      </c>
      <c r="M215" s="123">
        <f>VLOOKUP(A215,[26]Масличные!$A$158:$BD$177,56,)</f>
        <v>1.63778</v>
      </c>
      <c r="N215" s="117">
        <f>VLOOKUP(A215,[26]Бобовые!$A$158:$L$177,12,)</f>
        <v>1.8</v>
      </c>
      <c r="O215" s="93">
        <f>VLOOKUP(A215,[26]Бобовые!$A$158:$W$177,23,)</f>
        <v>0.12773000000000001</v>
      </c>
      <c r="P215" s="93">
        <f>VLOOKUP(A215,[26]Бобовые!$A$158:$AH$177,34,)</f>
        <v>0</v>
      </c>
      <c r="Q215" s="93">
        <f>VLOOKUP(A215,[26]Овощи!$A$158:$L$177,12,)</f>
        <v>166.29796999999999</v>
      </c>
      <c r="R215" s="93">
        <f>VLOOKUP(A215,[26]Овощи!$A$158:$W$177,23,)</f>
        <v>203.23133999999999</v>
      </c>
      <c r="S215" s="93">
        <f>VLOOKUP(A215,[26]Овощи!$A$158:$AH$177,34,)</f>
        <v>274.50193000000002</v>
      </c>
      <c r="T215" s="93">
        <f>VLOOKUP(A215,[26]Овощи!$A$158:$AS$177,45,)</f>
        <v>295.01050999999995</v>
      </c>
      <c r="U215" s="93">
        <f>VLOOKUP(A215,[26]Овощи!$A$158:$BD$177,56,)</f>
        <v>286.91164999999995</v>
      </c>
      <c r="V215" s="93">
        <f>VLOOKUP(A215,[26]Овощи!$A$158:$BO$177,67,)</f>
        <v>261.17034000000001</v>
      </c>
      <c r="W215" s="93">
        <f>VLOOKUP(A215,[26]Овощи!$A$158:$BZ$177,78,)</f>
        <v>278.23969</v>
      </c>
      <c r="X215" s="92">
        <f>VLOOKUP(A215,[26]Бахчевые!$A$158:$L$177,12,)</f>
        <v>22.09</v>
      </c>
      <c r="Y215" s="121">
        <f>VLOOKUP(A215,[26]Бахчевые!$A$158:$W$177,23,)</f>
        <v>1</v>
      </c>
    </row>
    <row r="216" spans="1:25">
      <c r="A216" s="104" t="s">
        <v>16</v>
      </c>
      <c r="B216" s="92">
        <f>VLOOKUP(A216,[26]Зерновые!$A$158:$L$177,12,)</f>
        <v>10.015550000000001</v>
      </c>
      <c r="C216" s="93">
        <f>VLOOKUP(A216,[26]Зерновые!$A$158:$W$177,23,)</f>
        <v>10.746410000000001</v>
      </c>
      <c r="D216" s="93">
        <f>VLOOKUP(A216,[26]Зерновые!$A$158:$AH$177,34,)</f>
        <v>11.357009999999999</v>
      </c>
      <c r="E216" s="93">
        <f>VLOOKUP(A216,[26]Зерновые!$A$158:$AS$177,45,)</f>
        <v>7.9223400000000002</v>
      </c>
      <c r="F216" s="93">
        <f>VLOOKUP(A216,[26]Зерновые!$A$158:$BD$177,56,)</f>
        <v>3.5288400000000002</v>
      </c>
      <c r="G216" s="94">
        <f>VLOOKUP(A216,[26]Зерновые!$A$158:$BO$177,67,)</f>
        <v>1.94</v>
      </c>
      <c r="H216" s="161">
        <f>VLOOKUP(A216,[26]Зерновые!$A$158:$BZ$177,78,)</f>
        <v>0</v>
      </c>
      <c r="I216" s="92">
        <f>VLOOKUP(A216,[26]Масличные!$A$158:$L$177,12,)</f>
        <v>5.8282299999999996</v>
      </c>
      <c r="J216" s="93">
        <f>VLOOKUP(A216,[26]Масличные!$A$158:$W$177,23,)</f>
        <v>1.18333</v>
      </c>
      <c r="K216" s="93">
        <f>VLOOKUP(A216,[26]Масличные!$A$158:$AH$177,34,)</f>
        <v>3.4900099999999994</v>
      </c>
      <c r="L216" s="93">
        <f>VLOOKUP(A216,[26]Масличные!$A$158:$AS$177,45,)</f>
        <v>2.9695900000000002</v>
      </c>
      <c r="M216" s="123">
        <f>VLOOKUP(A216,[26]Масличные!$A$158:$BD$177,56,)</f>
        <v>0.33999999999999997</v>
      </c>
      <c r="N216" s="117">
        <f>VLOOKUP(A216,[26]Бобовые!$A$158:$L$177,12,)</f>
        <v>2.6725500000000002</v>
      </c>
      <c r="O216" s="93">
        <f>VLOOKUP(A216,[26]Бобовые!$A$158:$W$177,23,)</f>
        <v>5.5635900000000005</v>
      </c>
      <c r="P216" s="93">
        <f>VLOOKUP(A216,[26]Бобовые!$A$158:$AH$177,34,)</f>
        <v>0</v>
      </c>
      <c r="Q216" s="93">
        <f>VLOOKUP(A216,[26]Овощи!$A$158:$L$177,12,)</f>
        <v>127.12555</v>
      </c>
      <c r="R216" s="93">
        <f>VLOOKUP(A216,[26]Овощи!$A$158:$W$177,23,)</f>
        <v>187.42375999999999</v>
      </c>
      <c r="S216" s="93">
        <f>VLOOKUP(A216,[26]Овощи!$A$158:$AH$177,34,)</f>
        <v>256.84209999999996</v>
      </c>
      <c r="T216" s="93">
        <f>VLOOKUP(A216,[26]Овощи!$A$158:$AS$177,45,)</f>
        <v>299.28887999999995</v>
      </c>
      <c r="U216" s="93">
        <f>VLOOKUP(A216,[26]Овощи!$A$158:$BD$177,56,)</f>
        <v>239.65736999999999</v>
      </c>
      <c r="V216" s="93">
        <f>VLOOKUP(A216,[26]Овощи!$A$158:$BO$177,67,)</f>
        <v>243.56154999999998</v>
      </c>
      <c r="W216" s="93">
        <f>VLOOKUP(A216,[26]Овощи!$A$158:$BZ$177,78,)</f>
        <v>254.54038</v>
      </c>
      <c r="X216" s="92">
        <f>VLOOKUP(A216,[26]Бахчевые!$A$158:$L$177,12,)</f>
        <v>56.790610000000001</v>
      </c>
      <c r="Y216" s="121">
        <f>VLOOKUP(A216,[26]Бахчевые!$A$158:$W$177,23,)</f>
        <v>27.279999999999994</v>
      </c>
    </row>
    <row r="217" spans="1:25">
      <c r="A217" s="104" t="s">
        <v>27</v>
      </c>
      <c r="B217" s="92">
        <f>VLOOKUP(A217,[26]Зерновые!$A$158:$L$177,12,)</f>
        <v>7.0363599999999993</v>
      </c>
      <c r="C217" s="93">
        <f>VLOOKUP(A217,[26]Зерновые!$A$158:$W$177,23,)</f>
        <v>3.9923999999999999</v>
      </c>
      <c r="D217" s="93">
        <f>VLOOKUP(A217,[26]Зерновые!$A$158:$AH$177,34,)</f>
        <v>0</v>
      </c>
      <c r="E217" s="93">
        <f>VLOOKUP(A217,[26]Зерновые!$A$158:$AS$177,45,)</f>
        <v>0</v>
      </c>
      <c r="F217" s="93">
        <f>VLOOKUP(A217,[26]Зерновые!$A$158:$BD$177,56,)</f>
        <v>0</v>
      </c>
      <c r="G217" s="94">
        <f>VLOOKUP(A217,[26]Зерновые!$A$158:$BO$177,67,)</f>
        <v>0</v>
      </c>
      <c r="H217" s="161">
        <f>VLOOKUP(A217,[26]Зерновые!$A$158:$BZ$177,78,)</f>
        <v>0</v>
      </c>
      <c r="I217" s="92">
        <f>VLOOKUP(A217,[26]Масличные!$A$158:$L$177,12,)</f>
        <v>0.28999999999999998</v>
      </c>
      <c r="J217" s="93">
        <f>VLOOKUP(A217,[26]Масличные!$A$158:$W$177,23,)</f>
        <v>0</v>
      </c>
      <c r="K217" s="93">
        <f>VLOOKUP(A217,[26]Масличные!$A$158:$AH$177,34,)</f>
        <v>0</v>
      </c>
      <c r="L217" s="93">
        <f>VLOOKUP(A217,[26]Масличные!$A$158:$AS$177,45,)</f>
        <v>0</v>
      </c>
      <c r="M217" s="123">
        <f>VLOOKUP(A217,[26]Масличные!$A$158:$BD$177,56,)</f>
        <v>3.8439999999999999</v>
      </c>
      <c r="N217" s="117">
        <f>VLOOKUP(A217,[26]Бобовые!$A$158:$L$177,12,)</f>
        <v>0</v>
      </c>
      <c r="O217" s="93">
        <f>VLOOKUP(A217,[26]Бобовые!$A$158:$W$177,23,)</f>
        <v>0</v>
      </c>
      <c r="P217" s="93">
        <f>VLOOKUP(A217,[26]Бобовые!$A$158:$AH$177,34,)</f>
        <v>0</v>
      </c>
      <c r="Q217" s="93">
        <f>VLOOKUP(A217,[26]Овощи!$A$158:$L$177,12,)</f>
        <v>120.56925999999999</v>
      </c>
      <c r="R217" s="93">
        <f>VLOOKUP(A217,[26]Овощи!$A$158:$W$177,23,)</f>
        <v>113.09000999999998</v>
      </c>
      <c r="S217" s="93">
        <f>VLOOKUP(A217,[26]Овощи!$A$158:$AH$177,34,)</f>
        <v>135.26051999999999</v>
      </c>
      <c r="T217" s="93">
        <f>VLOOKUP(A217,[26]Овощи!$A$158:$AS$177,45,)</f>
        <v>182.3845</v>
      </c>
      <c r="U217" s="93">
        <f>VLOOKUP(A217,[26]Овощи!$A$158:$BD$177,56,)</f>
        <v>148.47668000000002</v>
      </c>
      <c r="V217" s="93">
        <f>VLOOKUP(A217,[26]Овощи!$A$158:$BO$177,67,)</f>
        <v>163.63630000000001</v>
      </c>
      <c r="W217" s="93">
        <f>VLOOKUP(A217,[26]Овощи!$A$158:$BZ$177,78,)</f>
        <v>126.04927999999998</v>
      </c>
      <c r="X217" s="92">
        <f>VLOOKUP(A217,[26]Бахчевые!$A$158:$L$177,12,)</f>
        <v>96.136279999999999</v>
      </c>
      <c r="Y217" s="121">
        <f>VLOOKUP(A217,[26]Бахчевые!$A$158:$W$177,23,)</f>
        <v>94.289999999999992</v>
      </c>
    </row>
    <row r="218" spans="1:25">
      <c r="A218" s="104" t="s">
        <v>28</v>
      </c>
      <c r="B218" s="92">
        <f>VLOOKUP(A218,[26]Зерновые!$A$158:$L$177,12,)</f>
        <v>7.003919999999999</v>
      </c>
      <c r="C218" s="93">
        <f>VLOOKUP(A218,[26]Зерновые!$A$158:$W$177,23,)</f>
        <v>7.7370199999999993</v>
      </c>
      <c r="D218" s="93">
        <f>VLOOKUP(A218,[26]Зерновые!$A$158:$AH$177,34,)</f>
        <v>5.0151500000000002</v>
      </c>
      <c r="E218" s="93">
        <f>VLOOKUP(A218,[26]Зерновые!$A$158:$AS$177,45,)</f>
        <v>1.839</v>
      </c>
      <c r="F218" s="93">
        <f>VLOOKUP(A218,[26]Зерновые!$A$158:$BD$177,56,)</f>
        <v>0</v>
      </c>
      <c r="G218" s="94">
        <f>VLOOKUP(A218,[26]Зерновые!$A$158:$BO$177,67,)</f>
        <v>0</v>
      </c>
      <c r="H218" s="161">
        <f>VLOOKUP(A218,[26]Зерновые!$A$158:$BZ$177,78,)</f>
        <v>0</v>
      </c>
      <c r="I218" s="92">
        <f>VLOOKUP(A218,[26]Масличные!$A$158:$L$177,12,)</f>
        <v>0.72750000000000004</v>
      </c>
      <c r="J218" s="93">
        <f>VLOOKUP(A218,[26]Масличные!$A$158:$W$177,23,)</f>
        <v>0.61</v>
      </c>
      <c r="K218" s="93">
        <f>VLOOKUP(A218,[26]Масличные!$A$158:$AH$177,34,)</f>
        <v>1.5716300000000001</v>
      </c>
      <c r="L218" s="93">
        <f>VLOOKUP(A218,[26]Масличные!$A$158:$AS$177,45,)</f>
        <v>0</v>
      </c>
      <c r="M218" s="123">
        <f>VLOOKUP(A218,[26]Масличные!$A$158:$BD$177,56,)</f>
        <v>0.93762000000000012</v>
      </c>
      <c r="N218" s="117">
        <f>VLOOKUP(A218,[26]Бобовые!$A$158:$L$177,12,)</f>
        <v>1.7649700000000004</v>
      </c>
      <c r="O218" s="93">
        <f>VLOOKUP(A218,[26]Бобовые!$A$158:$W$177,23,)</f>
        <v>0</v>
      </c>
      <c r="P218" s="93">
        <f>VLOOKUP(A218,[26]Бобовые!$A$158:$AH$177,34,)</f>
        <v>0</v>
      </c>
      <c r="Q218" s="93">
        <f>VLOOKUP(A218,[26]Овощи!$A$158:$L$177,12,)</f>
        <v>182.33395999999999</v>
      </c>
      <c r="R218" s="93">
        <f>VLOOKUP(A218,[26]Овощи!$A$158:$W$177,23,)</f>
        <v>224.23948000000001</v>
      </c>
      <c r="S218" s="93">
        <f>VLOOKUP(A218,[26]Овощи!$A$158:$AH$177,34,)</f>
        <v>265.46753999999999</v>
      </c>
      <c r="T218" s="93">
        <f>VLOOKUP(A218,[26]Овощи!$A$158:$AS$177,45,)</f>
        <v>282.30169999999998</v>
      </c>
      <c r="U218" s="93">
        <f>VLOOKUP(A218,[26]Овощи!$A$158:$BD$177,56,)</f>
        <v>308.37702999999999</v>
      </c>
      <c r="V218" s="93">
        <f>VLOOKUP(A218,[26]Овощи!$A$158:$BO$177,67,)</f>
        <v>255.31442999999999</v>
      </c>
      <c r="W218" s="93">
        <f>VLOOKUP(A218,[26]Овощи!$A$158:$BZ$177,78,)</f>
        <v>286.70345000000003</v>
      </c>
      <c r="X218" s="92">
        <f>VLOOKUP(A218,[26]Бахчевые!$A$158:$L$177,12,)</f>
        <v>10</v>
      </c>
      <c r="Y218" s="121">
        <f>VLOOKUP(A218,[26]Бахчевые!$A$158:$W$177,23,)</f>
        <v>4</v>
      </c>
    </row>
    <row r="219" spans="1:25">
      <c r="A219" s="104" t="s">
        <v>18</v>
      </c>
      <c r="B219" s="92">
        <f>VLOOKUP(A219,[26]Зерновые!$A$158:$L$177,12,)</f>
        <v>8.4932999999999996</v>
      </c>
      <c r="C219" s="93">
        <f>VLOOKUP(A219,[26]Зерновые!$A$158:$W$177,23,)</f>
        <v>8.7516600000000011</v>
      </c>
      <c r="D219" s="93">
        <f>VLOOKUP(A219,[26]Зерновые!$A$158:$AH$177,34,)</f>
        <v>7.4502300000000004</v>
      </c>
      <c r="E219" s="93">
        <f>VLOOKUP(A219,[26]Зерновые!$A$158:$AS$177,45,)</f>
        <v>0.22999999999999998</v>
      </c>
      <c r="F219" s="93">
        <f>VLOOKUP(A219,[26]Зерновые!$A$158:$BD$177,56,)</f>
        <v>0</v>
      </c>
      <c r="G219" s="94">
        <f>VLOOKUP(A219,[26]Зерновые!$A$158:$BO$177,67,)</f>
        <v>0</v>
      </c>
      <c r="H219" s="161">
        <f>VLOOKUP(A219,[26]Зерновые!$A$158:$BZ$177,78,)</f>
        <v>0</v>
      </c>
      <c r="I219" s="92">
        <f>VLOOKUP(A219,[26]Масличные!$A$158:$L$177,12,)</f>
        <v>2.5402199999999997</v>
      </c>
      <c r="J219" s="93">
        <f>VLOOKUP(A219,[26]Масличные!$A$158:$W$177,23,)</f>
        <v>0.06</v>
      </c>
      <c r="K219" s="93">
        <f>VLOOKUP(A219,[26]Масличные!$A$158:$AH$177,34,)</f>
        <v>1.9790099999999999</v>
      </c>
      <c r="L219" s="93">
        <f>VLOOKUP(A219,[26]Масличные!$A$158:$AS$177,45,)</f>
        <v>0</v>
      </c>
      <c r="M219" s="123">
        <f>VLOOKUP(A219,[26]Масличные!$A$158:$BD$177,56,)</f>
        <v>2.1537299999999999</v>
      </c>
      <c r="N219" s="117">
        <f>VLOOKUP(A219,[26]Бобовые!$A$158:$L$177,12,)</f>
        <v>1.7403499999999998</v>
      </c>
      <c r="O219" s="93">
        <f>VLOOKUP(A219,[26]Бобовые!$A$158:$W$177,23,)</f>
        <v>0</v>
      </c>
      <c r="P219" s="93">
        <f>VLOOKUP(A219,[26]Бобовые!$A$158:$AH$177,34,)</f>
        <v>0</v>
      </c>
      <c r="Q219" s="93">
        <f>VLOOKUP(A219,[26]Овощи!$A$158:$L$177,12,)</f>
        <v>103.72472999999999</v>
      </c>
      <c r="R219" s="93">
        <f>VLOOKUP(A219,[26]Овощи!$A$158:$W$177,23,)</f>
        <v>182.25235000000004</v>
      </c>
      <c r="S219" s="93">
        <f>VLOOKUP(A219,[26]Овощи!$A$158:$AH$177,34,)</f>
        <v>285.08389</v>
      </c>
      <c r="T219" s="93">
        <f>VLOOKUP(A219,[26]Овощи!$A$158:$AS$177,45,)</f>
        <v>290.42970000000003</v>
      </c>
      <c r="U219" s="93">
        <f>VLOOKUP(A219,[26]Овощи!$A$158:$BD$177,56,)</f>
        <v>234.33782000000002</v>
      </c>
      <c r="V219" s="93">
        <f>VLOOKUP(A219,[26]Овощи!$A$158:$BO$177,67,)</f>
        <v>241.94320999999999</v>
      </c>
      <c r="W219" s="93">
        <f>VLOOKUP(A219,[26]Овощи!$A$158:$BZ$177,78,)</f>
        <v>276.11385000000001</v>
      </c>
      <c r="X219" s="92">
        <f>VLOOKUP(A219,[26]Бахчевые!$A$158:$L$177,12,)</f>
        <v>30.258499999999998</v>
      </c>
      <c r="Y219" s="121">
        <f>VLOOKUP(A219,[26]Бахчевые!$A$158:$W$177,23,)</f>
        <v>0</v>
      </c>
    </row>
    <row r="220" spans="1:25">
      <c r="A220" s="104" t="s">
        <v>19</v>
      </c>
      <c r="B220" s="92">
        <f>VLOOKUP(A220,[26]Зерновые!$A$158:$L$177,12,)</f>
        <v>12.735239999999999</v>
      </c>
      <c r="C220" s="93">
        <f>VLOOKUP(A220,[26]Зерновые!$A$158:$W$177,23,)</f>
        <v>11.572799999999997</v>
      </c>
      <c r="D220" s="93">
        <f>VLOOKUP(A220,[26]Зерновые!$A$158:$AH$177,34,)</f>
        <v>12.482320000000001</v>
      </c>
      <c r="E220" s="93">
        <f>VLOOKUP(A220,[26]Зерновые!$A$158:$AS$177,45,)</f>
        <v>2.3204199999999999</v>
      </c>
      <c r="F220" s="93">
        <f>VLOOKUP(A220,[26]Зерновые!$A$158:$BD$177,56,)</f>
        <v>4.5643900000000004</v>
      </c>
      <c r="G220" s="94">
        <f>VLOOKUP(A220,[26]Зерновые!$A$158:$BO$177,67,)</f>
        <v>0</v>
      </c>
      <c r="H220" s="161">
        <f>VLOOKUP(A220,[26]Зерновые!$A$158:$BZ$177,78,)</f>
        <v>0</v>
      </c>
      <c r="I220" s="92">
        <f>VLOOKUP(A220,[26]Масличные!$A$158:$L$177,12,)</f>
        <v>4.176779999999999</v>
      </c>
      <c r="J220" s="93">
        <f>VLOOKUP(A220,[26]Масличные!$A$158:$W$177,23,)</f>
        <v>5.3857299999999997</v>
      </c>
      <c r="K220" s="93">
        <f>VLOOKUP(A220,[26]Масличные!$A$158:$AH$177,34,)</f>
        <v>4.731440000000001</v>
      </c>
      <c r="L220" s="93">
        <f>VLOOKUP(A220,[26]Масличные!$A$158:$AS$177,45,)</f>
        <v>0.92073000000000005</v>
      </c>
      <c r="M220" s="123">
        <f>VLOOKUP(A220,[26]Масличные!$A$158:$BD$177,56,)</f>
        <v>0.54</v>
      </c>
      <c r="N220" s="117">
        <f>VLOOKUP(A220,[26]Бобовые!$A$158:$L$177,12,)</f>
        <v>0.70209999999999995</v>
      </c>
      <c r="O220" s="93">
        <f>VLOOKUP(A220,[26]Бобовые!$A$158:$W$177,23,)</f>
        <v>10.831729999999999</v>
      </c>
      <c r="P220" s="93">
        <f>VLOOKUP(A220,[26]Бобовые!$A$158:$AH$177,34,)</f>
        <v>0</v>
      </c>
      <c r="Q220" s="93">
        <f>VLOOKUP(A220,[26]Овощи!$A$158:$L$177,12,)</f>
        <v>188.09899000000001</v>
      </c>
      <c r="R220" s="93">
        <f>VLOOKUP(A220,[26]Овощи!$A$158:$W$177,23,)</f>
        <v>189.37007</v>
      </c>
      <c r="S220" s="93">
        <f>VLOOKUP(A220,[26]Овощи!$A$158:$AH$177,34,)</f>
        <v>304.077</v>
      </c>
      <c r="T220" s="93">
        <f>VLOOKUP(A220,[26]Овощи!$A$158:$AS$177,45,)</f>
        <v>275.65980000000002</v>
      </c>
      <c r="U220" s="93">
        <f>VLOOKUP(A220,[26]Овощи!$A$158:$BD$177,56,)</f>
        <v>324.56545999999997</v>
      </c>
      <c r="V220" s="93">
        <f>VLOOKUP(A220,[26]Овощи!$A$158:$BO$177,67,)</f>
        <v>293.86974999999995</v>
      </c>
      <c r="W220" s="93">
        <f>VLOOKUP(A220,[26]Овощи!$A$158:$BZ$177,78,)</f>
        <v>293.92905999999999</v>
      </c>
      <c r="X220" s="92">
        <f>VLOOKUP(A220,[26]Бахчевые!$A$158:$L$177,12,)</f>
        <v>0</v>
      </c>
      <c r="Y220" s="121">
        <f>VLOOKUP(A220,[26]Бахчевые!$A$158:$W$177,23,)</f>
        <v>0</v>
      </c>
    </row>
    <row r="221" spans="1:25">
      <c r="A221" s="104" t="s">
        <v>20</v>
      </c>
      <c r="B221" s="92">
        <f>VLOOKUP(A221,[26]Зерновые!$A$158:$L$177,12,)</f>
        <v>11.367020000000002</v>
      </c>
      <c r="C221" s="93">
        <f>VLOOKUP(A221,[26]Зерновые!$A$158:$W$177,23,)</f>
        <v>14.1553</v>
      </c>
      <c r="D221" s="93">
        <f>VLOOKUP(A221,[26]Зерновые!$A$158:$AH$177,34,)</f>
        <v>14.794910000000002</v>
      </c>
      <c r="E221" s="93">
        <f>VLOOKUP(A221,[26]Зерновые!$A$158:$AS$177,45,)</f>
        <v>8.2929899999999996</v>
      </c>
      <c r="F221" s="93">
        <f>VLOOKUP(A221,[26]Зерновые!$A$158:$BD$177,56,)</f>
        <v>5.4570999999999996</v>
      </c>
      <c r="G221" s="94">
        <f>VLOOKUP(A221,[26]Зерновые!$A$158:$BO$177,67,)</f>
        <v>0</v>
      </c>
      <c r="H221" s="161">
        <f>VLOOKUP(A221,[26]Зерновые!$A$158:$BZ$177,78,)</f>
        <v>0</v>
      </c>
      <c r="I221" s="92">
        <f>VLOOKUP(A221,[26]Масличные!$A$158:$L$177,12,)</f>
        <v>3.9463599999999999</v>
      </c>
      <c r="J221" s="93">
        <f>VLOOKUP(A221,[26]Масличные!$A$158:$W$177,23,)</f>
        <v>2.3811799999999996</v>
      </c>
      <c r="K221" s="93">
        <f>VLOOKUP(A221,[26]Масличные!$A$158:$AH$177,34,)</f>
        <v>7.1029200000000001</v>
      </c>
      <c r="L221" s="93">
        <f>VLOOKUP(A221,[26]Масличные!$A$158:$AS$177,45,)</f>
        <v>0.64460999999999991</v>
      </c>
      <c r="M221" s="123">
        <f>VLOOKUP(A221,[26]Масличные!$A$158:$BD$177,56,)</f>
        <v>1.2346699999999999</v>
      </c>
      <c r="N221" s="117">
        <f>VLOOKUP(A221,[26]Бобовые!$A$158:$L$177,12,)</f>
        <v>2.7767399999999993</v>
      </c>
      <c r="O221" s="93">
        <f>VLOOKUP(A221,[26]Бобовые!$A$158:$W$177,23,)</f>
        <v>4.5913900000000005</v>
      </c>
      <c r="P221" s="93">
        <f>VLOOKUP(A221,[26]Бобовые!$A$158:$AH$177,34,)</f>
        <v>0</v>
      </c>
      <c r="Q221" s="93">
        <f>VLOOKUP(A221,[26]Овощи!$A$158:$L$177,12,)</f>
        <v>176.62616</v>
      </c>
      <c r="R221" s="93">
        <f>VLOOKUP(A221,[26]Овощи!$A$158:$W$177,23,)</f>
        <v>126.25064</v>
      </c>
      <c r="S221" s="93">
        <f>VLOOKUP(A221,[26]Овощи!$A$158:$AH$177,34,)</f>
        <v>290.22821000000005</v>
      </c>
      <c r="T221" s="93">
        <f>VLOOKUP(A221,[26]Овощи!$A$158:$AS$177,45,)</f>
        <v>239.16327000000001</v>
      </c>
      <c r="U221" s="93">
        <f>VLOOKUP(A221,[26]Овощи!$A$158:$BD$177,56,)</f>
        <v>270.50301000000002</v>
      </c>
      <c r="V221" s="93">
        <f>VLOOKUP(A221,[26]Овощи!$A$158:$BO$177,67,)</f>
        <v>253.76101000000003</v>
      </c>
      <c r="W221" s="93">
        <f>VLOOKUP(A221,[26]Овощи!$A$158:$BZ$177,78,)</f>
        <v>300.83151000000004</v>
      </c>
      <c r="X221" s="92">
        <f>VLOOKUP(A221,[26]Бахчевые!$A$158:$L$177,12,)</f>
        <v>0</v>
      </c>
      <c r="Y221" s="121">
        <f>VLOOKUP(A221,[26]Бахчевые!$A$158:$W$177,23,)</f>
        <v>0</v>
      </c>
    </row>
    <row r="222" spans="1:25">
      <c r="A222" s="104" t="s">
        <v>21</v>
      </c>
      <c r="B222" s="92">
        <f>VLOOKUP(A222,[26]Зерновые!$A$158:$L$177,12,)</f>
        <v>13.18713</v>
      </c>
      <c r="C222" s="93">
        <f>VLOOKUP(A222,[26]Зерновые!$A$158:$W$177,23,)</f>
        <v>15.381009999999998</v>
      </c>
      <c r="D222" s="93">
        <f>VLOOKUP(A222,[26]Зерновые!$A$158:$AH$177,34,)</f>
        <v>15.291460000000001</v>
      </c>
      <c r="E222" s="93">
        <f>VLOOKUP(A222,[26]Зерновые!$A$158:$AS$177,45,)</f>
        <v>10.451409999999999</v>
      </c>
      <c r="F222" s="93">
        <f>VLOOKUP(A222,[26]Зерновые!$A$158:$BD$177,56,)</f>
        <v>6.6843400000000006</v>
      </c>
      <c r="G222" s="94">
        <f>VLOOKUP(A222,[26]Зерновые!$A$158:$BO$177,67,)</f>
        <v>3.6</v>
      </c>
      <c r="H222" s="161">
        <f>VLOOKUP(A222,[26]Зерновые!$A$158:$BZ$177,78,)</f>
        <v>0</v>
      </c>
      <c r="I222" s="92">
        <f>VLOOKUP(A222,[26]Масличные!$A$158:$L$177,12,)</f>
        <v>5.9602599999999999</v>
      </c>
      <c r="J222" s="93">
        <f>VLOOKUP(A222,[26]Масличные!$A$158:$W$177,23,)</f>
        <v>6.0606599999999995</v>
      </c>
      <c r="K222" s="93">
        <f>VLOOKUP(A222,[26]Масличные!$A$158:$AH$177,34,)</f>
        <v>4.3696800000000007</v>
      </c>
      <c r="L222" s="93">
        <f>VLOOKUP(A222,[26]Масличные!$A$158:$AS$177,45,)</f>
        <v>3.7826200000000001</v>
      </c>
      <c r="M222" s="123">
        <f>VLOOKUP(A222,[26]Масличные!$A$158:$BD$177,56,)</f>
        <v>2.1692900000000002</v>
      </c>
      <c r="N222" s="117">
        <f>VLOOKUP(A222,[26]Бобовые!$A$158:$L$177,12,)</f>
        <v>5.9499500000000003</v>
      </c>
      <c r="O222" s="93">
        <f>VLOOKUP(A222,[26]Бобовые!$A$158:$W$177,23,)</f>
        <v>11.742920000000002</v>
      </c>
      <c r="P222" s="93">
        <f>VLOOKUP(A222,[26]Бобовые!$A$158:$AH$177,34,)</f>
        <v>2.9</v>
      </c>
      <c r="Q222" s="93">
        <f>VLOOKUP(A222,[26]Овощи!$A$158:$L$177,12,)</f>
        <v>187.66421</v>
      </c>
      <c r="R222" s="93">
        <f>VLOOKUP(A222,[26]Овощи!$A$158:$W$177,23,)</f>
        <v>253.51215000000002</v>
      </c>
      <c r="S222" s="93">
        <f>VLOOKUP(A222,[26]Овощи!$A$158:$AH$177,34,)</f>
        <v>320.91037999999998</v>
      </c>
      <c r="T222" s="93">
        <f>VLOOKUP(A222,[26]Овощи!$A$158:$AS$177,45,)</f>
        <v>436.69364000000007</v>
      </c>
      <c r="U222" s="93">
        <f>VLOOKUP(A222,[26]Овощи!$A$158:$BD$177,56,)</f>
        <v>289.14480999999995</v>
      </c>
      <c r="V222" s="93">
        <f>VLOOKUP(A222,[26]Овощи!$A$158:$BO$177,67,)</f>
        <v>340.8741</v>
      </c>
      <c r="W222" s="93">
        <f>VLOOKUP(A222,[26]Овощи!$A$158:$BZ$177,78,)</f>
        <v>324.83217000000002</v>
      </c>
      <c r="X222" s="92">
        <f>VLOOKUP(A222,[26]Бахчевые!$A$158:$L$177,12,)</f>
        <v>165.19000000000003</v>
      </c>
      <c r="Y222" s="121">
        <f>VLOOKUP(A222,[26]Бахчевые!$A$158:$W$177,23,)</f>
        <v>15</v>
      </c>
    </row>
    <row r="223" spans="1:25">
      <c r="A223" s="104" t="s">
        <v>22</v>
      </c>
      <c r="B223" s="92">
        <f>VLOOKUP(A223,[26]Зерновые!$A$158:$L$177,12,)</f>
        <v>13.25648</v>
      </c>
      <c r="C223" s="93">
        <f>VLOOKUP(A223,[26]Зерновые!$A$158:$W$177,23,)</f>
        <v>14.385540000000001</v>
      </c>
      <c r="D223" s="93">
        <f>VLOOKUP(A223,[26]Зерновые!$A$158:$AH$177,34,)</f>
        <v>14.432539999999998</v>
      </c>
      <c r="E223" s="93">
        <f>VLOOKUP(A223,[26]Зерновые!$A$158:$AS$177,45,)</f>
        <v>4.2</v>
      </c>
      <c r="F223" s="93">
        <f>VLOOKUP(A223,[26]Зерновые!$A$158:$BD$177,56,)</f>
        <v>10.51798</v>
      </c>
      <c r="G223" s="94">
        <f>VLOOKUP(A223,[26]Зерновые!$A$158:$BO$177,67,)</f>
        <v>0</v>
      </c>
      <c r="H223" s="161">
        <f>VLOOKUP(A223,[26]Зерновые!$A$158:$BZ$177,78,)</f>
        <v>0</v>
      </c>
      <c r="I223" s="92">
        <f>VLOOKUP(A223,[26]Масличные!$A$158:$L$177,12,)</f>
        <v>5.1323399999999992</v>
      </c>
      <c r="J223" s="93">
        <f>VLOOKUP(A223,[26]Масличные!$A$158:$W$177,23,)</f>
        <v>5.7100300000000006</v>
      </c>
      <c r="K223" s="93">
        <f>VLOOKUP(A223,[26]Масличные!$A$158:$AH$177,34,)</f>
        <v>4.8795777777777776</v>
      </c>
      <c r="L223" s="93">
        <f>VLOOKUP(A223,[26]Масличные!$A$158:$AS$177,45,)</f>
        <v>2.0700000000000003</v>
      </c>
      <c r="M223" s="123">
        <f>VLOOKUP(A223,[26]Масличные!$A$158:$BD$177,56,)</f>
        <v>0.41333000000000003</v>
      </c>
      <c r="N223" s="117">
        <f>VLOOKUP(A223,[26]Бобовые!$A$158:$L$177,12,)</f>
        <v>3.4374899999999995</v>
      </c>
      <c r="O223" s="93">
        <f>VLOOKUP(A223,[26]Бобовые!$A$158:$W$177,23,)</f>
        <v>13.14167</v>
      </c>
      <c r="P223" s="93">
        <f>VLOOKUP(A223,[26]Бобовые!$A$158:$AH$177,34,)</f>
        <v>0</v>
      </c>
      <c r="Q223" s="93">
        <f>VLOOKUP(A223,[26]Овощи!$A$158:$L$177,12,)</f>
        <v>169.79773</v>
      </c>
      <c r="R223" s="93">
        <f>VLOOKUP(A223,[26]Овощи!$A$158:$W$177,23,)</f>
        <v>158.81976</v>
      </c>
      <c r="S223" s="93">
        <f>VLOOKUP(A223,[26]Овощи!$A$158:$AH$177,34,)</f>
        <v>229.24784</v>
      </c>
      <c r="T223" s="93">
        <f>VLOOKUP(A223,[26]Овощи!$A$158:$AS$177,45,)</f>
        <v>280.13121999999998</v>
      </c>
      <c r="U223" s="93">
        <f>VLOOKUP(A223,[26]Овощи!$A$158:$BD$177,56,)</f>
        <v>253.80221999999998</v>
      </c>
      <c r="V223" s="93">
        <f>VLOOKUP(A223,[26]Овощи!$A$158:$BO$177,67,)</f>
        <v>267.99628000000001</v>
      </c>
      <c r="W223" s="93">
        <f>VLOOKUP(A223,[26]Овощи!$A$158:$BZ$177,78,)</f>
        <v>275.79656</v>
      </c>
      <c r="X223" s="92">
        <f>VLOOKUP(A223,[26]Бахчевые!$A$158:$L$177,12,)</f>
        <v>0</v>
      </c>
      <c r="Y223" s="121">
        <f>VLOOKUP(A223,[26]Бахчевые!$A$158:$W$177,23,)</f>
        <v>0</v>
      </c>
    </row>
    <row r="224" spans="1:25">
      <c r="A224" s="104" t="s">
        <v>23</v>
      </c>
      <c r="B224" s="92">
        <f>VLOOKUP(A224,[26]Зерновые!$A$158:$L$177,12,)</f>
        <v>7.5500100000000003</v>
      </c>
      <c r="C224" s="93">
        <f>VLOOKUP(A224,[26]Зерновые!$A$158:$W$177,23,)</f>
        <v>7.8313199999999998</v>
      </c>
      <c r="D224" s="93">
        <f>VLOOKUP(A224,[26]Зерновые!$A$158:$AH$177,34,)</f>
        <v>5.9150100000000005</v>
      </c>
      <c r="E224" s="93">
        <f>VLOOKUP(A224,[26]Зерновые!$A$158:$AS$177,45,)</f>
        <v>2.94</v>
      </c>
      <c r="F224" s="93">
        <f>VLOOKUP(A224,[26]Зерновые!$A$158:$BD$177,56,)</f>
        <v>0</v>
      </c>
      <c r="G224" s="94">
        <f>VLOOKUP(A224,[26]Зерновые!$A$158:$BO$177,67,)</f>
        <v>0.1</v>
      </c>
      <c r="H224" s="161">
        <f>VLOOKUP(A224,[26]Зерновые!$A$158:$BZ$177,78,)</f>
        <v>0</v>
      </c>
      <c r="I224" s="92">
        <f>VLOOKUP(A224,[26]Масличные!$A$158:$L$177,12,)</f>
        <v>2.3998400000000002</v>
      </c>
      <c r="J224" s="93">
        <f>VLOOKUP(A224,[26]Масличные!$A$158:$W$177,23,)</f>
        <v>0</v>
      </c>
      <c r="K224" s="93">
        <f>VLOOKUP(A224,[26]Масличные!$A$158:$AH$177,34,)</f>
        <v>2.4479200000000003</v>
      </c>
      <c r="L224" s="93">
        <f>VLOOKUP(A224,[26]Масличные!$A$158:$AS$177,45,)</f>
        <v>0.13999999999999999</v>
      </c>
      <c r="M224" s="123">
        <f>VLOOKUP(A224,[26]Масличные!$A$158:$BD$177,56,)</f>
        <v>2.34</v>
      </c>
      <c r="N224" s="117">
        <f>VLOOKUP(A224,[26]Бобовые!$A$158:$L$177,12,)</f>
        <v>2.4540199999999999</v>
      </c>
      <c r="O224" s="93">
        <f>VLOOKUP(A224,[26]Бобовые!$A$158:$W$177,23,)</f>
        <v>0</v>
      </c>
      <c r="P224" s="93">
        <f>VLOOKUP(A224,[26]Бобовые!$A$158:$AH$177,34,)</f>
        <v>0</v>
      </c>
      <c r="Q224" s="93">
        <f>VLOOKUP(A224,[26]Овощи!$A$158:$L$177,12,)</f>
        <v>111.61818999999998</v>
      </c>
      <c r="R224" s="93">
        <f>VLOOKUP(A224,[26]Овощи!$A$158:$W$177,23,)</f>
        <v>146.45530000000002</v>
      </c>
      <c r="S224" s="93">
        <f>VLOOKUP(A224,[26]Овощи!$A$158:$AH$177,34,)</f>
        <v>151.52933000000002</v>
      </c>
      <c r="T224" s="93">
        <f>VLOOKUP(A224,[26]Овощи!$A$158:$AS$177,45,)</f>
        <v>0</v>
      </c>
      <c r="U224" s="93">
        <f>VLOOKUP(A224,[26]Овощи!$A$158:$BD$177,56,)</f>
        <v>148.56218999999999</v>
      </c>
      <c r="V224" s="93">
        <f>VLOOKUP(A224,[26]Овощи!$A$158:$BO$177,67,)</f>
        <v>139.02100999999999</v>
      </c>
      <c r="W224" s="93">
        <f>VLOOKUP(A224,[26]Овощи!$A$158:$BZ$177,78,)</f>
        <v>156.36349999999999</v>
      </c>
      <c r="X224" s="92">
        <f>VLOOKUP(A224,[26]Бахчевые!$A$158:$L$177,12,)</f>
        <v>19.630000000000003</v>
      </c>
      <c r="Y224" s="121">
        <f>VLOOKUP(A224,[26]Бахчевые!$A$158:$W$177,23,)</f>
        <v>0</v>
      </c>
    </row>
    <row r="225" spans="1:25">
      <c r="A225" s="104" t="s">
        <v>24</v>
      </c>
      <c r="B225" s="92">
        <f>VLOOKUP(A225,[26]Зерновые!$A$158:$L$177,12,)</f>
        <v>13.26155</v>
      </c>
      <c r="C225" s="93">
        <f>VLOOKUP(A225,[26]Зерновые!$A$158:$W$177,23,)</f>
        <v>13.285049999999998</v>
      </c>
      <c r="D225" s="93">
        <f>VLOOKUP(A225,[26]Зерновые!$A$158:$AH$177,34,)</f>
        <v>11.106330000000002</v>
      </c>
      <c r="E225" s="93">
        <f>VLOOKUP(A225,[26]Зерновые!$A$158:$AS$177,45,)</f>
        <v>7.1019800000000002</v>
      </c>
      <c r="F225" s="93">
        <f>VLOOKUP(A225,[26]Зерновые!$A$158:$BD$177,56,)</f>
        <v>3.8876899999999992</v>
      </c>
      <c r="G225" s="94">
        <f>VLOOKUP(A225,[26]Зерновые!$A$158:$BO$177,67,)</f>
        <v>0</v>
      </c>
      <c r="H225" s="161">
        <f>VLOOKUP(A225,[26]Зерновые!$A$158:$BZ$177,78,)</f>
        <v>0</v>
      </c>
      <c r="I225" s="92">
        <f>VLOOKUP(A225,[26]Масличные!$A$158:$L$177,12,)</f>
        <v>6.6789399999999999</v>
      </c>
      <c r="J225" s="93">
        <f>VLOOKUP(A225,[26]Масличные!$A$158:$W$177,23,)</f>
        <v>3.1404299999999998</v>
      </c>
      <c r="K225" s="93">
        <f>VLOOKUP(A225,[26]Масличные!$A$158:$AH$177,34,)</f>
        <v>4.5181800000000001</v>
      </c>
      <c r="L225" s="93">
        <f>VLOOKUP(A225,[26]Масличные!$A$158:$AS$177,45,)</f>
        <v>1.6</v>
      </c>
      <c r="M225" s="123">
        <f>VLOOKUP(A225,[26]Масличные!$A$158:$BD$177,56,)</f>
        <v>0.55000000000000004</v>
      </c>
      <c r="N225" s="117">
        <f>VLOOKUP(A225,[26]Бобовые!$A$158:$L$177,12,)</f>
        <v>0.20183000000000001</v>
      </c>
      <c r="O225" s="93">
        <f>VLOOKUP(A225,[26]Бобовые!$A$158:$W$177,23,)</f>
        <v>7.8881399999999999</v>
      </c>
      <c r="P225" s="93">
        <f>VLOOKUP(A225,[26]Бобовые!$A$158:$AH$177,34,)</f>
        <v>2.8431700000000002</v>
      </c>
      <c r="Q225" s="93">
        <f>VLOOKUP(A225,[26]Овощи!$A$158:$L$177,12,)</f>
        <v>167.60398000000001</v>
      </c>
      <c r="R225" s="93">
        <f>VLOOKUP(A225,[26]Овощи!$A$158:$W$177,23,)</f>
        <v>172.4957</v>
      </c>
      <c r="S225" s="93">
        <f>VLOOKUP(A225,[26]Овощи!$A$158:$AH$177,34,)</f>
        <v>277.23445000000004</v>
      </c>
      <c r="T225" s="93">
        <f>VLOOKUP(A225,[26]Овощи!$A$158:$AS$177,45,)</f>
        <v>329.23756999999995</v>
      </c>
      <c r="U225" s="93">
        <f>VLOOKUP(A225,[26]Овощи!$A$158:$BD$177,56,)</f>
        <v>264.62732999999997</v>
      </c>
      <c r="V225" s="93">
        <f>VLOOKUP(A225,[26]Овощи!$A$158:$BO$177,67,)</f>
        <v>284.6103</v>
      </c>
      <c r="W225" s="93">
        <f>VLOOKUP(A225,[26]Овощи!$A$158:$BZ$177,78,)</f>
        <v>315.11821999999995</v>
      </c>
      <c r="X225" s="92">
        <f>VLOOKUP(A225,[26]Бахчевые!$A$158:$L$177,12,)</f>
        <v>0</v>
      </c>
      <c r="Y225" s="121">
        <f>VLOOKUP(A225,[26]Бахчевые!$A$158:$W$177,23,)</f>
        <v>0</v>
      </c>
    </row>
    <row r="226" spans="1:25">
      <c r="A226" s="104" t="s">
        <v>25</v>
      </c>
      <c r="B226" s="92">
        <f>VLOOKUP(A226,[26]Зерновые!$A$158:$L$177,12,)</f>
        <v>10.112969999999999</v>
      </c>
      <c r="C226" s="93">
        <f>VLOOKUP(A226,[26]Зерновые!$A$158:$W$177,23,)</f>
        <v>10.286890000000001</v>
      </c>
      <c r="D226" s="93">
        <f>VLOOKUP(A226,[26]Зерновые!$A$158:$AH$177,34,)</f>
        <v>9.6316299999999995</v>
      </c>
      <c r="E226" s="93">
        <f>VLOOKUP(A226,[26]Зерновые!$A$158:$AS$177,45,)</f>
        <v>6.3927199999999997</v>
      </c>
      <c r="F226" s="93">
        <f>VLOOKUP(A226,[26]Зерновые!$A$158:$BD$177,56,)</f>
        <v>2.7981100000000003</v>
      </c>
      <c r="G226" s="94">
        <f>VLOOKUP(A226,[26]Зерновые!$A$158:$BO$177,67,)</f>
        <v>4.2025899999999998</v>
      </c>
      <c r="H226" s="161">
        <f>VLOOKUP(A226,[26]Зерновые!$A$158:$BZ$177,78,)</f>
        <v>0</v>
      </c>
      <c r="I226" s="92">
        <f>VLOOKUP(A226,[26]Масличные!$A$158:$L$177,12,)</f>
        <v>6.78878</v>
      </c>
      <c r="J226" s="93">
        <f>VLOOKUP(A226,[26]Масличные!$A$158:$W$177,23,)</f>
        <v>3.4699999999999998</v>
      </c>
      <c r="K226" s="93">
        <f>VLOOKUP(A226,[26]Масличные!$A$158:$AH$177,34,)</f>
        <v>5.1507874999999999</v>
      </c>
      <c r="L226" s="93">
        <f>VLOOKUP(A226,[26]Масличные!$A$158:$AS$177,45,)</f>
        <v>4.1053699999999997</v>
      </c>
      <c r="M226" s="123">
        <f>VLOOKUP(A226,[26]Масличные!$A$158:$BD$177,56,)</f>
        <v>1.9785699999999999</v>
      </c>
      <c r="N226" s="117">
        <f>VLOOKUP(A226,[26]Бобовые!$A$158:$L$177,12,)</f>
        <v>7.19252</v>
      </c>
      <c r="O226" s="93">
        <f>VLOOKUP(A226,[26]Бобовые!$A$158:$W$177,23,)</f>
        <v>4.3573399999999998</v>
      </c>
      <c r="P226" s="93">
        <f>VLOOKUP(A226,[26]Бобовые!$A$158:$AH$177,34,)</f>
        <v>0</v>
      </c>
      <c r="Q226" s="93">
        <f>VLOOKUP(A226,[26]Овощи!$A$158:$L$177,12,)</f>
        <v>165.77063000000001</v>
      </c>
      <c r="R226" s="93">
        <f>VLOOKUP(A226,[26]Овощи!$A$158:$W$177,23,)</f>
        <v>225.71578999999997</v>
      </c>
      <c r="S226" s="93">
        <f>VLOOKUP(A226,[26]Овощи!$A$158:$AH$177,34,)</f>
        <v>233.01227</v>
      </c>
      <c r="T226" s="93">
        <f>VLOOKUP(A226,[26]Овощи!$A$158:$AS$177,45,)</f>
        <v>307.88747000000001</v>
      </c>
      <c r="U226" s="93">
        <f>VLOOKUP(A226,[26]Овощи!$A$158:$BD$177,56,)</f>
        <v>318.19799</v>
      </c>
      <c r="V226" s="93">
        <f>VLOOKUP(A226,[26]Овощи!$A$158:$BO$177,67,)</f>
        <v>304.27919999999995</v>
      </c>
      <c r="W226" s="93">
        <f>VLOOKUP(A226,[26]Овощи!$A$158:$BZ$177,78,)</f>
        <v>242.04595</v>
      </c>
      <c r="X226" s="92">
        <f>VLOOKUP(A226,[26]Бахчевые!$A$158:$L$177,12,)</f>
        <v>137.9</v>
      </c>
      <c r="Y226" s="121">
        <f>VLOOKUP(A226,[26]Бахчевые!$A$158:$W$177,23,)</f>
        <v>65.61999999999999</v>
      </c>
    </row>
    <row r="227" spans="1:25">
      <c r="A227" s="104" t="s">
        <v>26</v>
      </c>
      <c r="B227" s="92">
        <f>VLOOKUP(A227,[26]Зерновые!$A$158:$L$177,12,)</f>
        <v>12.80777</v>
      </c>
      <c r="C227" s="93">
        <f>VLOOKUP(A227,[26]Зерновые!$A$158:$W$177,23,)</f>
        <v>13.764260000000002</v>
      </c>
      <c r="D227" s="93">
        <f>VLOOKUP(A227,[26]Зерновые!$A$158:$AH$177,34,)</f>
        <v>14.481480000000001</v>
      </c>
      <c r="E227" s="93">
        <f>VLOOKUP(A227,[26]Зерновые!$A$158:$AS$177,45,)</f>
        <v>1.8699999999999999</v>
      </c>
      <c r="F227" s="93">
        <f>VLOOKUP(A227,[26]Зерновые!$A$158:$BD$177,56,)</f>
        <v>6.2712899999999996</v>
      </c>
      <c r="G227" s="94">
        <f>VLOOKUP(A227,[26]Зерновые!$A$158:$BO$177,67,)</f>
        <v>0</v>
      </c>
      <c r="H227" s="161">
        <f>VLOOKUP(A227,[26]Зерновые!$A$158:$BZ$177,78,)</f>
        <v>0</v>
      </c>
      <c r="I227" s="92">
        <f>VLOOKUP(A227,[26]Масличные!$A$158:$L$177,12,)</f>
        <v>7.1412800000000001</v>
      </c>
      <c r="J227" s="93">
        <f>VLOOKUP(A227,[26]Масличные!$A$158:$W$177,23,)</f>
        <v>5.3996499999999994</v>
      </c>
      <c r="K227" s="93">
        <f>VLOOKUP(A227,[26]Масличные!$A$158:$AH$177,34,)</f>
        <v>4.4288700000000008</v>
      </c>
      <c r="L227" s="93">
        <f>VLOOKUP(A227,[26]Масличные!$A$158:$AS$177,45,)</f>
        <v>1.2799999999999998</v>
      </c>
      <c r="M227" s="123">
        <f>VLOOKUP(A227,[26]Масличные!$A$158:$BD$177,56,)</f>
        <v>0.33999999999999997</v>
      </c>
      <c r="N227" s="117">
        <f>VLOOKUP(A227,[26]Бобовые!$A$158:$L$177,12,)</f>
        <v>1.5184500000000001</v>
      </c>
      <c r="O227" s="93">
        <f>VLOOKUP(A227,[26]Бобовые!$A$158:$W$177,23,)</f>
        <v>7.0538300000000005</v>
      </c>
      <c r="P227" s="93">
        <f>VLOOKUP(A227,[26]Бобовые!$A$158:$AH$177,34,)</f>
        <v>2.2800000000000002</v>
      </c>
      <c r="Q227" s="93">
        <f>VLOOKUP(A227,[26]Овощи!$A$158:$L$177,12,)</f>
        <v>148.88410999999999</v>
      </c>
      <c r="R227" s="93">
        <f>VLOOKUP(A227,[26]Овощи!$A$158:$W$177,23,)</f>
        <v>153.79863</v>
      </c>
      <c r="S227" s="93">
        <f>VLOOKUP(A227,[26]Овощи!$A$158:$AH$177,34,)</f>
        <v>227.40316000000001</v>
      </c>
      <c r="T227" s="93">
        <f>VLOOKUP(A227,[26]Овощи!$A$158:$AS$177,45,)</f>
        <v>316.17457000000002</v>
      </c>
      <c r="U227" s="93">
        <f>VLOOKUP(A227,[26]Овощи!$A$158:$BD$177,56,)</f>
        <v>293.11882000000003</v>
      </c>
      <c r="V227" s="93">
        <f>VLOOKUP(A227,[26]Овощи!$A$158:$BO$177,67,)</f>
        <v>246.56030000000001</v>
      </c>
      <c r="W227" s="93">
        <f>VLOOKUP(A227,[26]Овощи!$A$158:$BZ$177,78,)</f>
        <v>179.22142000000002</v>
      </c>
      <c r="X227" s="92">
        <f>VLOOKUP(A227,[26]Бахчевые!$A$158:$L$177,12,)</f>
        <v>0</v>
      </c>
      <c r="Y227" s="121">
        <f>VLOOKUP(A227,[26]Бахчевые!$A$158:$W$177,23,)</f>
        <v>0</v>
      </c>
    </row>
    <row r="228" spans="1:25">
      <c r="A228" s="104" t="s">
        <v>17</v>
      </c>
      <c r="B228" s="92">
        <f>VLOOKUP(A228,[26]Зерновые!$A$158:$L$177,12,)</f>
        <v>14.478909999999999</v>
      </c>
      <c r="C228" s="93">
        <f>VLOOKUP(A228,[26]Зерновые!$A$158:$W$177,23,)</f>
        <v>15.287200000000002</v>
      </c>
      <c r="D228" s="93">
        <f>VLOOKUP(A228,[26]Зерновые!$A$158:$AH$177,34,)</f>
        <v>13.21114</v>
      </c>
      <c r="E228" s="93">
        <f>VLOOKUP(A228,[26]Зерновые!$A$158:$AS$177,45,)</f>
        <v>11.432729999999999</v>
      </c>
      <c r="F228" s="93">
        <f>VLOOKUP(A228,[26]Зерновые!$A$158:$BD$177,56,)</f>
        <v>9.2324800000000007</v>
      </c>
      <c r="G228" s="94">
        <f>VLOOKUP(A228,[26]Зерновые!$A$158:$BO$177,67,)</f>
        <v>0</v>
      </c>
      <c r="H228" s="161">
        <f>VLOOKUP(A228,[26]Зерновые!$A$158:$BZ$177,78,)</f>
        <v>0</v>
      </c>
      <c r="I228" s="92">
        <f>VLOOKUP(A228,[26]Масличные!$A$158:$L$177,12,)</f>
        <v>9.1601099999999995</v>
      </c>
      <c r="J228" s="93">
        <f>VLOOKUP(A228,[26]Масличные!$A$158:$W$177,23,)</f>
        <v>5.8254599999999996</v>
      </c>
      <c r="K228" s="93">
        <f>VLOOKUP(A228,[26]Масличные!$A$158:$AH$177,34,)</f>
        <v>5.2805499999999999</v>
      </c>
      <c r="L228" s="93">
        <f>VLOOKUP(A228,[26]Масличные!$A$158:$AS$177,45,)</f>
        <v>4.7531000000000008</v>
      </c>
      <c r="M228" s="123">
        <f>VLOOKUP(A228,[26]Масличные!$A$158:$BD$177,56,)</f>
        <v>0.21000000000000002</v>
      </c>
      <c r="N228" s="117">
        <f>VLOOKUP(A228,[26]Бобовые!$A$158:$L$177,12,)</f>
        <v>4.7820999999999998</v>
      </c>
      <c r="O228" s="93">
        <f>VLOOKUP(A228,[26]Бобовые!$A$158:$W$177,23,)</f>
        <v>11.353080000000002</v>
      </c>
      <c r="P228" s="93">
        <f>VLOOKUP(A228,[26]Бобовые!$A$158:$AH$177,34,)</f>
        <v>2.31</v>
      </c>
      <c r="Q228" s="93">
        <f>VLOOKUP(A228,[26]Овощи!$A$158:$L$177,12,)</f>
        <v>185.30514999999997</v>
      </c>
      <c r="R228" s="93">
        <f>VLOOKUP(A228,[26]Овощи!$A$158:$W$177,23,)</f>
        <v>256.86014000000006</v>
      </c>
      <c r="S228" s="93">
        <f>VLOOKUP(A228,[26]Овощи!$A$158:$AH$177,34,)</f>
        <v>284.16382999999996</v>
      </c>
      <c r="T228" s="93">
        <f>VLOOKUP(A228,[26]Овощи!$A$158:$AS$177,45,)</f>
        <v>353.84389999999996</v>
      </c>
      <c r="U228" s="93">
        <f>VLOOKUP(A228,[26]Овощи!$A$158:$BD$177,56,)</f>
        <v>347.69431999999995</v>
      </c>
      <c r="V228" s="93">
        <f>VLOOKUP(A228,[26]Овощи!$A$158:$BO$177,67,)</f>
        <v>289.38241000000005</v>
      </c>
      <c r="W228" s="93">
        <f>VLOOKUP(A228,[26]Овощи!$A$158:$BZ$177,78,)</f>
        <v>197.16003000000001</v>
      </c>
      <c r="X228" s="92">
        <f>VLOOKUP(A228,[26]Бахчевые!$A$158:$L$177,12,)</f>
        <v>20</v>
      </c>
      <c r="Y228" s="121">
        <f>VLOOKUP(A228,[26]Бахчевые!$A$158:$W$177,23,)</f>
        <v>0</v>
      </c>
    </row>
    <row r="229" spans="1:25">
      <c r="A229" s="104" t="s">
        <v>151</v>
      </c>
      <c r="B229" s="92">
        <f>VLOOKUP(A229,[26]Зерновые!$A$158:$L$177,12,)</f>
        <v>9.89832</v>
      </c>
      <c r="C229" s="93">
        <f>VLOOKUP(A229,[26]Зерновые!$A$158:$W$177,23,)</f>
        <v>6.5477699999999999</v>
      </c>
      <c r="D229" s="93">
        <f>VLOOKUP(A229,[26]Зерновые!$A$158:$AH$177,34,)</f>
        <v>1.48</v>
      </c>
      <c r="E229" s="93">
        <f>VLOOKUP(A229,[26]Зерновые!$A$158:$AS$177,45,)</f>
        <v>0</v>
      </c>
      <c r="F229" s="93">
        <f>VLOOKUP(A229,[26]Зерновые!$A$158:$BD$177,56,)</f>
        <v>0</v>
      </c>
      <c r="G229" s="94">
        <f>VLOOKUP(A229,[26]Зерновые!$A$158:$BO$177,67,)</f>
        <v>0</v>
      </c>
      <c r="H229" s="161">
        <f>VLOOKUP(A229,[26]Зерновые!$A$158:$BZ$177,78,)</f>
        <v>0</v>
      </c>
      <c r="I229" s="92">
        <f>VLOOKUP(A229,[26]Масличные!$A$158:$L$177,12,)</f>
        <v>0.57733000000000001</v>
      </c>
      <c r="J229" s="93">
        <f>VLOOKUP(A229,[26]Масличные!$A$158:$W$177,23,)</f>
        <v>0</v>
      </c>
      <c r="K229" s="93">
        <f>VLOOKUP(A229,[26]Масличные!$A$158:$AH$177,34,)</f>
        <v>0</v>
      </c>
      <c r="L229" s="93">
        <f>VLOOKUP(A229,[26]Масличные!$A$158:$AS$177,45,)</f>
        <v>0</v>
      </c>
      <c r="M229" s="123">
        <f>VLOOKUP(A229,[26]Масличные!$A$158:$BD$177,56,)</f>
        <v>0.7</v>
      </c>
      <c r="N229" s="117">
        <f>VLOOKUP(A229,[26]Бобовые!$A$158:$L$177,12,)</f>
        <v>0</v>
      </c>
      <c r="O229" s="93">
        <f>VLOOKUP(A229,[26]Бобовые!$A$158:$W$177,23,)</f>
        <v>0</v>
      </c>
      <c r="P229" s="93">
        <f>VLOOKUP(A229,[26]Бобовые!$A$158:$AH$177,34,)</f>
        <v>0</v>
      </c>
      <c r="Q229" s="93">
        <f>VLOOKUP(A229,[26]Овощи!$A$158:$L$177,12,)</f>
        <v>170.48985999999996</v>
      </c>
      <c r="R229" s="93">
        <f>VLOOKUP(A229,[26]Овощи!$A$158:$W$177,23,)</f>
        <v>175.90467999999998</v>
      </c>
      <c r="S229" s="93">
        <f>VLOOKUP(A229,[26]Овощи!$A$158:$AH$177,34,)</f>
        <v>234.77857</v>
      </c>
      <c r="T229" s="93">
        <f>VLOOKUP(A229,[26]Овощи!$A$158:$AS$177,45,)</f>
        <v>329.76952000000006</v>
      </c>
      <c r="U229" s="93">
        <f>VLOOKUP(A229,[26]Овощи!$A$158:$BD$177,56,)</f>
        <v>263.33873999999997</v>
      </c>
      <c r="V229" s="93">
        <f>VLOOKUP(A229,[26]Овощи!$A$158:$BO$177,67,)</f>
        <v>252.84246999999999</v>
      </c>
      <c r="W229" s="93">
        <f>VLOOKUP(A229,[26]Овощи!$A$158:$BZ$177,78,)</f>
        <v>267.67529999999999</v>
      </c>
      <c r="X229" s="92">
        <f>VLOOKUP(A229,[26]Бахчевые!$A$158:$L$177,12,)</f>
        <v>134.01000000000002</v>
      </c>
      <c r="Y229" s="121">
        <f>VLOOKUP(A229,[26]Бахчевые!$A$158:$W$177,23,)</f>
        <v>64.440000000000012</v>
      </c>
    </row>
    <row r="230" spans="1:25">
      <c r="A230" s="104" t="s">
        <v>150</v>
      </c>
      <c r="B230" s="92">
        <f>VLOOKUP(A230,[26]Зерновые!$A$158:$L$177,12,)</f>
        <v>8.447849999999999</v>
      </c>
      <c r="C230" s="93">
        <f>VLOOKUP(A230,[26]Зерновые!$A$158:$W$177,23,)</f>
        <v>8.9392600000000009</v>
      </c>
      <c r="D230" s="93">
        <f>VLOOKUP(A230,[26]Зерновые!$A$158:$AH$177,34,)</f>
        <v>4.39778</v>
      </c>
      <c r="E230" s="93">
        <f>VLOOKUP(A230,[26]Зерновые!$A$158:$AS$177,45,)</f>
        <v>1.1499999999999999</v>
      </c>
      <c r="F230" s="93">
        <f>VLOOKUP(A230,[26]Зерновые!$A$158:$BD$177,56,)</f>
        <v>0.69450999999999996</v>
      </c>
      <c r="G230" s="94">
        <f>VLOOKUP(A230,[26]Зерновые!$A$158:$BO$177,67,)</f>
        <v>3.8</v>
      </c>
      <c r="H230" s="161">
        <f>VLOOKUP(A230,[26]Зерновые!$A$158:$BZ$177,78,)</f>
        <v>0</v>
      </c>
      <c r="I230" s="92">
        <f>VLOOKUP(A230,[26]Масличные!$A$158:$L$177,12,)</f>
        <v>1.01671</v>
      </c>
      <c r="J230" s="93">
        <f>VLOOKUP(A230,[26]Масличные!$A$158:$W$177,23,)</f>
        <v>0</v>
      </c>
      <c r="K230" s="93">
        <f>VLOOKUP(A230,[26]Масличные!$A$158:$AH$177,34,)</f>
        <v>2.6984599999999999</v>
      </c>
      <c r="L230" s="93">
        <f>VLOOKUP(A230,[26]Масличные!$A$158:$AS$177,45,)</f>
        <v>1.2078250000000001</v>
      </c>
      <c r="M230" s="123">
        <f>VLOOKUP(A230,[26]Масличные!$A$158:$BD$177,56,)</f>
        <v>2.06555</v>
      </c>
      <c r="N230" s="117">
        <f>VLOOKUP(A230,[26]Бобовые!$A$158:$L$177,12,)</f>
        <v>5.1498200000000001</v>
      </c>
      <c r="O230" s="93">
        <f>VLOOKUP(A230,[26]Бобовые!$A$158:$W$177,23,)</f>
        <v>0</v>
      </c>
      <c r="P230" s="93">
        <f>VLOOKUP(A230,[26]Бобовые!$A$158:$AH$177,34,)</f>
        <v>0</v>
      </c>
      <c r="Q230" s="93">
        <f>VLOOKUP(A230,[26]Овощи!$A$158:$L$177,12,)</f>
        <v>160.38700999999998</v>
      </c>
      <c r="R230" s="93">
        <f>VLOOKUP(A230,[26]Овощи!$A$158:$W$177,23,)</f>
        <v>210.29120000000003</v>
      </c>
      <c r="S230" s="93">
        <f>VLOOKUP(A230,[26]Овощи!$A$158:$AH$177,34,)</f>
        <v>229.57840000000002</v>
      </c>
      <c r="T230" s="93">
        <f>VLOOKUP(A230,[26]Овощи!$A$158:$AS$177,45,)</f>
        <v>282.44164999999992</v>
      </c>
      <c r="U230" s="93">
        <f>VLOOKUP(A230,[26]Овощи!$A$158:$BD$177,56,)</f>
        <v>306.46474000000001</v>
      </c>
      <c r="V230" s="93">
        <f>VLOOKUP(A230,[26]Овощи!$A$158:$BO$177,67,)</f>
        <v>244.07132999999999</v>
      </c>
      <c r="W230" s="93">
        <f>VLOOKUP(A230,[26]Овощи!$A$158:$BZ$177,78,)</f>
        <v>196.41669999999999</v>
      </c>
      <c r="X230" s="92">
        <f>VLOOKUP(A230,[26]Бахчевые!$A$158:$L$177,12,)</f>
        <v>108.47999999999999</v>
      </c>
      <c r="Y230" s="121">
        <f>VLOOKUP(A230,[26]Бахчевые!$A$158:$W$177,23,)</f>
        <v>111.64999999999998</v>
      </c>
    </row>
    <row r="231" spans="1:25">
      <c r="A231" s="104" t="s">
        <v>199</v>
      </c>
      <c r="B231" s="92">
        <f>VLOOKUP(A231,[26]Зерновые!$A$158:$L$177,12,)</f>
        <v>0</v>
      </c>
      <c r="C231" s="93">
        <f>VLOOKUP(A231,[26]Зерновые!$A$158:$W$177,23,)</f>
        <v>0.38</v>
      </c>
      <c r="D231" s="93">
        <f>VLOOKUP(A231,[26]Зерновые!$A$158:$AH$177,34,)</f>
        <v>0</v>
      </c>
      <c r="E231" s="93">
        <f>VLOOKUP(A231,[26]Зерновые!$A$158:$AS$177,45,)</f>
        <v>0</v>
      </c>
      <c r="F231" s="93">
        <f>VLOOKUP(A231,[26]Зерновые!$A$158:$BD$177,56,)</f>
        <v>0</v>
      </c>
      <c r="G231" s="94">
        <f>VLOOKUP(A231,[26]Зерновые!$A$158:$BO$177,67,)</f>
        <v>0</v>
      </c>
      <c r="H231" s="161">
        <f>VLOOKUP(A231,[26]Зерновые!$A$158:$BZ$177,78,)</f>
        <v>0</v>
      </c>
      <c r="I231" s="92">
        <f>VLOOKUP(A231,[26]Масличные!$A$158:$L$177,12,)</f>
        <v>0</v>
      </c>
      <c r="J231" s="93">
        <f>VLOOKUP(A231,[26]Масличные!$A$158:$W$177,23,)</f>
        <v>0</v>
      </c>
      <c r="K231" s="93">
        <f>VLOOKUP(A231,[26]Масличные!$A$158:$AH$177,34,)</f>
        <v>0</v>
      </c>
      <c r="L231" s="93">
        <f>VLOOKUP(A231,[26]Масличные!$A$158:$AS$177,45,)</f>
        <v>0</v>
      </c>
      <c r="M231" s="123">
        <f>VLOOKUP(A231,[26]Масличные!$A$158:$BD$177,56,)</f>
        <v>0</v>
      </c>
      <c r="N231" s="117">
        <f>VLOOKUP(A231,[26]Бобовые!$A$158:$L$177,12,)</f>
        <v>0</v>
      </c>
      <c r="O231" s="93">
        <f>VLOOKUP(A231,[26]Бобовые!$A$158:$W$177,23,)</f>
        <v>0</v>
      </c>
      <c r="P231" s="93">
        <f>VLOOKUP(A231,[26]Бобовые!$A$158:$AH$177,34,)</f>
        <v>2.8912500000000003</v>
      </c>
      <c r="Q231" s="93">
        <f>VLOOKUP(A231,[26]Овощи!$A$158:$L$177,12,)</f>
        <v>213.78532999999999</v>
      </c>
      <c r="R231" s="93">
        <f>VLOOKUP(A231,[26]Овощи!$A$158:$W$177,23,)</f>
        <v>236.58473999999995</v>
      </c>
      <c r="S231" s="93">
        <f>VLOOKUP(A231,[26]Овощи!$A$158:$AH$177,34,)</f>
        <v>386.25647000000004</v>
      </c>
      <c r="T231" s="93">
        <f>VLOOKUP(A231,[26]Овощи!$A$158:$AS$177,45,)</f>
        <v>395.27314999999999</v>
      </c>
      <c r="U231" s="93">
        <f>VLOOKUP(A231,[26]Овощи!$A$158:$BD$177,56,)</f>
        <v>312.71783000000005</v>
      </c>
      <c r="V231" s="93">
        <f>VLOOKUP(A231,[26]Овощи!$A$158:$BO$177,67,)</f>
        <v>372.73511999999999</v>
      </c>
      <c r="W231" s="93">
        <f>VLOOKUP(A231,[26]Овощи!$A$158:$BZ$177,78,)</f>
        <v>342.87396999999999</v>
      </c>
      <c r="X231" s="92">
        <f>VLOOKUP(A231,[26]Бахчевые!$A$158:$L$177,12,)</f>
        <v>110.74999999999997</v>
      </c>
      <c r="Y231" s="121">
        <f>VLOOKUP(A231,[26]Бахчевые!$A$158:$W$177,23,)</f>
        <v>95.44</v>
      </c>
    </row>
    <row r="232" spans="1:25" ht="13.8" thickBot="1">
      <c r="A232" s="107" t="s">
        <v>152</v>
      </c>
      <c r="B232" s="98">
        <f>VLOOKUP(A232,[26]Зерновые!$A$158:$L$177,12,)</f>
        <v>1.9100000000000001</v>
      </c>
      <c r="C232" s="99">
        <f>VLOOKUP(A232,[26]Зерновые!$A$158:$W$177,23,)</f>
        <v>1.98</v>
      </c>
      <c r="D232" s="99">
        <f>VLOOKUP(A232,[26]Зерновые!$A$158:$AH$177,34,)</f>
        <v>0.83000000000000007</v>
      </c>
      <c r="E232" s="99">
        <f>VLOOKUP(A232,[26]Зерновые!$A$158:$AS$177,45,)</f>
        <v>0</v>
      </c>
      <c r="F232" s="99">
        <f>VLOOKUP(A232,[26]Зерновые!$A$158:$BD$177,56,)</f>
        <v>0</v>
      </c>
      <c r="G232" s="100">
        <f>VLOOKUP(A232,[26]Зерновые!$A$158:$BO$177,67,)</f>
        <v>0</v>
      </c>
      <c r="H232" s="162">
        <f>VLOOKUP(A232,[26]Зерновые!$A$158:$BZ$177,78,)</f>
        <v>0</v>
      </c>
      <c r="I232" s="98">
        <f>VLOOKUP(A232,[26]Масличные!$A$158:$L$177,12,)</f>
        <v>0</v>
      </c>
      <c r="J232" s="99">
        <f>VLOOKUP(A232,[26]Масличные!$A$158:$W$177,23,)</f>
        <v>0</v>
      </c>
      <c r="K232" s="99">
        <f>VLOOKUP(A232,[26]Масличные!$A$158:$AH$177,34,)</f>
        <v>0</v>
      </c>
      <c r="L232" s="99">
        <f>VLOOKUP(A232,[26]Масличные!$A$158:$AS$177,45,)</f>
        <v>0</v>
      </c>
      <c r="M232" s="124">
        <f>VLOOKUP(A232,[26]Масличные!$A$158:$BD$177,56,)</f>
        <v>0</v>
      </c>
      <c r="N232" s="117">
        <f>VLOOKUP(A232,[26]Бобовые!$A$158:$L$177,12,)</f>
        <v>0</v>
      </c>
      <c r="O232" s="93">
        <f>VLOOKUP(A232,[26]Бобовые!$A$158:$W$177,23,)</f>
        <v>0</v>
      </c>
      <c r="P232" s="93">
        <f>VLOOKUP(A232,[26]Бобовые!$A$158:$AH$177,34,)</f>
        <v>1</v>
      </c>
      <c r="Q232" s="93">
        <f>VLOOKUP(A232,[26]Овощи!$A$158:$L$177,12,)</f>
        <v>217.14515999999995</v>
      </c>
      <c r="R232" s="93">
        <f>VLOOKUP(A232,[26]Овощи!$A$158:$W$177,23,)</f>
        <v>273.76706000000001</v>
      </c>
      <c r="S232" s="93">
        <f>VLOOKUP(A232,[26]Овощи!$A$158:$AH$177,34,)</f>
        <v>404.37837000000002</v>
      </c>
      <c r="T232" s="93">
        <f>VLOOKUP(A232,[26]Овощи!$A$158:$AS$177,45,)</f>
        <v>440.57058000000006</v>
      </c>
      <c r="U232" s="93">
        <f>VLOOKUP(A232,[26]Овощи!$A$158:$BD$177,56,)</f>
        <v>410.70302999999996</v>
      </c>
      <c r="V232" s="93">
        <f>VLOOKUP(A232,[26]Овощи!$A$158:$BO$177,67,)</f>
        <v>340.48219</v>
      </c>
      <c r="W232" s="93">
        <f>VLOOKUP(A232,[26]Овощи!$A$158:$BZ$177,78,)</f>
        <v>367.44817999999998</v>
      </c>
      <c r="X232" s="98">
        <f>VLOOKUP(A232,[26]Бахчевые!$A$158:$L$177,12,)</f>
        <v>0</v>
      </c>
      <c r="Y232" s="122">
        <f>VLOOKUP(A232,[26]Бахчевые!$A$158:$W$177,23,)</f>
        <v>0</v>
      </c>
    </row>
    <row r="233" spans="1:25" ht="13.8" thickBot="1">
      <c r="A233" s="91"/>
      <c r="B233" s="90"/>
      <c r="C233" s="90"/>
      <c r="D233" s="90"/>
      <c r="E233" s="90"/>
      <c r="F233" s="90"/>
      <c r="G233" s="90"/>
      <c r="H233" s="90"/>
    </row>
    <row r="234" spans="1:25">
      <c r="A234" s="808" t="s">
        <v>290</v>
      </c>
      <c r="B234" s="805" t="s">
        <v>269</v>
      </c>
      <c r="C234" s="806"/>
      <c r="D234" s="806"/>
      <c r="E234" s="806"/>
      <c r="F234" s="806"/>
      <c r="G234" s="806"/>
      <c r="H234" s="807"/>
      <c r="I234" s="799" t="s">
        <v>316</v>
      </c>
      <c r="J234" s="800"/>
      <c r="K234" s="800"/>
      <c r="L234" s="800"/>
      <c r="M234" s="801"/>
      <c r="N234" s="799" t="s">
        <v>317</v>
      </c>
      <c r="O234" s="800"/>
      <c r="P234" s="800"/>
      <c r="Q234" s="799" t="s">
        <v>322</v>
      </c>
      <c r="R234" s="800"/>
      <c r="S234" s="800"/>
      <c r="T234" s="800"/>
      <c r="U234" s="800"/>
      <c r="V234" s="800"/>
      <c r="W234" s="801"/>
      <c r="X234" s="799" t="s">
        <v>330</v>
      </c>
      <c r="Y234" s="801"/>
    </row>
    <row r="235" spans="1:25" ht="20.399999999999999">
      <c r="A235" s="809"/>
      <c r="B235" s="119" t="s">
        <v>270</v>
      </c>
      <c r="C235" s="116" t="s">
        <v>83</v>
      </c>
      <c r="D235" s="116" t="s">
        <v>84</v>
      </c>
      <c r="E235" s="116" t="s">
        <v>271</v>
      </c>
      <c r="F235" s="116" t="s">
        <v>272</v>
      </c>
      <c r="G235" s="116" t="s">
        <v>314</v>
      </c>
      <c r="H235" s="120" t="s">
        <v>273</v>
      </c>
      <c r="I235" s="119" t="s">
        <v>243</v>
      </c>
      <c r="J235" s="116" t="s">
        <v>244</v>
      </c>
      <c r="K235" s="116" t="s">
        <v>258</v>
      </c>
      <c r="L235" s="116" t="s">
        <v>315</v>
      </c>
      <c r="M235" s="120" t="s">
        <v>245</v>
      </c>
      <c r="N235" s="119" t="s">
        <v>318</v>
      </c>
      <c r="O235" s="116" t="s">
        <v>319</v>
      </c>
      <c r="P235" s="116" t="s">
        <v>320</v>
      </c>
      <c r="Q235" s="119" t="s">
        <v>323</v>
      </c>
      <c r="R235" s="116" t="s">
        <v>324</v>
      </c>
      <c r="S235" s="116" t="s">
        <v>325</v>
      </c>
      <c r="T235" s="116" t="s">
        <v>326</v>
      </c>
      <c r="U235" s="116" t="s">
        <v>327</v>
      </c>
      <c r="V235" s="116" t="s">
        <v>328</v>
      </c>
      <c r="W235" s="120" t="s">
        <v>329</v>
      </c>
      <c r="X235" s="119" t="s">
        <v>331</v>
      </c>
      <c r="Y235" s="120" t="s">
        <v>332</v>
      </c>
    </row>
    <row r="236" spans="1:25">
      <c r="A236" s="104" t="s">
        <v>143</v>
      </c>
      <c r="B236" s="92">
        <f>VLOOKUP(A236,[26]Зерновые!$A$182:$L$189,12,)</f>
        <v>3.7</v>
      </c>
      <c r="C236" s="105">
        <f>VLOOKUP(A236,[26]Зерновые!$A$182:$W$189,23,)</f>
        <v>2.33</v>
      </c>
      <c r="D236" s="105">
        <f>VLOOKUP(A236,[26]Зерновые!$A$182:$AH$189,34,)</f>
        <v>3.04</v>
      </c>
      <c r="E236" s="105">
        <f>VLOOKUP(A236,[26]Зерновые!$A$182:$AS$189,45,)</f>
        <v>0</v>
      </c>
      <c r="F236" s="163">
        <f>VLOOKUP(A236,[26]Зерновые!$A$182:$BD$189,56,)</f>
        <v>0</v>
      </c>
      <c r="G236" s="105">
        <f>VLOOKUP(A236,[26]Зерновые!$A$182:$BO$189,67,)</f>
        <v>1.7600000000000002</v>
      </c>
      <c r="H236" s="127">
        <f>VLOOKUP(A236,[26]Зерновые!$A$182:$BZ$189,78,)</f>
        <v>32.79</v>
      </c>
      <c r="I236" s="111">
        <f>VLOOKUP(A236,[26]Масличные!$A$182:$L$189,12,)</f>
        <v>0</v>
      </c>
      <c r="J236" s="163">
        <f>VLOOKUP(A236,[26]Масличные!$A$182:$W$189,23,)</f>
        <v>0</v>
      </c>
      <c r="K236" s="163">
        <f>VLOOKUP(A236,[26]Масличные!$A$182:$AH$189,34,)</f>
        <v>0</v>
      </c>
      <c r="L236" s="163">
        <f>VLOOKUP(A236,[26]Масличные!$A$182:$AS$189,45,)</f>
        <v>0</v>
      </c>
      <c r="M236" s="127">
        <f>VLOOKUP(A236,[26]Масличные!$A$182:$BD$189,56,)</f>
        <v>0.01</v>
      </c>
      <c r="N236" s="169">
        <f>VLOOKUP(A236,[26]Бобовые!$A$182:$L$189,12,)</f>
        <v>0</v>
      </c>
      <c r="O236" s="163">
        <f>VLOOKUP(A236,[26]Бобовые!$A$182:$W$189,23,)</f>
        <v>0</v>
      </c>
      <c r="P236" s="105">
        <f>VLOOKUP(A236,[26]Бобовые!$A$182:$AH$189,34,)</f>
        <v>0</v>
      </c>
      <c r="Q236" s="111">
        <f>VLOOKUP(A236,[26]Овощи!$A$182:$L$189,12,)</f>
        <v>115.2565</v>
      </c>
      <c r="R236" s="105">
        <f>VLOOKUP(A236,[26]Овощи!$A$182:$W$189,23,)</f>
        <v>123.37916999999997</v>
      </c>
      <c r="S236" s="105">
        <f>VLOOKUP(A236,[26]Овощи!$A$182:$AH$189,34,)</f>
        <v>124.49014</v>
      </c>
      <c r="T236" s="105">
        <f>VLOOKUP(A236,[26]Овощи!$A$182:$AS$189,45,)</f>
        <v>124.28742</v>
      </c>
      <c r="U236" s="105">
        <f>VLOOKUP(A236,[26]Овощи!$A$182:$BD$189,56,)</f>
        <v>122.99083</v>
      </c>
      <c r="V236" s="105">
        <f>VLOOKUP(A236,[26]Овощи!$A$182:$BO$189,67,)</f>
        <v>123.78473</v>
      </c>
      <c r="W236" s="127">
        <f>VLOOKUP(A236,[26]Овощи!$A$182:$BZ$189,78,)</f>
        <v>122.74863999999999</v>
      </c>
      <c r="X236" s="111">
        <f>VLOOKUP(A236,[26]Бахчевые!$A$182:$L$189,12,)</f>
        <v>125.62688999999997</v>
      </c>
      <c r="Y236" s="127">
        <f>VLOOKUP(A236,[26]Бахчевые!$A$182:$W$189,23,)</f>
        <v>125.61469</v>
      </c>
    </row>
    <row r="237" spans="1:25">
      <c r="A237" s="104" t="s">
        <v>142</v>
      </c>
      <c r="B237" s="92">
        <f>VLOOKUP(A237,[26]Зерновые!$A$182:$L$189,12,)</f>
        <v>0</v>
      </c>
      <c r="C237" s="105">
        <f>VLOOKUP(A237,[26]Зерновые!$A$182:$W$189,23,)</f>
        <v>0.54</v>
      </c>
      <c r="D237" s="105">
        <f>VLOOKUP(A237,[26]Зерновые!$A$182:$AH$189,34,)</f>
        <v>0</v>
      </c>
      <c r="E237" s="105">
        <f>VLOOKUP(A237,[26]Зерновые!$A$182:$AS$189,45,)</f>
        <v>3.06</v>
      </c>
      <c r="F237" s="163">
        <f>VLOOKUP(A237,[26]Зерновые!$A$182:$BD$189,56,)</f>
        <v>0</v>
      </c>
      <c r="G237" s="105">
        <f>VLOOKUP(A237,[26]Зерновые!$A$182:$BO$189,67,)</f>
        <v>0</v>
      </c>
      <c r="H237" s="127">
        <f>VLOOKUP(A237,[26]Зерновые!$A$182:$BZ$189,78,)</f>
        <v>0</v>
      </c>
      <c r="I237" s="111">
        <f>VLOOKUP(A237,[26]Масличные!$A$182:$L$189,12,)</f>
        <v>2.13</v>
      </c>
      <c r="J237" s="163">
        <f>VLOOKUP(A237,[26]Масличные!$A$182:$W$189,23,)</f>
        <v>0</v>
      </c>
      <c r="K237" s="163">
        <f>VLOOKUP(A237,[26]Масличные!$A$182:$AH$189,34,)</f>
        <v>0</v>
      </c>
      <c r="L237" s="163">
        <f>VLOOKUP(A237,[26]Масличные!$A$182:$AS$189,45,)</f>
        <v>0</v>
      </c>
      <c r="M237" s="127">
        <f>VLOOKUP(A237,[26]Масличные!$A$182:$BD$189,56,)</f>
        <v>0</v>
      </c>
      <c r="N237" s="169">
        <f>VLOOKUP(A237,[26]Бобовые!$A$182:$L$189,12,)</f>
        <v>0</v>
      </c>
      <c r="O237" s="163">
        <f>VLOOKUP(A237,[26]Бобовые!$A$182:$W$189,23,)</f>
        <v>0</v>
      </c>
      <c r="P237" s="105">
        <f>VLOOKUP(A237,[26]Бобовые!$A$182:$AH$189,34,)</f>
        <v>0</v>
      </c>
      <c r="Q237" s="111">
        <f>VLOOKUP(A237,[26]Овощи!$A$182:$L$189,12,)</f>
        <v>77.63467</v>
      </c>
      <c r="R237" s="105">
        <f>VLOOKUP(A237,[26]Овощи!$A$182:$W$189,23,)</f>
        <v>63.171619999999997</v>
      </c>
      <c r="S237" s="105">
        <f>VLOOKUP(A237,[26]Овощи!$A$182:$AH$189,34,)</f>
        <v>65.660150000000002</v>
      </c>
      <c r="T237" s="105">
        <f>VLOOKUP(A237,[26]Овощи!$A$182:$AS$189,45,)</f>
        <v>3</v>
      </c>
      <c r="U237" s="105">
        <f>VLOOKUP(A237,[26]Овощи!$A$182:$BD$189,56,)</f>
        <v>108.63435</v>
      </c>
      <c r="V237" s="105">
        <f>VLOOKUP(A237,[26]Овощи!$A$182:$BO$189,67,)</f>
        <v>107.48824999999999</v>
      </c>
      <c r="W237" s="127">
        <f>VLOOKUP(A237,[26]Овощи!$A$182:$BZ$189,78,)</f>
        <v>0</v>
      </c>
      <c r="X237" s="111">
        <f>VLOOKUP(A237,[26]Бахчевые!$A$182:$L$189,12,)</f>
        <v>101.63590000000001</v>
      </c>
      <c r="Y237" s="127">
        <f>VLOOKUP(A237,[26]Бахчевые!$A$182:$W$189,23,)</f>
        <v>108.59107000000002</v>
      </c>
    </row>
    <row r="238" spans="1:25">
      <c r="A238" s="104" t="s">
        <v>144</v>
      </c>
      <c r="B238" s="92">
        <f>VLOOKUP(A238,[26]Зерновые!$A$182:$L$189,12,)</f>
        <v>6.5</v>
      </c>
      <c r="C238" s="105">
        <f>VLOOKUP(A238,[26]Зерновые!$A$182:$W$189,23,)</f>
        <v>0.83000000000000007</v>
      </c>
      <c r="D238" s="105">
        <f>VLOOKUP(A238,[26]Зерновые!$A$182:$AH$189,34,)</f>
        <v>0.83000000000000007</v>
      </c>
      <c r="E238" s="105">
        <f>VLOOKUP(A238,[26]Зерновые!$A$182:$AS$189,45,)</f>
        <v>0</v>
      </c>
      <c r="F238" s="163">
        <f>VLOOKUP(A238,[26]Зерновые!$A$182:$BD$189,56,)</f>
        <v>0</v>
      </c>
      <c r="G238" s="105">
        <f>VLOOKUP(A238,[26]Зерновые!$A$182:$BO$189,67,)</f>
        <v>0</v>
      </c>
      <c r="H238" s="127">
        <f>VLOOKUP(A238,[26]Зерновые!$A$182:$BZ$189,78,)</f>
        <v>42.160000000000004</v>
      </c>
      <c r="I238" s="111">
        <f>VLOOKUP(A238,[26]Масличные!$A$182:$L$189,12,)</f>
        <v>9.620000000000001</v>
      </c>
      <c r="J238" s="163">
        <f>VLOOKUP(A238,[26]Масличные!$A$182:$W$189,23,)</f>
        <v>0</v>
      </c>
      <c r="K238" s="163">
        <f>VLOOKUP(A238,[26]Масличные!$A$182:$AH$189,34,)</f>
        <v>0</v>
      </c>
      <c r="L238" s="163">
        <f>VLOOKUP(A238,[26]Масличные!$A$182:$AS$189,45,)</f>
        <v>0</v>
      </c>
      <c r="M238" s="127">
        <f>VLOOKUP(A238,[26]Масличные!$A$182:$BD$189,56,)</f>
        <v>4.6216400000000002</v>
      </c>
      <c r="N238" s="169">
        <f>VLOOKUP(A238,[26]Бобовые!$A$182:$L$189,12,)</f>
        <v>0</v>
      </c>
      <c r="O238" s="163">
        <f>VLOOKUP(A238,[26]Бобовые!$A$182:$W$189,23,)</f>
        <v>0</v>
      </c>
      <c r="P238" s="105">
        <f>VLOOKUP(A238,[26]Бобовые!$A$182:$AH$189,34,)</f>
        <v>0</v>
      </c>
      <c r="Q238" s="111">
        <f>VLOOKUP(A238,[26]Овощи!$A$182:$L$189,12,)</f>
        <v>144.25202999999999</v>
      </c>
      <c r="R238" s="105">
        <f>VLOOKUP(A238,[26]Овощи!$A$182:$W$189,23,)</f>
        <v>172.86673000000002</v>
      </c>
      <c r="S238" s="105">
        <f>VLOOKUP(A238,[26]Овощи!$A$182:$AH$189,34,)</f>
        <v>172.62670999999995</v>
      </c>
      <c r="T238" s="105">
        <f>VLOOKUP(A238,[26]Овощи!$A$182:$AS$189,45,)</f>
        <v>172.02352000000002</v>
      </c>
      <c r="U238" s="105">
        <f>VLOOKUP(A238,[26]Овощи!$A$182:$BD$189,56,)</f>
        <v>171.75240000000002</v>
      </c>
      <c r="V238" s="105">
        <f>VLOOKUP(A238,[26]Овощи!$A$182:$BO$189,67,)</f>
        <v>174.33526999999998</v>
      </c>
      <c r="W238" s="127">
        <f>VLOOKUP(A238,[26]Овощи!$A$182:$BZ$189,78,)</f>
        <v>108.12426000000001</v>
      </c>
      <c r="X238" s="111">
        <f>VLOOKUP(A238,[26]Бахчевые!$A$182:$L$189,12,)</f>
        <v>181.81035</v>
      </c>
      <c r="Y238" s="127">
        <f>VLOOKUP(A238,[26]Бахчевые!$A$182:$W$189,23,)</f>
        <v>180.74583999999999</v>
      </c>
    </row>
    <row r="239" spans="1:25">
      <c r="A239" s="104" t="s">
        <v>145</v>
      </c>
      <c r="B239" s="92">
        <f>VLOOKUP(A239,[26]Зерновые!$A$182:$L$189,12,)</f>
        <v>12.150000000000002</v>
      </c>
      <c r="C239" s="105">
        <f>VLOOKUP(A239,[26]Зерновые!$A$182:$W$189,23,)</f>
        <v>7.7</v>
      </c>
      <c r="D239" s="105">
        <f>VLOOKUP(A239,[26]Зерновые!$A$182:$AH$189,34,)</f>
        <v>0</v>
      </c>
      <c r="E239" s="105">
        <f>VLOOKUP(A239,[26]Зерновые!$A$182:$AS$189,45,)</f>
        <v>18.5</v>
      </c>
      <c r="F239" s="163">
        <f>VLOOKUP(A239,[26]Зерновые!$A$182:$BD$189,56,)</f>
        <v>0</v>
      </c>
      <c r="G239" s="105">
        <f>VLOOKUP(A239,[26]Зерновые!$A$182:$BO$189,67,)</f>
        <v>29.46</v>
      </c>
      <c r="H239" s="127">
        <f>VLOOKUP(A239,[26]Зерновые!$A$182:$BZ$189,78,)</f>
        <v>34.04</v>
      </c>
      <c r="I239" s="111">
        <f>VLOOKUP(A239,[26]Масличные!$A$182:$L$189,12,)</f>
        <v>15.411760000000005</v>
      </c>
      <c r="J239" s="163">
        <f>VLOOKUP(A239,[26]Масличные!$A$182:$W$189,23,)</f>
        <v>0</v>
      </c>
      <c r="K239" s="163">
        <f>VLOOKUP(A239,[26]Масличные!$A$182:$AH$189,34,)</f>
        <v>0</v>
      </c>
      <c r="L239" s="163">
        <f>VLOOKUP(A239,[26]Масличные!$A$182:$AS$189,45,)</f>
        <v>0</v>
      </c>
      <c r="M239" s="127">
        <f>VLOOKUP(A239,[26]Масличные!$A$182:$BD$189,56,)</f>
        <v>6.3170200000000012</v>
      </c>
      <c r="N239" s="169">
        <f>VLOOKUP(A239,[26]Бобовые!$A$182:$L$189,12,)</f>
        <v>0</v>
      </c>
      <c r="O239" s="163">
        <f>VLOOKUP(A239,[26]Бобовые!$A$182:$W$189,23,)</f>
        <v>0</v>
      </c>
      <c r="P239" s="105">
        <f>VLOOKUP(A239,[26]Бобовые!$A$182:$AH$189,34,)</f>
        <v>1.7</v>
      </c>
      <c r="Q239" s="111">
        <f>VLOOKUP(A239,[26]Овощи!$A$182:$L$189,12,)</f>
        <v>120.08392000000001</v>
      </c>
      <c r="R239" s="105">
        <f>VLOOKUP(A239,[26]Овощи!$A$182:$W$189,23,)</f>
        <v>162.40492</v>
      </c>
      <c r="S239" s="105">
        <f>VLOOKUP(A239,[26]Овощи!$A$182:$AH$189,34,)</f>
        <v>165.58373</v>
      </c>
      <c r="T239" s="105">
        <f>VLOOKUP(A239,[26]Овощи!$A$182:$AS$189,45,)</f>
        <v>162.27214999999998</v>
      </c>
      <c r="U239" s="105">
        <f>VLOOKUP(A239,[26]Овощи!$A$182:$BD$189,56,)</f>
        <v>179.10767000000004</v>
      </c>
      <c r="V239" s="105">
        <f>VLOOKUP(A239,[26]Овощи!$A$182:$BO$189,67,)</f>
        <v>211.03917999999999</v>
      </c>
      <c r="W239" s="127">
        <f>VLOOKUP(A239,[26]Овощи!$A$182:$BZ$189,78,)</f>
        <v>0</v>
      </c>
      <c r="X239" s="111">
        <f>VLOOKUP(A239,[26]Бахчевые!$A$182:$L$189,12,)</f>
        <v>166.65699999999998</v>
      </c>
      <c r="Y239" s="127">
        <f>VLOOKUP(A239,[26]Бахчевые!$A$182:$W$189,23,)</f>
        <v>160.51469</v>
      </c>
    </row>
    <row r="240" spans="1:25">
      <c r="A240" s="104" t="s">
        <v>146</v>
      </c>
      <c r="B240" s="92">
        <f>VLOOKUP(A240,[26]Зерновые!$A$182:$L$189,12,)</f>
        <v>7.2100000000000009</v>
      </c>
      <c r="C240" s="105">
        <f>VLOOKUP(A240,[26]Зерновые!$A$182:$W$189,23,)</f>
        <v>4.24</v>
      </c>
      <c r="D240" s="105">
        <f>VLOOKUP(A240,[26]Зерновые!$A$182:$AH$189,34,)</f>
        <v>0</v>
      </c>
      <c r="E240" s="105">
        <f>VLOOKUP(A240,[26]Зерновые!$A$182:$AS$189,45,)</f>
        <v>12.36</v>
      </c>
      <c r="F240" s="163">
        <f>VLOOKUP(A240,[26]Зерновые!$A$182:$BD$189,56,)</f>
        <v>0</v>
      </c>
      <c r="G240" s="105">
        <f>VLOOKUP(A240,[26]Зерновые!$A$182:$BO$189,67,)</f>
        <v>4.4799999999999995</v>
      </c>
      <c r="H240" s="127">
        <f>VLOOKUP(A240,[26]Зерновые!$A$182:$BZ$189,78,)</f>
        <v>34.19</v>
      </c>
      <c r="I240" s="111">
        <f>VLOOKUP(A240,[26]Масличные!$A$182:$L$189,12,)</f>
        <v>10.670500000000001</v>
      </c>
      <c r="J240" s="163">
        <f>VLOOKUP(A240,[26]Масличные!$A$182:$W$189,23,)</f>
        <v>0</v>
      </c>
      <c r="K240" s="163">
        <f>VLOOKUP(A240,[26]Масличные!$A$182:$AH$189,34,)</f>
        <v>0</v>
      </c>
      <c r="L240" s="163">
        <f>VLOOKUP(A240,[26]Масличные!$A$182:$AS$189,45,)</f>
        <v>0</v>
      </c>
      <c r="M240" s="127">
        <f>VLOOKUP(A240,[26]Масличные!$A$182:$BD$189,56,)</f>
        <v>0.46500000000000002</v>
      </c>
      <c r="N240" s="169">
        <f>VLOOKUP(A240,[26]Бобовые!$A$182:$L$189,12,)</f>
        <v>0</v>
      </c>
      <c r="O240" s="163">
        <f>VLOOKUP(A240,[26]Бобовые!$A$182:$W$189,23,)</f>
        <v>0</v>
      </c>
      <c r="P240" s="105">
        <f>VLOOKUP(A240,[26]Бобовые!$A$182:$AH$189,34,)</f>
        <v>0</v>
      </c>
      <c r="Q240" s="111">
        <f>VLOOKUP(A240,[26]Овощи!$A$182:$L$189,12,)</f>
        <v>98.303069999999991</v>
      </c>
      <c r="R240" s="105">
        <f>VLOOKUP(A240,[26]Овощи!$A$182:$W$189,23,)</f>
        <v>122.85844999999999</v>
      </c>
      <c r="S240" s="105">
        <f>VLOOKUP(A240,[26]Овощи!$A$182:$AH$189,34,)</f>
        <v>124.52331000000001</v>
      </c>
      <c r="T240" s="105">
        <f>VLOOKUP(A240,[26]Овощи!$A$182:$AS$189,45,)</f>
        <v>123.35289999999998</v>
      </c>
      <c r="U240" s="105">
        <f>VLOOKUP(A240,[26]Овощи!$A$182:$BD$189,56,)</f>
        <v>125.16613000000002</v>
      </c>
      <c r="V240" s="105">
        <f>VLOOKUP(A240,[26]Овощи!$A$182:$BO$189,67,)</f>
        <v>125.65820999999998</v>
      </c>
      <c r="W240" s="127">
        <f>VLOOKUP(A240,[26]Овощи!$A$182:$BZ$189,78,)</f>
        <v>12.709999999999999</v>
      </c>
      <c r="X240" s="111">
        <f>VLOOKUP(A240,[26]Бахчевые!$A$182:$L$189,12,)</f>
        <v>136.89143000000001</v>
      </c>
      <c r="Y240" s="127">
        <f>VLOOKUP(A240,[26]Бахчевые!$A$182:$W$189,23,)</f>
        <v>135.84777</v>
      </c>
    </row>
    <row r="241" spans="1:25">
      <c r="A241" s="104" t="s">
        <v>147</v>
      </c>
      <c r="B241" s="92">
        <f>VLOOKUP(A241,[26]Зерновые!$A$182:$L$189,12,)</f>
        <v>5.4500000000000011</v>
      </c>
      <c r="C241" s="105">
        <f>VLOOKUP(A241,[26]Зерновые!$A$182:$W$189,23,)</f>
        <v>0</v>
      </c>
      <c r="D241" s="105">
        <f>VLOOKUP(A241,[26]Зерновые!$A$182:$AH$189,34,)</f>
        <v>0</v>
      </c>
      <c r="E241" s="105">
        <f>VLOOKUP(A241,[26]Зерновые!$A$182:$AS$189,45,)</f>
        <v>0</v>
      </c>
      <c r="F241" s="163">
        <f>VLOOKUP(A241,[26]Зерновые!$A$182:$BD$189,56,)</f>
        <v>0</v>
      </c>
      <c r="G241" s="105">
        <f>VLOOKUP(A241,[26]Зерновые!$A$182:$BO$189,67,)</f>
        <v>8.41</v>
      </c>
      <c r="H241" s="127">
        <f>VLOOKUP(A241,[26]Зерновые!$A$182:$BZ$189,78,)</f>
        <v>42.750000000000007</v>
      </c>
      <c r="I241" s="111">
        <f>VLOOKUP(A241,[26]Масличные!$A$182:$L$189,12,)</f>
        <v>0</v>
      </c>
      <c r="J241" s="163">
        <f>VLOOKUP(A241,[26]Масличные!$A$182:$W$189,23,)</f>
        <v>0</v>
      </c>
      <c r="K241" s="163">
        <f>VLOOKUP(A241,[26]Масличные!$A$182:$AH$189,34,)</f>
        <v>0</v>
      </c>
      <c r="L241" s="163">
        <f>VLOOKUP(A241,[26]Масличные!$A$182:$AS$189,45,)</f>
        <v>0</v>
      </c>
      <c r="M241" s="127">
        <f>VLOOKUP(A241,[26]Масличные!$A$182:$BD$189,56,)</f>
        <v>2.5379099999999997</v>
      </c>
      <c r="N241" s="169">
        <f>VLOOKUP(A241,[26]Бобовые!$A$182:$L$189,12,)</f>
        <v>0</v>
      </c>
      <c r="O241" s="163">
        <f>VLOOKUP(A241,[26]Бобовые!$A$182:$W$189,23,)</f>
        <v>0</v>
      </c>
      <c r="P241" s="105">
        <f>VLOOKUP(A241,[26]Бобовые!$A$182:$AH$189,34,)</f>
        <v>0</v>
      </c>
      <c r="Q241" s="111">
        <f>VLOOKUP(A241,[26]Овощи!$A$182:$L$189,12,)</f>
        <v>151.89529999999999</v>
      </c>
      <c r="R241" s="105">
        <f>VLOOKUP(A241,[26]Овощи!$A$182:$W$189,23,)</f>
        <v>164.47290000000001</v>
      </c>
      <c r="S241" s="105">
        <f>VLOOKUP(A241,[26]Овощи!$A$182:$AH$189,34,)</f>
        <v>166.83734999999999</v>
      </c>
      <c r="T241" s="105">
        <f>VLOOKUP(A241,[26]Овощи!$A$182:$AS$189,45,)</f>
        <v>169.44855000000001</v>
      </c>
      <c r="U241" s="105">
        <f>VLOOKUP(A241,[26]Овощи!$A$182:$BD$189,56,)</f>
        <v>163.84539000000001</v>
      </c>
      <c r="V241" s="105">
        <f>VLOOKUP(A241,[26]Овощи!$A$182:$BO$189,67,)</f>
        <v>168.40742</v>
      </c>
      <c r="W241" s="127">
        <f>VLOOKUP(A241,[26]Овощи!$A$182:$BZ$189,78,)</f>
        <v>162.91892000000001</v>
      </c>
      <c r="X241" s="111">
        <f>VLOOKUP(A241,[26]Бахчевые!$A$182:$L$189,12,)</f>
        <v>184.68045999999998</v>
      </c>
      <c r="Y241" s="127">
        <f>VLOOKUP(A241,[26]Бахчевые!$A$182:$W$189,23,)</f>
        <v>189.87252000000004</v>
      </c>
    </row>
    <row r="242" spans="1:25">
      <c r="A242" s="104" t="s">
        <v>148</v>
      </c>
      <c r="B242" s="92">
        <f>VLOOKUP(A242,[26]Зерновые!$A$182:$L$189,12,)</f>
        <v>8.24</v>
      </c>
      <c r="C242" s="105">
        <f>VLOOKUP(A242,[26]Зерновые!$A$182:$W$189,23,)</f>
        <v>1.54</v>
      </c>
      <c r="D242" s="105">
        <f>VLOOKUP(A242,[26]Зерновые!$A$182:$AH$189,34,)</f>
        <v>0</v>
      </c>
      <c r="E242" s="105">
        <f>VLOOKUP(A242,[26]Зерновые!$A$182:$AS$189,45,)</f>
        <v>0</v>
      </c>
      <c r="F242" s="163">
        <f>VLOOKUP(A242,[26]Зерновые!$A$182:$BD$189,56,)</f>
        <v>0</v>
      </c>
      <c r="G242" s="105">
        <f>VLOOKUP(A242,[26]Зерновые!$A$182:$BO$189,67,)</f>
        <v>16.96</v>
      </c>
      <c r="H242" s="127">
        <f>VLOOKUP(A242,[26]Зерновые!$A$182:$BZ$189,78,)</f>
        <v>39.760000000000005</v>
      </c>
      <c r="I242" s="111">
        <f>VLOOKUP(A242,[26]Масличные!$A$182:$L$189,12,)</f>
        <v>6.7199999999999989</v>
      </c>
      <c r="J242" s="163">
        <f>VLOOKUP(A242,[26]Масличные!$A$182:$W$189,23,)</f>
        <v>0</v>
      </c>
      <c r="K242" s="163">
        <f>VLOOKUP(A242,[26]Масличные!$A$182:$AH$189,34,)</f>
        <v>0</v>
      </c>
      <c r="L242" s="163">
        <f>VLOOKUP(A242,[26]Масличные!$A$182:$AS$189,45,)</f>
        <v>0</v>
      </c>
      <c r="M242" s="127">
        <f>VLOOKUP(A242,[26]Масличные!$A$182:$BD$189,56,)</f>
        <v>3.10128</v>
      </c>
      <c r="N242" s="169">
        <f>VLOOKUP(A242,[26]Бобовые!$A$182:$L$189,12,)</f>
        <v>0</v>
      </c>
      <c r="O242" s="163">
        <f>VLOOKUP(A242,[26]Бобовые!$A$182:$W$189,23,)</f>
        <v>0</v>
      </c>
      <c r="P242" s="105">
        <f>VLOOKUP(A242,[26]Бобовые!$A$182:$AH$189,34,)</f>
        <v>0</v>
      </c>
      <c r="Q242" s="111">
        <f>VLOOKUP(A242,[26]Овощи!$A$182:$L$189,12,)</f>
        <v>162.81489999999999</v>
      </c>
      <c r="R242" s="105">
        <f>VLOOKUP(A242,[26]Овощи!$A$182:$W$189,23,)</f>
        <v>178.42136999999997</v>
      </c>
      <c r="S242" s="105">
        <f>VLOOKUP(A242,[26]Овощи!$A$182:$AH$189,34,)</f>
        <v>174.52015</v>
      </c>
      <c r="T242" s="105">
        <f>VLOOKUP(A242,[26]Овощи!$A$182:$AS$189,45,)</f>
        <v>176.30530000000002</v>
      </c>
      <c r="U242" s="105">
        <f>VLOOKUP(A242,[26]Овощи!$A$182:$BD$189,56,)</f>
        <v>179.02786</v>
      </c>
      <c r="V242" s="105">
        <f>VLOOKUP(A242,[26]Овощи!$A$182:$BO$189,67,)</f>
        <v>182.25861000000003</v>
      </c>
      <c r="W242" s="127">
        <f>VLOOKUP(A242,[26]Овощи!$A$182:$BZ$189,78,)</f>
        <v>173.00173999999998</v>
      </c>
      <c r="X242" s="111">
        <f>VLOOKUP(A242,[26]Бахчевые!$A$182:$L$189,12,)</f>
        <v>192.78877</v>
      </c>
      <c r="Y242" s="127">
        <f>VLOOKUP(A242,[26]Бахчевые!$A$182:$W$189,23,)</f>
        <v>184.34370000000001</v>
      </c>
    </row>
    <row r="243" spans="1:25" ht="13.8" thickBot="1">
      <c r="A243" s="107" t="s">
        <v>149</v>
      </c>
      <c r="B243" s="98">
        <f>VLOOKUP(A243,[26]Зерновые!$A$182:$L$189,12,)</f>
        <v>8.8599999999999977</v>
      </c>
      <c r="C243" s="108">
        <f>VLOOKUP(A243,[26]Зерновые!$A$182:$W$189,23,)</f>
        <v>0</v>
      </c>
      <c r="D243" s="108">
        <f>VLOOKUP(A243,[26]Зерновые!$A$182:$AH$189,34,)</f>
        <v>0</v>
      </c>
      <c r="E243" s="108">
        <f>VLOOKUP(A243,[26]Зерновые!$A$182:$AS$189,45,)</f>
        <v>19.999999999999996</v>
      </c>
      <c r="F243" s="164">
        <f>VLOOKUP(A243,[26]Зерновые!$A$182:$BD$189,56,)</f>
        <v>0</v>
      </c>
      <c r="G243" s="108">
        <f>VLOOKUP(A243,[26]Зерновые!$A$182:$BO$189,67,)</f>
        <v>38.090000000000003</v>
      </c>
      <c r="H243" s="128">
        <f>VLOOKUP(A243,[26]Зерновые!$A$182:$BZ$189,78,)</f>
        <v>37.180000000000007</v>
      </c>
      <c r="I243" s="112">
        <f>VLOOKUP(A243,[26]Масличные!$A$182:$L$189,12,)</f>
        <v>17.86</v>
      </c>
      <c r="J243" s="164">
        <f>VLOOKUP(A243,[26]Масличные!$A$182:$W$189,23,)</f>
        <v>0</v>
      </c>
      <c r="K243" s="164">
        <f>VLOOKUP(A243,[26]Масличные!$A$182:$AH$189,34,)</f>
        <v>0</v>
      </c>
      <c r="L243" s="164">
        <f>VLOOKUP(A243,[26]Масличные!$A$182:$AS$189,45,)</f>
        <v>0</v>
      </c>
      <c r="M243" s="128">
        <f>VLOOKUP(A243,[26]Масличные!$A$182:$BD$189,56,)</f>
        <v>3.7170399999999999</v>
      </c>
      <c r="N243" s="170">
        <f>VLOOKUP(A243,[26]Бобовые!$A$182:$L$189,12,)</f>
        <v>0</v>
      </c>
      <c r="O243" s="164">
        <f>VLOOKUP(A243,[26]Бобовые!$A$182:$W$189,23,)</f>
        <v>0</v>
      </c>
      <c r="P243" s="108">
        <f>VLOOKUP(A243,[26]Бобовые!$A$182:$AH$189,34,)</f>
        <v>0</v>
      </c>
      <c r="Q243" s="112">
        <f>VLOOKUP(A243,[26]Овощи!$A$182:$L$189,12,)</f>
        <v>154.19016000000002</v>
      </c>
      <c r="R243" s="108">
        <f>VLOOKUP(A243,[26]Овощи!$A$182:$W$189,23,)</f>
        <v>140.12268</v>
      </c>
      <c r="S243" s="108">
        <f>VLOOKUP(A243,[26]Овощи!$A$182:$AH$189,34,)</f>
        <v>140.31533999999999</v>
      </c>
      <c r="T243" s="108">
        <f>VLOOKUP(A243,[26]Овощи!$A$182:$AS$189,45,)</f>
        <v>68.448430000000002</v>
      </c>
      <c r="U243" s="108">
        <f>VLOOKUP(A243,[26]Овощи!$A$182:$BD$189,56,)</f>
        <v>178.07784999999998</v>
      </c>
      <c r="V243" s="108">
        <f>VLOOKUP(A243,[26]Овощи!$A$182:$BO$189,67,)</f>
        <v>178.71829999999997</v>
      </c>
      <c r="W243" s="128">
        <f>VLOOKUP(A243,[26]Овощи!$A$182:$BZ$189,78,)</f>
        <v>38.266089999999998</v>
      </c>
      <c r="X243" s="112">
        <f>VLOOKUP(A243,[26]Бахчевые!$A$182:$L$189,12,)</f>
        <v>187.31107</v>
      </c>
      <c r="Y243" s="128">
        <f>VLOOKUP(A243,[26]Бахчевые!$A$182:$W$189,23,)</f>
        <v>169.81272000000001</v>
      </c>
    </row>
    <row r="244" spans="1:25">
      <c r="A244" s="172"/>
      <c r="B244" s="90"/>
      <c r="C244" s="113"/>
      <c r="D244" s="113"/>
      <c r="E244" s="113"/>
      <c r="F244" s="175"/>
      <c r="G244" s="113"/>
      <c r="H244" s="113"/>
      <c r="I244" s="113"/>
      <c r="J244" s="175"/>
      <c r="K244" s="175"/>
      <c r="L244" s="175"/>
      <c r="M244" s="113"/>
      <c r="N244" s="175"/>
      <c r="O244" s="175"/>
      <c r="P244" s="113"/>
      <c r="Q244" s="113"/>
      <c r="R244" s="113"/>
      <c r="S244" s="113"/>
      <c r="T244" s="113"/>
      <c r="U244" s="113"/>
      <c r="V244" s="113"/>
      <c r="W244" s="113"/>
      <c r="X244" s="113"/>
      <c r="Y244" s="113"/>
    </row>
    <row r="245" spans="1:25">
      <c r="A245" s="172"/>
      <c r="B245" s="90"/>
      <c r="C245" s="113"/>
      <c r="D245" s="113"/>
      <c r="E245" s="113"/>
      <c r="F245" s="175"/>
      <c r="G245" s="113"/>
      <c r="H245" s="113"/>
      <c r="I245" s="113"/>
      <c r="J245" s="175"/>
      <c r="K245" s="175"/>
      <c r="L245" s="175"/>
      <c r="M245" s="113"/>
      <c r="N245" s="175"/>
      <c r="O245" s="175"/>
      <c r="P245" s="113"/>
      <c r="Q245" s="113"/>
      <c r="R245" s="113"/>
      <c r="S245" s="113"/>
      <c r="T245" s="113"/>
      <c r="U245" s="113"/>
      <c r="V245" s="113"/>
      <c r="W245" s="113"/>
      <c r="X245" s="113"/>
      <c r="Y245" s="113"/>
    </row>
    <row r="246" spans="1:25">
      <c r="A246" s="172"/>
      <c r="B246" s="90"/>
      <c r="C246" s="113"/>
      <c r="D246" s="113"/>
      <c r="E246" s="113"/>
      <c r="F246" s="175"/>
      <c r="G246" s="113"/>
      <c r="H246" s="113"/>
      <c r="I246" s="113"/>
      <c r="J246" s="175"/>
      <c r="K246" s="175"/>
      <c r="L246" s="175"/>
      <c r="M246" s="113"/>
      <c r="N246" s="175"/>
      <c r="O246" s="175"/>
      <c r="P246" s="113"/>
      <c r="Q246" s="113"/>
      <c r="R246" s="113"/>
      <c r="S246" s="113"/>
      <c r="T246" s="113"/>
      <c r="U246" s="113"/>
      <c r="V246" s="113"/>
      <c r="W246" s="113"/>
      <c r="X246" s="113"/>
      <c r="Y246" s="113"/>
    </row>
    <row r="247" spans="1:25">
      <c r="A247" s="172"/>
      <c r="B247" s="90"/>
      <c r="C247" s="113"/>
      <c r="D247" s="113"/>
      <c r="E247" s="113"/>
      <c r="F247" s="175"/>
      <c r="G247" s="113"/>
      <c r="H247" s="113"/>
      <c r="I247" s="113"/>
      <c r="J247" s="175"/>
      <c r="K247" s="175"/>
      <c r="L247" s="175"/>
      <c r="M247" s="113"/>
      <c r="N247" s="175"/>
      <c r="O247" s="175"/>
      <c r="P247" s="113"/>
      <c r="Q247" s="113"/>
      <c r="R247" s="113"/>
      <c r="S247" s="113"/>
      <c r="T247" s="113"/>
      <c r="U247" s="113"/>
      <c r="V247" s="113"/>
      <c r="W247" s="113"/>
      <c r="X247" s="113"/>
      <c r="Y247" s="113"/>
    </row>
    <row r="248" spans="1:25">
      <c r="A248" s="172"/>
      <c r="B248" s="90"/>
      <c r="C248" s="113"/>
      <c r="D248" s="113"/>
      <c r="E248" s="113"/>
      <c r="F248" s="175"/>
      <c r="G248" s="113"/>
      <c r="H248" s="113"/>
      <c r="I248" s="113"/>
      <c r="J248" s="175"/>
      <c r="K248" s="175"/>
      <c r="L248" s="175"/>
      <c r="M248" s="113"/>
      <c r="N248" s="175"/>
      <c r="O248" s="175"/>
      <c r="P248" s="113"/>
      <c r="Q248" s="113"/>
      <c r="R248" s="113"/>
      <c r="S248" s="113"/>
      <c r="T248" s="113"/>
      <c r="U248" s="113"/>
      <c r="V248" s="113"/>
      <c r="W248" s="113"/>
      <c r="X248" s="113"/>
      <c r="Y248" s="113"/>
    </row>
    <row r="249" spans="1:25">
      <c r="A249" s="172"/>
      <c r="B249" s="90"/>
      <c r="C249" s="113"/>
      <c r="D249" s="113"/>
      <c r="E249" s="113"/>
      <c r="F249" s="175"/>
      <c r="G249" s="113"/>
      <c r="H249" s="113"/>
      <c r="I249" s="113"/>
      <c r="J249" s="175"/>
      <c r="K249" s="175"/>
      <c r="L249" s="175"/>
      <c r="M249" s="113"/>
      <c r="N249" s="175"/>
      <c r="O249" s="175"/>
      <c r="P249" s="113"/>
      <c r="Q249" s="113"/>
      <c r="R249" s="113"/>
      <c r="S249" s="113"/>
      <c r="T249" s="113"/>
      <c r="U249" s="113"/>
      <c r="V249" s="113"/>
      <c r="W249" s="113"/>
      <c r="X249" s="113"/>
      <c r="Y249" s="113"/>
    </row>
    <row r="250" spans="1:25">
      <c r="A250" s="172"/>
      <c r="B250" s="90"/>
      <c r="C250" s="113"/>
      <c r="D250" s="113"/>
      <c r="E250" s="113"/>
      <c r="F250" s="175"/>
      <c r="G250" s="113"/>
      <c r="H250" s="113"/>
      <c r="I250" s="113"/>
      <c r="J250" s="175"/>
      <c r="K250" s="175"/>
      <c r="L250" s="175"/>
      <c r="M250" s="113"/>
      <c r="N250" s="175"/>
      <c r="O250" s="175"/>
      <c r="P250" s="113"/>
      <c r="Q250" s="113"/>
      <c r="R250" s="113"/>
      <c r="S250" s="113"/>
      <c r="T250" s="113"/>
      <c r="U250" s="113"/>
      <c r="V250" s="113"/>
      <c r="W250" s="113"/>
      <c r="X250" s="113"/>
      <c r="Y250" s="113"/>
    </row>
    <row r="251" spans="1:25">
      <c r="A251" s="172"/>
      <c r="B251" s="90"/>
      <c r="C251" s="113"/>
      <c r="D251" s="113"/>
      <c r="E251" s="113"/>
      <c r="F251" s="175"/>
      <c r="G251" s="113"/>
      <c r="H251" s="113"/>
      <c r="I251" s="113"/>
      <c r="J251" s="175"/>
      <c r="K251" s="175"/>
      <c r="L251" s="175"/>
      <c r="M251" s="113"/>
      <c r="N251" s="175"/>
      <c r="O251" s="175"/>
      <c r="P251" s="113"/>
      <c r="Q251" s="113"/>
      <c r="R251" s="113"/>
      <c r="S251" s="113"/>
      <c r="T251" s="113"/>
      <c r="U251" s="113"/>
      <c r="V251" s="113"/>
      <c r="W251" s="113"/>
      <c r="X251" s="113"/>
      <c r="Y251" s="113"/>
    </row>
    <row r="252" spans="1:25">
      <c r="A252" s="172"/>
      <c r="B252" s="90"/>
      <c r="C252" s="113"/>
      <c r="D252" s="113"/>
      <c r="E252" s="113"/>
      <c r="F252" s="175"/>
      <c r="G252" s="113"/>
      <c r="H252" s="113"/>
      <c r="I252" s="113"/>
      <c r="J252" s="175"/>
      <c r="K252" s="175"/>
      <c r="L252" s="175"/>
      <c r="M252" s="113"/>
      <c r="N252" s="175"/>
      <c r="O252" s="175"/>
      <c r="P252" s="113"/>
      <c r="Q252" s="113"/>
      <c r="R252" s="113"/>
      <c r="S252" s="113"/>
      <c r="T252" s="113"/>
      <c r="U252" s="113"/>
      <c r="V252" s="113"/>
      <c r="W252" s="113"/>
      <c r="X252" s="113"/>
      <c r="Y252" s="113"/>
    </row>
    <row r="253" spans="1:25">
      <c r="A253" s="172"/>
      <c r="B253" s="90"/>
      <c r="C253" s="113"/>
      <c r="D253" s="113"/>
      <c r="E253" s="113"/>
      <c r="F253" s="175"/>
      <c r="G253" s="113"/>
      <c r="H253" s="113"/>
      <c r="I253" s="113"/>
      <c r="J253" s="175"/>
      <c r="K253" s="175"/>
      <c r="L253" s="175"/>
      <c r="M253" s="113"/>
      <c r="N253" s="175"/>
      <c r="O253" s="175"/>
      <c r="P253" s="113"/>
      <c r="Q253" s="113"/>
      <c r="R253" s="113"/>
      <c r="S253" s="113"/>
      <c r="T253" s="113"/>
      <c r="U253" s="113"/>
      <c r="V253" s="113"/>
      <c r="W253" s="113"/>
      <c r="X253" s="113"/>
      <c r="Y253" s="113"/>
    </row>
    <row r="254" spans="1:25">
      <c r="A254" s="172"/>
      <c r="B254" s="90"/>
      <c r="C254" s="113"/>
      <c r="D254" s="113"/>
      <c r="E254" s="113"/>
      <c r="F254" s="175"/>
      <c r="G254" s="113"/>
      <c r="H254" s="113"/>
      <c r="I254" s="113"/>
      <c r="J254" s="175"/>
      <c r="K254" s="175"/>
      <c r="L254" s="175"/>
      <c r="M254" s="113"/>
      <c r="N254" s="175"/>
      <c r="O254" s="175"/>
      <c r="P254" s="113"/>
      <c r="Q254" s="113"/>
      <c r="R254" s="113"/>
      <c r="S254" s="113"/>
      <c r="T254" s="113"/>
      <c r="U254" s="113"/>
      <c r="V254" s="113"/>
      <c r="W254" s="113"/>
      <c r="X254" s="113"/>
      <c r="Y254" s="113"/>
    </row>
    <row r="255" spans="1:25">
      <c r="A255" s="172"/>
      <c r="B255" s="90"/>
      <c r="C255" s="113"/>
      <c r="D255" s="113"/>
      <c r="E255" s="113"/>
      <c r="F255" s="175"/>
      <c r="G255" s="113"/>
      <c r="H255" s="113"/>
      <c r="I255" s="113"/>
      <c r="J255" s="175"/>
      <c r="K255" s="175"/>
      <c r="L255" s="175"/>
      <c r="M255" s="113"/>
      <c r="N255" s="175"/>
      <c r="O255" s="175"/>
      <c r="P255" s="113"/>
      <c r="Q255" s="113"/>
      <c r="R255" s="113"/>
      <c r="S255" s="113"/>
      <c r="T255" s="113"/>
      <c r="U255" s="113"/>
      <c r="V255" s="113"/>
      <c r="W255" s="113"/>
      <c r="X255" s="113"/>
      <c r="Y255" s="113"/>
    </row>
    <row r="256" spans="1:25" ht="13.8" thickBot="1">
      <c r="A256" s="91"/>
      <c r="B256" s="90"/>
      <c r="C256" s="90"/>
      <c r="D256" s="90"/>
      <c r="E256" s="90"/>
      <c r="F256" s="90"/>
      <c r="G256" s="90"/>
      <c r="H256" s="90"/>
    </row>
    <row r="257" spans="1:25">
      <c r="A257" s="808" t="s">
        <v>291</v>
      </c>
      <c r="B257" s="805" t="s">
        <v>269</v>
      </c>
      <c r="C257" s="806"/>
      <c r="D257" s="806"/>
      <c r="E257" s="806"/>
      <c r="F257" s="806"/>
      <c r="G257" s="806"/>
      <c r="H257" s="807"/>
      <c r="I257" s="799" t="s">
        <v>316</v>
      </c>
      <c r="J257" s="800"/>
      <c r="K257" s="800"/>
      <c r="L257" s="800"/>
      <c r="M257" s="800"/>
      <c r="N257" s="802" t="s">
        <v>317</v>
      </c>
      <c r="O257" s="803"/>
      <c r="P257" s="803"/>
      <c r="Q257" s="802" t="s">
        <v>322</v>
      </c>
      <c r="R257" s="803"/>
      <c r="S257" s="803"/>
      <c r="T257" s="803"/>
      <c r="U257" s="803"/>
      <c r="V257" s="803"/>
      <c r="W257" s="804"/>
      <c r="X257" s="800" t="s">
        <v>330</v>
      </c>
      <c r="Y257" s="801"/>
    </row>
    <row r="258" spans="1:25" ht="20.399999999999999">
      <c r="A258" s="809"/>
      <c r="B258" s="119" t="s">
        <v>270</v>
      </c>
      <c r="C258" s="116" t="s">
        <v>83</v>
      </c>
      <c r="D258" s="116" t="s">
        <v>84</v>
      </c>
      <c r="E258" s="116" t="s">
        <v>271</v>
      </c>
      <c r="F258" s="116" t="s">
        <v>272</v>
      </c>
      <c r="G258" s="116" t="s">
        <v>314</v>
      </c>
      <c r="H258" s="120" t="s">
        <v>273</v>
      </c>
      <c r="I258" s="119" t="s">
        <v>243</v>
      </c>
      <c r="J258" s="116" t="s">
        <v>244</v>
      </c>
      <c r="K258" s="116" t="s">
        <v>258</v>
      </c>
      <c r="L258" s="116" t="s">
        <v>315</v>
      </c>
      <c r="M258" s="125" t="s">
        <v>245</v>
      </c>
      <c r="N258" s="119" t="s">
        <v>318</v>
      </c>
      <c r="O258" s="116" t="s">
        <v>319</v>
      </c>
      <c r="P258" s="116" t="s">
        <v>320</v>
      </c>
      <c r="Q258" s="119" t="s">
        <v>323</v>
      </c>
      <c r="R258" s="116" t="s">
        <v>324</v>
      </c>
      <c r="S258" s="116" t="s">
        <v>325</v>
      </c>
      <c r="T258" s="116" t="s">
        <v>326</v>
      </c>
      <c r="U258" s="116" t="s">
        <v>327</v>
      </c>
      <c r="V258" s="116" t="s">
        <v>328</v>
      </c>
      <c r="W258" s="120" t="s">
        <v>329</v>
      </c>
      <c r="X258" s="118" t="s">
        <v>331</v>
      </c>
      <c r="Y258" s="120" t="s">
        <v>332</v>
      </c>
    </row>
    <row r="259" spans="1:25">
      <c r="A259" s="142" t="s">
        <v>292</v>
      </c>
      <c r="B259" s="95">
        <f>VLOOKUP(A259,[26]Зерновые!$A$194:$L$200,12,)</f>
        <v>0</v>
      </c>
      <c r="C259" s="96">
        <f>VLOOKUP(A259,[26]Зерновые!$A$194:$W$200,23,)</f>
        <v>0</v>
      </c>
      <c r="D259" s="96">
        <f>VLOOKUP(A259,[26]Зерновые!$A$194:$AH$194,34,)</f>
        <v>0</v>
      </c>
      <c r="E259" s="96">
        <f>VLOOKUP(A259,[26]Зерновые!$A$194:$AS$200,45,)</f>
        <v>0</v>
      </c>
      <c r="F259" s="96">
        <f>VLOOKUP(A259,[26]Зерновые!$A$194:$BD$200,56,)</f>
        <v>0</v>
      </c>
      <c r="G259" s="96">
        <f>VLOOKUP(A259,[26]Зерновые!$A$194:$BO$200,67,)</f>
        <v>0</v>
      </c>
      <c r="H259" s="130">
        <f>VLOOKUP(A259,[26]Зерновые!$A$194:$BZ$200,78,)</f>
        <v>0</v>
      </c>
      <c r="I259" s="95">
        <f>VLOOKUP(A259,[26]Масличные!$A$194:$L$200,12,)</f>
        <v>0</v>
      </c>
      <c r="J259" s="96">
        <f>VLOOKUP(A259,[26]Масличные!$A$194:$W$200,23,)</f>
        <v>0</v>
      </c>
      <c r="K259" s="96">
        <f>VLOOKUP(A259,[26]Масличные!$A$194:$AH$200,34,)</f>
        <v>0</v>
      </c>
      <c r="L259" s="96">
        <f>VLOOKUP(A259,[26]Масличные!$A$194:$AS$200,45,)</f>
        <v>0</v>
      </c>
      <c r="M259" s="152">
        <f>VLOOKUP(A259,[26]Масличные!$A$194:$BD$200,56,)</f>
        <v>0</v>
      </c>
      <c r="N259" s="95">
        <f>VLOOKUP(A259,[26]Бобовые!$A$194:$L$200,12,)</f>
        <v>0</v>
      </c>
      <c r="O259" s="96">
        <f>VLOOKUP(A259,[26]Бобовые!$A$194:$W$200,23,)</f>
        <v>0</v>
      </c>
      <c r="P259" s="96">
        <f>VLOOKUP(A259,[26]Бобовые!$A$194:$AH$200,34,)</f>
        <v>0</v>
      </c>
      <c r="Q259" s="111">
        <f>VLOOKUP(A259,[26]Овощи!$A$194:$L$200,12,)</f>
        <v>15</v>
      </c>
      <c r="R259" s="105">
        <f>VLOOKUP(A259,[26]Овощи!$A$194:$W$200,23,)</f>
        <v>50.540000000000006</v>
      </c>
      <c r="S259" s="105">
        <f>VLOOKUP(A259,[26]Овощи!$A$194:$AH$200,34,)</f>
        <v>75.650000000000006</v>
      </c>
      <c r="T259" s="105">
        <f>VLOOKUP(A259,[26]Овощи!$A$194:$AS$200,45,)</f>
        <v>81.297449999999998</v>
      </c>
      <c r="U259" s="105">
        <f>VLOOKUP(A259,[26]Овощи!$A$194:$BD$200,56,)</f>
        <v>80.071969999999993</v>
      </c>
      <c r="V259" s="105">
        <f>VLOOKUP(A259,[26]Овощи!$A$194:$BO$200,67,)</f>
        <v>83.933300000000003</v>
      </c>
      <c r="W259" s="127">
        <f>VLOOKUP(A259,[26]Овощи!$A$194:$BZ$200,78,)</f>
        <v>71.05</v>
      </c>
      <c r="X259" s="141">
        <f>VLOOKUP(A259,[26]Бахчевые!$A$194:$L$200,12,)</f>
        <v>70.673939999999988</v>
      </c>
      <c r="Y259" s="127">
        <f>VLOOKUP(A259,[26]Бахчевые!$A$194:$W$200,23,)</f>
        <v>66.208089999999999</v>
      </c>
    </row>
    <row r="260" spans="1:25">
      <c r="A260" s="142" t="s">
        <v>293</v>
      </c>
      <c r="B260" s="95">
        <f>VLOOKUP(A260,[26]Зерновые!$A$194:$L$200,12,)</f>
        <v>0</v>
      </c>
      <c r="C260" s="96">
        <f>VLOOKUP(A260,[26]Зерновые!$A$194:$W$200,23,)</f>
        <v>0</v>
      </c>
      <c r="D260" s="96">
        <f>VLOOKUP(A260,[26]Зерновые!$A$195:$AH$200,34,)</f>
        <v>0</v>
      </c>
      <c r="E260" s="96">
        <f>VLOOKUP(A260,[26]Зерновые!$A$194:$AS$200,45,)</f>
        <v>0</v>
      </c>
      <c r="F260" s="96">
        <f>VLOOKUP(A260,[26]Зерновые!$A$194:$BD$200,56,)</f>
        <v>0</v>
      </c>
      <c r="G260" s="96">
        <f>VLOOKUP(A260,[26]Зерновые!$A$194:$BO$200,67,)</f>
        <v>0</v>
      </c>
      <c r="H260" s="130">
        <f>VLOOKUP(A260,[26]Зерновые!$A$194:$BZ$200,78,)</f>
        <v>0</v>
      </c>
      <c r="I260" s="95">
        <f>VLOOKUP(A260,[26]Масличные!$A$194:$L$200,12,)</f>
        <v>0</v>
      </c>
      <c r="J260" s="96">
        <f>VLOOKUP(A260,[26]Масличные!$A$194:$W$200,23,)</f>
        <v>0</v>
      </c>
      <c r="K260" s="96">
        <f>VLOOKUP(A260,[26]Масличные!$A$194:$AH$200,34,)</f>
        <v>0</v>
      </c>
      <c r="L260" s="96">
        <f>VLOOKUP(A260,[26]Масличные!$A$194:$AS$200,45,)</f>
        <v>0</v>
      </c>
      <c r="M260" s="152">
        <f>VLOOKUP(A260,[26]Масличные!$A$194:$BD$200,56,)</f>
        <v>0</v>
      </c>
      <c r="N260" s="95">
        <f>VLOOKUP(A260,[26]Бобовые!$A$194:$L$200,12,)</f>
        <v>0</v>
      </c>
      <c r="O260" s="96">
        <f>VLOOKUP(A260,[26]Бобовые!$A$194:$W$200,23,)</f>
        <v>0</v>
      </c>
      <c r="P260" s="96">
        <f>VLOOKUP(A260,[26]Бобовые!$A$194:$AH$200,34,)</f>
        <v>0</v>
      </c>
      <c r="Q260" s="111">
        <f>VLOOKUP(A260,[26]Овощи!$A$194:$L$200,12,)</f>
        <v>7.7</v>
      </c>
      <c r="R260" s="105">
        <f>VLOOKUP(A260,[26]Овощи!$A$194:$W$200,23,)</f>
        <v>1.83</v>
      </c>
      <c r="S260" s="105">
        <f>VLOOKUP(A260,[26]Овощи!$A$194:$AH$200,34,)</f>
        <v>27.339999999999996</v>
      </c>
      <c r="T260" s="105">
        <f>VLOOKUP(A260,[26]Овощи!$A$194:$AS$200,45,)</f>
        <v>178.50667000000001</v>
      </c>
      <c r="U260" s="105">
        <f>VLOOKUP(A260,[26]Овощи!$A$194:$BD$200,56,)</f>
        <v>149.43425999999999</v>
      </c>
      <c r="V260" s="105">
        <f>VLOOKUP(A260,[26]Овощи!$A$194:$BO$200,67,)</f>
        <v>180.04114999999996</v>
      </c>
      <c r="W260" s="127">
        <f>VLOOKUP(A260,[26]Овощи!$A$194:$BZ$200,78,)</f>
        <v>22.01</v>
      </c>
      <c r="X260" s="141">
        <f>VLOOKUP(A260,[26]Бахчевые!$A$194:$L$200,12,)</f>
        <v>129.08359999999999</v>
      </c>
      <c r="Y260" s="127">
        <f>VLOOKUP(A260,[26]Бахчевые!$A$194:$W$200,23,)</f>
        <v>95.250309999999985</v>
      </c>
    </row>
    <row r="261" spans="1:25">
      <c r="A261" s="142" t="s">
        <v>294</v>
      </c>
      <c r="B261" s="95">
        <f>VLOOKUP(A261,[26]Зерновые!$A$194:$L$200,12,)</f>
        <v>0</v>
      </c>
      <c r="C261" s="96">
        <f>VLOOKUP(A261,[26]Зерновые!$A$194:$W$200,23,)</f>
        <v>0</v>
      </c>
      <c r="D261" s="96">
        <f>VLOOKUP(A261,[26]Зерновые!$A$195:$AH$200,34,)</f>
        <v>0</v>
      </c>
      <c r="E261" s="96">
        <f>VLOOKUP(A261,[26]Зерновые!$A$194:$AS$200,45,)</f>
        <v>0</v>
      </c>
      <c r="F261" s="96">
        <f>VLOOKUP(A261,[26]Зерновые!$A$194:$BD$200,56,)</f>
        <v>0</v>
      </c>
      <c r="G261" s="96">
        <f>VLOOKUP(A261,[26]Зерновые!$A$194:$BO$200,67,)</f>
        <v>0</v>
      </c>
      <c r="H261" s="130">
        <f>VLOOKUP(A261,[26]Зерновые!$A$194:$BZ$200,78,)</f>
        <v>0</v>
      </c>
      <c r="I261" s="95">
        <f>VLOOKUP(A261,[26]Масличные!$A$194:$L$200,12,)</f>
        <v>0</v>
      </c>
      <c r="J261" s="96">
        <f>VLOOKUP(A261,[26]Масличные!$A$194:$W$200,23,)</f>
        <v>0</v>
      </c>
      <c r="K261" s="96">
        <f>VLOOKUP(A261,[26]Масличные!$A$194:$AH$200,34,)</f>
        <v>0</v>
      </c>
      <c r="L261" s="96">
        <f>VLOOKUP(A261,[26]Масличные!$A$194:$AS$200,45,)</f>
        <v>0</v>
      </c>
      <c r="M261" s="152">
        <f>VLOOKUP(A261,[26]Масличные!$A$194:$BD$200,56,)</f>
        <v>0</v>
      </c>
      <c r="N261" s="95">
        <f>VLOOKUP(A261,[26]Бобовые!$A$194:$L$200,12,)</f>
        <v>0</v>
      </c>
      <c r="O261" s="96">
        <f>VLOOKUP(A261,[26]Бобовые!$A$194:$W$200,23,)</f>
        <v>0</v>
      </c>
      <c r="P261" s="96">
        <f>VLOOKUP(A261,[26]Бобовые!$A$194:$AH$200,34,)</f>
        <v>0</v>
      </c>
      <c r="Q261" s="111">
        <f>VLOOKUP(A261,[26]Овощи!$A$194:$L$200,12,)</f>
        <v>0</v>
      </c>
      <c r="R261" s="105">
        <f>VLOOKUP(A261,[26]Овощи!$A$194:$W$200,23,)</f>
        <v>0</v>
      </c>
      <c r="S261" s="105">
        <f>VLOOKUP(A261,[26]Овощи!$A$194:$AH$200,34,)</f>
        <v>65.280559999999994</v>
      </c>
      <c r="T261" s="105">
        <f>VLOOKUP(A261,[26]Овощи!$A$194:$AS$200,45,)</f>
        <v>39.010000000000005</v>
      </c>
      <c r="U261" s="105">
        <f>VLOOKUP(A261,[26]Овощи!$A$194:$BD$200,56,)</f>
        <v>94.188800000000015</v>
      </c>
      <c r="V261" s="105">
        <f>VLOOKUP(A261,[26]Овощи!$A$194:$BO$200,67,)</f>
        <v>83.290379999999999</v>
      </c>
      <c r="W261" s="127">
        <f>VLOOKUP(A261,[26]Овощи!$A$194:$BZ$200,78,)</f>
        <v>24</v>
      </c>
      <c r="X261" s="141">
        <f>VLOOKUP(A261,[26]Бахчевые!$A$194:$L$200,12,)</f>
        <v>75.799090000000007</v>
      </c>
      <c r="Y261" s="127">
        <f>VLOOKUP(A261,[26]Бахчевые!$A$194:$W$200,23,)</f>
        <v>73.351109999999991</v>
      </c>
    </row>
    <row r="262" spans="1:25">
      <c r="A262" s="142" t="s">
        <v>295</v>
      </c>
      <c r="B262" s="95">
        <f>VLOOKUP(A262,[26]Зерновые!$A$194:$L$200,12,)</f>
        <v>0</v>
      </c>
      <c r="C262" s="96">
        <f>VLOOKUP(A262,[26]Зерновые!$A$194:$W$200,23,)</f>
        <v>0</v>
      </c>
      <c r="D262" s="96">
        <f>VLOOKUP(A262,[26]Зерновые!$A$195:$AH$200,34,)</f>
        <v>0</v>
      </c>
      <c r="E262" s="96">
        <f>VLOOKUP(A262,[26]Зерновые!$A$194:$AS$200,45,)</f>
        <v>0</v>
      </c>
      <c r="F262" s="96">
        <f>VLOOKUP(A262,[26]Зерновые!$A$194:$BD$200,56,)</f>
        <v>0</v>
      </c>
      <c r="G262" s="96">
        <f>VLOOKUP(A262,[26]Зерновые!$A$194:$BO$200,67,)</f>
        <v>0</v>
      </c>
      <c r="H262" s="130">
        <f>VLOOKUP(A262,[26]Зерновые!$A$194:$BZ$200,78,)</f>
        <v>0</v>
      </c>
      <c r="I262" s="95">
        <f>VLOOKUP(A262,[26]Масличные!$A$194:$L$200,12,)</f>
        <v>0</v>
      </c>
      <c r="J262" s="96">
        <f>VLOOKUP(A262,[26]Масличные!$A$194:$W$200,23,)</f>
        <v>0</v>
      </c>
      <c r="K262" s="96">
        <f>VLOOKUP(A262,[26]Масличные!$A$194:$AH$200,34,)</f>
        <v>0</v>
      </c>
      <c r="L262" s="96">
        <f>VLOOKUP(A262,[26]Масличные!$A$194:$AS$200,45,)</f>
        <v>0</v>
      </c>
      <c r="M262" s="152">
        <f>VLOOKUP(A262,[26]Масличные!$A$194:$BD$200,56,)</f>
        <v>0</v>
      </c>
      <c r="N262" s="95">
        <f>VLOOKUP(A262,[26]Бобовые!$A$194:$L$200,12,)</f>
        <v>0</v>
      </c>
      <c r="O262" s="96">
        <f>VLOOKUP(A262,[26]Бобовые!$A$194:$W$200,23,)</f>
        <v>0</v>
      </c>
      <c r="P262" s="96">
        <f>VLOOKUP(A262,[26]Бобовые!$A$194:$AH$200,34,)</f>
        <v>0</v>
      </c>
      <c r="Q262" s="111">
        <f>VLOOKUP(A262,[26]Овощи!$A$194:$L$200,12,)</f>
        <v>3.75</v>
      </c>
      <c r="R262" s="105">
        <f>VLOOKUP(A262,[26]Овощи!$A$194:$W$200,23,)</f>
        <v>3.3299999999999996</v>
      </c>
      <c r="S262" s="105">
        <f>VLOOKUP(A262,[26]Овощи!$A$194:$AH$200,34,)</f>
        <v>66.948729999999983</v>
      </c>
      <c r="T262" s="105">
        <f>VLOOKUP(A262,[26]Овощи!$A$194:$AS$200,45,)</f>
        <v>195.63833</v>
      </c>
      <c r="U262" s="105">
        <f>VLOOKUP(A262,[26]Овощи!$A$194:$BD$200,56,)</f>
        <v>157.90012999999999</v>
      </c>
      <c r="V262" s="105">
        <f>VLOOKUP(A262,[26]Овощи!$A$194:$BO$200,67,)</f>
        <v>166.35583000000003</v>
      </c>
      <c r="W262" s="127">
        <f>VLOOKUP(A262,[26]Овощи!$A$194:$BZ$200,78,)</f>
        <v>77.91</v>
      </c>
      <c r="X262" s="141">
        <f>VLOOKUP(A262,[26]Бахчевые!$A$194:$L$200,12,)</f>
        <v>122.35154</v>
      </c>
      <c r="Y262" s="127">
        <f>VLOOKUP(A262,[26]Бахчевые!$A$194:$W$200,23,)</f>
        <v>142.65106999999998</v>
      </c>
    </row>
    <row r="263" spans="1:25">
      <c r="A263" s="142" t="s">
        <v>296</v>
      </c>
      <c r="B263" s="95">
        <f>VLOOKUP(A263,[26]Зерновые!$A$194:$L$200,12,)</f>
        <v>0</v>
      </c>
      <c r="C263" s="96">
        <f>VLOOKUP(A263,[26]Зерновые!$A$194:$W$200,23,)</f>
        <v>0</v>
      </c>
      <c r="D263" s="96">
        <f>VLOOKUP(A263,[26]Зерновые!$A$195:$AH$200,34,)</f>
        <v>0</v>
      </c>
      <c r="E263" s="96">
        <f>VLOOKUP(A263,[26]Зерновые!$A$194:$AS$200,45,)</f>
        <v>0</v>
      </c>
      <c r="F263" s="96">
        <f>VLOOKUP(A263,[26]Зерновые!$A$194:$BD$200,56,)</f>
        <v>0</v>
      </c>
      <c r="G263" s="96">
        <f>VLOOKUP(A263,[26]Зерновые!$A$194:$BO$200,67,)</f>
        <v>0</v>
      </c>
      <c r="H263" s="130">
        <f>VLOOKUP(A263,[26]Зерновые!$A$194:$BZ$200,78,)</f>
        <v>0</v>
      </c>
      <c r="I263" s="95">
        <f>VLOOKUP(A263,[26]Масличные!$A$194:$L$200,12,)</f>
        <v>0</v>
      </c>
      <c r="J263" s="96">
        <f>VLOOKUP(A263,[26]Масличные!$A$194:$W$200,23,)</f>
        <v>0</v>
      </c>
      <c r="K263" s="96">
        <f>VLOOKUP(A263,[26]Масличные!$A$194:$AH$200,34,)</f>
        <v>0</v>
      </c>
      <c r="L263" s="96">
        <f>VLOOKUP(A263,[26]Масличные!$A$194:$AS$200,45,)</f>
        <v>0</v>
      </c>
      <c r="M263" s="152">
        <f>VLOOKUP(A263,[26]Масличные!$A$194:$BD$200,56,)</f>
        <v>0</v>
      </c>
      <c r="N263" s="95">
        <f>VLOOKUP(A263,[26]Бобовые!$A$194:$L$200,12,)</f>
        <v>0</v>
      </c>
      <c r="O263" s="96">
        <f>VLOOKUP(A263,[26]Бобовые!$A$194:$W$200,23,)</f>
        <v>0</v>
      </c>
      <c r="P263" s="96">
        <f>VLOOKUP(A263,[26]Бобовые!$A$194:$AH$200,34,)</f>
        <v>0</v>
      </c>
      <c r="Q263" s="111">
        <f>VLOOKUP(A263,[26]Овощи!$A$194:$L$200,12,)</f>
        <v>24.44</v>
      </c>
      <c r="R263" s="105">
        <f>VLOOKUP(A263,[26]Овощи!$A$194:$W$200,23,)</f>
        <v>1.9599999999999997</v>
      </c>
      <c r="S263" s="105">
        <f>VLOOKUP(A263,[26]Овощи!$A$194:$AH$200,34,)</f>
        <v>85.04037000000001</v>
      </c>
      <c r="T263" s="105">
        <f>VLOOKUP(A263,[26]Овощи!$A$194:$AS$200,45,)</f>
        <v>115.85092999999999</v>
      </c>
      <c r="U263" s="105">
        <f>VLOOKUP(A263,[26]Овощи!$A$194:$BD$200,56,)</f>
        <v>192.1105</v>
      </c>
      <c r="V263" s="105">
        <f>VLOOKUP(A263,[26]Овощи!$A$194:$BO$200,67,)</f>
        <v>200.40329000000003</v>
      </c>
      <c r="W263" s="127">
        <f>VLOOKUP(A263,[26]Овощи!$A$194:$BZ$200,78,)</f>
        <v>29.95</v>
      </c>
      <c r="X263" s="141">
        <f>VLOOKUP(A263,[26]Бахчевые!$A$194:$L$200,12,)</f>
        <v>168.03260000000003</v>
      </c>
      <c r="Y263" s="127">
        <f>VLOOKUP(A263,[26]Бахчевые!$A$194:$W$200,23,)</f>
        <v>164.29411999999999</v>
      </c>
    </row>
    <row r="264" spans="1:25">
      <c r="A264" s="142" t="s">
        <v>297</v>
      </c>
      <c r="B264" s="95">
        <f>VLOOKUP(A264,[26]Зерновые!$A$194:$L$200,12,)</f>
        <v>0</v>
      </c>
      <c r="C264" s="96">
        <f>VLOOKUP(A264,[26]Зерновые!$A$194:$W$200,23,)</f>
        <v>0</v>
      </c>
      <c r="D264" s="96">
        <f>VLOOKUP(A264,[26]Зерновые!$A$195:$AH$200,34,)</f>
        <v>0</v>
      </c>
      <c r="E264" s="96">
        <f>VLOOKUP(A264,[26]Зерновые!$A$194:$AS$200,45,)</f>
        <v>0</v>
      </c>
      <c r="F264" s="96">
        <f>VLOOKUP(A264,[26]Зерновые!$A$194:$BD$200,56,)</f>
        <v>0</v>
      </c>
      <c r="G264" s="96">
        <f>VLOOKUP(A264,[26]Зерновые!$A$194:$BO$200,67,)</f>
        <v>0</v>
      </c>
      <c r="H264" s="130">
        <f>VLOOKUP(A264,[26]Зерновые!$A$194:$BZ$200,78,)</f>
        <v>0</v>
      </c>
      <c r="I264" s="95">
        <f>VLOOKUP(A264,[26]Масличные!$A$194:$L$200,12,)</f>
        <v>0</v>
      </c>
      <c r="J264" s="96">
        <f>VLOOKUP(A264,[26]Масличные!$A$194:$W$200,23,)</f>
        <v>0</v>
      </c>
      <c r="K264" s="96">
        <f>VLOOKUP(A264,[26]Масличные!$A$194:$AH$200,34,)</f>
        <v>0</v>
      </c>
      <c r="L264" s="96">
        <f>VLOOKUP(A264,[26]Масличные!$A$194:$AS$200,45,)</f>
        <v>0</v>
      </c>
      <c r="M264" s="152">
        <f>VLOOKUP(A264,[26]Масличные!$A$194:$BD$200,56,)</f>
        <v>0</v>
      </c>
      <c r="N264" s="95">
        <f>VLOOKUP(A264,[26]Бобовые!$A$194:$L$200,12,)</f>
        <v>0</v>
      </c>
      <c r="O264" s="96">
        <f>VLOOKUP(A264,[26]Бобовые!$A$194:$W$200,23,)</f>
        <v>0</v>
      </c>
      <c r="P264" s="96">
        <f>VLOOKUP(A264,[26]Бобовые!$A$194:$AH$200,34,)</f>
        <v>0</v>
      </c>
      <c r="Q264" s="111">
        <f>VLOOKUP(A264,[26]Овощи!$A$194:$L$200,12,)</f>
        <v>0</v>
      </c>
      <c r="R264" s="105">
        <f>VLOOKUP(A264,[26]Овощи!$A$194:$W$200,23,)</f>
        <v>20.190000000000001</v>
      </c>
      <c r="S264" s="105">
        <f>VLOOKUP(A264,[26]Овощи!$A$194:$AH$200,34,)</f>
        <v>85.273330000000001</v>
      </c>
      <c r="T264" s="105">
        <f>VLOOKUP(A264,[26]Овощи!$A$194:$AS$200,45,)</f>
        <v>114.83324</v>
      </c>
      <c r="U264" s="105">
        <f>VLOOKUP(A264,[26]Овощи!$A$194:$BD$200,56,)</f>
        <v>105.83217999999999</v>
      </c>
      <c r="V264" s="105">
        <f>VLOOKUP(A264,[26]Овощи!$A$194:$BO$200,67,)</f>
        <v>110.43904000000001</v>
      </c>
      <c r="W264" s="127">
        <f>VLOOKUP(A264,[26]Овощи!$A$194:$BZ$200,78,)</f>
        <v>63.65</v>
      </c>
      <c r="X264" s="141">
        <f>VLOOKUP(A264,[26]Бахчевые!$A$194:$L$200,12,)</f>
        <v>85.325729999999993</v>
      </c>
      <c r="Y264" s="127">
        <f>VLOOKUP(A264,[26]Бахчевые!$A$194:$W$200,23,)</f>
        <v>54.17269000000001</v>
      </c>
    </row>
    <row r="265" spans="1:25" ht="13.8" thickBot="1">
      <c r="A265" s="143" t="s">
        <v>298</v>
      </c>
      <c r="B265" s="102">
        <f>VLOOKUP(A265,[26]Зерновые!$A$194:$L$200,12,)</f>
        <v>0</v>
      </c>
      <c r="C265" s="103">
        <f>VLOOKUP(A265,[26]Зерновые!$A$194:$W$200,23,)</f>
        <v>0</v>
      </c>
      <c r="D265" s="103">
        <f>VLOOKUP(A265,[26]Зерновые!$A$195:$AH$200,34,)</f>
        <v>0</v>
      </c>
      <c r="E265" s="103">
        <f>VLOOKUP(A265,[26]Зерновые!$A$194:$AS$200,45,)</f>
        <v>0</v>
      </c>
      <c r="F265" s="103">
        <f>VLOOKUP(A265,[26]Зерновые!$A$194:$BD$200,56,)</f>
        <v>0</v>
      </c>
      <c r="G265" s="103">
        <f>VLOOKUP(A265,[26]Зерновые!$A$194:$BO$200,67,)</f>
        <v>0</v>
      </c>
      <c r="H265" s="131">
        <f>VLOOKUP(A265,[26]Зерновые!$A$194:$BZ$200,78,)</f>
        <v>0</v>
      </c>
      <c r="I265" s="102">
        <f>VLOOKUP(A265,[26]Масличные!$A$194:$L$200,12,)</f>
        <v>0</v>
      </c>
      <c r="J265" s="103">
        <f>VLOOKUP(A265,[26]Масличные!$A$194:$W$200,23,)</f>
        <v>0</v>
      </c>
      <c r="K265" s="103">
        <f>VLOOKUP(A265,[26]Масличные!$A$194:$AH$200,34,)</f>
        <v>0</v>
      </c>
      <c r="L265" s="103">
        <f>VLOOKUP(A265,[26]Масличные!$A$194:$AS$200,45,)</f>
        <v>0</v>
      </c>
      <c r="M265" s="153">
        <f>VLOOKUP(A265,[26]Масличные!$A$194:$BD$200,56,)</f>
        <v>0</v>
      </c>
      <c r="N265" s="102">
        <f>VLOOKUP(A265,[26]Бобовые!$A$194:$L$200,12,)</f>
        <v>0</v>
      </c>
      <c r="O265" s="103">
        <f>VLOOKUP(A265,[26]Бобовые!$A$194:$W$200,23,)</f>
        <v>0</v>
      </c>
      <c r="P265" s="103">
        <f>VLOOKUP(A265,[26]Бобовые!$A$194:$AH$200,34,)</f>
        <v>0</v>
      </c>
      <c r="Q265" s="112">
        <f>VLOOKUP(A265,[26]Овощи!$A$194:$L$200,12,)</f>
        <v>0</v>
      </c>
      <c r="R265" s="108">
        <f>VLOOKUP(A265,[26]Овощи!$A$194:$W$200,23,)</f>
        <v>16</v>
      </c>
      <c r="S265" s="108">
        <f>VLOOKUP(A265,[26]Овощи!$A$194:$AH$200,34,)</f>
        <v>55.71</v>
      </c>
      <c r="T265" s="108">
        <f>VLOOKUP(A265,[26]Овощи!$A$194:$AS$200,45,)</f>
        <v>101.22532</v>
      </c>
      <c r="U265" s="108">
        <f>VLOOKUP(A265,[26]Овощи!$A$194:$BD$200,56,)</f>
        <v>168.62034</v>
      </c>
      <c r="V265" s="108">
        <f>VLOOKUP(A265,[26]Овощи!$A$194:$BO$200,67,)</f>
        <v>131.94759000000002</v>
      </c>
      <c r="W265" s="128">
        <f>VLOOKUP(A265,[26]Овощи!$A$194:$BZ$200,78,)</f>
        <v>34.700000000000003</v>
      </c>
      <c r="X265" s="154">
        <f>VLOOKUP(A265,[26]Бахчевые!$A$194:$L$200,12,)</f>
        <v>182.58425</v>
      </c>
      <c r="Y265" s="128">
        <f>VLOOKUP(A265,[26]Бахчевые!$A$194:$W$200,23,)</f>
        <v>166.92125000000001</v>
      </c>
    </row>
    <row r="266" spans="1:25">
      <c r="A266" s="179"/>
      <c r="B266" s="173"/>
      <c r="C266" s="173"/>
      <c r="D266" s="173"/>
      <c r="E266" s="173"/>
      <c r="F266" s="173"/>
      <c r="G266" s="173"/>
      <c r="H266" s="176"/>
      <c r="I266" s="173"/>
      <c r="J266" s="173"/>
      <c r="K266" s="173"/>
      <c r="L266" s="173"/>
      <c r="M266" s="173"/>
      <c r="N266" s="173"/>
      <c r="O266" s="173"/>
      <c r="P266" s="173"/>
      <c r="Q266" s="113"/>
      <c r="R266" s="113"/>
      <c r="S266" s="113"/>
      <c r="T266" s="113"/>
      <c r="U266" s="113"/>
      <c r="V266" s="113"/>
      <c r="W266" s="113"/>
      <c r="X266" s="113"/>
      <c r="Y266" s="113"/>
    </row>
    <row r="267" spans="1:25">
      <c r="A267" s="179"/>
      <c r="B267" s="173"/>
      <c r="C267" s="173"/>
      <c r="D267" s="173"/>
      <c r="E267" s="173"/>
      <c r="F267" s="173"/>
      <c r="G267" s="173"/>
      <c r="H267" s="176"/>
      <c r="I267" s="173"/>
      <c r="J267" s="173"/>
      <c r="K267" s="173"/>
      <c r="L267" s="173"/>
      <c r="M267" s="173"/>
      <c r="N267" s="173"/>
      <c r="O267" s="173"/>
      <c r="P267" s="173"/>
      <c r="Q267" s="113"/>
      <c r="R267" s="113"/>
      <c r="S267" s="113"/>
      <c r="T267" s="113"/>
      <c r="U267" s="113"/>
      <c r="V267" s="113"/>
      <c r="W267" s="113"/>
      <c r="X267" s="113"/>
      <c r="Y267" s="113"/>
    </row>
    <row r="268" spans="1:25">
      <c r="A268" s="179"/>
      <c r="B268" s="173"/>
      <c r="C268" s="173"/>
      <c r="D268" s="173"/>
      <c r="E268" s="173"/>
      <c r="F268" s="173"/>
      <c r="G268" s="173"/>
      <c r="H268" s="176"/>
      <c r="I268" s="173"/>
      <c r="J268" s="173"/>
      <c r="K268" s="173"/>
      <c r="L268" s="173"/>
      <c r="M268" s="173"/>
      <c r="N268" s="173"/>
      <c r="O268" s="173"/>
      <c r="P268" s="173"/>
      <c r="Q268" s="113"/>
      <c r="R268" s="113"/>
      <c r="S268" s="113"/>
      <c r="T268" s="113"/>
      <c r="U268" s="113"/>
      <c r="V268" s="113"/>
      <c r="W268" s="113"/>
      <c r="X268" s="113"/>
      <c r="Y268" s="113"/>
    </row>
    <row r="269" spans="1:25">
      <c r="A269" s="179"/>
      <c r="B269" s="173"/>
      <c r="C269" s="173"/>
      <c r="D269" s="173"/>
      <c r="E269" s="173"/>
      <c r="F269" s="173"/>
      <c r="G269" s="173"/>
      <c r="H269" s="176"/>
      <c r="I269" s="173"/>
      <c r="J269" s="173"/>
      <c r="K269" s="173"/>
      <c r="L269" s="173"/>
      <c r="M269" s="173"/>
      <c r="N269" s="173"/>
      <c r="O269" s="173"/>
      <c r="P269" s="173"/>
      <c r="Q269" s="113"/>
      <c r="R269" s="113"/>
      <c r="S269" s="113"/>
      <c r="T269" s="113"/>
      <c r="U269" s="113"/>
      <c r="V269" s="113"/>
      <c r="W269" s="113"/>
      <c r="X269" s="113"/>
      <c r="Y269" s="113"/>
    </row>
    <row r="270" spans="1:25">
      <c r="A270" s="179"/>
      <c r="B270" s="173"/>
      <c r="C270" s="173"/>
      <c r="D270" s="173"/>
      <c r="E270" s="173"/>
      <c r="F270" s="173"/>
      <c r="G270" s="173"/>
      <c r="H270" s="176"/>
      <c r="I270" s="173"/>
      <c r="J270" s="173"/>
      <c r="K270" s="173"/>
      <c r="L270" s="173"/>
      <c r="M270" s="173"/>
      <c r="N270" s="173"/>
      <c r="O270" s="173"/>
      <c r="P270" s="173"/>
      <c r="Q270" s="113"/>
      <c r="R270" s="113"/>
      <c r="S270" s="113"/>
      <c r="T270" s="113"/>
      <c r="U270" s="113"/>
      <c r="V270" s="113"/>
      <c r="W270" s="113"/>
      <c r="X270" s="113"/>
      <c r="Y270" s="113"/>
    </row>
    <row r="271" spans="1:25">
      <c r="A271" s="179"/>
      <c r="B271" s="173"/>
      <c r="C271" s="173"/>
      <c r="D271" s="173"/>
      <c r="E271" s="173"/>
      <c r="F271" s="173"/>
      <c r="G271" s="173"/>
      <c r="H271" s="176"/>
      <c r="I271" s="173"/>
      <c r="J271" s="173"/>
      <c r="K271" s="173"/>
      <c r="L271" s="173"/>
      <c r="M271" s="173"/>
      <c r="N271" s="173"/>
      <c r="O271" s="173"/>
      <c r="P271" s="173"/>
      <c r="Q271" s="113"/>
      <c r="R271" s="113"/>
      <c r="S271" s="113"/>
      <c r="T271" s="113"/>
      <c r="U271" s="113"/>
      <c r="V271" s="113"/>
      <c r="W271" s="113"/>
      <c r="X271" s="113"/>
      <c r="Y271" s="113"/>
    </row>
    <row r="272" spans="1:25">
      <c r="A272" s="179"/>
      <c r="B272" s="173"/>
      <c r="C272" s="173"/>
      <c r="D272" s="173"/>
      <c r="E272" s="173"/>
      <c r="F272" s="173"/>
      <c r="G272" s="173"/>
      <c r="H272" s="176"/>
      <c r="I272" s="173"/>
      <c r="J272" s="173"/>
      <c r="K272" s="173"/>
      <c r="L272" s="173"/>
      <c r="M272" s="173"/>
      <c r="N272" s="173"/>
      <c r="O272" s="173"/>
      <c r="P272" s="173"/>
      <c r="Q272" s="113"/>
      <c r="R272" s="113"/>
      <c r="S272" s="113"/>
      <c r="T272" s="113"/>
      <c r="U272" s="113"/>
      <c r="V272" s="113"/>
      <c r="W272" s="113"/>
      <c r="X272" s="113"/>
      <c r="Y272" s="113"/>
    </row>
    <row r="273" spans="1:25">
      <c r="A273" s="179"/>
      <c r="B273" s="173"/>
      <c r="C273" s="173"/>
      <c r="D273" s="173"/>
      <c r="E273" s="173"/>
      <c r="F273" s="173"/>
      <c r="G273" s="173"/>
      <c r="H273" s="176"/>
      <c r="I273" s="173"/>
      <c r="J273" s="173"/>
      <c r="K273" s="173"/>
      <c r="L273" s="173"/>
      <c r="M273" s="173"/>
      <c r="N273" s="173"/>
      <c r="O273" s="173"/>
      <c r="P273" s="173"/>
      <c r="Q273" s="113"/>
      <c r="R273" s="113"/>
      <c r="S273" s="113"/>
      <c r="T273" s="113"/>
      <c r="U273" s="113"/>
      <c r="V273" s="113"/>
      <c r="W273" s="113"/>
      <c r="X273" s="113"/>
      <c r="Y273" s="113"/>
    </row>
    <row r="274" spans="1:25">
      <c r="A274" s="179"/>
      <c r="B274" s="173"/>
      <c r="C274" s="173"/>
      <c r="D274" s="173"/>
      <c r="E274" s="173"/>
      <c r="F274" s="173"/>
      <c r="G274" s="173"/>
      <c r="H274" s="176"/>
      <c r="I274" s="173"/>
      <c r="J274" s="173"/>
      <c r="K274" s="173"/>
      <c r="L274" s="173"/>
      <c r="M274" s="173"/>
      <c r="N274" s="173"/>
      <c r="O274" s="173"/>
      <c r="P274" s="173"/>
      <c r="Q274" s="113"/>
      <c r="R274" s="113"/>
      <c r="S274" s="113"/>
      <c r="T274" s="113"/>
      <c r="U274" s="113"/>
      <c r="V274" s="113"/>
      <c r="W274" s="113"/>
      <c r="X274" s="113"/>
      <c r="Y274" s="113"/>
    </row>
    <row r="275" spans="1:25">
      <c r="A275" s="179"/>
      <c r="B275" s="173"/>
      <c r="C275" s="173"/>
      <c r="D275" s="173"/>
      <c r="E275" s="173"/>
      <c r="F275" s="173"/>
      <c r="G275" s="173"/>
      <c r="H275" s="176"/>
      <c r="I275" s="173"/>
      <c r="J275" s="173"/>
      <c r="K275" s="173"/>
      <c r="L275" s="173"/>
      <c r="M275" s="173"/>
      <c r="N275" s="173"/>
      <c r="O275" s="173"/>
      <c r="P275" s="173"/>
      <c r="Q275" s="113"/>
      <c r="R275" s="113"/>
      <c r="S275" s="113"/>
      <c r="T275" s="113"/>
      <c r="U275" s="113"/>
      <c r="V275" s="113"/>
      <c r="W275" s="113"/>
      <c r="X275" s="113"/>
      <c r="Y275" s="113"/>
    </row>
    <row r="276" spans="1:25">
      <c r="A276" s="179"/>
      <c r="B276" s="173"/>
      <c r="C276" s="173"/>
      <c r="D276" s="173"/>
      <c r="E276" s="173"/>
      <c r="F276" s="173"/>
      <c r="G276" s="173"/>
      <c r="H276" s="176"/>
      <c r="I276" s="173"/>
      <c r="J276" s="173"/>
      <c r="K276" s="173"/>
      <c r="L276" s="173"/>
      <c r="M276" s="173"/>
      <c r="N276" s="173"/>
      <c r="O276" s="173"/>
      <c r="P276" s="173"/>
      <c r="Q276" s="113"/>
      <c r="R276" s="113"/>
      <c r="S276" s="113"/>
      <c r="T276" s="113"/>
      <c r="U276" s="113"/>
      <c r="V276" s="113"/>
      <c r="W276" s="113"/>
      <c r="X276" s="113"/>
      <c r="Y276" s="113"/>
    </row>
    <row r="277" spans="1:25">
      <c r="A277" s="179"/>
      <c r="B277" s="173"/>
      <c r="C277" s="173"/>
      <c r="D277" s="173"/>
      <c r="E277" s="173"/>
      <c r="F277" s="173"/>
      <c r="G277" s="173"/>
      <c r="H277" s="176"/>
      <c r="I277" s="173"/>
      <c r="J277" s="173"/>
      <c r="K277" s="173"/>
      <c r="L277" s="173"/>
      <c r="M277" s="173"/>
      <c r="N277" s="173"/>
      <c r="O277" s="173"/>
      <c r="P277" s="173"/>
      <c r="Q277" s="113"/>
      <c r="R277" s="113"/>
      <c r="S277" s="113"/>
      <c r="T277" s="113"/>
      <c r="U277" s="113"/>
      <c r="V277" s="113"/>
      <c r="W277" s="113"/>
      <c r="X277" s="113"/>
      <c r="Y277" s="113"/>
    </row>
    <row r="278" spans="1:25">
      <c r="A278" s="179"/>
      <c r="B278" s="173"/>
      <c r="C278" s="173"/>
      <c r="D278" s="173"/>
      <c r="E278" s="173"/>
      <c r="F278" s="173"/>
      <c r="G278" s="173"/>
      <c r="H278" s="176"/>
      <c r="I278" s="173"/>
      <c r="J278" s="173"/>
      <c r="K278" s="173"/>
      <c r="L278" s="173"/>
      <c r="M278" s="173"/>
      <c r="N278" s="173"/>
      <c r="O278" s="173"/>
      <c r="P278" s="173"/>
      <c r="Q278" s="113"/>
      <c r="R278" s="113"/>
      <c r="S278" s="113"/>
      <c r="T278" s="113"/>
      <c r="U278" s="113"/>
      <c r="V278" s="113"/>
      <c r="W278" s="113"/>
      <c r="X278" s="113"/>
      <c r="Y278" s="113"/>
    </row>
    <row r="279" spans="1:25" ht="13.8" thickBot="1">
      <c r="A279" s="91"/>
      <c r="B279" s="90"/>
      <c r="C279" s="90"/>
      <c r="D279" s="90"/>
      <c r="E279" s="90"/>
      <c r="F279" s="90"/>
      <c r="G279" s="90"/>
      <c r="H279" s="90"/>
    </row>
    <row r="280" spans="1:25">
      <c r="A280" s="808" t="s">
        <v>299</v>
      </c>
      <c r="B280" s="805" t="s">
        <v>269</v>
      </c>
      <c r="C280" s="806"/>
      <c r="D280" s="806"/>
      <c r="E280" s="806"/>
      <c r="F280" s="806"/>
      <c r="G280" s="806"/>
      <c r="H280" s="807"/>
      <c r="I280" s="799" t="s">
        <v>316</v>
      </c>
      <c r="J280" s="800"/>
      <c r="K280" s="800"/>
      <c r="L280" s="800"/>
      <c r="M280" s="801"/>
      <c r="N280" s="799" t="s">
        <v>317</v>
      </c>
      <c r="O280" s="800"/>
      <c r="P280" s="800"/>
      <c r="Q280" s="799" t="s">
        <v>322</v>
      </c>
      <c r="R280" s="800"/>
      <c r="S280" s="800"/>
      <c r="T280" s="800"/>
      <c r="U280" s="800"/>
      <c r="V280" s="800"/>
      <c r="W280" s="801"/>
      <c r="X280" s="799" t="s">
        <v>330</v>
      </c>
      <c r="Y280" s="801"/>
    </row>
    <row r="281" spans="1:25" ht="20.399999999999999">
      <c r="A281" s="809"/>
      <c r="B281" s="119" t="s">
        <v>270</v>
      </c>
      <c r="C281" s="116" t="s">
        <v>83</v>
      </c>
      <c r="D281" s="116" t="s">
        <v>84</v>
      </c>
      <c r="E281" s="116" t="s">
        <v>271</v>
      </c>
      <c r="F281" s="116" t="s">
        <v>272</v>
      </c>
      <c r="G281" s="116" t="s">
        <v>314</v>
      </c>
      <c r="H281" s="120" t="s">
        <v>273</v>
      </c>
      <c r="I281" s="119" t="s">
        <v>243</v>
      </c>
      <c r="J281" s="116" t="s">
        <v>244</v>
      </c>
      <c r="K281" s="116" t="s">
        <v>258</v>
      </c>
      <c r="L281" s="116" t="s">
        <v>315</v>
      </c>
      <c r="M281" s="120" t="s">
        <v>245</v>
      </c>
      <c r="N281" s="119" t="s">
        <v>318</v>
      </c>
      <c r="O281" s="116" t="s">
        <v>319</v>
      </c>
      <c r="P281" s="116" t="s">
        <v>320</v>
      </c>
      <c r="Q281" s="119" t="s">
        <v>323</v>
      </c>
      <c r="R281" s="116" t="s">
        <v>324</v>
      </c>
      <c r="S281" s="116" t="s">
        <v>325</v>
      </c>
      <c r="T281" s="116" t="s">
        <v>326</v>
      </c>
      <c r="U281" s="116" t="s">
        <v>327</v>
      </c>
      <c r="V281" s="116" t="s">
        <v>328</v>
      </c>
      <c r="W281" s="120" t="s">
        <v>329</v>
      </c>
      <c r="X281" s="119" t="s">
        <v>331</v>
      </c>
      <c r="Y281" s="120" t="s">
        <v>332</v>
      </c>
    </row>
    <row r="282" spans="1:25">
      <c r="A282" s="104" t="s">
        <v>154</v>
      </c>
      <c r="B282" s="111">
        <f>VLOOKUP(A282,[26]Зерновые!$A$205:$L$217,12,)</f>
        <v>0</v>
      </c>
      <c r="C282" s="105">
        <f>VLOOKUP(A282,[26]Зерновые!$A$205:$W$217,23,)</f>
        <v>0</v>
      </c>
      <c r="D282" s="105">
        <f>VLOOKUP(A282,[26]Зерновые!$A$205:$AH$217,34,)</f>
        <v>0</v>
      </c>
      <c r="E282" s="105">
        <f>VLOOKUP(A282,[26]Зерновые!$A$205:$AS$217,45,)</f>
        <v>0</v>
      </c>
      <c r="F282" s="105">
        <f>VLOOKUP(A282,[26]Зерновые!$A$205:$BD$217,56,)</f>
        <v>0</v>
      </c>
      <c r="G282" s="163">
        <f>VLOOKUP(A282,[26]Зерновые!$A$205:$BO$217,67,)</f>
        <v>0</v>
      </c>
      <c r="H282" s="161">
        <f>VLOOKUP(A282,[26]Зерновые!$A$205:$BZ$217,78,FALSE)</f>
        <v>0</v>
      </c>
      <c r="I282" s="111">
        <f>VLOOKUP(A282,[26]Масличные!$A$205:$L$217,12,)</f>
        <v>0.15</v>
      </c>
      <c r="J282" s="105">
        <f>VLOOKUP(A282,[26]Масличные!$A$205:$W$217,23,)</f>
        <v>0</v>
      </c>
      <c r="K282" s="105">
        <f>VLOOKUP(A282,[26]Масличные!$A$205:$AH$217,34,)</f>
        <v>0</v>
      </c>
      <c r="L282" s="105">
        <f>VLOOKUP(A282,[26]Масличные!$A$205:$AS$217,45,)</f>
        <v>0</v>
      </c>
      <c r="M282" s="165">
        <f>VLOOKUP(A282,[26]Масличные!$A$205:$BD$217,56,)</f>
        <v>0</v>
      </c>
      <c r="N282" s="111">
        <f>VLOOKUP(A282,[26]Бобовые!$A$205:$L$217,12,)</f>
        <v>0</v>
      </c>
      <c r="O282" s="105">
        <f>VLOOKUP(A282,[26]Бобовые!$A$205:$W$217,23,)</f>
        <v>0</v>
      </c>
      <c r="P282" s="163">
        <f>VLOOKUP(A282,[26]Бобовые!$A$205:$AH$217,34,)</f>
        <v>0</v>
      </c>
      <c r="Q282" s="111">
        <f>VLOOKUP(A282,[26]Овощи!$A$205:$L$217,12,)</f>
        <v>229.78240999999997</v>
      </c>
      <c r="R282" s="105">
        <f>VLOOKUP(A282,[26]Овощи!$A$205:$W$217,23,)</f>
        <v>246.12022000000002</v>
      </c>
      <c r="S282" s="105">
        <f>VLOOKUP(A282,[26]Овощи!$A$205:$AH$217,34,)</f>
        <v>338.25720999999993</v>
      </c>
      <c r="T282" s="105">
        <f>VLOOKUP(A282,[26]Овощи!$A$205:$AS$217,45,)</f>
        <v>428.48304999999999</v>
      </c>
      <c r="U282" s="105">
        <f>VLOOKUP(A282,[26]Овощи!$A$205:$BD$217,56,)</f>
        <v>333.03390999999999</v>
      </c>
      <c r="V282" s="105">
        <f>VLOOKUP(A282,[26]Овощи!$A$205:$BO$217,67,)</f>
        <v>374.58718000000005</v>
      </c>
      <c r="W282" s="127">
        <f>VLOOKUP(A282,[26]Овощи!$A$205:$BZ$217,78,)</f>
        <v>374.69808999999998</v>
      </c>
      <c r="X282" s="111">
        <f>VLOOKUP(A282,[26]Бахчевые!$A$205:$L$217,12,)</f>
        <v>218.49332999999996</v>
      </c>
      <c r="Y282" s="127">
        <f>VLOOKUP(A282,[26]Бахчевые!$A$205:$W$217,23,)</f>
        <v>226.04805999999999</v>
      </c>
    </row>
    <row r="283" spans="1:25">
      <c r="A283" s="104" t="s">
        <v>153</v>
      </c>
      <c r="B283" s="111">
        <f>VLOOKUP(A283,[26]Зерновые!$A$205:$L$217,12,)</f>
        <v>4.5815499999999991</v>
      </c>
      <c r="C283" s="105">
        <f>VLOOKUP(A283,[26]Зерновые!$A$205:$W$217,23,)</f>
        <v>8.4153500000000001</v>
      </c>
      <c r="D283" s="105">
        <f>VLOOKUP(A283,[26]Зерновые!$A$205:$AH$217,34,)</f>
        <v>6.0443499999999997</v>
      </c>
      <c r="E283" s="105">
        <f>VLOOKUP(A283,[26]Зерновые!$A$205:$AS$217,45,)</f>
        <v>4.5290499999999998</v>
      </c>
      <c r="F283" s="105">
        <f>VLOOKUP(A283,[26]Зерновые!$A$205:$BD$217,56,)</f>
        <v>0.78</v>
      </c>
      <c r="G283" s="163">
        <f>VLOOKUP(A283,[26]Зерновые!$A$205:$BO$217,67,)</f>
        <v>0</v>
      </c>
      <c r="H283" s="161">
        <f>VLOOKUP(A283,[26]Зерновые!$A$205:$BZ$217,78,FALSE)</f>
        <v>0</v>
      </c>
      <c r="I283" s="111">
        <f>VLOOKUP(A283,[26]Масличные!$A$205:$L$217,12,)</f>
        <v>2.5175000000000001</v>
      </c>
      <c r="J283" s="105">
        <f>VLOOKUP(A283,[26]Масличные!$A$205:$W$217,23,)</f>
        <v>4.7598399999999996</v>
      </c>
      <c r="K283" s="105">
        <f>VLOOKUP(A283,[26]Масличные!$A$205:$AH$217,34,)</f>
        <v>0</v>
      </c>
      <c r="L283" s="105">
        <f>VLOOKUP(A283,[26]Масличные!$A$205:$AS$217,45,)</f>
        <v>0</v>
      </c>
      <c r="M283" s="165">
        <f>VLOOKUP(A283,[26]Масличные!$A$205:$BD$217,56,)</f>
        <v>0</v>
      </c>
      <c r="N283" s="111">
        <f>VLOOKUP(A283,[26]Бобовые!$A$205:$L$217,12,)</f>
        <v>0</v>
      </c>
      <c r="O283" s="105">
        <f>VLOOKUP(A283,[26]Бобовые!$A$205:$W$217,23,)</f>
        <v>2</v>
      </c>
      <c r="P283" s="163">
        <f>VLOOKUP(A283,[26]Бобовые!$A$205:$AH$217,34,)</f>
        <v>0</v>
      </c>
      <c r="Q283" s="111">
        <f>VLOOKUP(A283,[26]Овощи!$A$205:$L$217,12,)</f>
        <v>237.48755</v>
      </c>
      <c r="R283" s="105">
        <f>VLOOKUP(A283,[26]Овощи!$A$205:$W$217,23,)</f>
        <v>57.164689999999993</v>
      </c>
      <c r="S283" s="105">
        <f>VLOOKUP(A283,[26]Овощи!$A$205:$AH$217,34,)</f>
        <v>342.41321999999997</v>
      </c>
      <c r="T283" s="105">
        <f>VLOOKUP(A283,[26]Овощи!$A$205:$AS$217,45,)</f>
        <v>262.65201999999999</v>
      </c>
      <c r="U283" s="105">
        <f>VLOOKUP(A283,[26]Овощи!$A$205:$BD$217,56,)</f>
        <v>224.33198999999999</v>
      </c>
      <c r="V283" s="105">
        <f>VLOOKUP(A283,[26]Овощи!$A$205:$BO$217,67,)</f>
        <v>237.86588999999998</v>
      </c>
      <c r="W283" s="127">
        <f>VLOOKUP(A283,[26]Овощи!$A$205:$BZ$217,78,)</f>
        <v>240.41927000000001</v>
      </c>
      <c r="X283" s="111">
        <f>VLOOKUP(A283,[26]Бахчевые!$A$205:$L$217,12,)</f>
        <v>185.19797</v>
      </c>
      <c r="Y283" s="127">
        <f>VLOOKUP(A283,[26]Бахчевые!$A$205:$W$217,23,)</f>
        <v>107.18431000000001</v>
      </c>
    </row>
    <row r="284" spans="1:25">
      <c r="A284" s="104" t="s">
        <v>155</v>
      </c>
      <c r="B284" s="111">
        <f>VLOOKUP(A284,[26]Зерновые!$A$205:$L$217,12,)</f>
        <v>5.9316299999999993</v>
      </c>
      <c r="C284" s="105">
        <f>VLOOKUP(A284,[26]Зерновые!$A$205:$W$217,23,)</f>
        <v>5.0031799999999995</v>
      </c>
      <c r="D284" s="105">
        <f>VLOOKUP(A284,[26]Зерновые!$A$205:$AH$217,34,)</f>
        <v>3.0455999999999994</v>
      </c>
      <c r="E284" s="105">
        <f>VLOOKUP(A284,[26]Зерновые!$A$205:$AS$217,45,)</f>
        <v>0</v>
      </c>
      <c r="F284" s="105">
        <f>VLOOKUP(A284,[26]Зерновые!$A$205:$BD$217,56,)</f>
        <v>0.26</v>
      </c>
      <c r="G284" s="163">
        <f>VLOOKUP(A284,[26]Зерновые!$A$205:$BO$217,67,)</f>
        <v>0</v>
      </c>
      <c r="H284" s="161">
        <f>VLOOKUP(A284,[26]Зерновые!$A$205:$BZ$217,78,FALSE)</f>
        <v>0</v>
      </c>
      <c r="I284" s="111">
        <f>VLOOKUP(A284,[26]Масличные!$A$205:$L$217,12,)</f>
        <v>0.75</v>
      </c>
      <c r="J284" s="105">
        <f>VLOOKUP(A284,[26]Масличные!$A$205:$W$217,23,)</f>
        <v>0</v>
      </c>
      <c r="K284" s="105">
        <f>VLOOKUP(A284,[26]Масличные!$A$205:$AH$217,34,)</f>
        <v>0</v>
      </c>
      <c r="L284" s="105">
        <f>VLOOKUP(A284,[26]Масличные!$A$205:$AS$217,45,)</f>
        <v>0</v>
      </c>
      <c r="M284" s="165">
        <f>VLOOKUP(A284,[26]Масличные!$A$205:$BD$217,56,)</f>
        <v>0</v>
      </c>
      <c r="N284" s="111">
        <f>VLOOKUP(A284,[26]Бобовые!$A$205:$L$217,12,)</f>
        <v>0</v>
      </c>
      <c r="O284" s="105">
        <f>VLOOKUP(A284,[26]Бобовые!$A$205:$W$217,23,)</f>
        <v>0</v>
      </c>
      <c r="P284" s="163">
        <f>VLOOKUP(A284,[26]Бобовые!$A$205:$AH$217,34,)</f>
        <v>0</v>
      </c>
      <c r="Q284" s="111">
        <f>VLOOKUP(A284,[26]Овощи!$A$205:$L$217,12,)</f>
        <v>183.96308000000002</v>
      </c>
      <c r="R284" s="105">
        <f>VLOOKUP(A284,[26]Овощи!$A$205:$W$217,23,)</f>
        <v>131.68910000000002</v>
      </c>
      <c r="S284" s="105">
        <f>VLOOKUP(A284,[26]Овощи!$A$205:$AH$217,34,)</f>
        <v>170.24393000000001</v>
      </c>
      <c r="T284" s="105">
        <f>VLOOKUP(A284,[26]Овощи!$A$205:$AS$217,45,)</f>
        <v>251.53863999999999</v>
      </c>
      <c r="U284" s="105">
        <f>VLOOKUP(A284,[26]Овощи!$A$205:$BD$217,56,)</f>
        <v>175.96860000000001</v>
      </c>
      <c r="V284" s="105">
        <f>VLOOKUP(A284,[26]Овощи!$A$205:$BO$217,67,)</f>
        <v>237.67897000000002</v>
      </c>
      <c r="W284" s="127">
        <f>VLOOKUP(A284,[26]Овощи!$A$205:$BZ$217,78,)</f>
        <v>185.94684999999998</v>
      </c>
      <c r="X284" s="111">
        <f>VLOOKUP(A284,[26]Бахчевые!$A$205:$L$217,12,)</f>
        <v>133.67585</v>
      </c>
      <c r="Y284" s="127">
        <f>VLOOKUP(A284,[26]Бахчевые!$A$205:$W$217,23,)</f>
        <v>95.316370000000006</v>
      </c>
    </row>
    <row r="285" spans="1:25">
      <c r="A285" s="104" t="s">
        <v>200</v>
      </c>
      <c r="B285" s="111">
        <f>VLOOKUP(A285,[26]Зерновые!$A$205:$L$217,12,)</f>
        <v>6.5433599999999981</v>
      </c>
      <c r="C285" s="105">
        <f>VLOOKUP(A285,[26]Зерновые!$A$205:$W$217,23,)</f>
        <v>6.0209500000000009</v>
      </c>
      <c r="D285" s="105">
        <f>VLOOKUP(A285,[26]Зерновые!$A$205:$AH$217,34,)</f>
        <v>2.8899999999999997</v>
      </c>
      <c r="E285" s="105">
        <f>VLOOKUP(A285,[26]Зерновые!$A$205:$AS$217,45,)</f>
        <v>6.6560499999999987</v>
      </c>
      <c r="F285" s="105">
        <f>VLOOKUP(A285,[26]Зерновые!$A$205:$BD$217,56,)</f>
        <v>4.0201599999999997</v>
      </c>
      <c r="G285" s="163">
        <f>VLOOKUP(A285,[26]Зерновые!$A$205:$BO$217,67,)</f>
        <v>0</v>
      </c>
      <c r="H285" s="161">
        <f>VLOOKUP(A285,[26]Зерновые!$A$205:$BZ$217,78,FALSE)</f>
        <v>0</v>
      </c>
      <c r="I285" s="111">
        <f>VLOOKUP(A285,[26]Масличные!$A$205:$L$217,12,)</f>
        <v>2.5236499999999999</v>
      </c>
      <c r="J285" s="105">
        <f>VLOOKUP(A285,[26]Масличные!$A$205:$W$217,23,)</f>
        <v>1.65</v>
      </c>
      <c r="K285" s="105">
        <f>VLOOKUP(A285,[26]Масличные!$A$205:$AH$217,34,)</f>
        <v>0.37</v>
      </c>
      <c r="L285" s="105">
        <f>VLOOKUP(A285,[26]Масличные!$A$205:$AS$217,45,)</f>
        <v>0</v>
      </c>
      <c r="M285" s="165">
        <f>VLOOKUP(A285,[26]Масличные!$A$205:$BD$217,56,)</f>
        <v>0</v>
      </c>
      <c r="N285" s="111">
        <f>VLOOKUP(A285,[26]Бобовые!$A$205:$L$217,12,)</f>
        <v>0</v>
      </c>
      <c r="O285" s="105">
        <f>VLOOKUP(A285,[26]Бобовые!$A$205:$W$217,23,)</f>
        <v>2.9404999999999997</v>
      </c>
      <c r="P285" s="163">
        <f>VLOOKUP(A285,[26]Бобовые!$A$205:$AH$217,34,)</f>
        <v>0</v>
      </c>
      <c r="Q285" s="111">
        <f>VLOOKUP(A285,[26]Овощи!$A$205:$L$217,12,)</f>
        <v>220.08005999999995</v>
      </c>
      <c r="R285" s="105">
        <f>VLOOKUP(A285,[26]Овощи!$A$205:$W$217,23,)</f>
        <v>131.23904999999999</v>
      </c>
      <c r="S285" s="105">
        <f>VLOOKUP(A285,[26]Овощи!$A$205:$AH$217,34,)</f>
        <v>260.90851000000004</v>
      </c>
      <c r="T285" s="105">
        <f>VLOOKUP(A285,[26]Овощи!$A$205:$AS$217,45,)</f>
        <v>251.70751999999999</v>
      </c>
      <c r="U285" s="105">
        <f>VLOOKUP(A285,[26]Овощи!$A$205:$BD$217,56,)</f>
        <v>227.11602999999999</v>
      </c>
      <c r="V285" s="105">
        <f>VLOOKUP(A285,[26]Овощи!$A$205:$BO$217,67,)</f>
        <v>247.25048999999999</v>
      </c>
      <c r="W285" s="127">
        <f>VLOOKUP(A285,[26]Овощи!$A$205:$BZ$217,78,)</f>
        <v>270.16165000000001</v>
      </c>
      <c r="X285" s="111">
        <f>VLOOKUP(A285,[26]Бахчевые!$A$205:$L$217,12,)</f>
        <v>91.325410000000005</v>
      </c>
      <c r="Y285" s="127">
        <f>VLOOKUP(A285,[26]Бахчевые!$A$205:$W$217,23,)</f>
        <v>0</v>
      </c>
    </row>
    <row r="286" spans="1:25">
      <c r="A286" s="104" t="s">
        <v>201</v>
      </c>
      <c r="B286" s="111">
        <f>VLOOKUP(A286,[26]Зерновые!$A$205:$L$217,12,)</f>
        <v>7.8016800000000002</v>
      </c>
      <c r="C286" s="105">
        <f>VLOOKUP(A286,[26]Зерновые!$A$205:$W$217,23,)</f>
        <v>7.6805299999999992</v>
      </c>
      <c r="D286" s="105">
        <f>VLOOKUP(A286,[26]Зерновые!$A$205:$AH$217,34,)</f>
        <v>6.7737799999999995</v>
      </c>
      <c r="E286" s="105">
        <f>VLOOKUP(A286,[26]Зерновые!$A$205:$AS$217,45,)</f>
        <v>0</v>
      </c>
      <c r="F286" s="105">
        <f>VLOOKUP(A286,[26]Зерновые!$A$205:$BD$217,56,)</f>
        <v>0</v>
      </c>
      <c r="G286" s="163">
        <f>VLOOKUP(A286,[26]Зерновые!$A$205:$BO$217,67,)</f>
        <v>0</v>
      </c>
      <c r="H286" s="161">
        <f>VLOOKUP(A286,[26]Зерновые!$A$205:$BZ$217,78,FALSE)</f>
        <v>0</v>
      </c>
      <c r="I286" s="111">
        <f>VLOOKUP(A286,[26]Масличные!$A$205:$L$217,12,)</f>
        <v>0</v>
      </c>
      <c r="J286" s="105">
        <f>VLOOKUP(A286,[26]Масличные!$A$205:$W$217,23,)</f>
        <v>0</v>
      </c>
      <c r="K286" s="105">
        <f>VLOOKUP(A286,[26]Масличные!$A$205:$AH$217,34,)</f>
        <v>0</v>
      </c>
      <c r="L286" s="105">
        <f>VLOOKUP(A286,[26]Масличные!$A$205:$AS$217,45,)</f>
        <v>0</v>
      </c>
      <c r="M286" s="165">
        <f>VLOOKUP(A286,[26]Масличные!$A$205:$BD$217,56,)</f>
        <v>0</v>
      </c>
      <c r="N286" s="111">
        <f>VLOOKUP(A286,[26]Бобовые!$A$205:$L$217,12,)</f>
        <v>0</v>
      </c>
      <c r="O286" s="105">
        <f>VLOOKUP(A286,[26]Бобовые!$A$205:$W$217,23,)</f>
        <v>0</v>
      </c>
      <c r="P286" s="163">
        <f>VLOOKUP(A286,[26]Бобовые!$A$205:$AH$217,34,)</f>
        <v>0</v>
      </c>
      <c r="Q286" s="111">
        <f>VLOOKUP(A286,[26]Овощи!$A$205:$L$217,12,)</f>
        <v>150.77723</v>
      </c>
      <c r="R286" s="105">
        <f>VLOOKUP(A286,[26]Овощи!$A$205:$W$217,23,)</f>
        <v>15.059999999999999</v>
      </c>
      <c r="S286" s="105">
        <f>VLOOKUP(A286,[26]Овощи!$A$205:$AH$217,34,)</f>
        <v>171.32677000000001</v>
      </c>
      <c r="T286" s="105">
        <f>VLOOKUP(A286,[26]Овощи!$A$205:$AS$217,45,)</f>
        <v>172.85081000000002</v>
      </c>
      <c r="U286" s="105">
        <f>VLOOKUP(A286,[26]Овощи!$A$205:$BD$217,56,)</f>
        <v>173.34352000000001</v>
      </c>
      <c r="V286" s="105">
        <f>VLOOKUP(A286,[26]Овощи!$A$205:$BO$217,67,)</f>
        <v>173.07517999999999</v>
      </c>
      <c r="W286" s="127">
        <f>VLOOKUP(A286,[26]Овощи!$A$205:$BZ$217,78,)</f>
        <v>170.70616000000001</v>
      </c>
      <c r="X286" s="111">
        <f>VLOOKUP(A286,[26]Бахчевые!$A$205:$L$217,12,)</f>
        <v>0</v>
      </c>
      <c r="Y286" s="127">
        <f>VLOOKUP(A286,[26]Бахчевые!$A$205:$W$217,23,)</f>
        <v>0</v>
      </c>
    </row>
    <row r="287" spans="1:25">
      <c r="A287" s="104" t="s">
        <v>202</v>
      </c>
      <c r="B287" s="111">
        <f>VLOOKUP(A287,[26]Зерновые!$A$205:$L$217,12,)</f>
        <v>9.5032399999999999</v>
      </c>
      <c r="C287" s="105">
        <f>VLOOKUP(A287,[26]Зерновые!$A$205:$W$217,23,)</f>
        <v>9.6715300000000006</v>
      </c>
      <c r="D287" s="105">
        <f>VLOOKUP(A287,[26]Зерновые!$A$205:$AH$217,34,)</f>
        <v>11.666259999999998</v>
      </c>
      <c r="E287" s="105">
        <f>VLOOKUP(A287,[26]Зерновые!$A$205:$AS$217,45,)</f>
        <v>4.1275199999999996</v>
      </c>
      <c r="F287" s="105">
        <f>VLOOKUP(A287,[26]Зерновые!$A$205:$BD$217,56,)</f>
        <v>5.1635100000000005</v>
      </c>
      <c r="G287" s="163">
        <f>VLOOKUP(A287,[26]Зерновые!$A$205:$BO$217,67,)</f>
        <v>0</v>
      </c>
      <c r="H287" s="161">
        <f>VLOOKUP(A287,[26]Зерновые!$A$205:$BZ$217,78,FALSE)</f>
        <v>0</v>
      </c>
      <c r="I287" s="111">
        <f>VLOOKUP(A287,[26]Масличные!$A$205:$L$217,12,)</f>
        <v>3.66892</v>
      </c>
      <c r="J287" s="105">
        <f>VLOOKUP(A287,[26]Масличные!$A$205:$W$217,23,)</f>
        <v>0.47000000000000003</v>
      </c>
      <c r="K287" s="105">
        <f>VLOOKUP(A287,[26]Масличные!$A$205:$AH$217,34,)</f>
        <v>1.25</v>
      </c>
      <c r="L287" s="105">
        <f>VLOOKUP(A287,[26]Масличные!$A$205:$AS$217,45,)</f>
        <v>2.33</v>
      </c>
      <c r="M287" s="165">
        <f>VLOOKUP(A287,[26]Масличные!$A$205:$BD$217,56,)</f>
        <v>0.5</v>
      </c>
      <c r="N287" s="111">
        <f>VLOOKUP(A287,[26]Бобовые!$A$205:$L$217,12,)</f>
        <v>0</v>
      </c>
      <c r="O287" s="105">
        <f>VLOOKUP(A287,[26]Бобовые!$A$205:$W$217,23,)</f>
        <v>5.14</v>
      </c>
      <c r="P287" s="163">
        <f>VLOOKUP(A287,[26]Бобовые!$A$205:$AH$217,34,)</f>
        <v>0</v>
      </c>
      <c r="Q287" s="111">
        <f>VLOOKUP(A287,[26]Овощи!$A$205:$L$217,12,)</f>
        <v>170.00197</v>
      </c>
      <c r="R287" s="105">
        <f>VLOOKUP(A287,[26]Овощи!$A$205:$W$217,23,)</f>
        <v>188.84379999999999</v>
      </c>
      <c r="S287" s="105">
        <f>VLOOKUP(A287,[26]Овощи!$A$205:$AH$217,34,)</f>
        <v>299.62090000000001</v>
      </c>
      <c r="T287" s="105">
        <f>VLOOKUP(A287,[26]Овощи!$A$205:$AS$217,45,)</f>
        <v>421.90746999999999</v>
      </c>
      <c r="U287" s="105">
        <f>VLOOKUP(A287,[26]Овощи!$A$205:$BD$217,56,)</f>
        <v>281.45328000000001</v>
      </c>
      <c r="V287" s="105">
        <f>VLOOKUP(A287,[26]Овощи!$A$205:$BO$217,67,)</f>
        <v>311.73404999999997</v>
      </c>
      <c r="W287" s="127">
        <f>VLOOKUP(A287,[26]Овощи!$A$205:$BZ$217,78,)</f>
        <v>329.73097999999999</v>
      </c>
      <c r="X287" s="111">
        <f>VLOOKUP(A287,[26]Бахчевые!$A$205:$L$217,12,)</f>
        <v>10</v>
      </c>
      <c r="Y287" s="127">
        <f>VLOOKUP(A287,[26]Бахчевые!$A$205:$W$217,23,)</f>
        <v>10</v>
      </c>
    </row>
    <row r="288" spans="1:25">
      <c r="A288" s="104" t="s">
        <v>203</v>
      </c>
      <c r="B288" s="111">
        <f>VLOOKUP(A288,[26]Зерновые!$A$205:$L$217,12,)</f>
        <v>7.4523600000000005</v>
      </c>
      <c r="C288" s="105">
        <f>VLOOKUP(A288,[26]Зерновые!$A$205:$W$217,23,)</f>
        <v>8.0092499999999998</v>
      </c>
      <c r="D288" s="105">
        <f>VLOOKUP(A288,[26]Зерновые!$A$205:$AH$217,34,)</f>
        <v>9.8320399999999992</v>
      </c>
      <c r="E288" s="105">
        <f>VLOOKUP(A288,[26]Зерновые!$A$205:$AS$217,45,)</f>
        <v>6.1431500000000003</v>
      </c>
      <c r="F288" s="105">
        <f>VLOOKUP(A288,[26]Зерновые!$A$205:$BD$217,56,)</f>
        <v>4.3078799999999999</v>
      </c>
      <c r="G288" s="163">
        <f>VLOOKUP(A288,[26]Зерновые!$A$205:$BO$217,67,)</f>
        <v>0</v>
      </c>
      <c r="H288" s="161">
        <f>VLOOKUP(A288,[26]Зерновые!$A$205:$BZ$217,78,FALSE)</f>
        <v>0</v>
      </c>
      <c r="I288" s="111">
        <f>VLOOKUP(A288,[26]Масличные!$A$205:$L$217,12,)</f>
        <v>2.91744</v>
      </c>
      <c r="J288" s="105">
        <f>VLOOKUP(A288,[26]Масличные!$A$205:$W$217,23,)</f>
        <v>3.8616599999999996</v>
      </c>
      <c r="K288" s="105">
        <f>VLOOKUP(A288,[26]Масличные!$A$205:$AH$217,34,)</f>
        <v>2.75</v>
      </c>
      <c r="L288" s="105">
        <f>VLOOKUP(A288,[26]Масличные!$A$205:$AS$217,45,)</f>
        <v>0.06</v>
      </c>
      <c r="M288" s="165">
        <f>VLOOKUP(A288,[26]Масличные!$A$205:$BD$217,56,)</f>
        <v>0</v>
      </c>
      <c r="N288" s="111">
        <f>VLOOKUP(A288,[26]Бобовые!$A$205:$L$217,12,)</f>
        <v>0</v>
      </c>
      <c r="O288" s="105">
        <f>VLOOKUP(A288,[26]Бобовые!$A$205:$W$217,23,)</f>
        <v>1.8699999999999999</v>
      </c>
      <c r="P288" s="163">
        <f>VLOOKUP(A288,[26]Бобовые!$A$205:$AH$217,34,)</f>
        <v>0.67999999999999994</v>
      </c>
      <c r="Q288" s="111">
        <f>VLOOKUP(A288,[26]Овощи!$A$205:$L$217,12,)</f>
        <v>172.71687</v>
      </c>
      <c r="R288" s="105">
        <f>VLOOKUP(A288,[26]Овощи!$A$205:$W$217,23,)</f>
        <v>185.55875</v>
      </c>
      <c r="S288" s="105">
        <f>VLOOKUP(A288,[26]Овощи!$A$205:$AH$217,34,)</f>
        <v>384.13569999999999</v>
      </c>
      <c r="T288" s="105">
        <f>VLOOKUP(A288,[26]Овощи!$A$205:$AS$217,45,)</f>
        <v>530.25090999999998</v>
      </c>
      <c r="U288" s="105">
        <f>VLOOKUP(A288,[26]Овощи!$A$205:$BD$217,56,)</f>
        <v>345.59344999999996</v>
      </c>
      <c r="V288" s="105">
        <f>VLOOKUP(A288,[26]Овощи!$A$205:$BO$217,67,)</f>
        <v>360.08429999999993</v>
      </c>
      <c r="W288" s="127">
        <f>VLOOKUP(A288,[26]Овощи!$A$205:$BZ$217,78,)</f>
        <v>440.4779200000001</v>
      </c>
      <c r="X288" s="111">
        <f>VLOOKUP(A288,[26]Бахчевые!$A$205:$L$217,12,)</f>
        <v>0</v>
      </c>
      <c r="Y288" s="127">
        <f>VLOOKUP(A288,[26]Бахчевые!$A$205:$W$217,23,)</f>
        <v>0</v>
      </c>
    </row>
    <row r="289" spans="1:25">
      <c r="A289" s="104" t="s">
        <v>204</v>
      </c>
      <c r="B289" s="111">
        <f>VLOOKUP(A289,[26]Зерновые!$A$205:$L$217,12,)</f>
        <v>7.8459500000000002</v>
      </c>
      <c r="C289" s="105">
        <f>VLOOKUP(A289,[26]Зерновые!$A$205:$W$217,23,)</f>
        <v>7.6136399999999984</v>
      </c>
      <c r="D289" s="105">
        <f>VLOOKUP(A289,[26]Зерновые!$A$205:$AH$217,34,)</f>
        <v>8.0946800000000003</v>
      </c>
      <c r="E289" s="105">
        <f>VLOOKUP(A289,[26]Зерновые!$A$205:$AS$217,45,)</f>
        <v>6.1014099999999996</v>
      </c>
      <c r="F289" s="105">
        <f>VLOOKUP(A289,[26]Зерновые!$A$205:$BD$217,56,)</f>
        <v>3.9954300000000003</v>
      </c>
      <c r="G289" s="163">
        <f>VLOOKUP(A289,[26]Зерновые!$A$205:$BO$217,67,)</f>
        <v>0</v>
      </c>
      <c r="H289" s="161">
        <f>VLOOKUP(A289,[26]Зерновые!$A$205:$BZ$217,78,FALSE)</f>
        <v>0</v>
      </c>
      <c r="I289" s="111">
        <f>VLOOKUP(A289,[26]Масличные!$A$205:$L$217,12,)</f>
        <v>3.62365</v>
      </c>
      <c r="J289" s="105">
        <f>VLOOKUP(A289,[26]Масличные!$A$205:$W$217,23,)</f>
        <v>0.45999999999999996</v>
      </c>
      <c r="K289" s="105">
        <f>VLOOKUP(A289,[26]Масличные!$A$205:$AH$217,34,)</f>
        <v>1</v>
      </c>
      <c r="L289" s="105">
        <f>VLOOKUP(A289,[26]Масличные!$A$205:$AS$217,45,)</f>
        <v>0</v>
      </c>
      <c r="M289" s="165">
        <f>VLOOKUP(A289,[26]Масличные!$A$205:$BD$217,56,)</f>
        <v>0</v>
      </c>
      <c r="N289" s="111">
        <f>VLOOKUP(A289,[26]Бобовые!$A$205:$L$217,12,)</f>
        <v>0</v>
      </c>
      <c r="O289" s="105">
        <f>VLOOKUP(A289,[26]Бобовые!$A$205:$W$217,23,)</f>
        <v>8.9180000000000009E-2</v>
      </c>
      <c r="P289" s="163">
        <f>VLOOKUP(A289,[26]Бобовые!$A$205:$AH$217,34,)</f>
        <v>0</v>
      </c>
      <c r="Q289" s="111">
        <f>VLOOKUP(A289,[26]Овощи!$A$205:$L$217,12,)</f>
        <v>162.56970999999996</v>
      </c>
      <c r="R289" s="105">
        <f>VLOOKUP(A289,[26]Овощи!$A$205:$W$217,23,)</f>
        <v>200.72111000000001</v>
      </c>
      <c r="S289" s="105">
        <f>VLOOKUP(A289,[26]Овощи!$A$205:$AH$217,34,)</f>
        <v>250.02058000000002</v>
      </c>
      <c r="T289" s="105">
        <f>VLOOKUP(A289,[26]Овощи!$A$205:$AS$217,45,)</f>
        <v>337.06134000000009</v>
      </c>
      <c r="U289" s="105">
        <f>VLOOKUP(A289,[26]Овощи!$A$205:$BD$217,56,)</f>
        <v>313.36079000000001</v>
      </c>
      <c r="V289" s="105">
        <f>VLOOKUP(A289,[26]Овощи!$A$205:$BO$217,67,)</f>
        <v>314.10309999999998</v>
      </c>
      <c r="W289" s="127">
        <f>VLOOKUP(A289,[26]Овощи!$A$205:$BZ$217,78,)</f>
        <v>261.48003999999997</v>
      </c>
      <c r="X289" s="111">
        <f>VLOOKUP(A289,[26]Бахчевые!$A$205:$L$217,12,)</f>
        <v>85.94</v>
      </c>
      <c r="Y289" s="127">
        <f>VLOOKUP(A289,[26]Бахчевые!$A$205:$W$217,23,)</f>
        <v>0</v>
      </c>
    </row>
    <row r="290" spans="1:25">
      <c r="A290" s="104" t="s">
        <v>205</v>
      </c>
      <c r="B290" s="111">
        <f>VLOOKUP(A290,[26]Зерновые!$A$205:$L$217,12,)</f>
        <v>0.9</v>
      </c>
      <c r="C290" s="105">
        <f>VLOOKUP(A290,[26]Зерновые!$A$205:$W$217,23,)</f>
        <v>2.8</v>
      </c>
      <c r="D290" s="105">
        <f>VLOOKUP(A290,[26]Зерновые!$A$205:$AH$217,34,)</f>
        <v>1.6800000000000002</v>
      </c>
      <c r="E290" s="105">
        <f>VLOOKUP(A290,[26]Зерновые!$A$205:$AS$217,45,)</f>
        <v>5.0393699999999999</v>
      </c>
      <c r="F290" s="105">
        <f>VLOOKUP(A290,[26]Зерновые!$A$205:$BD$217,56,)</f>
        <v>0.86</v>
      </c>
      <c r="G290" s="163">
        <f>VLOOKUP(A290,[26]Зерновые!$A$205:$BO$217,67,)</f>
        <v>0</v>
      </c>
      <c r="H290" s="161">
        <f>VLOOKUP(A290,[26]Зерновые!$A$205:$BZ$217,78,FALSE)</f>
        <v>0</v>
      </c>
      <c r="I290" s="111">
        <f>VLOOKUP(A290,[26]Масличные!$A$205:$L$217,12,)</f>
        <v>2.7700000000000005</v>
      </c>
      <c r="J290" s="105">
        <f>VLOOKUP(A290,[26]Масличные!$A$205:$W$217,23,)</f>
        <v>0</v>
      </c>
      <c r="K290" s="105">
        <f>VLOOKUP(A290,[26]Масличные!$A$205:$AH$217,34,)</f>
        <v>0</v>
      </c>
      <c r="L290" s="105">
        <f>VLOOKUP(A290,[26]Масличные!$A$205:$AS$217,45,)</f>
        <v>0</v>
      </c>
      <c r="M290" s="165">
        <f>VLOOKUP(A290,[26]Масличные!$A$205:$BD$217,56,)</f>
        <v>0</v>
      </c>
      <c r="N290" s="111">
        <f>VLOOKUP(A290,[26]Бобовые!$A$205:$L$217,12,)</f>
        <v>0</v>
      </c>
      <c r="O290" s="105">
        <f>VLOOKUP(A290,[26]Бобовые!$A$205:$W$217,23,)</f>
        <v>0.21000000000000002</v>
      </c>
      <c r="P290" s="163">
        <f>VLOOKUP(A290,[26]Бобовые!$A$205:$AH$217,34,)</f>
        <v>0</v>
      </c>
      <c r="Q290" s="111">
        <f>VLOOKUP(A290,[26]Овощи!$A$205:$L$217,12,)</f>
        <v>225.96993000000003</v>
      </c>
      <c r="R290" s="105">
        <f>VLOOKUP(A290,[26]Овощи!$A$205:$W$217,23,)</f>
        <v>138.26741000000001</v>
      </c>
      <c r="S290" s="105">
        <f>VLOOKUP(A290,[26]Овощи!$A$205:$AH$217,34,)</f>
        <v>281.72971000000001</v>
      </c>
      <c r="T290" s="105">
        <f>VLOOKUP(A290,[26]Овощи!$A$205:$AS$217,45,)</f>
        <v>217.39549000000002</v>
      </c>
      <c r="U290" s="105">
        <f>VLOOKUP(A290,[26]Овощи!$A$205:$BD$217,56,)</f>
        <v>205.00266999999999</v>
      </c>
      <c r="V290" s="105">
        <f>VLOOKUP(A290,[26]Овощи!$A$205:$BO$217,67,)</f>
        <v>230.13197</v>
      </c>
      <c r="W290" s="127">
        <f>VLOOKUP(A290,[26]Овощи!$A$205:$BZ$217,78,)</f>
        <v>255.13048000000003</v>
      </c>
      <c r="X290" s="111">
        <f>VLOOKUP(A290,[26]Бахчевые!$A$205:$L$217,12,)</f>
        <v>170.99180000000001</v>
      </c>
      <c r="Y290" s="127">
        <f>VLOOKUP(A290,[26]Бахчевые!$A$205:$W$217,23,)</f>
        <v>0</v>
      </c>
    </row>
    <row r="291" spans="1:25">
      <c r="A291" s="104" t="s">
        <v>206</v>
      </c>
      <c r="B291" s="111">
        <f>VLOOKUP(A291,[26]Зерновые!$A$205:$L$217,12,)</f>
        <v>0.78</v>
      </c>
      <c r="C291" s="105">
        <f>VLOOKUP(A291,[26]Зерновые!$A$205:$W$217,23,)</f>
        <v>2.9683299999999999</v>
      </c>
      <c r="D291" s="105">
        <f>VLOOKUP(A291,[26]Зерновые!$A$205:$AH$217,34,)</f>
        <v>0.33999999999999997</v>
      </c>
      <c r="E291" s="105">
        <f>VLOOKUP(A291,[26]Зерновые!$A$205:$AS$217,45,)</f>
        <v>6.8642100000000017</v>
      </c>
      <c r="F291" s="105">
        <f>VLOOKUP(A291,[26]Зерновые!$A$205:$BD$217,56,)</f>
        <v>0</v>
      </c>
      <c r="G291" s="163">
        <f>VLOOKUP(A291,[26]Зерновые!$A$205:$BO$217,67,)</f>
        <v>0</v>
      </c>
      <c r="H291" s="161">
        <f>VLOOKUP(A291,[26]Зерновые!$A$205:$BZ$217,78,FALSE)</f>
        <v>0</v>
      </c>
      <c r="I291" s="111">
        <f>VLOOKUP(A291,[26]Масличные!$A$205:$L$217,12,)</f>
        <v>1.4570000000000001</v>
      </c>
      <c r="J291" s="105">
        <f>VLOOKUP(A291,[26]Масличные!$A$205:$W$217,23,)</f>
        <v>0</v>
      </c>
      <c r="K291" s="105">
        <f>VLOOKUP(A291,[26]Масличные!$A$205:$AH$217,34,)</f>
        <v>0</v>
      </c>
      <c r="L291" s="105">
        <f>VLOOKUP(A291,[26]Масличные!$A$205:$AS$217,45,)</f>
        <v>0</v>
      </c>
      <c r="M291" s="165">
        <f>VLOOKUP(A291,[26]Масличные!$A$205:$BD$217,56,)</f>
        <v>0</v>
      </c>
      <c r="N291" s="111">
        <f>VLOOKUP(A291,[26]Бобовые!$A$205:$L$217,12,)</f>
        <v>0</v>
      </c>
      <c r="O291" s="105">
        <f>VLOOKUP(A291,[26]Бобовые!$A$205:$W$217,23,)</f>
        <v>0</v>
      </c>
      <c r="P291" s="163">
        <f>VLOOKUP(A291,[26]Бобовые!$A$205:$AH$217,34,)</f>
        <v>0</v>
      </c>
      <c r="Q291" s="111">
        <f>VLOOKUP(A291,[26]Овощи!$A$205:$L$217,12,)</f>
        <v>125.13690999999999</v>
      </c>
      <c r="R291" s="105">
        <f>VLOOKUP(A291,[26]Овощи!$A$205:$W$217,23,)</f>
        <v>11.6</v>
      </c>
      <c r="S291" s="105">
        <f>VLOOKUP(A291,[26]Овощи!$A$205:$AH$217,34,)</f>
        <v>201.67571000000001</v>
      </c>
      <c r="T291" s="105">
        <f>VLOOKUP(A291,[26]Овощи!$A$205:$AS$217,45,)</f>
        <v>178.37906999999998</v>
      </c>
      <c r="U291" s="105">
        <f>VLOOKUP(A291,[26]Овощи!$A$205:$BD$217,56,)</f>
        <v>160.65579</v>
      </c>
      <c r="V291" s="105">
        <f>VLOOKUP(A291,[26]Овощи!$A$205:$BO$217,67,)</f>
        <v>187.30151000000001</v>
      </c>
      <c r="W291" s="127">
        <f>VLOOKUP(A291,[26]Овощи!$A$205:$BZ$217,78,)</f>
        <v>195.88830000000002</v>
      </c>
      <c r="X291" s="111">
        <f>VLOOKUP(A291,[26]Бахчевые!$A$205:$L$217,12,)</f>
        <v>4.84</v>
      </c>
      <c r="Y291" s="127">
        <f>VLOOKUP(A291,[26]Бахчевые!$A$205:$W$217,23,)</f>
        <v>0</v>
      </c>
    </row>
    <row r="292" spans="1:25">
      <c r="A292" s="104" t="s">
        <v>207</v>
      </c>
      <c r="B292" s="111">
        <f>VLOOKUP(A292,[26]Зерновые!$A$205:$L$217,12,)</f>
        <v>5.3853899999999992</v>
      </c>
      <c r="C292" s="105">
        <f>VLOOKUP(A292,[26]Зерновые!$A$205:$W$217,23,)</f>
        <v>4.6425700000000001</v>
      </c>
      <c r="D292" s="105">
        <f>VLOOKUP(A292,[26]Зерновые!$A$205:$AH$217,34,)</f>
        <v>5.4645099999999998</v>
      </c>
      <c r="E292" s="105">
        <f>VLOOKUP(A292,[26]Зерновые!$A$205:$AS$217,45,)</f>
        <v>4.5012599999999994</v>
      </c>
      <c r="F292" s="105">
        <f>VLOOKUP(A292,[26]Зерновые!$A$205:$BD$217,56,)</f>
        <v>3.6578299999999997</v>
      </c>
      <c r="G292" s="163">
        <f>VLOOKUP(A292,[26]Зерновые!$A$205:$BO$217,67,)</f>
        <v>0</v>
      </c>
      <c r="H292" s="161">
        <f>VLOOKUP(A292,[26]Зерновые!$A$205:$BZ$217,78,FALSE)</f>
        <v>0</v>
      </c>
      <c r="I292" s="111">
        <f>VLOOKUP(A292,[26]Масличные!$A$205:$L$217,12,)</f>
        <v>3.4563099999999998</v>
      </c>
      <c r="J292" s="105">
        <f>VLOOKUP(A292,[26]Масличные!$A$205:$W$217,23,)</f>
        <v>0</v>
      </c>
      <c r="K292" s="105">
        <f>VLOOKUP(A292,[26]Масличные!$A$205:$AH$217,34,)</f>
        <v>0</v>
      </c>
      <c r="L292" s="105">
        <f>VLOOKUP(A292,[26]Масличные!$A$205:$AS$217,45,)</f>
        <v>0</v>
      </c>
      <c r="M292" s="165">
        <f>VLOOKUP(A292,[26]Масличные!$A$205:$BD$217,56,)</f>
        <v>0</v>
      </c>
      <c r="N292" s="111">
        <f>VLOOKUP(A292,[26]Бобовые!$A$205:$L$217,12,)</f>
        <v>0</v>
      </c>
      <c r="O292" s="105">
        <f>VLOOKUP(A292,[26]Бобовые!$A$205:$W$217,23,)</f>
        <v>0</v>
      </c>
      <c r="P292" s="163">
        <f>VLOOKUP(A292,[26]Бобовые!$A$205:$AH$217,34,)</f>
        <v>0</v>
      </c>
      <c r="Q292" s="111">
        <f>VLOOKUP(A292,[26]Овощи!$A$205:$L$217,12,)</f>
        <v>220.8802</v>
      </c>
      <c r="R292" s="105">
        <f>VLOOKUP(A292,[26]Овощи!$A$205:$W$217,23,)</f>
        <v>185.17000000000002</v>
      </c>
      <c r="S292" s="105">
        <f>VLOOKUP(A292,[26]Овощи!$A$205:$AH$217,34,)</f>
        <v>288.23084000000006</v>
      </c>
      <c r="T292" s="105">
        <f>VLOOKUP(A292,[26]Овощи!$A$205:$AS$217,45,)</f>
        <v>364.96610999999996</v>
      </c>
      <c r="U292" s="105">
        <f>VLOOKUP(A292,[26]Овощи!$A$205:$BD$217,56,)</f>
        <v>290.53030000000001</v>
      </c>
      <c r="V292" s="105">
        <f>VLOOKUP(A292,[26]Овощи!$A$205:$BO$217,67,)</f>
        <v>297.99950000000001</v>
      </c>
      <c r="W292" s="127">
        <f>VLOOKUP(A292,[26]Овощи!$A$205:$BZ$217,78,)</f>
        <v>278.36610000000002</v>
      </c>
      <c r="X292" s="111">
        <f>VLOOKUP(A292,[26]Бахчевые!$A$205:$L$217,12,)</f>
        <v>157.13524000000001</v>
      </c>
      <c r="Y292" s="127">
        <f>VLOOKUP(A292,[26]Бахчевые!$A$205:$W$217,23,)</f>
        <v>21.259999999999998</v>
      </c>
    </row>
    <row r="293" spans="1:25">
      <c r="A293" s="104" t="s">
        <v>208</v>
      </c>
      <c r="B293" s="111">
        <f>VLOOKUP(A293,[26]Зерновые!$A$205:$L$217,12,)</f>
        <v>8.745000000000001</v>
      </c>
      <c r="C293" s="105">
        <f>VLOOKUP(A293,[26]Зерновые!$A$205:$W$217,23,)</f>
        <v>9.5311599999999999</v>
      </c>
      <c r="D293" s="105">
        <f>VLOOKUP(A293,[26]Зерновые!$A$205:$AH$217,34,)</f>
        <v>9.153850000000002</v>
      </c>
      <c r="E293" s="105">
        <f>VLOOKUP(A293,[26]Зерновые!$A$205:$AS$217,45,)</f>
        <v>8.1283999999999992</v>
      </c>
      <c r="F293" s="105">
        <f>VLOOKUP(A293,[26]Зерновые!$A$205:$BD$217,56,)</f>
        <v>5.1991999999999994</v>
      </c>
      <c r="G293" s="163">
        <f>VLOOKUP(A293,[26]Зерновые!$A$205:$BO$217,67,)</f>
        <v>0</v>
      </c>
      <c r="H293" s="161">
        <f>VLOOKUP(A293,[26]Зерновые!$A$205:$BZ$217,78,FALSE)</f>
        <v>0</v>
      </c>
      <c r="I293" s="111">
        <f>VLOOKUP(A293,[26]Масличные!$A$205:$L$217,12,)</f>
        <v>4.6265599999999996</v>
      </c>
      <c r="J293" s="105">
        <f>VLOOKUP(A293,[26]Масличные!$A$205:$W$217,23,)</f>
        <v>1.6708700000000001</v>
      </c>
      <c r="K293" s="105">
        <f>VLOOKUP(A293,[26]Масличные!$A$205:$AH$217,34,)</f>
        <v>1.90703</v>
      </c>
      <c r="L293" s="105">
        <f>VLOOKUP(A293,[26]Масличные!$A$205:$AS$217,45,)</f>
        <v>1.1099999999999999</v>
      </c>
      <c r="M293" s="165">
        <f>VLOOKUP(A293,[26]Масличные!$A$205:$BD$217,56,)</f>
        <v>0.36</v>
      </c>
      <c r="N293" s="111">
        <f>VLOOKUP(A293,[26]Бобовые!$A$205:$L$217,12,)</f>
        <v>1.5348599999999999</v>
      </c>
      <c r="O293" s="105">
        <f>VLOOKUP(A293,[26]Бобовые!$A$205:$W$217,23,)</f>
        <v>4.1088199999999997</v>
      </c>
      <c r="P293" s="163">
        <f>VLOOKUP(A293,[26]Бобовые!$A$205:$AH$217,34,)</f>
        <v>0</v>
      </c>
      <c r="Q293" s="111">
        <f>VLOOKUP(A293,[26]Овощи!$A$205:$L$217,12,)</f>
        <v>166.61425000000003</v>
      </c>
      <c r="R293" s="105">
        <f>VLOOKUP(A293,[26]Овощи!$A$205:$W$217,23,)</f>
        <v>133.3766</v>
      </c>
      <c r="S293" s="105">
        <f>VLOOKUP(A293,[26]Овощи!$A$205:$AH$217,34,)</f>
        <v>260.94813999999997</v>
      </c>
      <c r="T293" s="105">
        <f>VLOOKUP(A293,[26]Овощи!$A$205:$AS$217,45,)</f>
        <v>326.82682000000005</v>
      </c>
      <c r="U293" s="105">
        <f>VLOOKUP(A293,[26]Овощи!$A$205:$BD$217,56,)</f>
        <v>169.24426</v>
      </c>
      <c r="V293" s="105">
        <f>VLOOKUP(A293,[26]Овощи!$A$205:$BO$217,67,)</f>
        <v>153.27708999999999</v>
      </c>
      <c r="W293" s="127">
        <f>VLOOKUP(A293,[26]Овощи!$A$205:$BZ$217,78,)</f>
        <v>259.26391000000001</v>
      </c>
      <c r="X293" s="111">
        <f>VLOOKUP(A293,[26]Бахчевые!$A$205:$L$217,12,)</f>
        <v>20</v>
      </c>
      <c r="Y293" s="127">
        <f>VLOOKUP(A293,[26]Бахчевые!$A$205:$W$217,23,)</f>
        <v>30.45</v>
      </c>
    </row>
    <row r="294" spans="1:25" ht="13.8" thickBot="1">
      <c r="A294" s="107" t="s">
        <v>209</v>
      </c>
      <c r="B294" s="112">
        <f>VLOOKUP(A294,[26]Зерновые!$A$205:$L$217,12,)</f>
        <v>8.1561100000000017</v>
      </c>
      <c r="C294" s="108">
        <f>VLOOKUP(A294,[26]Зерновые!$A$205:$W$217,23,)</f>
        <v>8.1609199999999991</v>
      </c>
      <c r="D294" s="108">
        <f>VLOOKUP(A294,[26]Зерновые!$A$205:$AH$217,34,)</f>
        <v>10.197699999999999</v>
      </c>
      <c r="E294" s="108">
        <f>VLOOKUP(A294,[26]Зерновые!$A$205:$AS$217,45,)</f>
        <v>6.92415</v>
      </c>
      <c r="F294" s="108">
        <f>VLOOKUP(A294,[26]Зерновые!$A$205:$BD$217,56,)</f>
        <v>5.4429999999999996</v>
      </c>
      <c r="G294" s="164">
        <f>VLOOKUP(A294,[26]Зерновые!$A$205:$BO$217,67,)</f>
        <v>0</v>
      </c>
      <c r="H294" s="162">
        <f>VLOOKUP(A294,[26]Зерновые!$A$205:$BZ$217,78,FALSE)</f>
        <v>0</v>
      </c>
      <c r="I294" s="112">
        <f>VLOOKUP(A294,[26]Масличные!$A$205:$L$217,12,)</f>
        <v>3.4198100000000005</v>
      </c>
      <c r="J294" s="108">
        <f>VLOOKUP(A294,[26]Масличные!$A$205:$W$217,23,)</f>
        <v>0</v>
      </c>
      <c r="K294" s="108">
        <f>VLOOKUP(A294,[26]Масличные!$A$205:$AH$217,34,)</f>
        <v>1.03369</v>
      </c>
      <c r="L294" s="108">
        <f>VLOOKUP(A294,[26]Масличные!$A$205:$AS$217,45,)</f>
        <v>0.42499999999999999</v>
      </c>
      <c r="M294" s="166">
        <f>VLOOKUP(A294,[26]Масличные!$A$205:$BD$217,56,)</f>
        <v>0</v>
      </c>
      <c r="N294" s="112">
        <f>VLOOKUP(A294,[26]Бобовые!$A$205:$L$217,12,)</f>
        <v>0.89</v>
      </c>
      <c r="O294" s="108">
        <f>VLOOKUP(A294,[26]Бобовые!$A$205:$W$217,23,)</f>
        <v>4.8145299999999995</v>
      </c>
      <c r="P294" s="164">
        <f>VLOOKUP(A294,[26]Бобовые!$A$205:$AH$217,34,)</f>
        <v>0</v>
      </c>
      <c r="Q294" s="112">
        <f>VLOOKUP(A294,[26]Овощи!$A$205:$L$217,12,)</f>
        <v>149.87088999999997</v>
      </c>
      <c r="R294" s="108">
        <f>VLOOKUP(A294,[26]Овощи!$A$205:$W$217,23,)</f>
        <v>261.46213999999998</v>
      </c>
      <c r="S294" s="108">
        <f>VLOOKUP(A294,[26]Овощи!$A$205:$AH$217,34,)</f>
        <v>484.24286000000001</v>
      </c>
      <c r="T294" s="108">
        <f>VLOOKUP(A294,[26]Овощи!$A$205:$AS$217,45,)</f>
        <v>528.20405000000005</v>
      </c>
      <c r="U294" s="108">
        <f>VLOOKUP(A294,[26]Овощи!$A$205:$BD$217,56,)</f>
        <v>339.37509</v>
      </c>
      <c r="V294" s="108">
        <f>VLOOKUP(A294,[26]Овощи!$A$205:$BO$217,67,)</f>
        <v>354.21485000000007</v>
      </c>
      <c r="W294" s="128">
        <f>VLOOKUP(A294,[26]Овощи!$A$205:$BZ$217,78,)</f>
        <v>468.03301999999996</v>
      </c>
      <c r="X294" s="112">
        <f>VLOOKUP(A294,[26]Бахчевые!$A$205:$L$217,12,)</f>
        <v>64.179999999999993</v>
      </c>
      <c r="Y294" s="128">
        <f>VLOOKUP(A294,[26]Бахчевые!$A$205:$W$217,23,)</f>
        <v>117.58222000000001</v>
      </c>
    </row>
    <row r="295" spans="1:25">
      <c r="A295" s="172"/>
      <c r="B295" s="113"/>
      <c r="C295" s="113"/>
      <c r="D295" s="113"/>
      <c r="E295" s="113"/>
      <c r="F295" s="113"/>
      <c r="G295" s="175"/>
      <c r="H295" s="180"/>
      <c r="I295" s="113"/>
      <c r="J295" s="113"/>
      <c r="K295" s="113"/>
      <c r="L295" s="113"/>
      <c r="M295" s="175"/>
      <c r="N295" s="113"/>
      <c r="O295" s="113"/>
      <c r="P295" s="175"/>
      <c r="Q295" s="113"/>
      <c r="R295" s="113"/>
      <c r="S295" s="113"/>
      <c r="T295" s="113"/>
      <c r="U295" s="113"/>
      <c r="V295" s="113"/>
      <c r="W295" s="113"/>
      <c r="X295" s="113"/>
      <c r="Y295" s="113"/>
    </row>
    <row r="296" spans="1:25">
      <c r="A296" s="172"/>
      <c r="B296" s="113"/>
      <c r="C296" s="113"/>
      <c r="D296" s="113"/>
      <c r="E296" s="113"/>
      <c r="F296" s="113"/>
      <c r="G296" s="175"/>
      <c r="H296" s="180"/>
      <c r="I296" s="113"/>
      <c r="J296" s="113"/>
      <c r="K296" s="113"/>
      <c r="L296" s="113"/>
      <c r="M296" s="175"/>
      <c r="N296" s="113"/>
      <c r="O296" s="113"/>
      <c r="P296" s="175"/>
      <c r="Q296" s="113"/>
      <c r="R296" s="113"/>
      <c r="S296" s="113"/>
      <c r="T296" s="113"/>
      <c r="U296" s="113"/>
      <c r="V296" s="113"/>
      <c r="W296" s="113"/>
      <c r="X296" s="113"/>
      <c r="Y296" s="113"/>
    </row>
    <row r="297" spans="1:25">
      <c r="A297" s="172"/>
      <c r="B297" s="113"/>
      <c r="C297" s="113"/>
      <c r="D297" s="113"/>
      <c r="E297" s="113"/>
      <c r="F297" s="113"/>
      <c r="G297" s="175"/>
      <c r="H297" s="180"/>
      <c r="I297" s="113"/>
      <c r="J297" s="113"/>
      <c r="K297" s="113"/>
      <c r="L297" s="113"/>
      <c r="M297" s="175"/>
      <c r="N297" s="113"/>
      <c r="O297" s="113"/>
      <c r="P297" s="175"/>
      <c r="Q297" s="113"/>
      <c r="R297" s="113"/>
      <c r="S297" s="113"/>
      <c r="T297" s="113"/>
      <c r="U297" s="113"/>
      <c r="V297" s="113"/>
      <c r="W297" s="113"/>
      <c r="X297" s="113"/>
      <c r="Y297" s="113"/>
    </row>
    <row r="298" spans="1:25">
      <c r="A298" s="172"/>
      <c r="B298" s="113"/>
      <c r="C298" s="113"/>
      <c r="D298" s="113"/>
      <c r="E298" s="113"/>
      <c r="F298" s="113"/>
      <c r="G298" s="175"/>
      <c r="H298" s="180"/>
      <c r="I298" s="113"/>
      <c r="J298" s="113"/>
      <c r="K298" s="113"/>
      <c r="L298" s="113"/>
      <c r="M298" s="175"/>
      <c r="N298" s="113"/>
      <c r="O298" s="113"/>
      <c r="P298" s="175"/>
      <c r="Q298" s="113"/>
      <c r="R298" s="113"/>
      <c r="S298" s="113"/>
      <c r="T298" s="113"/>
      <c r="U298" s="113"/>
      <c r="V298" s="113"/>
      <c r="W298" s="113"/>
      <c r="X298" s="113"/>
      <c r="Y298" s="113"/>
    </row>
    <row r="299" spans="1:25">
      <c r="A299" s="172"/>
      <c r="B299" s="113"/>
      <c r="C299" s="113"/>
      <c r="D299" s="113"/>
      <c r="E299" s="113"/>
      <c r="F299" s="113"/>
      <c r="G299" s="175"/>
      <c r="H299" s="180"/>
      <c r="I299" s="113"/>
      <c r="J299" s="113"/>
      <c r="K299" s="113"/>
      <c r="L299" s="113"/>
      <c r="M299" s="175"/>
      <c r="N299" s="113"/>
      <c r="O299" s="113"/>
      <c r="P299" s="175"/>
      <c r="Q299" s="113"/>
      <c r="R299" s="113"/>
      <c r="S299" s="113"/>
      <c r="T299" s="113"/>
      <c r="U299" s="113"/>
      <c r="V299" s="113"/>
      <c r="W299" s="113"/>
      <c r="X299" s="113"/>
      <c r="Y299" s="113"/>
    </row>
    <row r="300" spans="1:25">
      <c r="A300" s="172"/>
      <c r="B300" s="113"/>
      <c r="C300" s="113"/>
      <c r="D300" s="113"/>
      <c r="E300" s="113"/>
      <c r="F300" s="113"/>
      <c r="G300" s="175"/>
      <c r="H300" s="180"/>
      <c r="I300" s="113"/>
      <c r="J300" s="113"/>
      <c r="K300" s="113"/>
      <c r="L300" s="113"/>
      <c r="M300" s="175"/>
      <c r="N300" s="113"/>
      <c r="O300" s="113"/>
      <c r="P300" s="175"/>
      <c r="Q300" s="113"/>
      <c r="R300" s="113"/>
      <c r="S300" s="113"/>
      <c r="T300" s="113"/>
      <c r="U300" s="113"/>
      <c r="V300" s="113"/>
      <c r="W300" s="113"/>
      <c r="X300" s="113"/>
      <c r="Y300" s="113"/>
    </row>
    <row r="301" spans="1:25">
      <c r="A301" s="172"/>
      <c r="B301" s="113"/>
      <c r="C301" s="113"/>
      <c r="D301" s="113"/>
      <c r="E301" s="113"/>
      <c r="F301" s="113"/>
      <c r="G301" s="175"/>
      <c r="H301" s="180"/>
      <c r="I301" s="113"/>
      <c r="J301" s="113"/>
      <c r="K301" s="113"/>
      <c r="L301" s="113"/>
      <c r="M301" s="175"/>
      <c r="N301" s="113"/>
      <c r="O301" s="113"/>
      <c r="P301" s="175"/>
      <c r="Q301" s="113"/>
      <c r="R301" s="113"/>
      <c r="S301" s="113"/>
      <c r="T301" s="113"/>
      <c r="U301" s="113"/>
      <c r="V301" s="113"/>
      <c r="W301" s="113"/>
      <c r="X301" s="113"/>
      <c r="Y301" s="113"/>
    </row>
    <row r="302" spans="1:25" ht="13.8" thickBot="1">
      <c r="A302" s="91"/>
      <c r="B302" s="113"/>
      <c r="C302" s="113"/>
      <c r="D302" s="113"/>
      <c r="E302" s="113"/>
      <c r="F302" s="113"/>
      <c r="G302" s="113"/>
      <c r="H302" s="114"/>
    </row>
    <row r="303" spans="1:25" ht="13.5" customHeight="1">
      <c r="A303" s="808" t="s">
        <v>300</v>
      </c>
      <c r="B303" s="805" t="s">
        <v>269</v>
      </c>
      <c r="C303" s="806"/>
      <c r="D303" s="806"/>
      <c r="E303" s="806"/>
      <c r="F303" s="806"/>
      <c r="G303" s="806"/>
      <c r="H303" s="807"/>
      <c r="I303" s="799" t="s">
        <v>316</v>
      </c>
      <c r="J303" s="800"/>
      <c r="K303" s="800"/>
      <c r="L303" s="800"/>
      <c r="M303" s="801"/>
      <c r="N303" s="799" t="s">
        <v>317</v>
      </c>
      <c r="O303" s="800"/>
      <c r="P303" s="800"/>
      <c r="Q303" s="799" t="s">
        <v>322</v>
      </c>
      <c r="R303" s="800"/>
      <c r="S303" s="800"/>
      <c r="T303" s="800"/>
      <c r="U303" s="800"/>
      <c r="V303" s="800"/>
      <c r="W303" s="801"/>
      <c r="X303" s="799" t="s">
        <v>330</v>
      </c>
      <c r="Y303" s="801"/>
    </row>
    <row r="304" spans="1:25" ht="20.399999999999999">
      <c r="A304" s="809"/>
      <c r="B304" s="119" t="s">
        <v>270</v>
      </c>
      <c r="C304" s="116" t="s">
        <v>83</v>
      </c>
      <c r="D304" s="116" t="s">
        <v>84</v>
      </c>
      <c r="E304" s="116" t="s">
        <v>271</v>
      </c>
      <c r="F304" s="116" t="s">
        <v>272</v>
      </c>
      <c r="G304" s="116" t="s">
        <v>314</v>
      </c>
      <c r="H304" s="120" t="s">
        <v>273</v>
      </c>
      <c r="I304" s="119" t="s">
        <v>243</v>
      </c>
      <c r="J304" s="116" t="s">
        <v>244</v>
      </c>
      <c r="K304" s="116" t="s">
        <v>258</v>
      </c>
      <c r="L304" s="116" t="s">
        <v>315</v>
      </c>
      <c r="M304" s="120" t="s">
        <v>245</v>
      </c>
      <c r="N304" s="119" t="s">
        <v>318</v>
      </c>
      <c r="O304" s="116" t="s">
        <v>319</v>
      </c>
      <c r="P304" s="116" t="s">
        <v>320</v>
      </c>
      <c r="Q304" s="119" t="s">
        <v>323</v>
      </c>
      <c r="R304" s="116" t="s">
        <v>324</v>
      </c>
      <c r="S304" s="116" t="s">
        <v>325</v>
      </c>
      <c r="T304" s="116" t="s">
        <v>326</v>
      </c>
      <c r="U304" s="116" t="s">
        <v>327</v>
      </c>
      <c r="V304" s="116" t="s">
        <v>328</v>
      </c>
      <c r="W304" s="120" t="s">
        <v>329</v>
      </c>
      <c r="X304" s="119" t="s">
        <v>331</v>
      </c>
      <c r="Y304" s="120" t="s">
        <v>332</v>
      </c>
    </row>
    <row r="305" spans="1:25">
      <c r="A305" s="144" t="s">
        <v>301</v>
      </c>
      <c r="B305" s="111">
        <f>VLOOKUP(A305,[26]Зерновые!$A$222:$L$235,12,)</f>
        <v>14.47035</v>
      </c>
      <c r="C305" s="105">
        <f>VLOOKUP(A305,[26]Зерновые!$A$222:$W$235,23,)</f>
        <v>17.021369999999997</v>
      </c>
      <c r="D305" s="105">
        <f>VLOOKUP(A305,[26]Зерновые!$A$222:$AH$235,34,)</f>
        <v>18.04532</v>
      </c>
      <c r="E305" s="105">
        <f>VLOOKUP(A305,[26]Зерновые!$A$222:$AS$235,45,)</f>
        <v>0.5</v>
      </c>
      <c r="F305" s="105">
        <f>VLOOKUP(A305,[26]Зерновые!$A$222:$BD$235,56,)</f>
        <v>3.7055899999999995</v>
      </c>
      <c r="G305" s="105">
        <f>VLOOKUP(A305,[26]Зерновые!$A$222:$BO$235,67,)</f>
        <v>0</v>
      </c>
      <c r="H305" s="165">
        <f>VLOOKUP(A305,[26]Зерновые!$A$222:$BZ$235,78,)</f>
        <v>0</v>
      </c>
      <c r="I305" s="111">
        <f>VLOOKUP(A305,[26]Масличные!$A$222:$L$235,12,)</f>
        <v>7.1365500000000015</v>
      </c>
      <c r="J305" s="105">
        <f>VLOOKUP(A305,[26]Масличные!$A$222:$W$235,23,)</f>
        <v>7.7834400000000006</v>
      </c>
      <c r="K305" s="105">
        <f>VLOOKUP(A305,[26]Масличные!$A$222:$AH$235,34,)</f>
        <v>7.0398100000000001</v>
      </c>
      <c r="L305" s="105">
        <f>VLOOKUP(A305,[26]Масличные!$A$222:$AS$235,45,)</f>
        <v>0</v>
      </c>
      <c r="M305" s="165">
        <f>VLOOKUP(A305,[26]Масличные!$A$222:$BD$235,56,)</f>
        <v>0</v>
      </c>
      <c r="N305" s="111">
        <f>VLOOKUP(A305,[26]Бобовые!$A$222:$L$235,12,)</f>
        <v>0</v>
      </c>
      <c r="O305" s="105">
        <f>VLOOKUP(A305,[26]Бобовые!$A$222:$W$235,23,)</f>
        <v>10.046469999999999</v>
      </c>
      <c r="P305" s="163">
        <f>VLOOKUP(A305,[26]Бобовые!$A$222:$AH$235,34,)</f>
        <v>0</v>
      </c>
      <c r="Q305" s="111">
        <f>VLOOKUP(A305,[26]Овощи!$A$222:$L$235,12,)</f>
        <v>170.99616</v>
      </c>
      <c r="R305" s="105">
        <f>VLOOKUP(A305,[26]Овощи!$A$222:$W$235,23,)</f>
        <v>251.38877000000002</v>
      </c>
      <c r="S305" s="105">
        <f>VLOOKUP(A305,[26]Овощи!$A$222:$AH$235,34,)</f>
        <v>373.22791000000001</v>
      </c>
      <c r="T305" s="105">
        <f>VLOOKUP(A305,[26]Овощи!$A$222:$AS$235,45,)</f>
        <v>382.94202999999999</v>
      </c>
      <c r="U305" s="105">
        <f>VLOOKUP(A305,[26]Овощи!$A$222:$BD$235,56,)</f>
        <v>345.11529999999999</v>
      </c>
      <c r="V305" s="105">
        <f>VLOOKUP(A305,[26]Овощи!$A$222:$BO$235,67,)</f>
        <v>347.52223000000004</v>
      </c>
      <c r="W305" s="127">
        <f>VLOOKUP(A305,[26]Овощи!$A$222:$BZ$235,78,)</f>
        <v>405.12932000000001</v>
      </c>
      <c r="X305" s="111">
        <f>VLOOKUP(A305,[26]Бахчевые!$A$222:$L$235,12,)</f>
        <v>0</v>
      </c>
      <c r="Y305" s="127">
        <f>VLOOKUP(A305,[26]Бахчевые!$A$222:$W$235,23,)</f>
        <v>0</v>
      </c>
    </row>
    <row r="306" spans="1:25">
      <c r="A306" s="104" t="s">
        <v>302</v>
      </c>
      <c r="B306" s="111">
        <f>VLOOKUP(A306,[26]Зерновые!$A$222:$L$235,12,)</f>
        <v>11.883290000000001</v>
      </c>
      <c r="C306" s="105">
        <f>VLOOKUP(A306,[26]Зерновые!$A$222:$W$235,23,)</f>
        <v>12.556319999999999</v>
      </c>
      <c r="D306" s="105">
        <f>VLOOKUP(A306,[26]Зерновые!$A$222:$AH$235,34,)</f>
        <v>12.911770000000001</v>
      </c>
      <c r="E306" s="105">
        <f>VLOOKUP(A306,[26]Зерновые!$A$222:$AS$235,45,)</f>
        <v>0</v>
      </c>
      <c r="F306" s="105">
        <f>VLOOKUP(A306,[26]Зерновые!$A$222:$BD$235,56,)</f>
        <v>1.98</v>
      </c>
      <c r="G306" s="105">
        <f>VLOOKUP(A306,[26]Зерновые!$A$222:$BO$235,67,)</f>
        <v>0</v>
      </c>
      <c r="H306" s="165">
        <f>VLOOKUP(A306,[26]Зерновые!$A$222:$BZ$235,78,)</f>
        <v>0</v>
      </c>
      <c r="I306" s="111">
        <f>VLOOKUP(A306,[26]Масличные!$A$222:$L$235,12,)</f>
        <v>1.2279599999999999</v>
      </c>
      <c r="J306" s="105">
        <f>VLOOKUP(A306,[26]Масличные!$A$222:$W$235,23,)</f>
        <v>4.5444700000000005</v>
      </c>
      <c r="K306" s="105">
        <f>VLOOKUP(A306,[26]Масличные!$A$222:$AH$235,34,)</f>
        <v>5.3665199999999995</v>
      </c>
      <c r="L306" s="105">
        <f>VLOOKUP(A306,[26]Масличные!$A$222:$AS$235,45,)</f>
        <v>2.99708</v>
      </c>
      <c r="M306" s="165">
        <f>VLOOKUP(A306,[26]Масличные!$A$222:$BD$235,56,)</f>
        <v>0</v>
      </c>
      <c r="N306" s="111">
        <f>VLOOKUP(A306,[26]Бобовые!$A$222:$L$235,12,)</f>
        <v>0</v>
      </c>
      <c r="O306" s="105">
        <f>VLOOKUP(A306,[26]Бобовые!$A$222:$W$235,23,)</f>
        <v>0</v>
      </c>
      <c r="P306" s="163">
        <f>VLOOKUP(A306,[26]Бобовые!$A$222:$AH$235,34,)</f>
        <v>0</v>
      </c>
      <c r="Q306" s="111">
        <f>VLOOKUP(A306,[26]Овощи!$A$222:$L$235,12,)</f>
        <v>138.98615000000001</v>
      </c>
      <c r="R306" s="105">
        <f>VLOOKUP(A306,[26]Овощи!$A$222:$W$235,23,)</f>
        <v>179.81379999999999</v>
      </c>
      <c r="S306" s="105">
        <f>VLOOKUP(A306,[26]Овощи!$A$222:$AH$235,34,)</f>
        <v>273.08812</v>
      </c>
      <c r="T306" s="105">
        <f>VLOOKUP(A306,[26]Овощи!$A$222:$AS$235,45,)</f>
        <v>247.45886999999999</v>
      </c>
      <c r="U306" s="105">
        <f>VLOOKUP(A306,[26]Овощи!$A$222:$BD$235,56,)</f>
        <v>187.64019999999999</v>
      </c>
      <c r="V306" s="105">
        <f>VLOOKUP(A306,[26]Овощи!$A$222:$BO$235,67,)</f>
        <v>247.83991999999998</v>
      </c>
      <c r="W306" s="127">
        <f>VLOOKUP(A306,[26]Овощи!$A$222:$BZ$235,78,)</f>
        <v>259.04891000000003</v>
      </c>
      <c r="X306" s="111">
        <f>VLOOKUP(A306,[26]Бахчевые!$A$222:$L$235,12,)</f>
        <v>0</v>
      </c>
      <c r="Y306" s="127">
        <f>VLOOKUP(A306,[26]Бахчевые!$A$222:$W$235,23,)</f>
        <v>0</v>
      </c>
    </row>
    <row r="307" spans="1:25">
      <c r="A307" s="104" t="s">
        <v>303</v>
      </c>
      <c r="B307" s="111">
        <f>VLOOKUP(A307,[26]Зерновые!$A$222:$L$235,12,)</f>
        <v>15.677670000000001</v>
      </c>
      <c r="C307" s="105">
        <f>VLOOKUP(A307,[26]Зерновые!$A$222:$W$235,23,)</f>
        <v>17.639109999999999</v>
      </c>
      <c r="D307" s="105">
        <f>VLOOKUP(A307,[26]Зерновые!$A$222:$AH$235,34,)</f>
        <v>15.429819999999998</v>
      </c>
      <c r="E307" s="105">
        <f>VLOOKUP(A307,[26]Зерновые!$A$222:$AS$235,45,)</f>
        <v>2.82</v>
      </c>
      <c r="F307" s="105">
        <f>VLOOKUP(A307,[26]Зерновые!$A$222:$BD$235,56,)</f>
        <v>10.217449999999998</v>
      </c>
      <c r="G307" s="105">
        <f>VLOOKUP(A307,[26]Зерновые!$A$222:$BO$235,67,)</f>
        <v>0</v>
      </c>
      <c r="H307" s="165">
        <f>VLOOKUP(A307,[26]Зерновые!$A$222:$BZ$235,78,)</f>
        <v>0</v>
      </c>
      <c r="I307" s="111">
        <f>VLOOKUP(A307,[26]Масличные!$A$222:$L$235,12,)</f>
        <v>4.6982400000000002</v>
      </c>
      <c r="J307" s="105">
        <f>VLOOKUP(A307,[26]Масличные!$A$222:$W$235,23,)</f>
        <v>11.08118</v>
      </c>
      <c r="K307" s="105">
        <f>VLOOKUP(A307,[26]Масличные!$A$222:$AH$235,34,)</f>
        <v>6.9174699999999998</v>
      </c>
      <c r="L307" s="105">
        <f>VLOOKUP(A307,[26]Масличные!$A$222:$AS$235,45,)</f>
        <v>2.4231000000000003</v>
      </c>
      <c r="M307" s="165">
        <f>VLOOKUP(A307,[26]Масличные!$A$222:$BD$235,56,)</f>
        <v>0</v>
      </c>
      <c r="N307" s="111">
        <f>VLOOKUP(A307,[26]Бобовые!$A$222:$L$235,12,)</f>
        <v>2.0768599999999999</v>
      </c>
      <c r="O307" s="105">
        <f>VLOOKUP(A307,[26]Бобовые!$A$222:$W$235,23,)</f>
        <v>10.308296106194691</v>
      </c>
      <c r="P307" s="163">
        <f>VLOOKUP(A307,[26]Бобовые!$A$222:$AH$235,34,)</f>
        <v>0</v>
      </c>
      <c r="Q307" s="111">
        <f>VLOOKUP(A307,[26]Овощи!$A$222:$L$235,12,)</f>
        <v>146.47502</v>
      </c>
      <c r="R307" s="105">
        <f>VLOOKUP(A307,[26]Овощи!$A$222:$W$235,23,)</f>
        <v>148.41162</v>
      </c>
      <c r="S307" s="105">
        <f>VLOOKUP(A307,[26]Овощи!$A$222:$AH$235,34,)</f>
        <v>413.94886000000008</v>
      </c>
      <c r="T307" s="105">
        <f>VLOOKUP(A307,[26]Овощи!$A$222:$AS$235,45,)</f>
        <v>434.16575</v>
      </c>
      <c r="U307" s="105">
        <f>VLOOKUP(A307,[26]Овощи!$A$222:$BD$235,56,)</f>
        <v>352.64346</v>
      </c>
      <c r="V307" s="105">
        <f>VLOOKUP(A307,[26]Овощи!$A$222:$BO$235,67,)</f>
        <v>383.40228000000002</v>
      </c>
      <c r="W307" s="127">
        <f>VLOOKUP(A307,[26]Овощи!$A$222:$BZ$235,78,)</f>
        <v>468.28873999999996</v>
      </c>
      <c r="X307" s="111">
        <f>VLOOKUP(A307,[26]Бахчевые!$A$222:$L$235,12,)</f>
        <v>0</v>
      </c>
      <c r="Y307" s="127">
        <f>VLOOKUP(A307,[26]Бахчевые!$A$222:$W$235,23,)</f>
        <v>0</v>
      </c>
    </row>
    <row r="308" spans="1:25">
      <c r="A308" s="104" t="s">
        <v>11</v>
      </c>
      <c r="B308" s="111">
        <f>VLOOKUP(A308,[26]Зерновые!$A$222:$L$235,12,)</f>
        <v>15.163320000000002</v>
      </c>
      <c r="C308" s="105">
        <f>VLOOKUP(A308,[26]Зерновые!$A$222:$W$235,23,)</f>
        <v>17.428270000000001</v>
      </c>
      <c r="D308" s="105">
        <f>VLOOKUP(A308,[26]Зерновые!$A$222:$AH$235,34,)</f>
        <v>16.795589999999997</v>
      </c>
      <c r="E308" s="105">
        <f>VLOOKUP(A308,[26]Зерновые!$A$222:$AS$235,45,)</f>
        <v>2.3199999999999998</v>
      </c>
      <c r="F308" s="105">
        <f>VLOOKUP(A308,[26]Зерновые!$A$222:$BD$235,56,)</f>
        <v>9.0396199999999993</v>
      </c>
      <c r="G308" s="105">
        <f>VLOOKUP(A308,[26]Зерновые!$A$222:$BO$235,67,)</f>
        <v>0</v>
      </c>
      <c r="H308" s="165">
        <f>VLOOKUP(A308,[26]Зерновые!$A$222:$BZ$235,78,)</f>
        <v>0</v>
      </c>
      <c r="I308" s="111">
        <f>VLOOKUP(A308,[26]Масличные!$A$222:$L$235,12,)</f>
        <v>2.2367699999999999</v>
      </c>
      <c r="J308" s="105">
        <f>VLOOKUP(A308,[26]Масличные!$A$222:$W$235,23,)</f>
        <v>8.6121399999999984</v>
      </c>
      <c r="K308" s="105">
        <f>VLOOKUP(A308,[26]Масличные!$A$222:$AH$235,34,)</f>
        <v>6.4998099999999992</v>
      </c>
      <c r="L308" s="105">
        <f>VLOOKUP(A308,[26]Масличные!$A$222:$AS$235,45,)</f>
        <v>1.7900000000000003</v>
      </c>
      <c r="M308" s="165">
        <f>VLOOKUP(A308,[26]Масличные!$A$222:$BD$235,56,)</f>
        <v>0</v>
      </c>
      <c r="N308" s="111">
        <f>VLOOKUP(A308,[26]Бобовые!$A$222:$L$235,12,)</f>
        <v>0.18</v>
      </c>
      <c r="O308" s="105">
        <f>VLOOKUP(A308,[26]Бобовые!$A$222:$W$235,23,)</f>
        <v>14.750452897406991</v>
      </c>
      <c r="P308" s="163">
        <f>VLOOKUP(A308,[26]Бобовые!$A$222:$AH$235,34,)</f>
        <v>0</v>
      </c>
      <c r="Q308" s="111">
        <f>VLOOKUP(A308,[26]Овощи!$A$222:$L$235,12,)</f>
        <v>175.02222999999998</v>
      </c>
      <c r="R308" s="105">
        <f>VLOOKUP(A308,[26]Овощи!$A$222:$W$235,23,)</f>
        <v>80.067589999999996</v>
      </c>
      <c r="S308" s="105">
        <f>VLOOKUP(A308,[26]Овощи!$A$222:$AH$235,34,)</f>
        <v>294.51322999999996</v>
      </c>
      <c r="T308" s="105">
        <f>VLOOKUP(A308,[26]Овощи!$A$222:$AS$235,45,)</f>
        <v>309.56388000000004</v>
      </c>
      <c r="U308" s="105">
        <f>VLOOKUP(A308,[26]Овощи!$A$222:$BD$235,56,)</f>
        <v>354.05696999999998</v>
      </c>
      <c r="V308" s="105">
        <f>VLOOKUP(A308,[26]Овощи!$A$222:$BO$235,67,)</f>
        <v>338.85167000000001</v>
      </c>
      <c r="W308" s="127">
        <f>VLOOKUP(A308,[26]Овощи!$A$222:$BZ$235,78,)</f>
        <v>331.07576</v>
      </c>
      <c r="X308" s="111">
        <f>VLOOKUP(A308,[26]Бахчевые!$A$222:$L$235,12,)</f>
        <v>0</v>
      </c>
      <c r="Y308" s="127">
        <f>VLOOKUP(A308,[26]Бахчевые!$A$222:$W$235,23,)</f>
        <v>0</v>
      </c>
    </row>
    <row r="309" spans="1:25">
      <c r="A309" s="104" t="s">
        <v>12</v>
      </c>
      <c r="B309" s="111">
        <f>VLOOKUP(A309,[26]Зерновые!$A$222:$L$235,12,)</f>
        <v>14.11251</v>
      </c>
      <c r="C309" s="105">
        <f>VLOOKUP(A309,[26]Зерновые!$A$222:$W$235,23,)</f>
        <v>14.40452</v>
      </c>
      <c r="D309" s="105">
        <f>VLOOKUP(A309,[26]Зерновые!$A$222:$AH$235,34,)</f>
        <v>14.986979999999999</v>
      </c>
      <c r="E309" s="105">
        <f>VLOOKUP(A309,[26]Зерновые!$A$222:$AS$235,45,)</f>
        <v>0</v>
      </c>
      <c r="F309" s="105">
        <f>VLOOKUP(A309,[26]Зерновые!$A$222:$BD$235,56,)</f>
        <v>1.6600000000000001</v>
      </c>
      <c r="G309" s="105">
        <f>VLOOKUP(A309,[26]Зерновые!$A$222:$BO$235,67,)</f>
        <v>0</v>
      </c>
      <c r="H309" s="165">
        <f>VLOOKUP(A309,[26]Зерновые!$A$222:$BZ$235,78,)</f>
        <v>0</v>
      </c>
      <c r="I309" s="111">
        <f>VLOOKUP(A309,[26]Масличные!$A$222:$L$235,12,)</f>
        <v>3.3875900000000003</v>
      </c>
      <c r="J309" s="105">
        <f>VLOOKUP(A309,[26]Масличные!$A$222:$W$235,23,)</f>
        <v>7.0662099999999999</v>
      </c>
      <c r="K309" s="105">
        <f>VLOOKUP(A309,[26]Масличные!$A$222:$AH$235,34,)</f>
        <v>7.1100200000000005</v>
      </c>
      <c r="L309" s="105">
        <f>VLOOKUP(A309,[26]Масличные!$A$222:$AS$235,45,)</f>
        <v>3.5950699999999998</v>
      </c>
      <c r="M309" s="165">
        <f>VLOOKUP(A309,[26]Масличные!$A$222:$BD$235,56,)</f>
        <v>0</v>
      </c>
      <c r="N309" s="111">
        <f>VLOOKUP(A309,[26]Бобовые!$A$222:$L$235,12,)</f>
        <v>4.6872835116164788</v>
      </c>
      <c r="O309" s="105">
        <f>VLOOKUP(A309,[26]Бобовые!$A$222:$W$235,23,)</f>
        <v>13.281344884004884</v>
      </c>
      <c r="P309" s="163">
        <f>VLOOKUP(A309,[26]Бобовые!$A$222:$AH$235,34,)</f>
        <v>1.3900000000000001</v>
      </c>
      <c r="Q309" s="111">
        <f>VLOOKUP(A309,[26]Овощи!$A$222:$L$235,12,)</f>
        <v>175.53946999999999</v>
      </c>
      <c r="R309" s="105">
        <f>VLOOKUP(A309,[26]Овощи!$A$222:$W$235,23,)</f>
        <v>227.36079000000001</v>
      </c>
      <c r="S309" s="105">
        <f>VLOOKUP(A309,[26]Овощи!$A$222:$AH$235,34,)</f>
        <v>403.42415000000005</v>
      </c>
      <c r="T309" s="105">
        <f>VLOOKUP(A309,[26]Овощи!$A$222:$AS$235,45,)</f>
        <v>327.64809000000002</v>
      </c>
      <c r="U309" s="105">
        <f>VLOOKUP(A309,[26]Овощи!$A$222:$BD$235,56,)</f>
        <v>347.15773000000002</v>
      </c>
      <c r="V309" s="105">
        <f>VLOOKUP(A309,[26]Овощи!$A$222:$BO$235,67,)</f>
        <v>351.82715999999999</v>
      </c>
      <c r="W309" s="127">
        <f>VLOOKUP(A309,[26]Овощи!$A$222:$BZ$235,78,)</f>
        <v>414.85183999999992</v>
      </c>
      <c r="X309" s="111">
        <f>VLOOKUP(A309,[26]Бахчевые!$A$222:$L$235,12,)</f>
        <v>0</v>
      </c>
      <c r="Y309" s="127">
        <f>VLOOKUP(A309,[26]Бахчевые!$A$222:$W$235,23,)</f>
        <v>0</v>
      </c>
    </row>
    <row r="310" spans="1:25">
      <c r="A310" s="104" t="s">
        <v>304</v>
      </c>
      <c r="B310" s="111">
        <f>VLOOKUP(A310,[26]Зерновые!$A$222:$L$235,12,)</f>
        <v>15.977830000000003</v>
      </c>
      <c r="C310" s="105">
        <f>VLOOKUP(A310,[26]Зерновые!$A$222:$W$235,23,)</f>
        <v>16.91534</v>
      </c>
      <c r="D310" s="105">
        <f>VLOOKUP(A310,[26]Зерновые!$A$222:$AH$235,34,)</f>
        <v>16.771799999999999</v>
      </c>
      <c r="E310" s="105">
        <f>VLOOKUP(A310,[26]Зерновые!$A$222:$AS$235,45,)</f>
        <v>2.6399999999999997</v>
      </c>
      <c r="F310" s="105">
        <f>VLOOKUP(A310,[26]Зерновые!$A$222:$BD$235,56,)</f>
        <v>9.3657799999999991</v>
      </c>
      <c r="G310" s="105">
        <f>VLOOKUP(A310,[26]Зерновые!$A$222:$BO$235,67,)</f>
        <v>0</v>
      </c>
      <c r="H310" s="165">
        <f>VLOOKUP(A310,[26]Зерновые!$A$222:$BZ$235,78,)</f>
        <v>0</v>
      </c>
      <c r="I310" s="111">
        <f>VLOOKUP(A310,[26]Масличные!$A$222:$L$235,12,)</f>
        <v>4.5860000000000003</v>
      </c>
      <c r="J310" s="105">
        <f>VLOOKUP(A310,[26]Масличные!$A$222:$W$235,23,)</f>
        <v>4.3114099999999995</v>
      </c>
      <c r="K310" s="105">
        <f>VLOOKUP(A310,[26]Масличные!$A$222:$AH$235,34,)</f>
        <v>5.5777000000000001</v>
      </c>
      <c r="L310" s="105">
        <f>VLOOKUP(A310,[26]Масличные!$A$222:$AS$235,45,)</f>
        <v>6.809540000000001</v>
      </c>
      <c r="M310" s="165">
        <f>VLOOKUP(A310,[26]Масличные!$A$222:$BD$235,56,)</f>
        <v>0</v>
      </c>
      <c r="N310" s="111">
        <f>VLOOKUP(A310,[26]Бобовые!$A$222:$L$235,12,)</f>
        <v>0</v>
      </c>
      <c r="O310" s="105">
        <f>VLOOKUP(A310,[26]Бобовые!$A$222:$W$235,23,)</f>
        <v>12.113919999999998</v>
      </c>
      <c r="P310" s="163">
        <f>VLOOKUP(A310,[26]Бобовые!$A$222:$AH$235,34,)</f>
        <v>0</v>
      </c>
      <c r="Q310" s="111">
        <f>VLOOKUP(A310,[26]Овощи!$A$222:$L$235,12,)</f>
        <v>186.18217999999999</v>
      </c>
      <c r="R310" s="105">
        <f>VLOOKUP(A310,[26]Овощи!$A$222:$W$235,23,)</f>
        <v>153.07056</v>
      </c>
      <c r="S310" s="105">
        <f>VLOOKUP(A310,[26]Овощи!$A$222:$AH$235,34,)</f>
        <v>383.66052000000002</v>
      </c>
      <c r="T310" s="105">
        <f>VLOOKUP(A310,[26]Овощи!$A$222:$AS$235,45,)</f>
        <v>439.09828999999991</v>
      </c>
      <c r="U310" s="105">
        <f>VLOOKUP(A310,[26]Овощи!$A$222:$BD$235,56,)</f>
        <v>379.58792000000005</v>
      </c>
      <c r="V310" s="105">
        <f>VLOOKUP(A310,[26]Овощи!$A$222:$BO$235,67,)</f>
        <v>399.23689000000002</v>
      </c>
      <c r="W310" s="127">
        <f>VLOOKUP(A310,[26]Овощи!$A$222:$BZ$235,78,)</f>
        <v>366.92227999999994</v>
      </c>
      <c r="X310" s="111">
        <f>VLOOKUP(A310,[26]Бахчевые!$A$222:$L$235,12,)</f>
        <v>0</v>
      </c>
      <c r="Y310" s="127">
        <f>VLOOKUP(A310,[26]Бахчевые!$A$222:$W$235,23,)</f>
        <v>0</v>
      </c>
    </row>
    <row r="311" spans="1:25">
      <c r="A311" s="104" t="s">
        <v>305</v>
      </c>
      <c r="B311" s="111">
        <f>VLOOKUP(A311,[26]Зерновые!$A$222:$L$235,12,)</f>
        <v>16.364250000000002</v>
      </c>
      <c r="C311" s="105">
        <f>VLOOKUP(A311,[26]Зерновые!$A$222:$W$235,23,)</f>
        <v>18.733899999999998</v>
      </c>
      <c r="D311" s="105">
        <f>VLOOKUP(A311,[26]Зерновые!$A$222:$AH$235,34,)</f>
        <v>19.234850000000002</v>
      </c>
      <c r="E311" s="105">
        <f>VLOOKUP(A311,[26]Зерновые!$A$222:$AS$235,45,)</f>
        <v>4.3646199999999995</v>
      </c>
      <c r="F311" s="105">
        <f>VLOOKUP(A311,[26]Зерновые!$A$222:$BD$235,56,)</f>
        <v>8.9524000000000008</v>
      </c>
      <c r="G311" s="105">
        <f>VLOOKUP(A311,[26]Зерновые!$A$222:$BO$235,67,)</f>
        <v>0</v>
      </c>
      <c r="H311" s="165">
        <f>VLOOKUP(A311,[26]Зерновые!$A$222:$BZ$235,78,)</f>
        <v>0</v>
      </c>
      <c r="I311" s="111">
        <f>VLOOKUP(A311,[26]Масличные!$A$222:$L$235,12,)</f>
        <v>5.5460599999999998</v>
      </c>
      <c r="J311" s="105">
        <f>VLOOKUP(A311,[26]Масличные!$A$222:$W$235,23,)</f>
        <v>12.71326</v>
      </c>
      <c r="K311" s="105">
        <f>VLOOKUP(A311,[26]Масличные!$A$222:$AH$235,34,)</f>
        <v>11.849699999999999</v>
      </c>
      <c r="L311" s="105">
        <f>VLOOKUP(A311,[26]Масличные!$A$222:$AS$235,45,)</f>
        <v>0.72348999999999997</v>
      </c>
      <c r="M311" s="165">
        <f>VLOOKUP(A311,[26]Масличные!$A$222:$BD$235,56,)</f>
        <v>0</v>
      </c>
      <c r="N311" s="111">
        <f>VLOOKUP(A311,[26]Бобовые!$A$222:$L$235,12,)</f>
        <v>0.1</v>
      </c>
      <c r="O311" s="105">
        <f>VLOOKUP(A311,[26]Бобовые!$A$222:$W$235,23,)</f>
        <v>16.461993414634144</v>
      </c>
      <c r="P311" s="163">
        <f>VLOOKUP(A311,[26]Бобовые!$A$222:$AH$235,34,)</f>
        <v>0</v>
      </c>
      <c r="Q311" s="111">
        <f>VLOOKUP(A311,[26]Овощи!$A$222:$L$235,12,)</f>
        <v>176.92094</v>
      </c>
      <c r="R311" s="105">
        <f>VLOOKUP(A311,[26]Овощи!$A$222:$W$235,23,)</f>
        <v>176.59427999999997</v>
      </c>
      <c r="S311" s="105">
        <f>VLOOKUP(A311,[26]Овощи!$A$222:$AH$235,34,)</f>
        <v>271.03065000000004</v>
      </c>
      <c r="T311" s="105">
        <f>VLOOKUP(A311,[26]Овощи!$A$222:$AS$235,45,)</f>
        <v>382.15933000000007</v>
      </c>
      <c r="U311" s="105">
        <f>VLOOKUP(A311,[26]Овощи!$A$222:$BD$235,56,)</f>
        <v>329.16325999999998</v>
      </c>
      <c r="V311" s="105">
        <f>VLOOKUP(A311,[26]Овощи!$A$222:$BO$235,67,)</f>
        <v>341.46684000000005</v>
      </c>
      <c r="W311" s="127">
        <f>VLOOKUP(A311,[26]Овощи!$A$222:$BZ$235,78,)</f>
        <v>290.60714999999993</v>
      </c>
      <c r="X311" s="111">
        <f>VLOOKUP(A311,[26]Бахчевые!$A$222:$L$235,12,)</f>
        <v>0</v>
      </c>
      <c r="Y311" s="127">
        <f>VLOOKUP(A311,[26]Бахчевые!$A$222:$W$235,23,)</f>
        <v>0</v>
      </c>
    </row>
    <row r="312" spans="1:25">
      <c r="A312" s="104" t="s">
        <v>306</v>
      </c>
      <c r="B312" s="111">
        <f>VLOOKUP(A312,[26]Зерновые!$A$222:$L$235,12,)</f>
        <v>14.79494</v>
      </c>
      <c r="C312" s="105">
        <f>VLOOKUP(A312,[26]Зерновые!$A$222:$W$235,23,)</f>
        <v>16.240310000000001</v>
      </c>
      <c r="D312" s="105">
        <f>VLOOKUP(A312,[26]Зерновые!$A$222:$AH$235,34,)</f>
        <v>16.088889999999999</v>
      </c>
      <c r="E312" s="105">
        <f>VLOOKUP(A312,[26]Зерновые!$A$222:$AS$235,45,)</f>
        <v>0</v>
      </c>
      <c r="F312" s="105">
        <f>VLOOKUP(A312,[26]Зерновые!$A$222:$BD$235,56,)</f>
        <v>7.0976100000000004</v>
      </c>
      <c r="G312" s="105">
        <f>VLOOKUP(A312,[26]Зерновые!$A$222:$BO$235,67,)</f>
        <v>0</v>
      </c>
      <c r="H312" s="165">
        <f>VLOOKUP(A312,[26]Зерновые!$A$222:$BZ$235,78,)</f>
        <v>0</v>
      </c>
      <c r="I312" s="111">
        <f>VLOOKUP(A312,[26]Масличные!$A$222:$L$235,12,)</f>
        <v>3.86008</v>
      </c>
      <c r="J312" s="105">
        <f>VLOOKUP(A312,[26]Масличные!$A$222:$W$235,23,)</f>
        <v>6.1099300000000003</v>
      </c>
      <c r="K312" s="105">
        <f>VLOOKUP(A312,[26]Масличные!$A$222:$AH$235,34,)</f>
        <v>6.1166</v>
      </c>
      <c r="L312" s="105">
        <f>VLOOKUP(A312,[26]Масличные!$A$222:$AS$235,45,)</f>
        <v>2.3199999999999998</v>
      </c>
      <c r="M312" s="165">
        <f>VLOOKUP(A312,[26]Масличные!$A$222:$BD$235,56,)</f>
        <v>0</v>
      </c>
      <c r="N312" s="111">
        <f>VLOOKUP(A312,[26]Бобовые!$A$222:$L$235,12,)</f>
        <v>1.0239699999999998</v>
      </c>
      <c r="O312" s="105">
        <f>VLOOKUP(A312,[26]Бобовые!$A$222:$W$235,23,)</f>
        <v>10.765445405405405</v>
      </c>
      <c r="P312" s="163">
        <f>VLOOKUP(A312,[26]Бобовые!$A$222:$AH$235,34,)</f>
        <v>0</v>
      </c>
      <c r="Q312" s="111">
        <f>VLOOKUP(A312,[26]Овощи!$A$222:$L$235,12,)</f>
        <v>158.81734999999998</v>
      </c>
      <c r="R312" s="105">
        <f>VLOOKUP(A312,[26]Овощи!$A$222:$W$235,23,)</f>
        <v>90.653690000000012</v>
      </c>
      <c r="S312" s="105">
        <f>VLOOKUP(A312,[26]Овощи!$A$222:$AH$235,34,)</f>
        <v>256.04158999999999</v>
      </c>
      <c r="T312" s="105">
        <f>VLOOKUP(A312,[26]Овощи!$A$222:$AS$235,45,)</f>
        <v>262.04588999999999</v>
      </c>
      <c r="U312" s="105">
        <f>VLOOKUP(A312,[26]Овощи!$A$222:$BD$235,56,)</f>
        <v>203.63601</v>
      </c>
      <c r="V312" s="105">
        <f>VLOOKUP(A312,[26]Овощи!$A$222:$BO$235,67,)</f>
        <v>236.30928</v>
      </c>
      <c r="W312" s="127">
        <f>VLOOKUP(A312,[26]Овощи!$A$222:$BZ$235,78,)</f>
        <v>232.10752999999994</v>
      </c>
      <c r="X312" s="111">
        <f>VLOOKUP(A312,[26]Бахчевые!$A$222:$L$235,12,)</f>
        <v>0</v>
      </c>
      <c r="Y312" s="127">
        <f>VLOOKUP(A312,[26]Бахчевые!$A$222:$W$235,23,)</f>
        <v>0</v>
      </c>
    </row>
    <row r="313" spans="1:25">
      <c r="A313" s="104" t="s">
        <v>307</v>
      </c>
      <c r="B313" s="111">
        <f>VLOOKUP(A313,[26]Зерновые!$A$222:$L$235,12,)</f>
        <v>13.789080000000002</v>
      </c>
      <c r="C313" s="105">
        <f>VLOOKUP(A313,[26]Зерновые!$A$222:$W$235,23,)</f>
        <v>15.679940000000002</v>
      </c>
      <c r="D313" s="105">
        <f>VLOOKUP(A313,[26]Зерновые!$A$222:$AH$235,34,)</f>
        <v>15.230309999999999</v>
      </c>
      <c r="E313" s="105">
        <f>VLOOKUP(A313,[26]Зерновые!$A$222:$AS$235,45,)</f>
        <v>4.2563199999999997</v>
      </c>
      <c r="F313" s="105">
        <f>VLOOKUP(A313,[26]Зерновые!$A$222:$BD$235,56,)</f>
        <v>6.0113299999999992</v>
      </c>
      <c r="G313" s="105">
        <f>VLOOKUP(A313,[26]Зерновые!$A$222:$BO$235,67,)</f>
        <v>0</v>
      </c>
      <c r="H313" s="165">
        <f>VLOOKUP(A313,[26]Зерновые!$A$222:$BZ$235,78,)</f>
        <v>0</v>
      </c>
      <c r="I313" s="111">
        <f>VLOOKUP(A313,[26]Масличные!$A$222:$L$235,12,)</f>
        <v>6.4756499999999999</v>
      </c>
      <c r="J313" s="105">
        <f>VLOOKUP(A313,[26]Масличные!$A$222:$W$235,23,)</f>
        <v>6.9934200000000004</v>
      </c>
      <c r="K313" s="105">
        <f>VLOOKUP(A313,[26]Масличные!$A$222:$AH$235,34,)</f>
        <v>8.1352899999999995</v>
      </c>
      <c r="L313" s="105">
        <f>VLOOKUP(A313,[26]Масличные!$A$222:$AS$235,45,)</f>
        <v>1.27213</v>
      </c>
      <c r="M313" s="165">
        <f>VLOOKUP(A313,[26]Масличные!$A$222:$BD$235,56,)</f>
        <v>0</v>
      </c>
      <c r="N313" s="111">
        <f>VLOOKUP(A313,[26]Бобовые!$A$222:$L$235,12,)</f>
        <v>8.8157584293117921</v>
      </c>
      <c r="O313" s="105">
        <f>VLOOKUP(A313,[26]Бобовые!$A$222:$W$235,23,)</f>
        <v>9.9575169565217383</v>
      </c>
      <c r="P313" s="163">
        <f>VLOOKUP(A313,[26]Бобовые!$A$222:$AH$235,34,)</f>
        <v>0</v>
      </c>
      <c r="Q313" s="111">
        <f>VLOOKUP(A313,[26]Овощи!$A$222:$L$235,12,)</f>
        <v>144.28398999999999</v>
      </c>
      <c r="R313" s="105">
        <f>VLOOKUP(A313,[26]Овощи!$A$222:$W$235,23,)</f>
        <v>222.33584000000002</v>
      </c>
      <c r="S313" s="105">
        <f>VLOOKUP(A313,[26]Овощи!$A$222:$AH$235,34,)</f>
        <v>380.26661000000001</v>
      </c>
      <c r="T313" s="105">
        <f>VLOOKUP(A313,[26]Овощи!$A$222:$AS$235,45,)</f>
        <v>429.85595999999998</v>
      </c>
      <c r="U313" s="105">
        <f>VLOOKUP(A313,[26]Овощи!$A$222:$BD$235,56,)</f>
        <v>350.78159999999997</v>
      </c>
      <c r="V313" s="105">
        <f>VLOOKUP(A313,[26]Овощи!$A$222:$BO$235,67,)</f>
        <v>328.65607</v>
      </c>
      <c r="W313" s="127">
        <f>VLOOKUP(A313,[26]Овощи!$A$222:$BZ$235,78,)</f>
        <v>399.51769000000002</v>
      </c>
      <c r="X313" s="111">
        <f>VLOOKUP(A313,[26]Бахчевые!$A$222:$L$235,12,)</f>
        <v>0</v>
      </c>
      <c r="Y313" s="127">
        <f>VLOOKUP(A313,[26]Бахчевые!$A$222:$W$235,23,)</f>
        <v>0</v>
      </c>
    </row>
    <row r="314" spans="1:25">
      <c r="A314" s="104" t="s">
        <v>308</v>
      </c>
      <c r="B314" s="111">
        <f>VLOOKUP(A314,[26]Зерновые!$A$222:$L$235,12,)</f>
        <v>13.035590000000003</v>
      </c>
      <c r="C314" s="105">
        <f>VLOOKUP(A314,[26]Зерновые!$A$222:$W$235,23,)</f>
        <v>15.268129999999999</v>
      </c>
      <c r="D314" s="105">
        <f>VLOOKUP(A314,[26]Зерновые!$A$222:$AH$235,34,)</f>
        <v>15.123970000000003</v>
      </c>
      <c r="E314" s="105">
        <f>VLOOKUP(A314,[26]Зерновые!$A$222:$AS$235,45,)</f>
        <v>0.1</v>
      </c>
      <c r="F314" s="105">
        <f>VLOOKUP(A314,[26]Зерновые!$A$222:$BD$235,56,)</f>
        <v>8.4354200000000006</v>
      </c>
      <c r="G314" s="105">
        <f>VLOOKUP(A314,[26]Зерновые!$A$222:$BO$235,67,)</f>
        <v>3.88</v>
      </c>
      <c r="H314" s="165">
        <f>VLOOKUP(A314,[26]Зерновые!$A$222:$BZ$235,78,)</f>
        <v>0</v>
      </c>
      <c r="I314" s="111">
        <f>VLOOKUP(A314,[26]Масличные!$A$222:$L$235,12,)</f>
        <v>8.9653900000000011</v>
      </c>
      <c r="J314" s="105">
        <f>VLOOKUP(A314,[26]Масличные!$A$222:$W$235,23,)</f>
        <v>7.9050500000000001</v>
      </c>
      <c r="K314" s="105">
        <f>VLOOKUP(A314,[26]Масличные!$A$222:$AH$235,34,)</f>
        <v>8.6750000000000007</v>
      </c>
      <c r="L314" s="105">
        <f>VLOOKUP(A314,[26]Масличные!$A$222:$AS$235,45,)</f>
        <v>3.6759899999999996</v>
      </c>
      <c r="M314" s="165">
        <f>VLOOKUP(A314,[26]Масличные!$A$222:$BD$235,56,)</f>
        <v>0</v>
      </c>
      <c r="N314" s="111">
        <f>VLOOKUP(A314,[26]Бобовые!$A$222:$L$235,12,)</f>
        <v>1.2229500000000002</v>
      </c>
      <c r="O314" s="105">
        <f>VLOOKUP(A314,[26]Бобовые!$A$222:$W$235,23,)</f>
        <v>12.981461019430398</v>
      </c>
      <c r="P314" s="163">
        <f>VLOOKUP(A314,[26]Бобовые!$A$222:$AH$235,34,)</f>
        <v>0</v>
      </c>
      <c r="Q314" s="111">
        <f>VLOOKUP(A314,[26]Овощи!$A$222:$L$235,12,)</f>
        <v>197.83306999999999</v>
      </c>
      <c r="R314" s="105">
        <f>VLOOKUP(A314,[26]Овощи!$A$222:$W$235,23,)</f>
        <v>185.35957000000002</v>
      </c>
      <c r="S314" s="105">
        <f>VLOOKUP(A314,[26]Овощи!$A$222:$AH$235,34,)</f>
        <v>378.49469999999991</v>
      </c>
      <c r="T314" s="105">
        <f>VLOOKUP(A314,[26]Овощи!$A$222:$AS$235,45,)</f>
        <v>415.93736000000001</v>
      </c>
      <c r="U314" s="105">
        <f>VLOOKUP(A314,[26]Овощи!$A$222:$BD$235,56,)</f>
        <v>404.75217000000004</v>
      </c>
      <c r="V314" s="105">
        <f>VLOOKUP(A314,[26]Овощи!$A$222:$BO$235,67,)</f>
        <v>411.99815000000001</v>
      </c>
      <c r="W314" s="127">
        <f>VLOOKUP(A314,[26]Овощи!$A$222:$BZ$235,78,)</f>
        <v>420.88239999999996</v>
      </c>
      <c r="X314" s="111">
        <f>VLOOKUP(A314,[26]Бахчевые!$A$222:$L$235,12,)</f>
        <v>0</v>
      </c>
      <c r="Y314" s="127">
        <f>VLOOKUP(A314,[26]Бахчевые!$A$222:$W$235,23,)</f>
        <v>0</v>
      </c>
    </row>
    <row r="315" spans="1:25">
      <c r="A315" s="104" t="s">
        <v>309</v>
      </c>
      <c r="B315" s="111">
        <f>VLOOKUP(A315,[26]Зерновые!$A$222:$L$235,12,)</f>
        <v>13.564460000000002</v>
      </c>
      <c r="C315" s="105">
        <f>VLOOKUP(A315,[26]Зерновые!$A$222:$W$235,23,)</f>
        <v>15.450220000000002</v>
      </c>
      <c r="D315" s="105">
        <f>VLOOKUP(A315,[26]Зерновые!$A$222:$AH$235,34,)</f>
        <v>13.539709999999999</v>
      </c>
      <c r="E315" s="105">
        <f>VLOOKUP(A315,[26]Зерновые!$A$222:$AS$235,45,)</f>
        <v>2.67</v>
      </c>
      <c r="F315" s="105">
        <f>VLOOKUP(A315,[26]Зерновые!$A$222:$BD$235,56,)</f>
        <v>2.91</v>
      </c>
      <c r="G315" s="105">
        <f>VLOOKUP(A315,[26]Зерновые!$A$222:$BO$235,67,)</f>
        <v>0</v>
      </c>
      <c r="H315" s="165">
        <f>VLOOKUP(A315,[26]Зерновые!$A$222:$BZ$235,78,)</f>
        <v>0</v>
      </c>
      <c r="I315" s="111">
        <f>VLOOKUP(A315,[26]Масличные!$A$222:$L$235,12,)</f>
        <v>1.21</v>
      </c>
      <c r="J315" s="105">
        <f>VLOOKUP(A315,[26]Масличные!$A$222:$W$235,23,)</f>
        <v>9.9985099999999996</v>
      </c>
      <c r="K315" s="105">
        <f>VLOOKUP(A315,[26]Масличные!$A$222:$AH$235,34,)</f>
        <v>9.0477900000000009</v>
      </c>
      <c r="L315" s="105">
        <f>VLOOKUP(A315,[26]Масличные!$A$222:$AS$235,45,)</f>
        <v>2.2000000000000002</v>
      </c>
      <c r="M315" s="165">
        <f>VLOOKUP(A315,[26]Масличные!$A$222:$BD$235,56,)</f>
        <v>0</v>
      </c>
      <c r="N315" s="111">
        <f>VLOOKUP(A315,[26]Бобовые!$A$222:$L$235,12,)</f>
        <v>0</v>
      </c>
      <c r="O315" s="105">
        <f>VLOOKUP(A315,[26]Бобовые!$A$222:$W$235,23,)</f>
        <v>9.4313718245004345</v>
      </c>
      <c r="P315" s="163">
        <f>VLOOKUP(A315,[26]Бобовые!$A$222:$AH$235,34,)</f>
        <v>0</v>
      </c>
      <c r="Q315" s="111">
        <f>VLOOKUP(A315,[26]Овощи!$A$222:$L$235,12,)</f>
        <v>196.91604999999998</v>
      </c>
      <c r="R315" s="105">
        <f>VLOOKUP(A315,[26]Овощи!$A$222:$W$235,23,)</f>
        <v>213.24314000000004</v>
      </c>
      <c r="S315" s="105">
        <f>VLOOKUP(A315,[26]Овощи!$A$222:$AH$235,34,)</f>
        <v>407.00549000000001</v>
      </c>
      <c r="T315" s="105">
        <f>VLOOKUP(A315,[26]Овощи!$A$222:$AS$235,45,)</f>
        <v>427.50454999999999</v>
      </c>
      <c r="U315" s="105">
        <f>VLOOKUP(A315,[26]Овощи!$A$222:$BD$235,56,)</f>
        <v>359.42003000000005</v>
      </c>
      <c r="V315" s="105">
        <f>VLOOKUP(A315,[26]Овощи!$A$222:$BO$235,67,)</f>
        <v>352.32467999999994</v>
      </c>
      <c r="W315" s="127">
        <f>VLOOKUP(A315,[26]Овощи!$A$222:$BZ$235,78,)</f>
        <v>404.87831999999997</v>
      </c>
      <c r="X315" s="111">
        <f>VLOOKUP(A315,[26]Бахчевые!$A$222:$L$235,12,)</f>
        <v>0</v>
      </c>
      <c r="Y315" s="127">
        <f>VLOOKUP(A315,[26]Бахчевые!$A$222:$W$235,23,)</f>
        <v>0</v>
      </c>
    </row>
    <row r="316" spans="1:25">
      <c r="A316" s="104" t="s">
        <v>310</v>
      </c>
      <c r="B316" s="111">
        <f>VLOOKUP(A316,[26]Зерновые!$A$222:$L$235,12,)</f>
        <v>11.699500000000002</v>
      </c>
      <c r="C316" s="105">
        <f>VLOOKUP(A316,[26]Зерновые!$A$222:$W$235,23,)</f>
        <v>11.85547</v>
      </c>
      <c r="D316" s="105">
        <f>VLOOKUP(A316,[26]Зерновые!$A$222:$AH$235,34,)</f>
        <v>10.46214</v>
      </c>
      <c r="E316" s="105">
        <f>VLOOKUP(A316,[26]Зерновые!$A$222:$AS$235,45,)</f>
        <v>0</v>
      </c>
      <c r="F316" s="105">
        <f>VLOOKUP(A316,[26]Зерновые!$A$222:$BD$235,56,)</f>
        <v>0.63000000000000012</v>
      </c>
      <c r="G316" s="105">
        <f>VLOOKUP(A316,[26]Зерновые!$A$222:$BO$235,67,)</f>
        <v>0</v>
      </c>
      <c r="H316" s="165">
        <f>VLOOKUP(A316,[26]Зерновые!$A$222:$BZ$235,78,)</f>
        <v>0</v>
      </c>
      <c r="I316" s="111">
        <f>VLOOKUP(A316,[26]Масличные!$A$222:$L$235,12,)</f>
        <v>4.3154200000000005</v>
      </c>
      <c r="J316" s="105">
        <f>VLOOKUP(A316,[26]Масличные!$A$222:$W$235,23,)</f>
        <v>5.6063399999999994</v>
      </c>
      <c r="K316" s="105">
        <f>VLOOKUP(A316,[26]Масличные!$A$222:$AH$235,34,)</f>
        <v>4.7476799999999999</v>
      </c>
      <c r="L316" s="105">
        <f>VLOOKUP(A316,[26]Масличные!$A$222:$AS$235,45,)</f>
        <v>0</v>
      </c>
      <c r="M316" s="165">
        <f>VLOOKUP(A316,[26]Масличные!$A$222:$BD$235,56,)</f>
        <v>0</v>
      </c>
      <c r="N316" s="111">
        <f>VLOOKUP(A316,[26]Бобовые!$A$222:$L$235,12,)</f>
        <v>0</v>
      </c>
      <c r="O316" s="105">
        <f>VLOOKUP(A316,[26]Бобовые!$A$222:$W$235,23,)</f>
        <v>0.18</v>
      </c>
      <c r="P316" s="163">
        <f>VLOOKUP(A316,[26]Бобовые!$A$222:$AH$235,34,)</f>
        <v>0</v>
      </c>
      <c r="Q316" s="111">
        <f>VLOOKUP(A316,[26]Овощи!$A$222:$L$235,12,)</f>
        <v>143.89902000000001</v>
      </c>
      <c r="R316" s="105">
        <f>VLOOKUP(A316,[26]Овощи!$A$222:$W$235,23,)</f>
        <v>0</v>
      </c>
      <c r="S316" s="105">
        <f>VLOOKUP(A316,[26]Овощи!$A$222:$AH$235,34,)</f>
        <v>247.87564000000003</v>
      </c>
      <c r="T316" s="105">
        <f>VLOOKUP(A316,[26]Овощи!$A$222:$AS$235,45,)</f>
        <v>194.98191000000003</v>
      </c>
      <c r="U316" s="105">
        <f>VLOOKUP(A316,[26]Овощи!$A$222:$BD$235,56,)</f>
        <v>226.86457000000001</v>
      </c>
      <c r="V316" s="105">
        <f>VLOOKUP(A316,[26]Овощи!$A$222:$BO$235,67,)</f>
        <v>274.65920999999997</v>
      </c>
      <c r="W316" s="127">
        <f>VLOOKUP(A316,[26]Овощи!$A$222:$BZ$235,78,)</f>
        <v>238.94662</v>
      </c>
      <c r="X316" s="111">
        <f>VLOOKUP(A316,[26]Бахчевые!$A$222:$L$235,12,)</f>
        <v>0</v>
      </c>
      <c r="Y316" s="127">
        <f>VLOOKUP(A316,[26]Бахчевые!$A$222:$W$235,23,)</f>
        <v>0</v>
      </c>
    </row>
    <row r="317" spans="1:25">
      <c r="A317" s="104" t="s">
        <v>311</v>
      </c>
      <c r="B317" s="111">
        <f>VLOOKUP(A317,[26]Зерновые!$A$222:$L$235,12,)</f>
        <v>12.629859999999997</v>
      </c>
      <c r="C317" s="105">
        <f>VLOOKUP(A317,[26]Зерновые!$A$222:$W$235,23,)</f>
        <v>13.228860000000001</v>
      </c>
      <c r="D317" s="105">
        <f>VLOOKUP(A317,[26]Зерновые!$A$222:$AH$235,34,)</f>
        <v>14.222290000000001</v>
      </c>
      <c r="E317" s="105">
        <f>VLOOKUP(A317,[26]Зерновые!$A$222:$AS$235,45,)</f>
        <v>3.9918099999999996</v>
      </c>
      <c r="F317" s="105">
        <f>VLOOKUP(A317,[26]Зерновые!$A$222:$BD$235,56,)</f>
        <v>5.9910300000000003</v>
      </c>
      <c r="G317" s="105">
        <f>VLOOKUP(A317,[26]Зерновые!$A$222:$BO$235,67,)</f>
        <v>0</v>
      </c>
      <c r="H317" s="165">
        <f>VLOOKUP(A317,[26]Зерновые!$A$222:$BZ$235,78,)</f>
        <v>0</v>
      </c>
      <c r="I317" s="111">
        <f>VLOOKUP(A317,[26]Масличные!$A$222:$L$235,12,)</f>
        <v>2.1752000000000002</v>
      </c>
      <c r="J317" s="105">
        <f>VLOOKUP(A317,[26]Масличные!$A$222:$W$235,23,)</f>
        <v>8.1835699999999996</v>
      </c>
      <c r="K317" s="105">
        <f>VLOOKUP(A317,[26]Масличные!$A$222:$AH$235,34,)</f>
        <v>8.1492199999999997</v>
      </c>
      <c r="L317" s="105">
        <f>VLOOKUP(A317,[26]Масличные!$A$222:$AS$235,45,)</f>
        <v>0.51</v>
      </c>
      <c r="M317" s="165">
        <f>VLOOKUP(A317,[26]Масличные!$A$222:$BD$235,56,)</f>
        <v>0</v>
      </c>
      <c r="N317" s="111">
        <f>VLOOKUP(A317,[26]Бобовые!$A$222:$L$235,12,)</f>
        <v>0.28999999999999998</v>
      </c>
      <c r="O317" s="105">
        <f>VLOOKUP(A317,[26]Бобовые!$A$222:$W$235,23,)</f>
        <v>8.8995799999999985</v>
      </c>
      <c r="P317" s="163">
        <f>VLOOKUP(A317,[26]Бобовые!$A$222:$AH$235,34,)</f>
        <v>0</v>
      </c>
      <c r="Q317" s="111">
        <f>VLOOKUP(A317,[26]Овощи!$A$222:$L$235,12,)</f>
        <v>173.80898999999999</v>
      </c>
      <c r="R317" s="105">
        <f>VLOOKUP(A317,[26]Овощи!$A$222:$W$235,23,)</f>
        <v>163.21287000000001</v>
      </c>
      <c r="S317" s="105">
        <f>VLOOKUP(A317,[26]Овощи!$A$222:$AH$235,34,)</f>
        <v>383.64646000000005</v>
      </c>
      <c r="T317" s="105">
        <f>VLOOKUP(A317,[26]Овощи!$A$222:$AS$235,45,)</f>
        <v>339.50083000000006</v>
      </c>
      <c r="U317" s="105">
        <f>VLOOKUP(A317,[26]Овощи!$A$222:$BD$235,56,)</f>
        <v>320.42264999999998</v>
      </c>
      <c r="V317" s="105">
        <f>VLOOKUP(A317,[26]Овощи!$A$222:$BO$235,67,)</f>
        <v>344.68272999999999</v>
      </c>
      <c r="W317" s="127">
        <f>VLOOKUP(A317,[26]Овощи!$A$222:$BZ$235,78,)</f>
        <v>361.20983999999999</v>
      </c>
      <c r="X317" s="111">
        <f>VLOOKUP(A317,[26]Бахчевые!$A$222:$L$235,12,)</f>
        <v>0</v>
      </c>
      <c r="Y317" s="127">
        <f>VLOOKUP(A317,[26]Бахчевые!$A$222:$W$235,23,)</f>
        <v>0</v>
      </c>
    </row>
    <row r="318" spans="1:25" ht="13.8" thickBot="1">
      <c r="A318" s="107" t="s">
        <v>312</v>
      </c>
      <c r="B318" s="112">
        <f>VLOOKUP(A318,[26]Зерновые!$A$222:$L$235,12,)</f>
        <v>0</v>
      </c>
      <c r="C318" s="108">
        <f>VLOOKUP(A318,[26]Зерновые!$A$222:$W$235,23,)</f>
        <v>8.8271699999999989</v>
      </c>
      <c r="D318" s="108">
        <f>VLOOKUP(A318,[26]Зерновые!$A$222:$AH$235,34,)</f>
        <v>0</v>
      </c>
      <c r="E318" s="108">
        <f>VLOOKUP(A318,[26]Зерновые!$A$222:$AS$235,45,)</f>
        <v>0</v>
      </c>
      <c r="F318" s="108">
        <f>VLOOKUP(A318,[26]Зерновые!$A$222:$BD$235,56,)</f>
        <v>0</v>
      </c>
      <c r="G318" s="108">
        <f>VLOOKUP(A318,[26]Зерновые!$A$222:$BO$235,67,)</f>
        <v>0</v>
      </c>
      <c r="H318" s="166">
        <f>VLOOKUP(A318,[26]Зерновые!$A$222:$BZ$235,78,)</f>
        <v>0</v>
      </c>
      <c r="I318" s="112">
        <f>VLOOKUP(A318,[26]Масличные!$A$222:$L$235,12,)</f>
        <v>0</v>
      </c>
      <c r="J318" s="108">
        <f>VLOOKUP(A318,[26]Масличные!$A$222:$W$235,23,)</f>
        <v>0</v>
      </c>
      <c r="K318" s="108">
        <f>VLOOKUP(A318,[26]Масличные!$A$222:$AH$235,34,)</f>
        <v>0</v>
      </c>
      <c r="L318" s="108">
        <f>VLOOKUP(A318,[26]Масличные!$A$222:$AS$235,45,)</f>
        <v>0</v>
      </c>
      <c r="M318" s="166">
        <f>VLOOKUP(A318,[26]Масличные!$A$222:$BD$235,56,)</f>
        <v>0</v>
      </c>
      <c r="N318" s="112">
        <f>VLOOKUP(A318,[26]Бобовые!$A$222:$L$235,12,)</f>
        <v>0</v>
      </c>
      <c r="O318" s="108">
        <f>VLOOKUP(A318,[26]Бобовые!$A$222:$W$235,23,)</f>
        <v>0</v>
      </c>
      <c r="P318" s="164">
        <f>VLOOKUP(A318,[26]Бобовые!$A$222:$AH$235,34,)</f>
        <v>0</v>
      </c>
      <c r="Q318" s="112">
        <f>VLOOKUP(A318,[26]Овощи!$A$222:$L$235,12,)</f>
        <v>174.02140000000003</v>
      </c>
      <c r="R318" s="108">
        <f>VLOOKUP(A318,[26]Овощи!$A$222:$W$235,23,)</f>
        <v>231.73220999999998</v>
      </c>
      <c r="S318" s="108">
        <f>VLOOKUP(A318,[26]Овощи!$A$222:$AH$235,34,)</f>
        <v>416.37790000000007</v>
      </c>
      <c r="T318" s="108">
        <f>VLOOKUP(A318,[26]Овощи!$A$222:$AS$235,45,)</f>
        <v>443.23783000000003</v>
      </c>
      <c r="U318" s="108">
        <f>VLOOKUP(A318,[26]Овощи!$A$222:$BD$235,56,)</f>
        <v>390.88829000000004</v>
      </c>
      <c r="V318" s="108">
        <f>VLOOKUP(A318,[26]Овощи!$A$222:$BO$235,67,)</f>
        <v>399.79676000000006</v>
      </c>
      <c r="W318" s="128">
        <f>VLOOKUP(A318,[26]Овощи!$A$222:$BZ$235,78,)</f>
        <v>395.15774999999996</v>
      </c>
      <c r="X318" s="112">
        <f>VLOOKUP(A318,[26]Бахчевые!$A$222:$L$235,12,)</f>
        <v>0</v>
      </c>
      <c r="Y318" s="128">
        <f>VLOOKUP(A318,[26]Бахчевые!$A$222:$W$235,23,)</f>
        <v>0</v>
      </c>
    </row>
    <row r="319" spans="1:25">
      <c r="A319" s="172"/>
      <c r="B319" s="113"/>
      <c r="C319" s="113"/>
      <c r="D319" s="113"/>
      <c r="E319" s="113"/>
      <c r="F319" s="113"/>
      <c r="G319" s="113"/>
      <c r="H319" s="175"/>
      <c r="I319" s="113"/>
      <c r="J319" s="113"/>
      <c r="K319" s="113"/>
      <c r="L319" s="113"/>
      <c r="M319" s="175"/>
      <c r="N319" s="113"/>
      <c r="O319" s="113"/>
      <c r="P319" s="175"/>
      <c r="Q319" s="113"/>
      <c r="R319" s="113"/>
      <c r="S319" s="113"/>
      <c r="T319" s="113"/>
      <c r="U319" s="113"/>
      <c r="V319" s="113"/>
      <c r="W319" s="113"/>
      <c r="X319" s="113"/>
      <c r="Y319" s="113"/>
    </row>
    <row r="320" spans="1:25">
      <c r="A320" s="172"/>
      <c r="B320" s="113"/>
      <c r="C320" s="113"/>
      <c r="D320" s="113"/>
      <c r="E320" s="113"/>
      <c r="F320" s="113"/>
      <c r="G320" s="113"/>
      <c r="H320" s="175"/>
      <c r="I320" s="113"/>
      <c r="J320" s="113"/>
      <c r="K320" s="113"/>
      <c r="L320" s="113"/>
      <c r="M320" s="175"/>
      <c r="N320" s="113"/>
      <c r="O320" s="113"/>
      <c r="P320" s="175"/>
      <c r="Q320" s="113"/>
      <c r="R320" s="113"/>
      <c r="S320" s="113"/>
      <c r="T320" s="113"/>
      <c r="U320" s="113"/>
      <c r="V320" s="113"/>
      <c r="W320" s="113"/>
      <c r="X320" s="113"/>
      <c r="Y320" s="113"/>
    </row>
    <row r="321" spans="1:25">
      <c r="A321" s="172"/>
      <c r="B321" s="113"/>
      <c r="C321" s="113"/>
      <c r="D321" s="113"/>
      <c r="E321" s="113"/>
      <c r="F321" s="113"/>
      <c r="G321" s="113"/>
      <c r="H321" s="175"/>
      <c r="I321" s="113"/>
      <c r="J321" s="113"/>
      <c r="K321" s="113"/>
      <c r="L321" s="113"/>
      <c r="M321" s="175"/>
      <c r="N321" s="113"/>
      <c r="O321" s="113"/>
      <c r="P321" s="175"/>
      <c r="Q321" s="113"/>
      <c r="R321" s="113"/>
      <c r="S321" s="113"/>
      <c r="T321" s="113"/>
      <c r="U321" s="113"/>
      <c r="V321" s="113"/>
      <c r="W321" s="113"/>
      <c r="X321" s="113"/>
      <c r="Y321" s="113"/>
    </row>
    <row r="322" spans="1:25">
      <c r="A322" s="172"/>
      <c r="B322" s="113"/>
      <c r="C322" s="113"/>
      <c r="D322" s="113"/>
      <c r="E322" s="113"/>
      <c r="F322" s="113"/>
      <c r="G322" s="113"/>
      <c r="H322" s="175"/>
      <c r="I322" s="113"/>
      <c r="J322" s="113"/>
      <c r="K322" s="113"/>
      <c r="L322" s="113"/>
      <c r="M322" s="175"/>
      <c r="N322" s="113"/>
      <c r="O322" s="113"/>
      <c r="P322" s="175"/>
      <c r="Q322" s="113"/>
      <c r="R322" s="113"/>
      <c r="S322" s="113"/>
      <c r="T322" s="113"/>
      <c r="U322" s="113"/>
      <c r="V322" s="113"/>
      <c r="W322" s="113"/>
      <c r="X322" s="113"/>
      <c r="Y322" s="113"/>
    </row>
    <row r="323" spans="1:25">
      <c r="A323" s="172"/>
      <c r="B323" s="113"/>
      <c r="C323" s="113"/>
      <c r="D323" s="113"/>
      <c r="E323" s="113"/>
      <c r="F323" s="113"/>
      <c r="G323" s="113"/>
      <c r="H323" s="175"/>
      <c r="I323" s="113"/>
      <c r="J323" s="113"/>
      <c r="K323" s="113"/>
      <c r="L323" s="113"/>
      <c r="M323" s="175"/>
      <c r="N323" s="113"/>
      <c r="O323" s="113"/>
      <c r="P323" s="175"/>
      <c r="Q323" s="113"/>
      <c r="R323" s="113"/>
      <c r="S323" s="113"/>
      <c r="T323" s="113"/>
      <c r="U323" s="113"/>
      <c r="V323" s="113"/>
      <c r="W323" s="113"/>
      <c r="X323" s="113"/>
      <c r="Y323" s="113"/>
    </row>
    <row r="324" spans="1:25">
      <c r="A324" s="172"/>
      <c r="B324" s="113"/>
      <c r="C324" s="113"/>
      <c r="D324" s="113"/>
      <c r="E324" s="113"/>
      <c r="F324" s="113"/>
      <c r="G324" s="113"/>
      <c r="H324" s="175"/>
      <c r="I324" s="113"/>
      <c r="J324" s="113"/>
      <c r="K324" s="113"/>
      <c r="L324" s="113"/>
      <c r="M324" s="175"/>
      <c r="N324" s="113"/>
      <c r="O324" s="113"/>
      <c r="P324" s="175"/>
      <c r="Q324" s="113"/>
      <c r="R324" s="113"/>
      <c r="S324" s="113"/>
      <c r="T324" s="113"/>
      <c r="U324" s="113"/>
      <c r="V324" s="113"/>
      <c r="W324" s="113"/>
      <c r="X324" s="113"/>
      <c r="Y324" s="113"/>
    </row>
    <row r="325" spans="1:25" ht="13.8" thickBot="1">
      <c r="A325" s="91"/>
      <c r="B325" s="90"/>
      <c r="C325" s="90"/>
      <c r="D325" s="90"/>
      <c r="E325" s="90"/>
      <c r="F325" s="90"/>
      <c r="G325" s="90"/>
      <c r="H325" s="90"/>
    </row>
    <row r="326" spans="1:25" ht="13.5" customHeight="1">
      <c r="A326" s="808" t="s">
        <v>313</v>
      </c>
      <c r="B326" s="805" t="s">
        <v>269</v>
      </c>
      <c r="C326" s="806"/>
      <c r="D326" s="806"/>
      <c r="E326" s="806"/>
      <c r="F326" s="806"/>
      <c r="G326" s="806"/>
      <c r="H326" s="807"/>
      <c r="I326" s="799" t="s">
        <v>316</v>
      </c>
      <c r="J326" s="800"/>
      <c r="K326" s="800"/>
      <c r="L326" s="800"/>
      <c r="M326" s="801"/>
      <c r="N326" s="799" t="s">
        <v>317</v>
      </c>
      <c r="O326" s="800"/>
      <c r="P326" s="800"/>
      <c r="Q326" s="799" t="s">
        <v>322</v>
      </c>
      <c r="R326" s="800"/>
      <c r="S326" s="800"/>
      <c r="T326" s="800"/>
      <c r="U326" s="800"/>
      <c r="V326" s="800"/>
      <c r="W326" s="801"/>
      <c r="X326" s="799" t="s">
        <v>330</v>
      </c>
      <c r="Y326" s="801"/>
    </row>
    <row r="327" spans="1:25" ht="20.399999999999999">
      <c r="A327" s="809"/>
      <c r="B327" s="119" t="s">
        <v>270</v>
      </c>
      <c r="C327" s="116" t="s">
        <v>83</v>
      </c>
      <c r="D327" s="116" t="s">
        <v>84</v>
      </c>
      <c r="E327" s="116" t="s">
        <v>271</v>
      </c>
      <c r="F327" s="116" t="s">
        <v>272</v>
      </c>
      <c r="G327" s="116" t="s">
        <v>314</v>
      </c>
      <c r="H327" s="120" t="s">
        <v>273</v>
      </c>
      <c r="I327" s="119" t="s">
        <v>243</v>
      </c>
      <c r="J327" s="116" t="s">
        <v>244</v>
      </c>
      <c r="K327" s="116" t="s">
        <v>258</v>
      </c>
      <c r="L327" s="116" t="s">
        <v>315</v>
      </c>
      <c r="M327" s="120" t="s">
        <v>245</v>
      </c>
      <c r="N327" s="119" t="s">
        <v>318</v>
      </c>
      <c r="O327" s="116" t="s">
        <v>319</v>
      </c>
      <c r="P327" s="116" t="s">
        <v>320</v>
      </c>
      <c r="Q327" s="119" t="s">
        <v>323</v>
      </c>
      <c r="R327" s="116" t="s">
        <v>324</v>
      </c>
      <c r="S327" s="116" t="s">
        <v>325</v>
      </c>
      <c r="T327" s="116" t="s">
        <v>326</v>
      </c>
      <c r="U327" s="116" t="s">
        <v>327</v>
      </c>
      <c r="V327" s="116" t="s">
        <v>328</v>
      </c>
      <c r="W327" s="120" t="s">
        <v>329</v>
      </c>
      <c r="X327" s="119" t="s">
        <v>331</v>
      </c>
      <c r="Y327" s="120" t="s">
        <v>332</v>
      </c>
    </row>
    <row r="328" spans="1:25">
      <c r="A328" s="145" t="s">
        <v>157</v>
      </c>
      <c r="B328" s="115">
        <f>VLOOKUP(A328,[26]Зерновые!$A$240:$L$254,12,)</f>
        <v>8.1483699999999999</v>
      </c>
      <c r="C328" s="106">
        <f>VLOOKUP(A328,[26]Зерновые!$A$240:$W$254,23,)</f>
        <v>5.5717799999999995</v>
      </c>
      <c r="D328" s="106">
        <f>VLOOKUP(A328,[26]Зерновые!$A$240:$AH$254,34,)</f>
        <v>0</v>
      </c>
      <c r="E328" s="93">
        <f>VLOOKUP(A328,[26]Зерновые!$A$240:$AS$254,45,)</f>
        <v>0</v>
      </c>
      <c r="F328" s="96">
        <f>VLOOKUP(A328,[26]Зерновые!$A$240:$BD$254,56,)</f>
        <v>0</v>
      </c>
      <c r="G328" s="106">
        <f>VLOOKUP(A328,[26]Зерновые!$A$240:$BO$254,67,)</f>
        <v>24.71134</v>
      </c>
      <c r="H328" s="148">
        <f>VLOOKUP(A328,[26]Зерновые!$A$240:$BZ$254,78,)</f>
        <v>0</v>
      </c>
      <c r="I328" s="115">
        <f>VLOOKUP(A328,[26]Масличные!$A$240:$L$254,12,)</f>
        <v>12.540000000000001</v>
      </c>
      <c r="J328" s="167">
        <f>VLOOKUP(A328,[26]Масличные!$A$240:$W$254,23,)</f>
        <v>0</v>
      </c>
      <c r="K328" s="167">
        <f>VLOOKUP(A328,[26]Масличные!$A$240:$AH$254,34,)</f>
        <v>0</v>
      </c>
      <c r="L328" s="167">
        <f>VLOOKUP(A328,[26]Масличные!$A$240:$AS$254,45,)</f>
        <v>0</v>
      </c>
      <c r="M328" s="148">
        <f>VLOOKUP(A328,[26]Масличные!$A$240:$BD$254,56,)</f>
        <v>3.78</v>
      </c>
      <c r="N328" s="115">
        <f>VLOOKUP(A328,[26]Бобовые!$A$240:$L$254,12,)</f>
        <v>2.33</v>
      </c>
      <c r="O328" s="106">
        <f>VLOOKUP(A328,[26]Бобовые!$A$240:$W$254,23,)</f>
        <v>0.1</v>
      </c>
      <c r="P328" s="106">
        <f>VLOOKUP(A328,[26]Бобовые!$A$240:$AH$254,34,)</f>
        <v>2.98</v>
      </c>
      <c r="Q328" s="115">
        <f>VLOOKUP(A328,[26]Овощи!$A$240:$L$254,12,)</f>
        <v>113.47</v>
      </c>
      <c r="R328" s="106">
        <f>VLOOKUP(A328,[26]Овощи!$A$240:$W$254,23,)</f>
        <v>127.72999999999998</v>
      </c>
      <c r="S328" s="106">
        <f>VLOOKUP(A328,[26]Овощи!$A$240:$AH$254,34,)</f>
        <v>135.75</v>
      </c>
      <c r="T328" s="106">
        <f>VLOOKUP(A328,[26]Овощи!$A$240:$AS$254,45,)</f>
        <v>171.76</v>
      </c>
      <c r="U328" s="106">
        <f>VLOOKUP(A328,[26]Овощи!$A$240:$BD$254,56,)</f>
        <v>164.90000000000003</v>
      </c>
      <c r="V328" s="106">
        <f>VLOOKUP(A328,[26]Овощи!$A$240:$BO$254,67,)</f>
        <v>171.97</v>
      </c>
      <c r="W328" s="148">
        <f>VLOOKUP(A328,[26]Овощи!$A$240:$BZ$254,78,)</f>
        <v>135.15000000000003</v>
      </c>
      <c r="X328" s="92">
        <f>VLOOKUP(A328,[26]Бахчевые!$A$240:$L$254,12,)</f>
        <v>165.02438999999998</v>
      </c>
      <c r="Y328" s="123">
        <f>VLOOKUP(A328,[26]Бахчевые!$A$240:$W$254,23,)</f>
        <v>79.989999999999995</v>
      </c>
    </row>
    <row r="329" spans="1:25">
      <c r="A329" s="145" t="s">
        <v>210</v>
      </c>
      <c r="B329" s="115">
        <f>VLOOKUP(A329,[26]Зерновые!$A$240:$L$254,12,)</f>
        <v>11.918999999999999</v>
      </c>
      <c r="C329" s="106">
        <f>VLOOKUP(A329,[26]Зерновые!$A$240:$W$254,23,)</f>
        <v>4.63</v>
      </c>
      <c r="D329" s="106">
        <f>VLOOKUP(A329,[26]Зерновые!$A$240:$AH$254,34,)</f>
        <v>0</v>
      </c>
      <c r="E329" s="93">
        <f>VLOOKUP(A329,[26]Зерновые!$A$240:$AS$254,45,)</f>
        <v>0</v>
      </c>
      <c r="F329" s="96">
        <f>VLOOKUP(A329,[26]Зерновые!$A$240:$BD$254,56,)</f>
        <v>0</v>
      </c>
      <c r="G329" s="106">
        <f>VLOOKUP(A329,[26]Зерновые!$A$240:$BO$254,67,)</f>
        <v>46.290289999999999</v>
      </c>
      <c r="H329" s="148">
        <f>VLOOKUP(A329,[26]Зерновые!$A$240:$BZ$254,78,)</f>
        <v>0</v>
      </c>
      <c r="I329" s="115">
        <f>VLOOKUP(A329,[26]Масличные!$A$240:$L$254,12,)</f>
        <v>8.81</v>
      </c>
      <c r="J329" s="167">
        <f>VLOOKUP(A329,[26]Масличные!$A$240:$W$254,23,)</f>
        <v>0</v>
      </c>
      <c r="K329" s="167">
        <f>VLOOKUP(A329,[26]Масличные!$A$240:$AH$254,34,)</f>
        <v>0</v>
      </c>
      <c r="L329" s="167">
        <f>VLOOKUP(A329,[26]Масличные!$A$240:$AS$254,45,)</f>
        <v>0</v>
      </c>
      <c r="M329" s="148">
        <f>VLOOKUP(A329,[26]Масличные!$A$240:$BD$254,56,)</f>
        <v>4.5299999999999994</v>
      </c>
      <c r="N329" s="115">
        <f>VLOOKUP(A329,[26]Бобовые!$A$240:$L$254,12,)</f>
        <v>0</v>
      </c>
      <c r="O329" s="106">
        <f>VLOOKUP(A329,[26]Бобовые!$A$240:$W$254,23,)</f>
        <v>0</v>
      </c>
      <c r="P329" s="106">
        <f>VLOOKUP(A329,[26]Бобовые!$A$240:$AH$254,34,)</f>
        <v>0</v>
      </c>
      <c r="Q329" s="115">
        <f>VLOOKUP(A329,[26]Овощи!$A$240:$L$254,12,)</f>
        <v>165.76000000000002</v>
      </c>
      <c r="R329" s="106">
        <f>VLOOKUP(A329,[26]Овощи!$A$240:$W$254,23,)</f>
        <v>208.21000000000004</v>
      </c>
      <c r="S329" s="106">
        <f>VLOOKUP(A329,[26]Овощи!$A$240:$AH$254,34,)</f>
        <v>183.20999999999998</v>
      </c>
      <c r="T329" s="106">
        <f>VLOOKUP(A329,[26]Овощи!$A$240:$AS$254,45,)</f>
        <v>207.78999999999996</v>
      </c>
      <c r="U329" s="106">
        <f>VLOOKUP(A329,[26]Овощи!$A$240:$BD$254,56,)</f>
        <v>208.56</v>
      </c>
      <c r="V329" s="106">
        <f>VLOOKUP(A329,[26]Овощи!$A$240:$BO$254,67,)</f>
        <v>301.52</v>
      </c>
      <c r="W329" s="148">
        <f>VLOOKUP(A329,[26]Овощи!$A$240:$BZ$254,78,)</f>
        <v>185.01000000000002</v>
      </c>
      <c r="X329" s="92">
        <f>VLOOKUP(A329,[26]Бахчевые!$A$240:$L$254,12,)</f>
        <v>193.63140999999999</v>
      </c>
      <c r="Y329" s="123">
        <f>VLOOKUP(A329,[26]Бахчевые!$A$240:$W$254,23,)</f>
        <v>195.80314000000001</v>
      </c>
    </row>
    <row r="330" spans="1:25">
      <c r="A330" s="145" t="s">
        <v>156</v>
      </c>
      <c r="B330" s="115">
        <f>VLOOKUP(A330,[26]Зерновые!$A$240:$L$254,12,)</f>
        <v>15.09117</v>
      </c>
      <c r="C330" s="106">
        <f>VLOOKUP(A330,[26]Зерновые!$A$240:$W$254,23,)</f>
        <v>0</v>
      </c>
      <c r="D330" s="106">
        <f>VLOOKUP(A330,[26]Зерновые!$A$240:$AH$254,34,)</f>
        <v>0</v>
      </c>
      <c r="E330" s="93">
        <f>VLOOKUP(A330,[26]Зерновые!$A$240:$AS$254,45,)</f>
        <v>0</v>
      </c>
      <c r="F330" s="96">
        <f>VLOOKUP(A330,[26]Зерновые!$A$240:$BD$254,56,)</f>
        <v>0</v>
      </c>
      <c r="G330" s="106">
        <f>VLOOKUP(A330,[26]Зерновые!$A$240:$BO$254,67,)</f>
        <v>24.31615</v>
      </c>
      <c r="H330" s="148">
        <f>VLOOKUP(A330,[26]Зерновые!$A$240:$BZ$254,78,)</f>
        <v>0</v>
      </c>
      <c r="I330" s="115">
        <f>VLOOKUP(A330,[26]Масличные!$A$240:$L$254,12,)</f>
        <v>8.94</v>
      </c>
      <c r="J330" s="167">
        <f>VLOOKUP(A330,[26]Масличные!$A$240:$W$254,23,)</f>
        <v>0</v>
      </c>
      <c r="K330" s="167">
        <f>VLOOKUP(A330,[26]Масличные!$A$240:$AH$254,34,)</f>
        <v>0</v>
      </c>
      <c r="L330" s="167">
        <f>VLOOKUP(A330,[26]Масличные!$A$240:$AS$254,45,)</f>
        <v>0</v>
      </c>
      <c r="M330" s="148">
        <f>VLOOKUP(A330,[26]Масличные!$A$240:$BD$254,56,)</f>
        <v>5.41</v>
      </c>
      <c r="N330" s="115">
        <f>VLOOKUP(A330,[26]Бобовые!$A$240:$L$254,12,)</f>
        <v>0</v>
      </c>
      <c r="O330" s="106">
        <f>VLOOKUP(A330,[26]Бобовые!$A$240:$W$254,23,)</f>
        <v>12.48</v>
      </c>
      <c r="P330" s="106">
        <f>VLOOKUP(A330,[26]Бобовые!$A$240:$AH$254,34,)</f>
        <v>6.0900000000000007</v>
      </c>
      <c r="Q330" s="115">
        <f>VLOOKUP(A330,[26]Овощи!$A$240:$L$254,12,)</f>
        <v>100.22</v>
      </c>
      <c r="R330" s="106">
        <f>VLOOKUP(A330,[26]Овощи!$A$240:$W$254,23,)</f>
        <v>108.88</v>
      </c>
      <c r="S330" s="106">
        <f>VLOOKUP(A330,[26]Овощи!$A$240:$AH$254,34,)</f>
        <v>105.15</v>
      </c>
      <c r="T330" s="106">
        <f>VLOOKUP(A330,[26]Овощи!$A$240:$AS$254,45,)</f>
        <v>143.61000000000001</v>
      </c>
      <c r="U330" s="106">
        <f>VLOOKUP(A330,[26]Овощи!$A$240:$BD$254,56,)</f>
        <v>149.82999999999998</v>
      </c>
      <c r="V330" s="106">
        <f>VLOOKUP(A330,[26]Овощи!$A$240:$BO$254,67,)</f>
        <v>186.18</v>
      </c>
      <c r="W330" s="148">
        <f>VLOOKUP(A330,[26]Овощи!$A$240:$BZ$254,78,)</f>
        <v>91</v>
      </c>
      <c r="X330" s="92">
        <f>VLOOKUP(A330,[26]Бахчевые!$A$240:$L$254,12,)</f>
        <v>80.783920000000009</v>
      </c>
      <c r="Y330" s="123">
        <f>VLOOKUP(A330,[26]Бахчевые!$A$240:$W$254,23,)</f>
        <v>75.985050000000001</v>
      </c>
    </row>
    <row r="331" spans="1:25">
      <c r="A331" s="145" t="s">
        <v>211</v>
      </c>
      <c r="B331" s="115">
        <f>VLOOKUP(A331,[26]Зерновые!$A$240:$L$254,12,)</f>
        <v>24.683220000000002</v>
      </c>
      <c r="C331" s="106">
        <f>VLOOKUP(A331,[26]Зерновые!$A$240:$W$254,23,)</f>
        <v>8.94</v>
      </c>
      <c r="D331" s="106">
        <f>VLOOKUP(A331,[26]Зерновые!$A$240:$AH$254,34,)</f>
        <v>0</v>
      </c>
      <c r="E331" s="93">
        <f>VLOOKUP(A331,[26]Зерновые!$A$240:$AS$254,45,)</f>
        <v>0</v>
      </c>
      <c r="F331" s="96">
        <f>VLOOKUP(A331,[26]Зерновые!$A$240:$BD$254,56,)</f>
        <v>0</v>
      </c>
      <c r="G331" s="106">
        <f>VLOOKUP(A331,[26]Зерновые!$A$240:$BO$254,67,)</f>
        <v>37.078739999999996</v>
      </c>
      <c r="H331" s="148">
        <f>VLOOKUP(A331,[26]Зерновые!$A$240:$BZ$254,78,)</f>
        <v>0</v>
      </c>
      <c r="I331" s="115">
        <f>VLOOKUP(A331,[26]Масличные!$A$240:$L$254,12,)</f>
        <v>14.830000000000002</v>
      </c>
      <c r="J331" s="167">
        <f>VLOOKUP(A331,[26]Масличные!$A$240:$W$254,23,)</f>
        <v>0</v>
      </c>
      <c r="K331" s="167">
        <f>VLOOKUP(A331,[26]Масличные!$A$240:$AH$254,34,)</f>
        <v>0</v>
      </c>
      <c r="L331" s="167">
        <f>VLOOKUP(A331,[26]Масличные!$A$240:$AS$254,45,)</f>
        <v>0</v>
      </c>
      <c r="M331" s="148">
        <f>VLOOKUP(A331,[26]Масличные!$A$240:$BD$254,56,)</f>
        <v>10.8</v>
      </c>
      <c r="N331" s="115">
        <f>VLOOKUP(A331,[26]Бобовые!$A$240:$L$254,12,)</f>
        <v>0</v>
      </c>
      <c r="O331" s="106">
        <f>VLOOKUP(A331,[26]Бобовые!$A$240:$W$254,23,)</f>
        <v>0</v>
      </c>
      <c r="P331" s="106">
        <f>VLOOKUP(A331,[26]Бобовые!$A$240:$AH$254,34,)</f>
        <v>0</v>
      </c>
      <c r="Q331" s="115">
        <f>VLOOKUP(A331,[26]Овощи!$A$240:$L$254,12,)</f>
        <v>150.10999999999999</v>
      </c>
      <c r="R331" s="106">
        <f>VLOOKUP(A331,[26]Овощи!$A$240:$W$254,23,)</f>
        <v>269.20999999999998</v>
      </c>
      <c r="S331" s="106">
        <f>VLOOKUP(A331,[26]Овощи!$A$240:$AH$254,34,)</f>
        <v>272.47999999999996</v>
      </c>
      <c r="T331" s="106">
        <f>VLOOKUP(A331,[26]Овощи!$A$240:$AS$254,45,)</f>
        <v>233.16</v>
      </c>
      <c r="U331" s="106">
        <f>VLOOKUP(A331,[26]Овощи!$A$240:$BD$254,56,)</f>
        <v>249.13999999999996</v>
      </c>
      <c r="V331" s="106">
        <f>VLOOKUP(A331,[26]Овощи!$A$240:$BO$254,67,)</f>
        <v>261.46000000000004</v>
      </c>
      <c r="W331" s="148">
        <f>VLOOKUP(A331,[26]Овощи!$A$240:$BZ$254,78,)</f>
        <v>297.37</v>
      </c>
      <c r="X331" s="92">
        <f>VLOOKUP(A331,[26]Бахчевые!$A$240:$L$254,12,)</f>
        <v>216.76529999999997</v>
      </c>
      <c r="Y331" s="123">
        <f>VLOOKUP(A331,[26]Бахчевые!$A$240:$W$254,23,)</f>
        <v>209.49115999999998</v>
      </c>
    </row>
    <row r="332" spans="1:25">
      <c r="A332" s="145" t="s">
        <v>212</v>
      </c>
      <c r="B332" s="115">
        <f>VLOOKUP(A332,[26]Зерновые!$A$240:$L$254,12,)</f>
        <v>13.933869999999999</v>
      </c>
      <c r="C332" s="106">
        <f>VLOOKUP(A332,[26]Зерновые!$A$240:$W$254,23,)</f>
        <v>10.42483</v>
      </c>
      <c r="D332" s="106">
        <f>VLOOKUP(A332,[26]Зерновые!$A$240:$AH$254,34,)</f>
        <v>0</v>
      </c>
      <c r="E332" s="93">
        <f>VLOOKUP(A332,[26]Зерновые!$A$240:$AS$254,45,)</f>
        <v>0</v>
      </c>
      <c r="F332" s="96">
        <f>VLOOKUP(A332,[26]Зерновые!$A$240:$BD$254,56,)</f>
        <v>0</v>
      </c>
      <c r="G332" s="106">
        <f>VLOOKUP(A332,[26]Зерновые!$A$240:$BO$254,67,)</f>
        <v>38.176030000000004</v>
      </c>
      <c r="H332" s="148">
        <f>VLOOKUP(A332,[26]Зерновые!$A$240:$BZ$254,78,)</f>
        <v>0</v>
      </c>
      <c r="I332" s="115">
        <f>VLOOKUP(A332,[26]Масличные!$A$240:$L$254,12,)</f>
        <v>11.020000000000001</v>
      </c>
      <c r="J332" s="167">
        <f>VLOOKUP(A332,[26]Масличные!$A$240:$W$254,23,)</f>
        <v>0</v>
      </c>
      <c r="K332" s="167">
        <f>VLOOKUP(A332,[26]Масличные!$A$240:$AH$254,34,)</f>
        <v>0</v>
      </c>
      <c r="L332" s="167">
        <f>VLOOKUP(A332,[26]Масличные!$A$240:$AS$254,45,)</f>
        <v>0</v>
      </c>
      <c r="M332" s="148">
        <f>VLOOKUP(A332,[26]Масличные!$A$240:$BD$254,56,)</f>
        <v>6.08</v>
      </c>
      <c r="N332" s="115">
        <f>VLOOKUP(A332,[26]Бобовые!$A$240:$L$254,12,)</f>
        <v>0</v>
      </c>
      <c r="O332" s="106">
        <f>VLOOKUP(A332,[26]Бобовые!$A$240:$W$254,23,)</f>
        <v>0.25</v>
      </c>
      <c r="P332" s="106">
        <f>VLOOKUP(A332,[26]Бобовые!$A$240:$AH$254,34,)</f>
        <v>0</v>
      </c>
      <c r="Q332" s="115">
        <f>VLOOKUP(A332,[26]Овощи!$A$240:$L$254,12,)</f>
        <v>115.4</v>
      </c>
      <c r="R332" s="106">
        <f>VLOOKUP(A332,[26]Овощи!$A$240:$W$254,23,)</f>
        <v>126.64000000000001</v>
      </c>
      <c r="S332" s="106">
        <f>VLOOKUP(A332,[26]Овощи!$A$240:$AH$254,34,)</f>
        <v>127.05999999999999</v>
      </c>
      <c r="T332" s="106">
        <f>VLOOKUP(A332,[26]Овощи!$A$240:$AS$254,45,)</f>
        <v>107.27000000000001</v>
      </c>
      <c r="U332" s="106">
        <f>VLOOKUP(A332,[26]Овощи!$A$240:$BD$254,56,)</f>
        <v>116.13000000000002</v>
      </c>
      <c r="V332" s="106">
        <f>VLOOKUP(A332,[26]Овощи!$A$240:$BO$254,67,)</f>
        <v>129.28</v>
      </c>
      <c r="W332" s="148">
        <f>VLOOKUP(A332,[26]Овощи!$A$240:$BZ$254,78,)</f>
        <v>120.51000000000002</v>
      </c>
      <c r="X332" s="92">
        <f>VLOOKUP(A332,[26]Бахчевые!$A$240:$L$254,12,)</f>
        <v>124.76773999999997</v>
      </c>
      <c r="Y332" s="123">
        <f>VLOOKUP(A332,[26]Бахчевые!$A$240:$W$254,23,)</f>
        <v>121.62492999999999</v>
      </c>
    </row>
    <row r="333" spans="1:25">
      <c r="A333" s="145" t="s">
        <v>213</v>
      </c>
      <c r="B333" s="115">
        <f>VLOOKUP(A333,[26]Зерновые!$A$240:$L$254,12,)</f>
        <v>18.2453</v>
      </c>
      <c r="C333" s="106">
        <f>VLOOKUP(A333,[26]Зерновые!$A$240:$W$254,23,)</f>
        <v>16.36186</v>
      </c>
      <c r="D333" s="106">
        <f>VLOOKUP(A333,[26]Зерновые!$A$240:$AH$254,34,)</f>
        <v>0</v>
      </c>
      <c r="E333" s="93">
        <f>VLOOKUP(A333,[26]Зерновые!$A$240:$AS$254,45,)</f>
        <v>0</v>
      </c>
      <c r="F333" s="96">
        <f>VLOOKUP(A333,[26]Зерновые!$A$240:$BD$254,56,)</f>
        <v>0</v>
      </c>
      <c r="G333" s="106">
        <f>VLOOKUP(A333,[26]Зерновые!$A$240:$BO$254,67,)</f>
        <v>26.451569999999997</v>
      </c>
      <c r="H333" s="148">
        <f>VLOOKUP(A333,[26]Зерновые!$A$240:$BZ$254,78,)</f>
        <v>0</v>
      </c>
      <c r="I333" s="115">
        <f>VLOOKUP(A333,[26]Масличные!$A$240:$L$254,12,)</f>
        <v>14.779999999999998</v>
      </c>
      <c r="J333" s="167">
        <f>VLOOKUP(A333,[26]Масличные!$A$240:$W$254,23,)</f>
        <v>0</v>
      </c>
      <c r="K333" s="167">
        <f>VLOOKUP(A333,[26]Масличные!$A$240:$AH$254,34,)</f>
        <v>0</v>
      </c>
      <c r="L333" s="167">
        <f>VLOOKUP(A333,[26]Масличные!$A$240:$AS$254,45,)</f>
        <v>0</v>
      </c>
      <c r="M333" s="148">
        <f>VLOOKUP(A333,[26]Масличные!$A$240:$BD$254,56,)</f>
        <v>6.85</v>
      </c>
      <c r="N333" s="115">
        <f>VLOOKUP(A333,[26]Бобовые!$A$240:$L$254,12,)</f>
        <v>10.14936</v>
      </c>
      <c r="O333" s="106">
        <f>VLOOKUP(A333,[26]Бобовые!$A$240:$W$254,23,)</f>
        <v>0</v>
      </c>
      <c r="P333" s="106">
        <f>VLOOKUP(A333,[26]Бобовые!$A$240:$AH$254,34,)</f>
        <v>17.744620000000001</v>
      </c>
      <c r="Q333" s="115">
        <f>VLOOKUP(A333,[26]Овощи!$A$240:$L$254,12,)</f>
        <v>158.46</v>
      </c>
      <c r="R333" s="106">
        <f>VLOOKUP(A333,[26]Овощи!$A$240:$W$254,23,)</f>
        <v>217.59</v>
      </c>
      <c r="S333" s="106">
        <f>VLOOKUP(A333,[26]Овощи!$A$240:$AH$254,34,)</f>
        <v>213.00999999999993</v>
      </c>
      <c r="T333" s="106">
        <f>VLOOKUP(A333,[26]Овощи!$A$240:$AS$254,45,)</f>
        <v>197.22</v>
      </c>
      <c r="U333" s="106">
        <f>VLOOKUP(A333,[26]Овощи!$A$240:$BD$254,56,)</f>
        <v>192.82999999999998</v>
      </c>
      <c r="V333" s="106">
        <f>VLOOKUP(A333,[26]Овощи!$A$240:$BO$254,67,)</f>
        <v>209.28000000000003</v>
      </c>
      <c r="W333" s="148">
        <f>VLOOKUP(A333,[26]Овощи!$A$240:$BZ$254,78,)</f>
        <v>195.45999999999998</v>
      </c>
      <c r="X333" s="92">
        <f>VLOOKUP(A333,[26]Бахчевые!$A$240:$L$254,12,)</f>
        <v>172.67549000000002</v>
      </c>
      <c r="Y333" s="123">
        <f>VLOOKUP(A333,[26]Бахчевые!$A$240:$W$254,23,)</f>
        <v>174.04286999999999</v>
      </c>
    </row>
    <row r="334" spans="1:25">
      <c r="A334" s="145" t="s">
        <v>214</v>
      </c>
      <c r="B334" s="115">
        <f>VLOOKUP(A334,[26]Зерновые!$A$240:$L$254,12,)</f>
        <v>29.120429999999999</v>
      </c>
      <c r="C334" s="106">
        <f>VLOOKUP(A334,[26]Зерновые!$A$240:$W$254,23,)</f>
        <v>13.709999999999999</v>
      </c>
      <c r="D334" s="106">
        <f>VLOOKUP(A334,[26]Зерновые!$A$240:$AH$254,34,)</f>
        <v>0</v>
      </c>
      <c r="E334" s="93">
        <f>VLOOKUP(A334,[26]Зерновые!$A$240:$AS$254,45,)</f>
        <v>4.54</v>
      </c>
      <c r="F334" s="96">
        <f>VLOOKUP(A334,[26]Зерновые!$A$240:$BD$254,56,)</f>
        <v>0</v>
      </c>
      <c r="G334" s="106">
        <f>VLOOKUP(A334,[26]Зерновые!$A$240:$BO$254,67,)</f>
        <v>39.570959999999999</v>
      </c>
      <c r="H334" s="148">
        <f>VLOOKUP(A334,[26]Зерновые!$A$240:$BZ$254,78,)</f>
        <v>48.634579999999993</v>
      </c>
      <c r="I334" s="115">
        <f>VLOOKUP(A334,[26]Масличные!$A$240:$L$254,12,)</f>
        <v>22.05</v>
      </c>
      <c r="J334" s="167">
        <f>VLOOKUP(A334,[26]Масличные!$A$240:$W$254,23,)</f>
        <v>0</v>
      </c>
      <c r="K334" s="167">
        <f>VLOOKUP(A334,[26]Масличные!$A$240:$AH$254,34,)</f>
        <v>0</v>
      </c>
      <c r="L334" s="167">
        <f>VLOOKUP(A334,[26]Масличные!$A$240:$AS$254,45,)</f>
        <v>0</v>
      </c>
      <c r="M334" s="148">
        <f>VLOOKUP(A334,[26]Масличные!$A$240:$BD$254,56,)</f>
        <v>0</v>
      </c>
      <c r="N334" s="115">
        <f>VLOOKUP(A334,[26]Бобовые!$A$240:$L$254,12,)</f>
        <v>0</v>
      </c>
      <c r="O334" s="106">
        <f>VLOOKUP(A334,[26]Бобовые!$A$240:$W$254,23,)</f>
        <v>0</v>
      </c>
      <c r="P334" s="106">
        <f>VLOOKUP(A334,[26]Бобовые!$A$240:$AH$254,34,)</f>
        <v>2</v>
      </c>
      <c r="Q334" s="115">
        <f>VLOOKUP(A334,[26]Овощи!$A$240:$L$254,12,)</f>
        <v>131.36000000000001</v>
      </c>
      <c r="R334" s="106">
        <f>VLOOKUP(A334,[26]Овощи!$A$240:$W$254,23,)</f>
        <v>138.39000000000001</v>
      </c>
      <c r="S334" s="106">
        <f>VLOOKUP(A334,[26]Овощи!$A$240:$AH$254,34,)</f>
        <v>119.59999999999998</v>
      </c>
      <c r="T334" s="106">
        <f>VLOOKUP(A334,[26]Овощи!$A$240:$AS$254,45,)</f>
        <v>235.89000000000001</v>
      </c>
      <c r="U334" s="106">
        <f>VLOOKUP(A334,[26]Овощи!$A$240:$BD$254,56,)</f>
        <v>151.45999999999998</v>
      </c>
      <c r="V334" s="106">
        <f>VLOOKUP(A334,[26]Овощи!$A$240:$BO$254,67,)</f>
        <v>224</v>
      </c>
      <c r="W334" s="148">
        <f>VLOOKUP(A334,[26]Овощи!$A$240:$BZ$254,78,)</f>
        <v>60.8</v>
      </c>
      <c r="X334" s="92">
        <f>VLOOKUP(A334,[26]Бахчевые!$A$240:$L$254,12,)</f>
        <v>185.98680000000002</v>
      </c>
      <c r="Y334" s="123">
        <f>VLOOKUP(A334,[26]Бахчевые!$A$240:$W$254,23,)</f>
        <v>192.19373999999999</v>
      </c>
    </row>
    <row r="335" spans="1:25">
      <c r="A335" s="145" t="s">
        <v>215</v>
      </c>
      <c r="B335" s="115">
        <f>VLOOKUP(A335,[26]Зерновые!$A$240:$L$254,12,)</f>
        <v>14.269990000000002</v>
      </c>
      <c r="C335" s="106">
        <f>VLOOKUP(A335,[26]Зерновые!$A$240:$W$254,23,)</f>
        <v>9.0514699999999984</v>
      </c>
      <c r="D335" s="106">
        <f>VLOOKUP(A335,[26]Зерновые!$A$240:$AH$254,34,)</f>
        <v>0</v>
      </c>
      <c r="E335" s="93">
        <f>VLOOKUP(A335,[26]Зерновые!$A$240:$AS$254,45,)</f>
        <v>0</v>
      </c>
      <c r="F335" s="96">
        <f>VLOOKUP(A335,[26]Зерновые!$A$240:$BD$254,56,)</f>
        <v>0</v>
      </c>
      <c r="G335" s="106">
        <f>VLOOKUP(A335,[26]Зерновые!$A$240:$BO$254,67,)</f>
        <v>38.793499999999995</v>
      </c>
      <c r="H335" s="148">
        <f>VLOOKUP(A335,[26]Зерновые!$A$240:$BZ$254,78,)</f>
        <v>0</v>
      </c>
      <c r="I335" s="115">
        <f>VLOOKUP(A335,[26]Масличные!$A$240:$L$254,12,)</f>
        <v>12.9</v>
      </c>
      <c r="J335" s="167">
        <f>VLOOKUP(A335,[26]Масличные!$A$240:$W$254,23,)</f>
        <v>0</v>
      </c>
      <c r="K335" s="167">
        <f>VLOOKUP(A335,[26]Масличные!$A$240:$AH$254,34,)</f>
        <v>0</v>
      </c>
      <c r="L335" s="167">
        <f>VLOOKUP(A335,[26]Масличные!$A$240:$AS$254,45,)</f>
        <v>0</v>
      </c>
      <c r="M335" s="148">
        <f>VLOOKUP(A335,[26]Масличные!$A$240:$BD$254,56,)</f>
        <v>3.87</v>
      </c>
      <c r="N335" s="115">
        <f>VLOOKUP(A335,[26]Бобовые!$A$240:$L$254,12,)</f>
        <v>0</v>
      </c>
      <c r="O335" s="106">
        <f>VLOOKUP(A335,[26]Бобовые!$A$240:$W$254,23,)</f>
        <v>0</v>
      </c>
      <c r="P335" s="106">
        <f>VLOOKUP(A335,[26]Бобовые!$A$240:$AH$254,34,)</f>
        <v>0</v>
      </c>
      <c r="Q335" s="115">
        <f>VLOOKUP(A335,[26]Овощи!$A$240:$L$254,12,)</f>
        <v>176.39</v>
      </c>
      <c r="R335" s="106">
        <f>VLOOKUP(A335,[26]Овощи!$A$240:$W$254,23,)</f>
        <v>225.36999999999998</v>
      </c>
      <c r="S335" s="106">
        <f>VLOOKUP(A335,[26]Овощи!$A$240:$AH$254,34,)</f>
        <v>189.44</v>
      </c>
      <c r="T335" s="106">
        <f>VLOOKUP(A335,[26]Овощи!$A$240:$AS$254,45,)</f>
        <v>176.64999999999998</v>
      </c>
      <c r="U335" s="106">
        <f>VLOOKUP(A335,[26]Овощи!$A$240:$BD$254,56,)</f>
        <v>187.29999999999998</v>
      </c>
      <c r="V335" s="106">
        <f>VLOOKUP(A335,[26]Овощи!$A$240:$BO$254,67,)</f>
        <v>200.36999999999995</v>
      </c>
      <c r="W335" s="148">
        <f>VLOOKUP(A335,[26]Овощи!$A$240:$BZ$254,78,)</f>
        <v>1.5</v>
      </c>
      <c r="X335" s="92">
        <f>VLOOKUP(A335,[26]Бахчевые!$A$240:$L$254,12,)</f>
        <v>184.15987999999999</v>
      </c>
      <c r="Y335" s="123">
        <f>VLOOKUP(A335,[26]Бахчевые!$A$240:$W$254,23,)</f>
        <v>98.667190000000019</v>
      </c>
    </row>
    <row r="336" spans="1:25">
      <c r="A336" s="145" t="s">
        <v>216</v>
      </c>
      <c r="B336" s="115">
        <f>VLOOKUP(A336,[26]Зерновые!$A$240:$L$254,12,)</f>
        <v>5.7542900000000001</v>
      </c>
      <c r="C336" s="106">
        <f>VLOOKUP(A336,[26]Зерновые!$A$240:$W$254,23,)</f>
        <v>0</v>
      </c>
      <c r="D336" s="106">
        <f>VLOOKUP(A336,[26]Зерновые!$A$240:$AH$254,34,)</f>
        <v>0</v>
      </c>
      <c r="E336" s="93">
        <f>VLOOKUP(A336,[26]Зерновые!$A$240:$AS$254,45,)</f>
        <v>14.361789999999999</v>
      </c>
      <c r="F336" s="96">
        <f>VLOOKUP(A336,[26]Зерновые!$A$240:$BD$254,56,)</f>
        <v>0</v>
      </c>
      <c r="G336" s="106">
        <f>VLOOKUP(A336,[26]Зерновые!$A$240:$BO$254,67,)</f>
        <v>40.67492</v>
      </c>
      <c r="H336" s="148">
        <f>VLOOKUP(A336,[26]Зерновые!$A$240:$BZ$254,78,)</f>
        <v>0</v>
      </c>
      <c r="I336" s="115">
        <f>VLOOKUP(A336,[26]Масличные!$A$240:$L$254,12,)</f>
        <v>15.4</v>
      </c>
      <c r="J336" s="167">
        <f>VLOOKUP(A336,[26]Масличные!$A$240:$W$254,23,)</f>
        <v>0</v>
      </c>
      <c r="K336" s="167">
        <f>VLOOKUP(A336,[26]Масличные!$A$240:$AH$254,34,)</f>
        <v>0</v>
      </c>
      <c r="L336" s="167">
        <f>VLOOKUP(A336,[26]Масличные!$A$240:$AS$254,45,)</f>
        <v>0</v>
      </c>
      <c r="M336" s="148">
        <f>VLOOKUP(A336,[26]Масличные!$A$240:$BD$254,56,)</f>
        <v>0</v>
      </c>
      <c r="N336" s="115">
        <f>VLOOKUP(A336,[26]Бобовые!$A$240:$L$254,12,)</f>
        <v>0</v>
      </c>
      <c r="O336" s="106">
        <f>VLOOKUP(A336,[26]Бобовые!$A$240:$W$254,23,)</f>
        <v>0</v>
      </c>
      <c r="P336" s="106">
        <f>VLOOKUP(A336,[26]Бобовые!$A$240:$AH$254,34,)</f>
        <v>0</v>
      </c>
      <c r="Q336" s="115">
        <f>VLOOKUP(A336,[26]Овощи!$A$240:$L$254,12,)</f>
        <v>76.680000000000007</v>
      </c>
      <c r="R336" s="106">
        <f>VLOOKUP(A336,[26]Овощи!$A$240:$W$254,23,)</f>
        <v>117.42000000000003</v>
      </c>
      <c r="S336" s="106">
        <f>VLOOKUP(A336,[26]Овощи!$A$240:$AH$254,34,)</f>
        <v>104.44000000000001</v>
      </c>
      <c r="T336" s="106">
        <f>VLOOKUP(A336,[26]Овощи!$A$240:$AS$254,45,)</f>
        <v>110.68999999999998</v>
      </c>
      <c r="U336" s="106">
        <f>VLOOKUP(A336,[26]Овощи!$A$240:$BD$254,56,)</f>
        <v>109.03999999999999</v>
      </c>
      <c r="V336" s="106">
        <f>VLOOKUP(A336,[26]Овощи!$A$240:$BO$254,67,)</f>
        <v>112.38</v>
      </c>
      <c r="W336" s="148">
        <f>VLOOKUP(A336,[26]Овощи!$A$240:$BZ$254,78,)</f>
        <v>12</v>
      </c>
      <c r="X336" s="92">
        <f>VLOOKUP(A336,[26]Бахчевые!$A$240:$L$254,12,)</f>
        <v>119.65622</v>
      </c>
      <c r="Y336" s="123">
        <f>VLOOKUP(A336,[26]Бахчевые!$A$240:$W$254,23,)</f>
        <v>120.21186</v>
      </c>
    </row>
    <row r="337" spans="1:25">
      <c r="A337" s="145" t="s">
        <v>217</v>
      </c>
      <c r="B337" s="115">
        <f>VLOOKUP(A337,[26]Зерновые!$A$240:$L$254,12,)</f>
        <v>17.319389999999999</v>
      </c>
      <c r="C337" s="106">
        <f>VLOOKUP(A337,[26]Зерновые!$A$240:$W$254,23,)</f>
        <v>11.466929999999998</v>
      </c>
      <c r="D337" s="106">
        <f>VLOOKUP(A337,[26]Зерновые!$A$240:$AH$254,34,)</f>
        <v>3.4</v>
      </c>
      <c r="E337" s="93">
        <f>VLOOKUP(A337,[26]Зерновые!$A$240:$AS$254,45,)</f>
        <v>0</v>
      </c>
      <c r="F337" s="96">
        <f>VLOOKUP(A337,[26]Зерновые!$A$240:$BD$254,56,)</f>
        <v>0</v>
      </c>
      <c r="G337" s="106">
        <f>VLOOKUP(A337,[26]Зерновые!$A$240:$BO$254,67,)</f>
        <v>24.369999999999997</v>
      </c>
      <c r="H337" s="148">
        <f>VLOOKUP(A337,[26]Зерновые!$A$240:$BZ$254,78,)</f>
        <v>0</v>
      </c>
      <c r="I337" s="115">
        <f>VLOOKUP(A337,[26]Масличные!$A$240:$L$254,12,)</f>
        <v>16.490000000000002</v>
      </c>
      <c r="J337" s="167">
        <f>VLOOKUP(A337,[26]Масличные!$A$240:$W$254,23,)</f>
        <v>0</v>
      </c>
      <c r="K337" s="167">
        <f>VLOOKUP(A337,[26]Масличные!$A$240:$AH$254,34,)</f>
        <v>0</v>
      </c>
      <c r="L337" s="167">
        <f>VLOOKUP(A337,[26]Масличные!$A$240:$AS$254,45,)</f>
        <v>0</v>
      </c>
      <c r="M337" s="148">
        <f>VLOOKUP(A337,[26]Масличные!$A$240:$BD$254,56,)</f>
        <v>7.3900000000000006</v>
      </c>
      <c r="N337" s="115">
        <f>VLOOKUP(A337,[26]Бобовые!$A$240:$L$254,12,)</f>
        <v>18.339729999999999</v>
      </c>
      <c r="O337" s="106">
        <f>VLOOKUP(A337,[26]Бобовые!$A$240:$W$254,23,)</f>
        <v>0</v>
      </c>
      <c r="P337" s="106">
        <f>VLOOKUP(A337,[26]Бобовые!$A$240:$AH$254,34,)</f>
        <v>27.237020000000001</v>
      </c>
      <c r="Q337" s="115">
        <f>VLOOKUP(A337,[26]Овощи!$A$240:$L$254,12,)</f>
        <v>160.48999999999998</v>
      </c>
      <c r="R337" s="106">
        <f>VLOOKUP(A337,[26]Овощи!$A$240:$W$254,23,)</f>
        <v>259.97000000000003</v>
      </c>
      <c r="S337" s="106">
        <f>VLOOKUP(A337,[26]Овощи!$A$240:$AH$254,34,)</f>
        <v>261.20999999999998</v>
      </c>
      <c r="T337" s="106">
        <f>VLOOKUP(A337,[26]Овощи!$A$240:$AS$254,45,)</f>
        <v>234.16</v>
      </c>
      <c r="U337" s="106">
        <f>VLOOKUP(A337,[26]Овощи!$A$240:$BD$254,56,)</f>
        <v>226.57000000000002</v>
      </c>
      <c r="V337" s="106">
        <f>VLOOKUP(A337,[26]Овощи!$A$240:$BO$254,67,)</f>
        <v>286.55000000000007</v>
      </c>
      <c r="W337" s="148">
        <f>VLOOKUP(A337,[26]Овощи!$A$240:$BZ$254,78,)</f>
        <v>242.63000000000002</v>
      </c>
      <c r="X337" s="92">
        <f>VLOOKUP(A337,[26]Бахчевые!$A$240:$L$254,12,)</f>
        <v>222.39425999999997</v>
      </c>
      <c r="Y337" s="123">
        <f>VLOOKUP(A337,[26]Бахчевые!$A$240:$W$254,23,)</f>
        <v>5.8</v>
      </c>
    </row>
    <row r="338" spans="1:25">
      <c r="A338" s="145" t="s">
        <v>218</v>
      </c>
      <c r="B338" s="115">
        <f>VLOOKUP(A338,[26]Зерновые!$A$240:$L$254,12,)</f>
        <v>9.6367600000000007</v>
      </c>
      <c r="C338" s="106">
        <f>VLOOKUP(A338,[26]Зерновые!$A$240:$W$254,23,)</f>
        <v>8.5790600000000019</v>
      </c>
      <c r="D338" s="106">
        <f>VLOOKUP(A338,[26]Зерновые!$A$240:$AH$254,34,)</f>
        <v>1.04</v>
      </c>
      <c r="E338" s="93">
        <f>VLOOKUP(A338,[26]Зерновые!$A$240:$AS$254,45,)</f>
        <v>0</v>
      </c>
      <c r="F338" s="96">
        <f>VLOOKUP(A338,[26]Зерновые!$A$240:$BD$254,56,)</f>
        <v>0</v>
      </c>
      <c r="G338" s="106">
        <f>VLOOKUP(A338,[26]Зерновые!$A$240:$BO$254,67,)</f>
        <v>35.882689999999997</v>
      </c>
      <c r="H338" s="148">
        <f>VLOOKUP(A338,[26]Зерновые!$A$240:$BZ$254,78,)</f>
        <v>0</v>
      </c>
      <c r="I338" s="115">
        <f>VLOOKUP(A338,[26]Масличные!$A$240:$L$254,12,)</f>
        <v>16.87</v>
      </c>
      <c r="J338" s="167">
        <f>VLOOKUP(A338,[26]Масличные!$A$240:$W$254,23,)</f>
        <v>0</v>
      </c>
      <c r="K338" s="167">
        <f>VLOOKUP(A338,[26]Масличные!$A$240:$AH$254,34,)</f>
        <v>0</v>
      </c>
      <c r="L338" s="167">
        <f>VLOOKUP(A338,[26]Масличные!$A$240:$AS$254,45,)</f>
        <v>0</v>
      </c>
      <c r="M338" s="148">
        <f>VLOOKUP(A338,[26]Масличные!$A$240:$BD$254,56,)</f>
        <v>4.24</v>
      </c>
      <c r="N338" s="115">
        <f>VLOOKUP(A338,[26]Бобовые!$A$240:$L$254,12,)</f>
        <v>2.9699999999999998</v>
      </c>
      <c r="O338" s="106">
        <f>VLOOKUP(A338,[26]Бобовые!$A$240:$W$254,23,)</f>
        <v>9.3627099999999999</v>
      </c>
      <c r="P338" s="106">
        <f>VLOOKUP(A338,[26]Бобовые!$A$240:$AH$254,34,)</f>
        <v>7.06</v>
      </c>
      <c r="Q338" s="115">
        <f>VLOOKUP(A338,[26]Овощи!$A$240:$L$254,12,)</f>
        <v>184.91000000000003</v>
      </c>
      <c r="R338" s="106">
        <f>VLOOKUP(A338,[26]Овощи!$A$240:$W$254,23,)</f>
        <v>219.98000000000002</v>
      </c>
      <c r="S338" s="106">
        <f>VLOOKUP(A338,[26]Овощи!$A$240:$AH$254,34,)</f>
        <v>193.60000000000002</v>
      </c>
      <c r="T338" s="106">
        <f>VLOOKUP(A338,[26]Овощи!$A$240:$AS$254,45,)</f>
        <v>222.42</v>
      </c>
      <c r="U338" s="106">
        <f>VLOOKUP(A338,[26]Овощи!$A$240:$BD$254,56,)</f>
        <v>158.52000000000001</v>
      </c>
      <c r="V338" s="106">
        <f>VLOOKUP(A338,[26]Овощи!$A$240:$BO$254,67,)</f>
        <v>200.01</v>
      </c>
      <c r="W338" s="148">
        <f>VLOOKUP(A338,[26]Овощи!$A$240:$BZ$254,78,)</f>
        <v>134.24999999999997</v>
      </c>
      <c r="X338" s="92">
        <f>VLOOKUP(A338,[26]Бахчевые!$A$240:$L$254,12,)</f>
        <v>199.63705999999996</v>
      </c>
      <c r="Y338" s="123">
        <f>VLOOKUP(A338,[26]Бахчевые!$A$240:$W$254,23,)</f>
        <v>183.14125000000001</v>
      </c>
    </row>
    <row r="339" spans="1:25">
      <c r="A339" s="146" t="s">
        <v>219</v>
      </c>
      <c r="B339" s="115">
        <f>VLOOKUP(A339,[26]Зерновые!$A$240:$L$254,12,)</f>
        <v>10.256400000000001</v>
      </c>
      <c r="C339" s="106">
        <f>VLOOKUP(A339,[26]Зерновые!$A$240:$W$254,23,)</f>
        <v>6.4794699999999992</v>
      </c>
      <c r="D339" s="106">
        <f>VLOOKUP(A339,[26]Зерновые!$A$240:$AH$254,34,)</f>
        <v>0</v>
      </c>
      <c r="E339" s="93">
        <f>VLOOKUP(A339,[26]Зерновые!$A$240:$AS$254,45,)</f>
        <v>0</v>
      </c>
      <c r="F339" s="96">
        <f>VLOOKUP(A339,[26]Зерновые!$A$240:$BD$254,56,)</f>
        <v>0</v>
      </c>
      <c r="G339" s="106">
        <f>VLOOKUP(A339,[26]Зерновые!$A$240:$BO$254,67,)</f>
        <v>34.504129999999996</v>
      </c>
      <c r="H339" s="148">
        <f>VLOOKUP(A339,[26]Зерновые!$A$240:$BZ$254,78,)</f>
        <v>0</v>
      </c>
      <c r="I339" s="115">
        <f>VLOOKUP(A339,[26]Масличные!$A$240:$L$254,12,)</f>
        <v>2.29</v>
      </c>
      <c r="J339" s="167">
        <f>VLOOKUP(A339,[26]Масличные!$A$240:$W$254,23,)</f>
        <v>0</v>
      </c>
      <c r="K339" s="167">
        <f>VLOOKUP(A339,[26]Масличные!$A$240:$AH$254,34,)</f>
        <v>0</v>
      </c>
      <c r="L339" s="167">
        <f>VLOOKUP(A339,[26]Масличные!$A$240:$AS$254,45,)</f>
        <v>0</v>
      </c>
      <c r="M339" s="148">
        <f>VLOOKUP(A339,[26]Масличные!$A$240:$BD$254,56,)</f>
        <v>4.01</v>
      </c>
      <c r="N339" s="115">
        <f>VLOOKUP(A339,[26]Бобовые!$A$240:$L$254,12,)</f>
        <v>0</v>
      </c>
      <c r="O339" s="106">
        <f>VLOOKUP(A339,[26]Бобовые!$A$240:$W$254,23,)</f>
        <v>0</v>
      </c>
      <c r="P339" s="106">
        <f>VLOOKUP(A339,[26]Бобовые!$A$240:$AH$254,34,)</f>
        <v>0</v>
      </c>
      <c r="Q339" s="115">
        <f>VLOOKUP(A339,[26]Овощи!$A$240:$L$254,12,)</f>
        <v>103.17999999999999</v>
      </c>
      <c r="R339" s="106">
        <f>VLOOKUP(A339,[26]Овощи!$A$240:$W$254,23,)</f>
        <v>102.97999999999999</v>
      </c>
      <c r="S339" s="106">
        <f>VLOOKUP(A339,[26]Овощи!$A$240:$AH$254,34,)</f>
        <v>105.1</v>
      </c>
      <c r="T339" s="106">
        <f>VLOOKUP(A339,[26]Овощи!$A$240:$AS$254,45,)</f>
        <v>102.35999999999999</v>
      </c>
      <c r="U339" s="106">
        <f>VLOOKUP(A339,[26]Овощи!$A$240:$BD$254,56,)</f>
        <v>102.82000000000001</v>
      </c>
      <c r="V339" s="106">
        <f>VLOOKUP(A339,[26]Овощи!$A$240:$BO$254,67,)</f>
        <v>105.76999999999998</v>
      </c>
      <c r="W339" s="148">
        <f>VLOOKUP(A339,[26]Овощи!$A$240:$BZ$254,78,)</f>
        <v>0.89</v>
      </c>
      <c r="X339" s="92">
        <f>VLOOKUP(A339,[26]Бахчевые!$A$240:$L$254,12,)</f>
        <v>103.35642</v>
      </c>
      <c r="Y339" s="123">
        <f>VLOOKUP(A339,[26]Бахчевые!$A$240:$W$254,23,)</f>
        <v>100.64242999999998</v>
      </c>
    </row>
    <row r="340" spans="1:25">
      <c r="A340" s="145" t="s">
        <v>220</v>
      </c>
      <c r="B340" s="115">
        <f>VLOOKUP(A340,[26]Зерновые!$A$240:$L$254,12,)</f>
        <v>16.985679999999999</v>
      </c>
      <c r="C340" s="106">
        <f>VLOOKUP(A340,[26]Зерновые!$A$240:$W$254,23,)</f>
        <v>15.46678</v>
      </c>
      <c r="D340" s="106">
        <f>VLOOKUP(A340,[26]Зерновые!$A$240:$AH$254,34,)</f>
        <v>2</v>
      </c>
      <c r="E340" s="93">
        <f>VLOOKUP(A340,[26]Зерновые!$A$240:$AS$254,45,)</f>
        <v>0</v>
      </c>
      <c r="F340" s="96">
        <f>VLOOKUP(A340,[26]Зерновые!$A$240:$BD$254,56,)</f>
        <v>0</v>
      </c>
      <c r="G340" s="106">
        <f>VLOOKUP(A340,[26]Зерновые!$A$240:$BO$254,67,)</f>
        <v>3.3400000000000007</v>
      </c>
      <c r="H340" s="148">
        <f>VLOOKUP(A340,[26]Зерновые!$A$240:$BZ$254,78,)</f>
        <v>0</v>
      </c>
      <c r="I340" s="115">
        <f>VLOOKUP(A340,[26]Масличные!$A$240:$L$254,12,)</f>
        <v>12.739999999999998</v>
      </c>
      <c r="J340" s="167">
        <f>VLOOKUP(A340,[26]Масличные!$A$240:$W$254,23,)</f>
        <v>0</v>
      </c>
      <c r="K340" s="167">
        <f>VLOOKUP(A340,[26]Масличные!$A$240:$AH$254,34,)</f>
        <v>0</v>
      </c>
      <c r="L340" s="167">
        <f>VLOOKUP(A340,[26]Масличные!$A$240:$AS$254,45,)</f>
        <v>0</v>
      </c>
      <c r="M340" s="148">
        <f>VLOOKUP(A340,[26]Масличные!$A$240:$BD$254,56,)</f>
        <v>8.74</v>
      </c>
      <c r="N340" s="115">
        <f>VLOOKUP(A340,[26]Бобовые!$A$240:$L$254,12,)</f>
        <v>4.7200000000000006</v>
      </c>
      <c r="O340" s="106">
        <f>VLOOKUP(A340,[26]Бобовые!$A$240:$W$254,23,)</f>
        <v>0</v>
      </c>
      <c r="P340" s="106">
        <f>VLOOKUP(A340,[26]Бобовые!$A$240:$AH$254,34,)</f>
        <v>2.66</v>
      </c>
      <c r="Q340" s="115">
        <f>VLOOKUP(A340,[26]Овощи!$A$240:$L$254,12,)</f>
        <v>160.80000000000001</v>
      </c>
      <c r="R340" s="106">
        <f>VLOOKUP(A340,[26]Овощи!$A$240:$W$254,23,)</f>
        <v>169.35999999999999</v>
      </c>
      <c r="S340" s="106">
        <f>VLOOKUP(A340,[26]Овощи!$A$240:$AH$254,34,)</f>
        <v>172.59</v>
      </c>
      <c r="T340" s="106">
        <f>VLOOKUP(A340,[26]Овощи!$A$240:$AS$254,45,)</f>
        <v>180.83999999999997</v>
      </c>
      <c r="U340" s="106">
        <f>VLOOKUP(A340,[26]Овощи!$A$240:$BD$254,56,)</f>
        <v>174.92000000000002</v>
      </c>
      <c r="V340" s="106">
        <f>VLOOKUP(A340,[26]Овощи!$A$240:$BO$254,67,)</f>
        <v>198.67000000000002</v>
      </c>
      <c r="W340" s="148">
        <f>VLOOKUP(A340,[26]Овощи!$A$240:$BZ$254,78,)</f>
        <v>174.35999999999999</v>
      </c>
      <c r="X340" s="92">
        <f>VLOOKUP(A340,[26]Бахчевые!$A$240:$L$254,12,)</f>
        <v>20</v>
      </c>
      <c r="Y340" s="123">
        <f>VLOOKUP(A340,[26]Бахчевые!$A$240:$W$254,23,)</f>
        <v>20</v>
      </c>
    </row>
    <row r="341" spans="1:25">
      <c r="A341" s="145" t="s">
        <v>221</v>
      </c>
      <c r="B341" s="115">
        <f>VLOOKUP(A341,[26]Зерновые!$A$240:$L$254,12,)</f>
        <v>17.63467</v>
      </c>
      <c r="C341" s="106">
        <f>VLOOKUP(A341,[26]Зерновые!$A$240:$W$254,23,)</f>
        <v>15.761199999999999</v>
      </c>
      <c r="D341" s="106">
        <f>VLOOKUP(A341,[26]Зерновые!$A$240:$AH$254,34,)</f>
        <v>0</v>
      </c>
      <c r="E341" s="93">
        <f>VLOOKUP(A341,[26]Зерновые!$A$240:$AS$254,45,)</f>
        <v>44.18056</v>
      </c>
      <c r="F341" s="96">
        <f>VLOOKUP(A341,[26]Зерновые!$A$240:$BD$254,56,)</f>
        <v>0</v>
      </c>
      <c r="G341" s="106">
        <f>VLOOKUP(A341,[26]Зерновые!$A$240:$BO$254,67,)</f>
        <v>43.051249999999996</v>
      </c>
      <c r="H341" s="148">
        <f>VLOOKUP(A341,[26]Зерновые!$A$240:$BZ$254,78,)</f>
        <v>0</v>
      </c>
      <c r="I341" s="115">
        <f>VLOOKUP(A341,[26]Масличные!$A$240:$L$254,12,)</f>
        <v>16.259999999999998</v>
      </c>
      <c r="J341" s="167">
        <f>VLOOKUP(A341,[26]Масличные!$A$240:$W$254,23,)</f>
        <v>0</v>
      </c>
      <c r="K341" s="167">
        <f>VLOOKUP(A341,[26]Масличные!$A$240:$AH$254,34,)</f>
        <v>0</v>
      </c>
      <c r="L341" s="167">
        <f>VLOOKUP(A341,[26]Масличные!$A$240:$AS$254,45,)</f>
        <v>0</v>
      </c>
      <c r="M341" s="148">
        <f>VLOOKUP(A341,[26]Масличные!$A$240:$BD$254,56,)</f>
        <v>8.4599999999999991</v>
      </c>
      <c r="N341" s="115">
        <f>VLOOKUP(A341,[26]Бобовые!$A$240:$L$254,12,)</f>
        <v>0</v>
      </c>
      <c r="O341" s="106">
        <f>VLOOKUP(A341,[26]Бобовые!$A$240:$W$254,23,)</f>
        <v>23.93</v>
      </c>
      <c r="P341" s="106">
        <f>VLOOKUP(A341,[26]Бобовые!$A$240:$AH$254,34,)</f>
        <v>23.659999999999997</v>
      </c>
      <c r="Q341" s="115">
        <f>VLOOKUP(A341,[26]Овощи!$A$240:$L$254,12,)</f>
        <v>144.46999999999997</v>
      </c>
      <c r="R341" s="106">
        <f>VLOOKUP(A341,[26]Овощи!$A$240:$W$254,23,)</f>
        <v>244.72000000000003</v>
      </c>
      <c r="S341" s="106">
        <f>VLOOKUP(A341,[26]Овощи!$A$240:$AH$254,34,)</f>
        <v>244.41</v>
      </c>
      <c r="T341" s="106">
        <f>VLOOKUP(A341,[26]Овощи!$A$240:$AS$254,45,)</f>
        <v>257.33000000000004</v>
      </c>
      <c r="U341" s="106">
        <f>VLOOKUP(A341,[26]Овощи!$A$240:$BD$254,56,)</f>
        <v>233.21999999999994</v>
      </c>
      <c r="V341" s="106">
        <f>VLOOKUP(A341,[26]Овощи!$A$240:$BO$254,67,)</f>
        <v>282.18</v>
      </c>
      <c r="W341" s="148">
        <f>VLOOKUP(A341,[26]Овощи!$A$240:$BZ$254,78,)</f>
        <v>242.31</v>
      </c>
      <c r="X341" s="92">
        <f>VLOOKUP(A341,[26]Бахчевые!$A$240:$L$254,12,)</f>
        <v>233.69</v>
      </c>
      <c r="Y341" s="123">
        <f>VLOOKUP(A341,[26]Бахчевые!$A$240:$W$254,23,)</f>
        <v>2</v>
      </c>
    </row>
    <row r="342" spans="1:25" ht="13.8" thickBot="1">
      <c r="A342" s="147" t="s">
        <v>222</v>
      </c>
      <c r="B342" s="149">
        <f>VLOOKUP(A342,[26]Зерновые!$A$240:$L$254,12,)</f>
        <v>22.050940000000001</v>
      </c>
      <c r="C342" s="150">
        <f>VLOOKUP(A342,[26]Зерновые!$A$240:$W$254,23,)</f>
        <v>21.822939999999999</v>
      </c>
      <c r="D342" s="150">
        <f>VLOOKUP(A342,[26]Зерновые!$A$240:$AH$254,34,)</f>
        <v>0</v>
      </c>
      <c r="E342" s="99">
        <f>VLOOKUP(A342,[26]Зерновые!$A$240:$AS$254,45,)</f>
        <v>0</v>
      </c>
      <c r="F342" s="103">
        <f>VLOOKUP(A342,[26]Зерновые!$A$240:$BD$254,56,)</f>
        <v>0</v>
      </c>
      <c r="G342" s="150">
        <f>VLOOKUP(A342,[26]Зерновые!$A$240:$BO$254,67,)</f>
        <v>32.980419999999995</v>
      </c>
      <c r="H342" s="151">
        <f>VLOOKUP(A342,[26]Зерновые!$A$240:$BZ$254,78,)</f>
        <v>43.67163</v>
      </c>
      <c r="I342" s="149">
        <f>VLOOKUP(A342,[26]Масличные!$A$240:$L$254,12,)</f>
        <v>16.800000000000004</v>
      </c>
      <c r="J342" s="168">
        <f>VLOOKUP(A342,[26]Масличные!$A$240:$W$254,23,)</f>
        <v>0</v>
      </c>
      <c r="K342" s="168">
        <f>VLOOKUP(A342,[26]Масличные!$A$240:$AH$254,34,)</f>
        <v>0</v>
      </c>
      <c r="L342" s="168">
        <f>VLOOKUP(A342,[26]Масличные!$A$240:$AS$254,45,)</f>
        <v>0</v>
      </c>
      <c r="M342" s="151">
        <f>VLOOKUP(A342,[26]Масличные!$A$240:$BD$254,56,)</f>
        <v>1.94</v>
      </c>
      <c r="N342" s="149">
        <f>VLOOKUP(A342,[26]Бобовые!$A$240:$L$254,12,)</f>
        <v>0</v>
      </c>
      <c r="O342" s="150">
        <f>VLOOKUP(A342,[26]Бобовые!$A$240:$W$254,23,)</f>
        <v>0</v>
      </c>
      <c r="P342" s="150">
        <f>VLOOKUP(A342,[26]Бобовые!$A$240:$AH$254,34,)</f>
        <v>0</v>
      </c>
      <c r="Q342" s="149">
        <f>VLOOKUP(A342,[26]Овощи!$A$240:$L$254,12,)</f>
        <v>130.96999999999997</v>
      </c>
      <c r="R342" s="150">
        <f>VLOOKUP(A342,[26]Овощи!$A$240:$W$254,23,)</f>
        <v>170.69</v>
      </c>
      <c r="S342" s="150">
        <f>VLOOKUP(A342,[26]Овощи!$A$240:$AH$254,34,)</f>
        <v>155.72</v>
      </c>
      <c r="T342" s="150">
        <f>VLOOKUP(A342,[26]Овощи!$A$240:$AS$254,45,)</f>
        <v>69.2</v>
      </c>
      <c r="U342" s="150">
        <f>VLOOKUP(A342,[26]Овощи!$A$240:$BD$254,56,)</f>
        <v>163.74999999999997</v>
      </c>
      <c r="V342" s="150">
        <f>VLOOKUP(A342,[26]Овощи!$A$240:$BO$254,67,)</f>
        <v>169.70999999999998</v>
      </c>
      <c r="W342" s="151">
        <f>VLOOKUP(A342,[26]Овощи!$A$240:$BZ$254,78,)</f>
        <v>18</v>
      </c>
      <c r="X342" s="98">
        <f>VLOOKUP(A342,[26]Бахчевые!$A$240:$L$254,12,)</f>
        <v>210.85407000000001</v>
      </c>
      <c r="Y342" s="124">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 ref="A326:A327"/>
    <mergeCell ref="A303:A304"/>
    <mergeCell ref="A280:A281"/>
    <mergeCell ref="A257:A258"/>
    <mergeCell ref="A234:A235"/>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N142:P142"/>
    <mergeCell ref="Q142:W142"/>
    <mergeCell ref="X142:Y142"/>
    <mergeCell ref="I165:M165"/>
    <mergeCell ref="N165:P165"/>
    <mergeCell ref="Q165:W165"/>
    <mergeCell ref="X165:Y165"/>
    <mergeCell ref="I188:M188"/>
    <mergeCell ref="N188:P188"/>
    <mergeCell ref="Q188:W188"/>
    <mergeCell ref="X188:Y188"/>
    <mergeCell ref="I211:M211"/>
    <mergeCell ref="N211:P211"/>
    <mergeCell ref="Q211:W211"/>
    <mergeCell ref="X211:Y211"/>
    <mergeCell ref="I234:M234"/>
    <mergeCell ref="N234:P234"/>
    <mergeCell ref="Q234:W234"/>
    <mergeCell ref="X234:Y234"/>
    <mergeCell ref="I257:M257"/>
    <mergeCell ref="N257:P257"/>
    <mergeCell ref="Q257:W257"/>
    <mergeCell ref="X257:Y257"/>
    <mergeCell ref="I326:M326"/>
    <mergeCell ref="N326:P326"/>
    <mergeCell ref="Q326:W326"/>
    <mergeCell ref="X326:Y326"/>
    <mergeCell ref="I280:M280"/>
    <mergeCell ref="N280:P280"/>
    <mergeCell ref="Q280:W280"/>
    <mergeCell ref="X280:Y280"/>
    <mergeCell ref="I303:M303"/>
    <mergeCell ref="N303:P303"/>
    <mergeCell ref="Q303:W303"/>
    <mergeCell ref="X303:Y30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14"/>
  <sheetViews>
    <sheetView workbookViewId="0">
      <selection activeCell="G36" sqref="G36"/>
    </sheetView>
  </sheetViews>
  <sheetFormatPr defaultRowHeight="13.2"/>
  <cols>
    <col min="1" max="1" width="19" bestFit="1" customWidth="1"/>
    <col min="2" max="2" width="10.5546875" bestFit="1" customWidth="1"/>
    <col min="4" max="4" width="4" customWidth="1"/>
    <col min="6" max="6" width="4.44140625" customWidth="1"/>
    <col min="7" max="7" width="15" customWidth="1"/>
    <col min="8" max="8" width="4" customWidth="1"/>
    <col min="9" max="9" width="16.5546875" customWidth="1"/>
    <col min="10" max="10" width="21" customWidth="1"/>
    <col min="11" max="11" width="15.6640625" customWidth="1"/>
    <col min="12" max="12" width="3.5546875" customWidth="1"/>
    <col min="13" max="14" width="10" customWidth="1"/>
    <col min="15" max="15" width="16.109375" bestFit="1" customWidth="1"/>
  </cols>
  <sheetData>
    <row r="4" spans="1:15" ht="13.8" thickBot="1"/>
    <row r="5" spans="1:15">
      <c r="A5" s="490"/>
      <c r="B5" s="491"/>
      <c r="C5" s="491"/>
      <c r="D5" s="491"/>
      <c r="E5" s="491"/>
      <c r="F5" s="491"/>
      <c r="G5" s="491"/>
      <c r="H5" s="491"/>
      <c r="I5" s="491"/>
      <c r="J5" s="491"/>
      <c r="K5" s="491"/>
      <c r="L5" s="491"/>
      <c r="M5" s="491"/>
      <c r="N5" s="491"/>
      <c r="O5" s="492"/>
    </row>
    <row r="6" spans="1:15" ht="39.6">
      <c r="A6" s="501" t="s">
        <v>809</v>
      </c>
      <c r="B6" s="502" t="s">
        <v>803</v>
      </c>
      <c r="C6" s="495" t="s">
        <v>804</v>
      </c>
      <c r="D6" s="495"/>
      <c r="E6" s="495" t="s">
        <v>812</v>
      </c>
      <c r="F6" s="495"/>
      <c r="G6" s="495" t="s">
        <v>810</v>
      </c>
      <c r="H6" s="495"/>
      <c r="I6" s="495" t="s">
        <v>811</v>
      </c>
      <c r="J6" s="495" t="s">
        <v>807</v>
      </c>
      <c r="K6" s="495" t="s">
        <v>805</v>
      </c>
      <c r="L6" s="496"/>
      <c r="M6" s="496" t="s">
        <v>813</v>
      </c>
      <c r="N6" s="496" t="s">
        <v>814</v>
      </c>
      <c r="O6" s="497" t="s">
        <v>806</v>
      </c>
    </row>
    <row r="7" spans="1:15">
      <c r="A7" s="503" t="s">
        <v>801</v>
      </c>
      <c r="B7" s="504"/>
      <c r="C7" s="1"/>
      <c r="D7" s="1"/>
      <c r="E7" s="1"/>
      <c r="F7" s="1"/>
      <c r="G7" s="1"/>
      <c r="H7" s="1"/>
      <c r="I7" s="1"/>
      <c r="J7" s="1"/>
      <c r="K7" s="1"/>
      <c r="L7" s="493"/>
      <c r="M7" s="493"/>
      <c r="N7" s="493"/>
      <c r="O7" s="487"/>
    </row>
    <row r="8" spans="1:15">
      <c r="A8" s="503" t="s">
        <v>802</v>
      </c>
      <c r="B8" s="504"/>
      <c r="C8" s="1"/>
      <c r="D8" s="1"/>
      <c r="E8" s="1"/>
      <c r="F8" s="1"/>
      <c r="G8" s="1"/>
      <c r="H8" s="1"/>
      <c r="I8" s="1"/>
      <c r="J8" s="1"/>
      <c r="K8" s="1"/>
      <c r="L8" s="493"/>
      <c r="M8" s="493"/>
      <c r="N8" s="493"/>
      <c r="O8" s="487"/>
    </row>
    <row r="9" spans="1:15">
      <c r="A9" s="503" t="s">
        <v>800</v>
      </c>
      <c r="B9" s="504"/>
      <c r="C9" s="1"/>
      <c r="D9" s="1"/>
      <c r="E9" s="1"/>
      <c r="F9" s="1"/>
      <c r="G9" s="1"/>
      <c r="H9" s="1"/>
      <c r="I9" s="1"/>
      <c r="J9" s="1"/>
      <c r="K9" s="1"/>
      <c r="L9" s="493"/>
      <c r="M9" s="493"/>
      <c r="N9" s="493"/>
      <c r="O9" s="487"/>
    </row>
    <row r="10" spans="1:15" ht="13.8" thickBot="1">
      <c r="A10" s="505" t="s">
        <v>808</v>
      </c>
      <c r="B10" s="506"/>
      <c r="C10" s="488"/>
      <c r="D10" s="488"/>
      <c r="E10" s="488"/>
      <c r="F10" s="488"/>
      <c r="G10" s="488"/>
      <c r="H10" s="488"/>
      <c r="I10" s="488"/>
      <c r="J10" s="488"/>
      <c r="K10" s="488"/>
      <c r="L10" s="494"/>
      <c r="M10" s="494"/>
      <c r="N10" s="494"/>
      <c r="O10" s="489"/>
    </row>
    <row r="11" spans="1:15">
      <c r="C11" s="507" t="s">
        <v>815</v>
      </c>
      <c r="E11" t="s">
        <v>816</v>
      </c>
      <c r="G11" t="s">
        <v>817</v>
      </c>
      <c r="I11" t="s">
        <v>819</v>
      </c>
      <c r="J11" t="s">
        <v>820</v>
      </c>
      <c r="K11" t="s">
        <v>821</v>
      </c>
      <c r="M11" t="s">
        <v>822</v>
      </c>
      <c r="O11" t="s">
        <v>823</v>
      </c>
    </row>
    <row r="12" spans="1:15">
      <c r="G12" t="s">
        <v>818</v>
      </c>
      <c r="O12" t="s">
        <v>824</v>
      </c>
    </row>
    <row r="13" spans="1:15">
      <c r="O13" t="s">
        <v>825</v>
      </c>
    </row>
    <row r="14" spans="1:15">
      <c r="O14" t="s">
        <v>826</v>
      </c>
    </row>
  </sheetData>
  <pageMargins left="0.70866141732283472" right="0.70866141732283472" top="0.74803149606299213" bottom="0.74803149606299213" header="0.31496062992125984" footer="0.31496062992125984"/>
  <pageSetup paperSize="9" scale="85"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U103"/>
  <sheetViews>
    <sheetView topLeftCell="A10" zoomScale="85" zoomScaleNormal="85" workbookViewId="0">
      <selection activeCell="B43" sqref="B43"/>
    </sheetView>
  </sheetViews>
  <sheetFormatPr defaultColWidth="9.109375" defaultRowHeight="13.2"/>
  <cols>
    <col min="1" max="1" width="28.33203125" style="371" customWidth="1" collapsed="1"/>
    <col min="2" max="2" width="11.6640625" style="371" customWidth="1" collapsed="1"/>
    <col min="3" max="3" width="12.6640625" style="371" customWidth="1" collapsed="1"/>
    <col min="4" max="4" width="9.88671875" style="371" customWidth="1" collapsed="1"/>
    <col min="5" max="5" width="9.88671875" style="371" bestFit="1" customWidth="1" collapsed="1"/>
    <col min="6" max="7" width="9.88671875" style="371" customWidth="1" collapsed="1"/>
    <col min="8" max="8" width="12.5546875" style="371" customWidth="1" collapsed="1"/>
    <col min="9" max="11" width="10.33203125" style="371" customWidth="1"/>
    <col min="12" max="12" width="9.6640625" style="371" bestFit="1" customWidth="1"/>
    <col min="13" max="13" width="10.44140625" style="371" customWidth="1"/>
    <col min="14" max="14" width="10.33203125" style="371" customWidth="1"/>
    <col min="15" max="15" width="11.5546875" style="371" customWidth="1"/>
    <col min="16" max="16" width="5.6640625" style="371" customWidth="1"/>
    <col min="17" max="17" width="11.88671875" style="371" customWidth="1"/>
    <col min="18" max="18" width="20.5546875" style="371" customWidth="1"/>
    <col min="19" max="19" width="13" style="371" customWidth="1"/>
    <col min="20" max="20" width="16.5546875" style="371" customWidth="1"/>
    <col min="21" max="21" width="25.44140625" style="371" customWidth="1"/>
    <col min="22" max="16384" width="9.109375" style="371"/>
  </cols>
  <sheetData>
    <row r="1" spans="1:21">
      <c r="A1" s="370"/>
      <c r="B1" s="370"/>
      <c r="G1" s="372"/>
    </row>
    <row r="2" spans="1:21" ht="25.5" customHeight="1">
      <c r="A2" s="638" t="s">
        <v>384</v>
      </c>
      <c r="B2" s="635" t="s">
        <v>385</v>
      </c>
      <c r="C2" s="647" t="s">
        <v>386</v>
      </c>
      <c r="D2" s="648"/>
      <c r="E2" s="649"/>
      <c r="F2" s="656" t="s">
        <v>387</v>
      </c>
      <c r="G2" s="657"/>
      <c r="H2" s="657"/>
      <c r="I2" s="658"/>
      <c r="J2" s="650" t="s">
        <v>400</v>
      </c>
      <c r="K2" s="637" t="s">
        <v>783</v>
      </c>
      <c r="L2" s="637"/>
      <c r="M2" s="635" t="s">
        <v>788</v>
      </c>
      <c r="N2" s="635" t="s">
        <v>789</v>
      </c>
      <c r="O2" s="650" t="s">
        <v>176</v>
      </c>
      <c r="P2" s="373"/>
    </row>
    <row r="3" spans="1:21" ht="22.5" customHeight="1">
      <c r="A3" s="639"/>
      <c r="B3" s="641"/>
      <c r="C3" s="645" t="s">
        <v>388</v>
      </c>
      <c r="D3" s="645" t="s">
        <v>389</v>
      </c>
      <c r="E3" s="659" t="s">
        <v>390</v>
      </c>
      <c r="F3" s="659" t="s">
        <v>391</v>
      </c>
      <c r="G3" s="667" t="s">
        <v>392</v>
      </c>
      <c r="H3" s="635" t="s">
        <v>439</v>
      </c>
      <c r="I3" s="659" t="s">
        <v>440</v>
      </c>
      <c r="J3" s="650"/>
      <c r="K3" s="635" t="s">
        <v>428</v>
      </c>
      <c r="L3" s="635" t="s">
        <v>429</v>
      </c>
      <c r="M3" s="641"/>
      <c r="N3" s="641"/>
      <c r="O3" s="650"/>
      <c r="P3" s="373"/>
    </row>
    <row r="4" spans="1:21" ht="24" customHeight="1">
      <c r="A4" s="640"/>
      <c r="B4" s="636"/>
      <c r="C4" s="646"/>
      <c r="D4" s="646"/>
      <c r="E4" s="660"/>
      <c r="F4" s="660"/>
      <c r="G4" s="668"/>
      <c r="H4" s="636"/>
      <c r="I4" s="660"/>
      <c r="J4" s="650"/>
      <c r="K4" s="636"/>
      <c r="L4" s="636"/>
      <c r="M4" s="636"/>
      <c r="N4" s="636"/>
      <c r="O4" s="650"/>
      <c r="P4" s="373"/>
      <c r="U4" s="374"/>
    </row>
    <row r="5" spans="1:21">
      <c r="A5" s="375" t="s">
        <v>393</v>
      </c>
      <c r="B5" s="376">
        <v>100</v>
      </c>
      <c r="C5" s="377"/>
      <c r="D5" s="202"/>
      <c r="E5" s="204">
        <f>F7</f>
        <v>9</v>
      </c>
      <c r="F5" s="204"/>
      <c r="G5" s="205">
        <f>ROUND((B5+C5+D5)*0.02,0)</f>
        <v>2</v>
      </c>
      <c r="H5" s="377">
        <v>15</v>
      </c>
      <c r="I5" s="377">
        <v>1</v>
      </c>
      <c r="J5" s="206">
        <f>B5+(C5+D5+E5)-(F5+G5+H5+I5)</f>
        <v>91</v>
      </c>
      <c r="K5" s="203">
        <v>230000</v>
      </c>
      <c r="L5" s="203"/>
      <c r="M5" s="203">
        <v>200</v>
      </c>
      <c r="N5" s="203">
        <v>1300</v>
      </c>
      <c r="O5" s="207">
        <f>IF(AND(L5&gt;0,M5&gt;0,N5&gt;0),"нет",(H5*K5)+(I5*L5)+(M5*N5))</f>
        <v>3710000</v>
      </c>
      <c r="P5" s="378"/>
    </row>
    <row r="6" spans="1:21">
      <c r="A6" s="379" t="s">
        <v>394</v>
      </c>
      <c r="B6" s="376">
        <v>10</v>
      </c>
      <c r="C6" s="377"/>
      <c r="D6" s="202"/>
      <c r="E6" s="204">
        <f t="shared" ref="E6:E10" si="0">F8</f>
        <v>9</v>
      </c>
      <c r="F6" s="204"/>
      <c r="G6" s="205">
        <f t="shared" ref="G6:G12" si="1">ROUND((B6+C6+D6)*0.02,0)</f>
        <v>0</v>
      </c>
      <c r="H6" s="377">
        <v>1</v>
      </c>
      <c r="I6" s="377">
        <v>2</v>
      </c>
      <c r="J6" s="206">
        <f t="shared" ref="J6:J12" si="2">B6+(C6+D6+E6)-(F6+G6+H6+I6)</f>
        <v>16</v>
      </c>
      <c r="K6" s="203">
        <v>290000</v>
      </c>
      <c r="L6" s="203">
        <v>250000</v>
      </c>
      <c r="M6" s="203"/>
      <c r="N6" s="203"/>
      <c r="O6" s="207">
        <f t="shared" ref="O6:O12" si="3">IF(AND(L6&gt;0,M6&gt;0,N6&gt;0),"нет",(H6*K6)+(I6*L6)+(M6*N6))</f>
        <v>790000</v>
      </c>
      <c r="P6" s="378"/>
    </row>
    <row r="7" spans="1:21">
      <c r="A7" s="379" t="s">
        <v>401</v>
      </c>
      <c r="B7" s="376">
        <v>20</v>
      </c>
      <c r="C7" s="377"/>
      <c r="D7" s="202"/>
      <c r="E7" s="204">
        <f t="shared" si="0"/>
        <v>19</v>
      </c>
      <c r="F7" s="204">
        <f>B7-G7-H7-I7</f>
        <v>9</v>
      </c>
      <c r="G7" s="205">
        <f t="shared" si="1"/>
        <v>0</v>
      </c>
      <c r="H7" s="377">
        <v>1</v>
      </c>
      <c r="I7" s="377">
        <v>10</v>
      </c>
      <c r="J7" s="206">
        <f t="shared" si="2"/>
        <v>19</v>
      </c>
      <c r="K7" s="203">
        <v>200000</v>
      </c>
      <c r="L7" s="203">
        <v>170000</v>
      </c>
      <c r="M7" s="203"/>
      <c r="N7" s="203"/>
      <c r="O7" s="207">
        <f t="shared" si="3"/>
        <v>1900000</v>
      </c>
      <c r="P7" s="378"/>
    </row>
    <row r="8" spans="1:21">
      <c r="A8" s="379" t="s">
        <v>402</v>
      </c>
      <c r="B8" s="376">
        <v>20</v>
      </c>
      <c r="C8" s="377"/>
      <c r="D8" s="202"/>
      <c r="E8" s="204">
        <f t="shared" si="0"/>
        <v>29</v>
      </c>
      <c r="F8" s="204">
        <f>B8-G8-H8-I8</f>
        <v>9</v>
      </c>
      <c r="G8" s="205">
        <f t="shared" si="1"/>
        <v>0</v>
      </c>
      <c r="H8" s="377">
        <v>1</v>
      </c>
      <c r="I8" s="377">
        <v>10</v>
      </c>
      <c r="J8" s="206">
        <f t="shared" si="2"/>
        <v>29</v>
      </c>
      <c r="K8" s="203">
        <v>220000</v>
      </c>
      <c r="L8" s="203">
        <v>200000</v>
      </c>
      <c r="M8" s="203"/>
      <c r="N8" s="203"/>
      <c r="O8" s="207">
        <f t="shared" si="3"/>
        <v>2220000</v>
      </c>
      <c r="P8" s="378"/>
    </row>
    <row r="9" spans="1:21">
      <c r="A9" s="379" t="s">
        <v>395</v>
      </c>
      <c r="B9" s="376">
        <v>20</v>
      </c>
      <c r="C9" s="377"/>
      <c r="D9" s="202"/>
      <c r="E9" s="204">
        <f>F11</f>
        <v>33</v>
      </c>
      <c r="F9" s="204">
        <f>B9-G9-H9-I9</f>
        <v>19</v>
      </c>
      <c r="G9" s="205">
        <f t="shared" si="1"/>
        <v>0</v>
      </c>
      <c r="H9" s="377">
        <v>1</v>
      </c>
      <c r="I9" s="377"/>
      <c r="J9" s="206">
        <f t="shared" si="2"/>
        <v>33</v>
      </c>
      <c r="K9" s="203">
        <v>190000</v>
      </c>
      <c r="L9" s="203"/>
      <c r="M9" s="203"/>
      <c r="N9" s="203"/>
      <c r="O9" s="207">
        <f t="shared" si="3"/>
        <v>190000</v>
      </c>
      <c r="P9" s="378"/>
    </row>
    <row r="10" spans="1:21">
      <c r="A10" s="379" t="s">
        <v>396</v>
      </c>
      <c r="B10" s="376">
        <v>30</v>
      </c>
      <c r="C10" s="377"/>
      <c r="D10" s="202"/>
      <c r="E10" s="204">
        <f t="shared" si="0"/>
        <v>43</v>
      </c>
      <c r="F10" s="204">
        <f>B10-G10-H10-I10</f>
        <v>29</v>
      </c>
      <c r="G10" s="205">
        <f t="shared" si="1"/>
        <v>1</v>
      </c>
      <c r="H10" s="377">
        <v>0</v>
      </c>
      <c r="I10" s="377"/>
      <c r="J10" s="206">
        <f t="shared" si="2"/>
        <v>43</v>
      </c>
      <c r="K10" s="203">
        <v>0</v>
      </c>
      <c r="L10" s="203"/>
      <c r="M10" s="203"/>
      <c r="N10" s="203"/>
      <c r="O10" s="207">
        <f t="shared" si="3"/>
        <v>0</v>
      </c>
      <c r="P10" s="378"/>
    </row>
    <row r="11" spans="1:21">
      <c r="A11" s="379" t="s">
        <v>397</v>
      </c>
      <c r="B11" s="376">
        <v>40</v>
      </c>
      <c r="C11" s="207">
        <f>ROUND(B5*0.7/2,0)</f>
        <v>35</v>
      </c>
      <c r="D11" s="202"/>
      <c r="E11" s="204"/>
      <c r="F11" s="204">
        <f>IF((B11-G11-H11)&gt;0,B11-G11-H11,0)</f>
        <v>33</v>
      </c>
      <c r="G11" s="205">
        <f>ROUND((B11+C11+D11)*0.02,0)</f>
        <v>2</v>
      </c>
      <c r="H11" s="377">
        <v>5</v>
      </c>
      <c r="I11" s="377"/>
      <c r="J11" s="206">
        <f t="shared" si="2"/>
        <v>35</v>
      </c>
      <c r="K11" s="203">
        <v>120000</v>
      </c>
      <c r="L11" s="203"/>
      <c r="M11" s="203"/>
      <c r="N11" s="203"/>
      <c r="O11" s="207">
        <f t="shared" si="3"/>
        <v>600000</v>
      </c>
      <c r="P11" s="378"/>
      <c r="R11" s="380"/>
      <c r="S11" s="380"/>
      <c r="T11" s="380"/>
      <c r="U11" s="380"/>
    </row>
    <row r="12" spans="1:21">
      <c r="A12" s="379" t="s">
        <v>398</v>
      </c>
      <c r="B12" s="376">
        <v>50</v>
      </c>
      <c r="C12" s="207">
        <f>C11</f>
        <v>35</v>
      </c>
      <c r="D12" s="202"/>
      <c r="E12" s="204"/>
      <c r="F12" s="204">
        <f>IF((B12-G12-H12)&gt;0,B12-G12-H12,0)</f>
        <v>43</v>
      </c>
      <c r="G12" s="205">
        <f t="shared" si="1"/>
        <v>2</v>
      </c>
      <c r="H12" s="377">
        <v>5</v>
      </c>
      <c r="I12" s="377"/>
      <c r="J12" s="206">
        <f t="shared" si="2"/>
        <v>35</v>
      </c>
      <c r="K12" s="203">
        <v>130000</v>
      </c>
      <c r="L12" s="203"/>
      <c r="M12" s="203"/>
      <c r="N12" s="203"/>
      <c r="O12" s="207">
        <f t="shared" si="3"/>
        <v>650000</v>
      </c>
      <c r="P12" s="378"/>
      <c r="R12" s="459"/>
      <c r="S12" s="459" t="s">
        <v>452</v>
      </c>
      <c r="T12" s="459" t="s">
        <v>454</v>
      </c>
      <c r="U12" s="459" t="s">
        <v>790</v>
      </c>
    </row>
    <row r="13" spans="1:21">
      <c r="A13" s="381" t="s">
        <v>399</v>
      </c>
      <c r="B13" s="382">
        <f>SUM(B5:B12)</f>
        <v>290</v>
      </c>
      <c r="C13" s="208">
        <f t="shared" ref="C13:G13" si="4">SUM(C5:C12)</f>
        <v>70</v>
      </c>
      <c r="D13" s="382">
        <f t="shared" si="4"/>
        <v>0</v>
      </c>
      <c r="E13" s="208">
        <f t="shared" si="4"/>
        <v>142</v>
      </c>
      <c r="F13" s="208">
        <f t="shared" si="4"/>
        <v>142</v>
      </c>
      <c r="G13" s="208">
        <f t="shared" si="4"/>
        <v>7</v>
      </c>
      <c r="H13" s="382">
        <f>SUM(H5:H12)</f>
        <v>29</v>
      </c>
      <c r="I13" s="382">
        <f>SUM(I5:I12)</f>
        <v>23</v>
      </c>
      <c r="J13" s="208">
        <f>SUM(J5:J12)</f>
        <v>301</v>
      </c>
      <c r="K13" s="382"/>
      <c r="L13" s="382"/>
      <c r="M13" s="382"/>
      <c r="N13" s="382"/>
      <c r="O13" s="209">
        <f>SUM(O5:O12)</f>
        <v>10060000</v>
      </c>
      <c r="P13" s="383"/>
      <c r="R13" s="460" t="s">
        <v>380</v>
      </c>
      <c r="S13" s="211">
        <v>0.7</v>
      </c>
      <c r="T13" s="294">
        <v>0.02</v>
      </c>
      <c r="U13" s="664" t="s">
        <v>796</v>
      </c>
    </row>
    <row r="14" spans="1:21">
      <c r="A14" s="370"/>
      <c r="B14" s="370"/>
      <c r="R14" s="460" t="s">
        <v>381</v>
      </c>
      <c r="S14" s="211">
        <v>0.85</v>
      </c>
      <c r="T14" s="294">
        <v>0.02</v>
      </c>
      <c r="U14" s="665"/>
    </row>
    <row r="15" spans="1:21" ht="12.75" customHeight="1">
      <c r="A15" s="638" t="s">
        <v>384</v>
      </c>
      <c r="B15" s="635" t="s">
        <v>385</v>
      </c>
      <c r="C15" s="642" t="s">
        <v>386</v>
      </c>
      <c r="D15" s="643"/>
      <c r="E15" s="644"/>
      <c r="F15" s="651" t="s">
        <v>387</v>
      </c>
      <c r="G15" s="652"/>
      <c r="H15" s="652"/>
      <c r="I15" s="653"/>
      <c r="J15" s="635" t="s">
        <v>400</v>
      </c>
      <c r="K15" s="637" t="s">
        <v>178</v>
      </c>
      <c r="L15" s="637"/>
      <c r="M15" s="635" t="s">
        <v>788</v>
      </c>
      <c r="N15" s="635" t="s">
        <v>789</v>
      </c>
      <c r="O15" s="650" t="s">
        <v>176</v>
      </c>
      <c r="P15" s="373"/>
      <c r="R15" s="460" t="s">
        <v>453</v>
      </c>
      <c r="S15" s="211">
        <v>0.6</v>
      </c>
      <c r="T15" s="294">
        <v>0.02</v>
      </c>
      <c r="U15" s="666"/>
    </row>
    <row r="16" spans="1:21" ht="20.25" customHeight="1">
      <c r="A16" s="639"/>
      <c r="B16" s="641"/>
      <c r="C16" s="645" t="s">
        <v>388</v>
      </c>
      <c r="D16" s="645" t="s">
        <v>389</v>
      </c>
      <c r="E16" s="635" t="s">
        <v>390</v>
      </c>
      <c r="F16" s="635" t="s">
        <v>391</v>
      </c>
      <c r="G16" s="654" t="s">
        <v>392</v>
      </c>
      <c r="H16" s="635" t="s">
        <v>439</v>
      </c>
      <c r="I16" s="635" t="s">
        <v>440</v>
      </c>
      <c r="J16" s="641"/>
      <c r="K16" s="635" t="s">
        <v>428</v>
      </c>
      <c r="L16" s="635" t="s">
        <v>429</v>
      </c>
      <c r="M16" s="641"/>
      <c r="N16" s="641"/>
      <c r="O16" s="650"/>
      <c r="P16" s="373"/>
    </row>
    <row r="17" spans="1:18" ht="27" customHeight="1">
      <c r="A17" s="640"/>
      <c r="B17" s="636"/>
      <c r="C17" s="646"/>
      <c r="D17" s="646"/>
      <c r="E17" s="636"/>
      <c r="F17" s="636"/>
      <c r="G17" s="655"/>
      <c r="H17" s="636"/>
      <c r="I17" s="636"/>
      <c r="J17" s="636"/>
      <c r="K17" s="636"/>
      <c r="L17" s="636"/>
      <c r="M17" s="636"/>
      <c r="N17" s="636"/>
      <c r="O17" s="650"/>
      <c r="P17" s="373"/>
    </row>
    <row r="18" spans="1:18">
      <c r="A18" s="375" t="s">
        <v>403</v>
      </c>
      <c r="B18" s="376">
        <v>10</v>
      </c>
      <c r="C18" s="377"/>
      <c r="D18" s="202"/>
      <c r="E18" s="204">
        <f>F22*0.5</f>
        <v>4.5</v>
      </c>
      <c r="F18" s="204"/>
      <c r="G18" s="205">
        <f>ROUND((B18+C18+D18)*0.02,0)</f>
        <v>0</v>
      </c>
      <c r="H18" s="377">
        <v>1</v>
      </c>
      <c r="I18" s="377">
        <v>1</v>
      </c>
      <c r="J18" s="206">
        <f>B18+(C18+D18+E18)-(F18+G18+H18+I18)</f>
        <v>12.5</v>
      </c>
      <c r="K18" s="203">
        <v>50000</v>
      </c>
      <c r="L18" s="203">
        <v>45000</v>
      </c>
      <c r="M18" s="203"/>
      <c r="N18" s="203"/>
      <c r="O18" s="207">
        <f>IF(AND(L18&gt;0,M18&gt;0,N18&gt;0),"нет",(H18*K18)+(I18*L18)+(M18*N18))</f>
        <v>95000</v>
      </c>
      <c r="P18" s="378"/>
    </row>
    <row r="19" spans="1:18">
      <c r="A19" s="379" t="s">
        <v>406</v>
      </c>
      <c r="B19" s="376">
        <v>30</v>
      </c>
      <c r="C19" s="377"/>
      <c r="D19" s="202"/>
      <c r="E19" s="204">
        <f>F22*0.5</f>
        <v>4.5</v>
      </c>
      <c r="F19" s="295"/>
      <c r="G19" s="205">
        <f t="shared" ref="G19:G23" si="5">ROUND((B19+C19+D19)*0.02,0)</f>
        <v>1</v>
      </c>
      <c r="H19" s="377"/>
      <c r="I19" s="377">
        <v>1</v>
      </c>
      <c r="J19" s="206">
        <f t="shared" ref="J19:J23" si="6">B19+(C19+D19+E19)-(F19+G19+H19+I19)</f>
        <v>32.5</v>
      </c>
      <c r="K19" s="203"/>
      <c r="L19" s="203">
        <v>40000</v>
      </c>
      <c r="M19" s="203"/>
      <c r="N19" s="203"/>
      <c r="O19" s="207">
        <f t="shared" ref="O19:O23" si="7">IF(AND(L19&gt;0,M19&gt;0,N19&gt;0),"нет",(H19*K19)+(I19*L19)+(M19*N19))</f>
        <v>40000</v>
      </c>
      <c r="P19" s="378"/>
    </row>
    <row r="20" spans="1:18">
      <c r="A20" s="379" t="s">
        <v>404</v>
      </c>
      <c r="B20" s="376">
        <v>100</v>
      </c>
      <c r="C20" s="377"/>
      <c r="D20" s="202"/>
      <c r="E20" s="204">
        <f>F21</f>
        <v>29</v>
      </c>
      <c r="F20" s="204"/>
      <c r="G20" s="205">
        <f>ROUND((B20+C20+D20)*0.02,0)</f>
        <v>2</v>
      </c>
      <c r="H20" s="377">
        <v>25</v>
      </c>
      <c r="I20" s="377">
        <v>1</v>
      </c>
      <c r="J20" s="206">
        <f t="shared" si="6"/>
        <v>101</v>
      </c>
      <c r="K20" s="203">
        <v>45000</v>
      </c>
      <c r="L20" s="203">
        <v>40000</v>
      </c>
      <c r="M20" s="203"/>
      <c r="N20" s="203"/>
      <c r="O20" s="207">
        <f t="shared" si="7"/>
        <v>1165000</v>
      </c>
      <c r="P20" s="378"/>
      <c r="R20" s="384"/>
    </row>
    <row r="21" spans="1:18">
      <c r="A21" s="379" t="s">
        <v>405</v>
      </c>
      <c r="B21" s="376">
        <v>30</v>
      </c>
      <c r="C21" s="377"/>
      <c r="D21" s="202"/>
      <c r="E21" s="204">
        <f>F23</f>
        <v>19</v>
      </c>
      <c r="F21" s="204">
        <f>B21-G21-H21-I21</f>
        <v>29</v>
      </c>
      <c r="G21" s="205">
        <f t="shared" si="5"/>
        <v>1</v>
      </c>
      <c r="H21" s="377"/>
      <c r="I21" s="377">
        <v>0</v>
      </c>
      <c r="J21" s="206">
        <f>B21+(C21+D21+E21)-(F21+G21+H21+I21)</f>
        <v>19</v>
      </c>
      <c r="K21" s="203"/>
      <c r="L21" s="203"/>
      <c r="M21" s="203"/>
      <c r="N21" s="203"/>
      <c r="O21" s="207">
        <f t="shared" si="7"/>
        <v>0</v>
      </c>
      <c r="P21" s="378"/>
    </row>
    <row r="22" spans="1:18">
      <c r="A22" s="379" t="s">
        <v>415</v>
      </c>
      <c r="B22" s="376">
        <v>10</v>
      </c>
      <c r="C22" s="207">
        <f>ROUND(B20*0.85/2,0)</f>
        <v>43</v>
      </c>
      <c r="D22" s="202"/>
      <c r="E22" s="204"/>
      <c r="F22" s="204">
        <f>IF((B22-G22-H22)&gt;0,B22-G22-H22,0)</f>
        <v>9</v>
      </c>
      <c r="G22" s="205">
        <f t="shared" si="5"/>
        <v>1</v>
      </c>
      <c r="H22" s="377"/>
      <c r="I22" s="377">
        <v>1</v>
      </c>
      <c r="J22" s="206">
        <f t="shared" si="6"/>
        <v>42</v>
      </c>
      <c r="K22" s="203"/>
      <c r="L22" s="203">
        <v>30000</v>
      </c>
      <c r="M22" s="203"/>
      <c r="N22" s="203"/>
      <c r="O22" s="207">
        <f t="shared" si="7"/>
        <v>30000</v>
      </c>
      <c r="P22" s="378"/>
    </row>
    <row r="23" spans="1:18">
      <c r="A23" s="379" t="s">
        <v>416</v>
      </c>
      <c r="B23" s="376">
        <v>20</v>
      </c>
      <c r="C23" s="207">
        <f>C22</f>
        <v>43</v>
      </c>
      <c r="D23" s="202"/>
      <c r="E23" s="204"/>
      <c r="F23" s="204">
        <f>IF((B23-G23-H23)&gt;0,B23-G23-H23,0)</f>
        <v>19</v>
      </c>
      <c r="G23" s="205">
        <f t="shared" si="5"/>
        <v>1</v>
      </c>
      <c r="H23" s="377"/>
      <c r="I23" s="377">
        <v>1</v>
      </c>
      <c r="J23" s="206">
        <f t="shared" si="6"/>
        <v>42</v>
      </c>
      <c r="K23" s="203"/>
      <c r="L23" s="203">
        <v>30000</v>
      </c>
      <c r="M23" s="203"/>
      <c r="N23" s="203"/>
      <c r="O23" s="207">
        <f t="shared" si="7"/>
        <v>30000</v>
      </c>
      <c r="P23" s="378"/>
    </row>
    <row r="24" spans="1:18">
      <c r="A24" s="381" t="s">
        <v>399</v>
      </c>
      <c r="B24" s="382">
        <f>SUM(B18:B23)</f>
        <v>200</v>
      </c>
      <c r="C24" s="208">
        <f t="shared" ref="C24:J24" si="8">SUM(C18:C23)</f>
        <v>86</v>
      </c>
      <c r="D24" s="382">
        <f t="shared" si="8"/>
        <v>0</v>
      </c>
      <c r="E24" s="208">
        <f t="shared" si="8"/>
        <v>57</v>
      </c>
      <c r="F24" s="208">
        <f t="shared" si="8"/>
        <v>57</v>
      </c>
      <c r="G24" s="208">
        <f t="shared" si="8"/>
        <v>6</v>
      </c>
      <c r="H24" s="382">
        <f>SUM(H18:H23)</f>
        <v>26</v>
      </c>
      <c r="I24" s="382">
        <f>SUM(I18:I23)</f>
        <v>5</v>
      </c>
      <c r="J24" s="208">
        <f t="shared" si="8"/>
        <v>249</v>
      </c>
      <c r="K24" s="382"/>
      <c r="L24" s="382"/>
      <c r="M24" s="382"/>
      <c r="N24" s="382"/>
      <c r="O24" s="209">
        <f>SUM(O18:O23)</f>
        <v>1360000</v>
      </c>
      <c r="P24" s="383"/>
    </row>
    <row r="25" spans="1:18">
      <c r="A25" s="379"/>
      <c r="B25" s="370"/>
    </row>
    <row r="26" spans="1:18" ht="12.75" customHeight="1">
      <c r="A26" s="638" t="s">
        <v>384</v>
      </c>
      <c r="B26" s="635" t="s">
        <v>385</v>
      </c>
      <c r="C26" s="642" t="s">
        <v>386</v>
      </c>
      <c r="D26" s="643"/>
      <c r="E26" s="644"/>
      <c r="F26" s="651" t="s">
        <v>387</v>
      </c>
      <c r="G26" s="652"/>
      <c r="H26" s="652"/>
      <c r="I26" s="653"/>
      <c r="J26" s="635" t="s">
        <v>400</v>
      </c>
      <c r="K26" s="637" t="s">
        <v>178</v>
      </c>
      <c r="L26" s="637"/>
      <c r="M26" s="635" t="s">
        <v>788</v>
      </c>
      <c r="N26" s="635" t="s">
        <v>789</v>
      </c>
      <c r="O26" s="650" t="s">
        <v>176</v>
      </c>
      <c r="P26" s="373"/>
    </row>
    <row r="27" spans="1:18" ht="24" customHeight="1">
      <c r="A27" s="639"/>
      <c r="B27" s="641"/>
      <c r="C27" s="645" t="s">
        <v>388</v>
      </c>
      <c r="D27" s="645" t="s">
        <v>389</v>
      </c>
      <c r="E27" s="635" t="s">
        <v>390</v>
      </c>
      <c r="F27" s="635" t="s">
        <v>391</v>
      </c>
      <c r="G27" s="654" t="s">
        <v>392</v>
      </c>
      <c r="H27" s="635" t="s">
        <v>439</v>
      </c>
      <c r="I27" s="635" t="s">
        <v>440</v>
      </c>
      <c r="J27" s="641"/>
      <c r="K27" s="635" t="s">
        <v>428</v>
      </c>
      <c r="L27" s="635" t="s">
        <v>429</v>
      </c>
      <c r="M27" s="641"/>
      <c r="N27" s="641"/>
      <c r="O27" s="650"/>
      <c r="P27" s="373"/>
    </row>
    <row r="28" spans="1:18" ht="25.5" customHeight="1">
      <c r="A28" s="640"/>
      <c r="B28" s="636"/>
      <c r="C28" s="646"/>
      <c r="D28" s="646"/>
      <c r="E28" s="636"/>
      <c r="F28" s="636"/>
      <c r="G28" s="655"/>
      <c r="H28" s="636"/>
      <c r="I28" s="636"/>
      <c r="J28" s="636"/>
      <c r="K28" s="636"/>
      <c r="L28" s="636"/>
      <c r="M28" s="636"/>
      <c r="N28" s="636"/>
      <c r="O28" s="650"/>
      <c r="P28" s="373"/>
    </row>
    <row r="29" spans="1:18">
      <c r="A29" s="385" t="s">
        <v>407</v>
      </c>
      <c r="B29" s="376">
        <v>10</v>
      </c>
      <c r="C29" s="377"/>
      <c r="D29" s="202"/>
      <c r="E29" s="204">
        <f>F31</f>
        <v>4</v>
      </c>
      <c r="F29" s="204"/>
      <c r="G29" s="205">
        <f t="shared" ref="G29:G36" si="9">ROUND((B29+C29+D29)*0.02,0)</f>
        <v>0</v>
      </c>
      <c r="H29" s="377">
        <v>1</v>
      </c>
      <c r="I29" s="377">
        <v>0</v>
      </c>
      <c r="J29" s="206">
        <f>B29+(C29+D29+E29)-(F29+G29+H29+I29)</f>
        <v>13</v>
      </c>
      <c r="K29" s="203">
        <v>400000</v>
      </c>
      <c r="L29" s="203"/>
      <c r="M29" s="203"/>
      <c r="N29" s="203"/>
      <c r="O29" s="207">
        <f>IF(AND(L29&gt;0,M29&gt;0,N29&gt;0),"нет",(H29*K29)+(I29*L29)+(M29*N29))</f>
        <v>400000</v>
      </c>
      <c r="P29" s="378"/>
    </row>
    <row r="30" spans="1:18">
      <c r="A30" s="386" t="s">
        <v>408</v>
      </c>
      <c r="B30" s="376">
        <v>20</v>
      </c>
      <c r="C30" s="377"/>
      <c r="D30" s="202"/>
      <c r="E30" s="204">
        <f t="shared" ref="E30:E34" si="10">F32</f>
        <v>3</v>
      </c>
      <c r="F30" s="204"/>
      <c r="G30" s="205">
        <f t="shared" si="9"/>
        <v>0</v>
      </c>
      <c r="H30" s="377">
        <v>0</v>
      </c>
      <c r="I30" s="377">
        <v>10</v>
      </c>
      <c r="J30" s="206">
        <f t="shared" ref="J30:J36" si="11">B30+(C30+D30+E30)-(F30+G30+H30+I30)</f>
        <v>13</v>
      </c>
      <c r="K30" s="203"/>
      <c r="L30" s="203">
        <v>350000</v>
      </c>
      <c r="M30" s="203"/>
      <c r="N30" s="203"/>
      <c r="O30" s="207">
        <f t="shared" ref="O30:O36" si="12">IF(AND(L30&gt;0,M30&gt;0,N30&gt;0),"нет",(H30*K30)+(I30*L30)+(M30*N30))</f>
        <v>3500000</v>
      </c>
      <c r="P30" s="378"/>
    </row>
    <row r="31" spans="1:18">
      <c r="A31" s="386" t="s">
        <v>409</v>
      </c>
      <c r="B31" s="376">
        <v>5</v>
      </c>
      <c r="C31" s="377"/>
      <c r="D31" s="202"/>
      <c r="E31" s="204">
        <f>F33</f>
        <v>4</v>
      </c>
      <c r="F31" s="204">
        <f>B31-G31-H31-I31</f>
        <v>4</v>
      </c>
      <c r="G31" s="205">
        <f t="shared" si="9"/>
        <v>0</v>
      </c>
      <c r="H31" s="377">
        <v>1</v>
      </c>
      <c r="I31" s="377">
        <v>0</v>
      </c>
      <c r="J31" s="206">
        <f t="shared" si="11"/>
        <v>4</v>
      </c>
      <c r="K31" s="203">
        <v>370000</v>
      </c>
      <c r="L31" s="203"/>
      <c r="M31" s="203"/>
      <c r="N31" s="203"/>
      <c r="O31" s="207">
        <f t="shared" si="12"/>
        <v>370000</v>
      </c>
      <c r="P31" s="378"/>
    </row>
    <row r="32" spans="1:18">
      <c r="A32" s="386" t="s">
        <v>410</v>
      </c>
      <c r="B32" s="376">
        <v>5</v>
      </c>
      <c r="C32" s="377"/>
      <c r="D32" s="202"/>
      <c r="E32" s="204">
        <f t="shared" si="10"/>
        <v>4</v>
      </c>
      <c r="F32" s="204">
        <f>B32-G32-H32-I32</f>
        <v>3</v>
      </c>
      <c r="G32" s="205">
        <f t="shared" si="9"/>
        <v>0</v>
      </c>
      <c r="H32" s="377">
        <v>2</v>
      </c>
      <c r="I32" s="377">
        <v>0</v>
      </c>
      <c r="J32" s="206">
        <f t="shared" si="11"/>
        <v>4</v>
      </c>
      <c r="K32" s="203">
        <v>350000</v>
      </c>
      <c r="L32" s="203"/>
      <c r="M32" s="203"/>
      <c r="N32" s="203"/>
      <c r="O32" s="207">
        <f t="shared" si="12"/>
        <v>700000</v>
      </c>
      <c r="P32" s="378"/>
    </row>
    <row r="33" spans="1:16">
      <c r="A33" s="325" t="s">
        <v>411</v>
      </c>
      <c r="B33" s="376">
        <v>5</v>
      </c>
      <c r="C33" s="377"/>
      <c r="D33" s="202"/>
      <c r="E33" s="204">
        <f>F35</f>
        <v>5</v>
      </c>
      <c r="F33" s="204">
        <f>B33-G33-H33-I33</f>
        <v>4</v>
      </c>
      <c r="G33" s="205">
        <f t="shared" si="9"/>
        <v>0</v>
      </c>
      <c r="H33" s="377">
        <v>1</v>
      </c>
      <c r="I33" s="377">
        <v>0</v>
      </c>
      <c r="J33" s="206">
        <f t="shared" si="11"/>
        <v>5</v>
      </c>
      <c r="K33" s="203">
        <v>330000</v>
      </c>
      <c r="L33" s="203"/>
      <c r="M33" s="203"/>
      <c r="N33" s="203"/>
      <c r="O33" s="207">
        <f t="shared" si="12"/>
        <v>330000</v>
      </c>
      <c r="P33" s="378"/>
    </row>
    <row r="34" spans="1:16">
      <c r="A34" s="386" t="s">
        <v>412</v>
      </c>
      <c r="B34" s="376">
        <v>30</v>
      </c>
      <c r="C34" s="377"/>
      <c r="D34" s="202"/>
      <c r="E34" s="204">
        <f t="shared" si="10"/>
        <v>5</v>
      </c>
      <c r="F34" s="204">
        <f>B34-G34-H34-I34</f>
        <v>4</v>
      </c>
      <c r="G34" s="205">
        <f t="shared" si="9"/>
        <v>1</v>
      </c>
      <c r="H34" s="377">
        <v>0</v>
      </c>
      <c r="I34" s="377">
        <v>25</v>
      </c>
      <c r="J34" s="206">
        <f>B34+(C34+D34+E34)-(F34+G34+H34+I34)</f>
        <v>5</v>
      </c>
      <c r="K34" s="203"/>
      <c r="L34" s="203">
        <v>300000</v>
      </c>
      <c r="M34" s="203"/>
      <c r="N34" s="203"/>
      <c r="O34" s="207">
        <f t="shared" si="12"/>
        <v>7500000</v>
      </c>
      <c r="P34" s="378"/>
    </row>
    <row r="35" spans="1:16">
      <c r="A35" s="386" t="s">
        <v>413</v>
      </c>
      <c r="B35" s="376">
        <v>5</v>
      </c>
      <c r="C35" s="207">
        <f>ROUND(B30*0.6/2,0)</f>
        <v>6</v>
      </c>
      <c r="D35" s="202"/>
      <c r="E35" s="204"/>
      <c r="F35" s="204">
        <f>IF((B35-G35-H35)&gt;0,B35-G35-H35,0)</f>
        <v>5</v>
      </c>
      <c r="G35" s="205">
        <f t="shared" si="9"/>
        <v>0</v>
      </c>
      <c r="H35" s="377">
        <v>0</v>
      </c>
      <c r="I35" s="377">
        <v>1</v>
      </c>
      <c r="J35" s="206">
        <f t="shared" si="11"/>
        <v>5</v>
      </c>
      <c r="K35" s="203"/>
      <c r="L35" s="203">
        <v>250000</v>
      </c>
      <c r="M35" s="203"/>
      <c r="N35" s="203"/>
      <c r="O35" s="207">
        <f t="shared" si="12"/>
        <v>250000</v>
      </c>
      <c r="P35" s="378"/>
    </row>
    <row r="36" spans="1:16">
      <c r="A36" s="386" t="s">
        <v>414</v>
      </c>
      <c r="B36" s="376">
        <v>5</v>
      </c>
      <c r="C36" s="207">
        <f>C35</f>
        <v>6</v>
      </c>
      <c r="D36" s="202"/>
      <c r="E36" s="204"/>
      <c r="F36" s="204">
        <f>IF((B36-G36-H36)&gt;0,B36-G36-H36,0)</f>
        <v>5</v>
      </c>
      <c r="G36" s="205">
        <f t="shared" si="9"/>
        <v>0</v>
      </c>
      <c r="H36" s="377">
        <v>0</v>
      </c>
      <c r="I36" s="377">
        <v>1</v>
      </c>
      <c r="J36" s="206">
        <f t="shared" si="11"/>
        <v>5</v>
      </c>
      <c r="K36" s="203"/>
      <c r="L36" s="203">
        <v>230000</v>
      </c>
      <c r="M36" s="203"/>
      <c r="N36" s="203"/>
      <c r="O36" s="207">
        <f t="shared" si="12"/>
        <v>230000</v>
      </c>
      <c r="P36" s="378"/>
    </row>
    <row r="37" spans="1:16">
      <c r="A37" s="381" t="s">
        <v>399</v>
      </c>
      <c r="B37" s="382">
        <f>SUM(B29:B36)</f>
        <v>85</v>
      </c>
      <c r="C37" s="208">
        <f t="shared" ref="C37" si="13">SUM(C29:C36)</f>
        <v>12</v>
      </c>
      <c r="D37" s="382">
        <f t="shared" ref="D37" si="14">SUM(D29:D36)</f>
        <v>0</v>
      </c>
      <c r="E37" s="208">
        <f t="shared" ref="E37" si="15">SUM(E29:E36)</f>
        <v>25</v>
      </c>
      <c r="F37" s="208">
        <f t="shared" ref="F37" si="16">SUM(F29:F36)</f>
        <v>25</v>
      </c>
      <c r="G37" s="208">
        <f t="shared" ref="G37" si="17">SUM(G29:G36)</f>
        <v>1</v>
      </c>
      <c r="H37" s="382">
        <f>SUM(H29:H36)</f>
        <v>5</v>
      </c>
      <c r="I37" s="382">
        <f>SUM(I29:I36)</f>
        <v>37</v>
      </c>
      <c r="J37" s="208">
        <f t="shared" ref="J37" si="18">SUM(J29:J36)</f>
        <v>54</v>
      </c>
      <c r="K37" s="382"/>
      <c r="L37" s="382"/>
      <c r="M37" s="382"/>
      <c r="N37" s="382"/>
      <c r="O37" s="209">
        <f>SUM(O29:O36)</f>
        <v>13280000</v>
      </c>
      <c r="P37" s="383"/>
    </row>
    <row r="39" spans="1:16" ht="15" customHeight="1">
      <c r="J39" s="661" t="s">
        <v>417</v>
      </c>
      <c r="K39" s="662"/>
      <c r="L39" s="662"/>
      <c r="M39" s="662"/>
      <c r="N39" s="663"/>
      <c r="O39" s="210">
        <f>O13+O24+O37</f>
        <v>24700000</v>
      </c>
      <c r="P39" s="387"/>
    </row>
    <row r="40" spans="1:16" ht="12.75" customHeight="1">
      <c r="L40" s="388"/>
      <c r="M40" s="388"/>
      <c r="N40" s="388"/>
      <c r="O40" s="387"/>
      <c r="P40" s="387"/>
    </row>
    <row r="49" ht="12.75" customHeight="1"/>
    <row r="88" ht="12.75" customHeight="1"/>
    <row r="89" ht="26.25" customHeight="1"/>
    <row r="96" ht="12.75" customHeight="1"/>
    <row r="97" ht="30.75" customHeight="1"/>
    <row r="102" ht="12.75" customHeight="1"/>
    <row r="103" ht="30.75" customHeight="1"/>
  </sheetData>
  <sheetProtection algorithmName="SHA-512" hashValue="5NRYb2xSdpc8+ZpAIQLkIRNXa7+ipMf1ts8U1gQNKAxBI+97fIzXKPNgYGBmrnEESf9qMI0zKIA/3IdVu4lsrg==" saltValue="JAAX5OCTaAkAEBI2JoDcDA==" spinCount="100000" sheet="1" objects="1" scenarios="1"/>
  <mergeCells count="56">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 ref="F15:I15"/>
    <mergeCell ref="F16:F17"/>
    <mergeCell ref="G16:G17"/>
    <mergeCell ref="O2:O4"/>
    <mergeCell ref="J15:J17"/>
    <mergeCell ref="O15:O17"/>
    <mergeCell ref="H16:H17"/>
    <mergeCell ref="F2:I2"/>
    <mergeCell ref="I3:I4"/>
    <mergeCell ref="K2:L2"/>
    <mergeCell ref="K3:K4"/>
    <mergeCell ref="L3:L4"/>
    <mergeCell ref="J2:J4"/>
    <mergeCell ref="H3:H4"/>
    <mergeCell ref="O26:O28"/>
    <mergeCell ref="K15:L15"/>
    <mergeCell ref="K16:K17"/>
    <mergeCell ref="L16:L17"/>
    <mergeCell ref="M15:M17"/>
    <mergeCell ref="N15:N17"/>
    <mergeCell ref="M26:M28"/>
    <mergeCell ref="N26:N28"/>
    <mergeCell ref="A2:A4"/>
    <mergeCell ref="B2:B4"/>
    <mergeCell ref="C2:E2"/>
    <mergeCell ref="A15:A17"/>
    <mergeCell ref="B15:B17"/>
    <mergeCell ref="C15:E15"/>
    <mergeCell ref="C16:C17"/>
    <mergeCell ref="D16:D17"/>
    <mergeCell ref="E16:E17"/>
    <mergeCell ref="I27:I28"/>
    <mergeCell ref="K26:L26"/>
    <mergeCell ref="K27:K28"/>
    <mergeCell ref="L27:L28"/>
    <mergeCell ref="A26:A28"/>
    <mergeCell ref="B26:B28"/>
    <mergeCell ref="C26:E26"/>
    <mergeCell ref="C27:C28"/>
    <mergeCell ref="J26:J28"/>
  </mergeCells>
  <pageMargins left="0.7" right="0.7" top="0.75"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40"/>
  <sheetViews>
    <sheetView zoomScale="85" zoomScaleNormal="85" workbookViewId="0">
      <selection activeCell="L9" sqref="L9"/>
    </sheetView>
  </sheetViews>
  <sheetFormatPr defaultColWidth="9.109375" defaultRowHeight="13.2"/>
  <cols>
    <col min="1" max="1" width="5.44140625" style="194" customWidth="1"/>
    <col min="2" max="2" width="42.109375" style="194" customWidth="1"/>
    <col min="3" max="3" width="36.33203125" style="194" customWidth="1"/>
    <col min="4" max="4" width="10.33203125" style="194" bestFit="1" customWidth="1"/>
    <col min="5" max="5" width="9" style="194" customWidth="1"/>
    <col min="6" max="6" width="10.33203125" style="194" bestFit="1" customWidth="1"/>
    <col min="7" max="7" width="9.6640625" style="194" customWidth="1"/>
    <col min="8" max="8" width="10.6640625" style="194" customWidth="1"/>
    <col min="9" max="9" width="10.33203125" style="194" customWidth="1"/>
    <col min="10" max="12" width="10.33203125" style="194" bestFit="1" customWidth="1"/>
    <col min="13" max="16384" width="9.109375" style="194"/>
  </cols>
  <sheetData>
    <row r="1" spans="1:15">
      <c r="A1" s="463"/>
      <c r="B1" s="464" t="s">
        <v>782</v>
      </c>
      <c r="C1" s="463"/>
      <c r="D1" s="463"/>
      <c r="E1" s="463"/>
      <c r="F1" s="463"/>
      <c r="G1" s="463"/>
      <c r="H1" s="463"/>
      <c r="I1" s="463"/>
    </row>
    <row r="2" spans="1:15" ht="33" customHeight="1">
      <c r="A2" s="669" t="s">
        <v>770</v>
      </c>
      <c r="B2" s="671" t="s">
        <v>8</v>
      </c>
      <c r="C2" s="672" t="s">
        <v>487</v>
      </c>
      <c r="D2" s="672" t="s">
        <v>484</v>
      </c>
      <c r="E2" s="672"/>
      <c r="F2" s="672"/>
      <c r="G2" s="672"/>
      <c r="H2" s="672"/>
      <c r="I2" s="672"/>
    </row>
    <row r="3" spans="1:15" ht="15.6">
      <c r="A3" s="669"/>
      <c r="B3" s="671"/>
      <c r="C3" s="672"/>
      <c r="D3" s="673" t="s">
        <v>380</v>
      </c>
      <c r="E3" s="673"/>
      <c r="F3" s="671" t="s">
        <v>381</v>
      </c>
      <c r="G3" s="671"/>
      <c r="H3" s="671" t="s">
        <v>382</v>
      </c>
      <c r="I3" s="671"/>
      <c r="J3" s="357"/>
      <c r="K3" s="357"/>
      <c r="L3" s="357"/>
      <c r="M3" s="357"/>
      <c r="N3" s="357"/>
      <c r="O3" s="357"/>
    </row>
    <row r="4" spans="1:15" ht="15.6">
      <c r="A4" s="669"/>
      <c r="B4" s="671"/>
      <c r="C4" s="672"/>
      <c r="D4" s="362" t="s">
        <v>485</v>
      </c>
      <c r="E4" s="362" t="s">
        <v>486</v>
      </c>
      <c r="F4" s="362" t="s">
        <v>485</v>
      </c>
      <c r="G4" s="362" t="s">
        <v>486</v>
      </c>
      <c r="H4" s="362" t="s">
        <v>485</v>
      </c>
      <c r="I4" s="362" t="s">
        <v>486</v>
      </c>
      <c r="J4" s="357"/>
      <c r="K4" s="357"/>
      <c r="L4" s="357"/>
      <c r="M4" s="357"/>
      <c r="N4" s="357"/>
      <c r="O4" s="357"/>
    </row>
    <row r="5" spans="1:15" ht="15.6">
      <c r="A5" s="461">
        <v>1</v>
      </c>
      <c r="B5" s="363" t="s">
        <v>3</v>
      </c>
      <c r="C5" s="364" t="s">
        <v>430</v>
      </c>
      <c r="D5" s="365">
        <v>28</v>
      </c>
      <c r="E5" s="365">
        <v>204</v>
      </c>
      <c r="F5" s="365">
        <v>5.6</v>
      </c>
      <c r="G5" s="365">
        <v>40.799999999999997</v>
      </c>
      <c r="H5" s="365">
        <v>8.5</v>
      </c>
      <c r="I5" s="365">
        <f>E5</f>
        <v>204</v>
      </c>
      <c r="J5" s="357"/>
      <c r="K5" s="357"/>
      <c r="L5" s="357"/>
      <c r="M5" s="357"/>
      <c r="N5" s="357"/>
      <c r="O5" s="357"/>
    </row>
    <row r="6" spans="1:15" ht="15.6">
      <c r="A6" s="461">
        <v>2</v>
      </c>
      <c r="B6" s="363" t="s">
        <v>6</v>
      </c>
      <c r="C6" s="364" t="s">
        <v>431</v>
      </c>
      <c r="D6" s="365">
        <v>55</v>
      </c>
      <c r="E6" s="365">
        <v>252</v>
      </c>
      <c r="F6" s="365">
        <v>11</v>
      </c>
      <c r="G6" s="365">
        <v>50.4</v>
      </c>
      <c r="H6" s="365">
        <v>16.7</v>
      </c>
      <c r="I6" s="365">
        <f t="shared" ref="I6:I18" si="0">E6</f>
        <v>252</v>
      </c>
      <c r="J6" s="357"/>
      <c r="K6" s="357"/>
      <c r="L6" s="357"/>
      <c r="M6" s="357"/>
      <c r="N6" s="357"/>
      <c r="O6" s="357"/>
    </row>
    <row r="7" spans="1:15" ht="31.5" customHeight="1">
      <c r="A7" s="461">
        <v>3</v>
      </c>
      <c r="B7" s="363" t="s">
        <v>91</v>
      </c>
      <c r="C7" s="366" t="s">
        <v>488</v>
      </c>
      <c r="D7" s="365">
        <v>45</v>
      </c>
      <c r="E7" s="365">
        <v>243</v>
      </c>
      <c r="F7" s="365">
        <v>9</v>
      </c>
      <c r="G7" s="365">
        <v>48.6</v>
      </c>
      <c r="H7" s="365">
        <v>13.6</v>
      </c>
      <c r="I7" s="365">
        <f t="shared" si="0"/>
        <v>243</v>
      </c>
      <c r="J7" s="357"/>
      <c r="K7" s="357"/>
      <c r="L7" s="357"/>
      <c r="M7" s="357"/>
      <c r="N7" s="357"/>
      <c r="O7" s="357"/>
    </row>
    <row r="8" spans="1:15" ht="15.6">
      <c r="A8" s="461">
        <v>4</v>
      </c>
      <c r="B8" s="363" t="s">
        <v>335</v>
      </c>
      <c r="C8" s="364" t="s">
        <v>433</v>
      </c>
      <c r="D8" s="365">
        <v>75</v>
      </c>
      <c r="E8" s="365">
        <v>265</v>
      </c>
      <c r="F8" s="365">
        <v>15</v>
      </c>
      <c r="G8" s="365">
        <v>53</v>
      </c>
      <c r="H8" s="365">
        <v>22.7</v>
      </c>
      <c r="I8" s="365">
        <f t="shared" si="0"/>
        <v>265</v>
      </c>
      <c r="J8" s="357"/>
      <c r="K8" s="357"/>
      <c r="L8" s="357"/>
      <c r="M8" s="357"/>
      <c r="N8" s="357"/>
      <c r="O8" s="357"/>
    </row>
    <row r="9" spans="1:15" ht="33.75" customHeight="1">
      <c r="A9" s="461">
        <v>5</v>
      </c>
      <c r="B9" s="363" t="s">
        <v>7</v>
      </c>
      <c r="C9" s="366" t="s">
        <v>489</v>
      </c>
      <c r="D9" s="365">
        <v>33</v>
      </c>
      <c r="E9" s="365">
        <v>230</v>
      </c>
      <c r="F9" s="365">
        <v>6.6</v>
      </c>
      <c r="G9" s="365">
        <v>46</v>
      </c>
      <c r="H9" s="365">
        <v>10</v>
      </c>
      <c r="I9" s="365">
        <f t="shared" si="0"/>
        <v>230</v>
      </c>
      <c r="J9" s="357"/>
      <c r="K9" s="357"/>
      <c r="L9" s="357"/>
      <c r="M9" s="357"/>
      <c r="N9" s="357"/>
      <c r="O9" s="357"/>
    </row>
    <row r="10" spans="1:15" ht="30" customHeight="1">
      <c r="A10" s="461">
        <v>6</v>
      </c>
      <c r="B10" s="363" t="s">
        <v>92</v>
      </c>
      <c r="C10" s="366" t="s">
        <v>490</v>
      </c>
      <c r="D10" s="365">
        <v>52</v>
      </c>
      <c r="E10" s="365">
        <v>210</v>
      </c>
      <c r="F10" s="365">
        <v>10.4</v>
      </c>
      <c r="G10" s="365">
        <v>42</v>
      </c>
      <c r="H10" s="365">
        <v>15.8</v>
      </c>
      <c r="I10" s="365">
        <f t="shared" si="0"/>
        <v>210</v>
      </c>
      <c r="J10" s="357"/>
      <c r="K10" s="357"/>
      <c r="L10" s="357"/>
      <c r="M10" s="357"/>
      <c r="N10" s="357"/>
      <c r="O10" s="357"/>
    </row>
    <row r="11" spans="1:15" ht="15.6">
      <c r="A11" s="461">
        <v>7</v>
      </c>
      <c r="B11" s="363" t="s">
        <v>5</v>
      </c>
      <c r="C11" s="364" t="s">
        <v>434</v>
      </c>
      <c r="D11" s="365">
        <v>55</v>
      </c>
      <c r="E11" s="365">
        <v>230</v>
      </c>
      <c r="F11" s="365">
        <v>11</v>
      </c>
      <c r="G11" s="365">
        <v>46</v>
      </c>
      <c r="H11" s="365">
        <v>16.7</v>
      </c>
      <c r="I11" s="365">
        <f t="shared" si="0"/>
        <v>230</v>
      </c>
      <c r="J11" s="357"/>
      <c r="K11" s="357"/>
      <c r="L11" s="357"/>
      <c r="M11" s="357"/>
      <c r="N11" s="357"/>
      <c r="O11" s="357"/>
    </row>
    <row r="12" spans="1:15" ht="15.6">
      <c r="A12" s="461">
        <v>8</v>
      </c>
      <c r="B12" s="363" t="s">
        <v>77</v>
      </c>
      <c r="C12" s="364" t="s">
        <v>491</v>
      </c>
      <c r="D12" s="365">
        <v>55</v>
      </c>
      <c r="E12" s="365">
        <v>215</v>
      </c>
      <c r="F12" s="365">
        <v>11</v>
      </c>
      <c r="G12" s="365">
        <v>43</v>
      </c>
      <c r="H12" s="365">
        <v>16.7</v>
      </c>
      <c r="I12" s="365">
        <f t="shared" si="0"/>
        <v>215</v>
      </c>
      <c r="J12" s="357"/>
      <c r="K12" s="357"/>
      <c r="L12" s="357"/>
      <c r="M12" s="357"/>
      <c r="N12" s="357"/>
      <c r="O12" s="357"/>
    </row>
    <row r="13" spans="1:15" ht="15.6">
      <c r="A13" s="461">
        <v>9</v>
      </c>
      <c r="B13" s="363" t="s">
        <v>2</v>
      </c>
      <c r="C13" s="364" t="s">
        <v>492</v>
      </c>
      <c r="D13" s="365">
        <v>75</v>
      </c>
      <c r="E13" s="365">
        <v>252</v>
      </c>
      <c r="F13" s="365">
        <v>15</v>
      </c>
      <c r="G13" s="365">
        <v>50.4</v>
      </c>
      <c r="H13" s="365">
        <v>22.7</v>
      </c>
      <c r="I13" s="365">
        <f t="shared" si="0"/>
        <v>252</v>
      </c>
      <c r="J13" s="357"/>
      <c r="K13" s="357"/>
      <c r="L13" s="357"/>
      <c r="M13" s="357"/>
      <c r="N13" s="357"/>
      <c r="O13" s="357"/>
    </row>
    <row r="14" spans="1:15" ht="15.6">
      <c r="A14" s="461">
        <v>10</v>
      </c>
      <c r="B14" s="363" t="s">
        <v>93</v>
      </c>
      <c r="C14" s="364" t="s">
        <v>493</v>
      </c>
      <c r="D14" s="365">
        <v>32</v>
      </c>
      <c r="E14" s="365">
        <v>190</v>
      </c>
      <c r="F14" s="365">
        <v>6.4</v>
      </c>
      <c r="G14" s="365">
        <v>38</v>
      </c>
      <c r="H14" s="365">
        <v>9.6999999999999993</v>
      </c>
      <c r="I14" s="365">
        <f t="shared" si="0"/>
        <v>190</v>
      </c>
      <c r="J14" s="357"/>
      <c r="K14" s="357"/>
      <c r="L14" s="357"/>
      <c r="M14" s="357"/>
      <c r="N14" s="357"/>
      <c r="O14" s="357"/>
    </row>
    <row r="15" spans="1:15" ht="15.6">
      <c r="A15" s="461">
        <v>11</v>
      </c>
      <c r="B15" s="363" t="s">
        <v>334</v>
      </c>
      <c r="C15" s="364" t="s">
        <v>494</v>
      </c>
      <c r="D15" s="365">
        <v>80</v>
      </c>
      <c r="E15" s="365">
        <v>320</v>
      </c>
      <c r="F15" s="365">
        <v>16</v>
      </c>
      <c r="G15" s="365">
        <v>64</v>
      </c>
      <c r="H15" s="365">
        <v>24.2</v>
      </c>
      <c r="I15" s="365">
        <f t="shared" si="0"/>
        <v>320</v>
      </c>
      <c r="J15" s="357"/>
      <c r="K15" s="357"/>
      <c r="L15" s="357"/>
      <c r="M15" s="357"/>
      <c r="N15" s="357"/>
      <c r="O15" s="357"/>
    </row>
    <row r="16" spans="1:15" ht="15.6">
      <c r="A16" s="461">
        <v>12</v>
      </c>
      <c r="B16" s="363" t="s">
        <v>4</v>
      </c>
      <c r="C16" s="364" t="s">
        <v>430</v>
      </c>
      <c r="D16" s="365">
        <v>45</v>
      </c>
      <c r="E16" s="365">
        <v>155</v>
      </c>
      <c r="F16" s="365">
        <v>9</v>
      </c>
      <c r="G16" s="365">
        <v>31</v>
      </c>
      <c r="H16" s="365">
        <v>13.6</v>
      </c>
      <c r="I16" s="365">
        <f t="shared" si="0"/>
        <v>155</v>
      </c>
      <c r="J16" s="357"/>
      <c r="K16" s="357"/>
      <c r="L16" s="357"/>
      <c r="M16" s="357"/>
      <c r="N16" s="357"/>
      <c r="O16" s="357"/>
    </row>
    <row r="17" spans="1:15" ht="15.6">
      <c r="A17" s="461">
        <v>13</v>
      </c>
      <c r="B17" s="363" t="s">
        <v>1</v>
      </c>
      <c r="C17" s="364" t="s">
        <v>435</v>
      </c>
      <c r="D17" s="365">
        <v>32</v>
      </c>
      <c r="E17" s="365">
        <v>191</v>
      </c>
      <c r="F17" s="365">
        <v>6.4</v>
      </c>
      <c r="G17" s="365">
        <v>38.200000000000003</v>
      </c>
      <c r="H17" s="365">
        <v>9.6999999999999993</v>
      </c>
      <c r="I17" s="365">
        <f t="shared" si="0"/>
        <v>191</v>
      </c>
      <c r="J17" s="357"/>
      <c r="K17" s="357"/>
      <c r="L17" s="357"/>
      <c r="M17" s="357"/>
      <c r="N17" s="357"/>
      <c r="O17" s="357"/>
    </row>
    <row r="18" spans="1:15" ht="31.5" customHeight="1">
      <c r="A18" s="461">
        <v>14</v>
      </c>
      <c r="B18" s="363" t="s">
        <v>383</v>
      </c>
      <c r="C18" s="366" t="s">
        <v>495</v>
      </c>
      <c r="D18" s="365">
        <v>47</v>
      </c>
      <c r="E18" s="365">
        <v>298</v>
      </c>
      <c r="F18" s="365">
        <v>9.4</v>
      </c>
      <c r="G18" s="365">
        <v>59.6</v>
      </c>
      <c r="H18" s="365">
        <v>14.2</v>
      </c>
      <c r="I18" s="365">
        <f t="shared" si="0"/>
        <v>298</v>
      </c>
      <c r="J18" s="357"/>
      <c r="K18" s="357"/>
      <c r="L18" s="357"/>
      <c r="M18" s="357"/>
      <c r="N18" s="357"/>
      <c r="O18" s="357"/>
    </row>
    <row r="20" spans="1:15">
      <c r="B20" s="296" t="s">
        <v>775</v>
      </c>
      <c r="C20" s="358">
        <v>205</v>
      </c>
    </row>
    <row r="21" spans="1:15">
      <c r="B21" s="296" t="s">
        <v>771</v>
      </c>
      <c r="C21" s="358">
        <v>155</v>
      </c>
    </row>
    <row r="22" spans="1:15">
      <c r="B22" s="296"/>
      <c r="C22" s="296"/>
    </row>
    <row r="23" spans="1:15">
      <c r="B23" s="296" t="s">
        <v>772</v>
      </c>
      <c r="C23" s="462">
        <f>'Доходы от животноводства'!B13</f>
        <v>290</v>
      </c>
    </row>
    <row r="24" spans="1:15">
      <c r="B24" s="296" t="s">
        <v>773</v>
      </c>
      <c r="C24" s="462">
        <f>'Доходы от животноводства'!B37</f>
        <v>85</v>
      </c>
    </row>
    <row r="25" spans="1:15">
      <c r="B25" s="296" t="s">
        <v>774</v>
      </c>
      <c r="C25" s="462">
        <f>'Доходы от животноводства'!B24</f>
        <v>200</v>
      </c>
    </row>
    <row r="26" spans="1:15">
      <c r="B26" s="296"/>
      <c r="C26" s="296"/>
    </row>
    <row r="27" spans="1:15">
      <c r="B27" s="296" t="s">
        <v>776</v>
      </c>
      <c r="C27" s="359">
        <f>(C20*D6*C23)+(C21*E6*C23)</f>
        <v>14597150</v>
      </c>
    </row>
    <row r="28" spans="1:15">
      <c r="B28" s="296" t="s">
        <v>777</v>
      </c>
      <c r="C28" s="359">
        <f>(C20*H6*C24)+(C21*I6*C24)</f>
        <v>3611097.5</v>
      </c>
    </row>
    <row r="29" spans="1:15">
      <c r="B29" s="296" t="s">
        <v>778</v>
      </c>
      <c r="C29" s="359">
        <f>(C20*F6*C25)+(C21*G6*C25)</f>
        <v>2013400</v>
      </c>
    </row>
    <row r="30" spans="1:15">
      <c r="B30" s="296"/>
      <c r="C30" s="360"/>
    </row>
    <row r="31" spans="1:15">
      <c r="B31" s="296" t="s">
        <v>785</v>
      </c>
      <c r="C31" s="367">
        <f>(C23/50)*42500*12</f>
        <v>2958000</v>
      </c>
    </row>
    <row r="32" spans="1:15">
      <c r="B32" s="296" t="s">
        <v>786</v>
      </c>
      <c r="C32" s="367">
        <f>(C24/50)*42500*12</f>
        <v>867000</v>
      </c>
    </row>
    <row r="33" spans="2:9">
      <c r="B33" s="296" t="s">
        <v>787</v>
      </c>
      <c r="C33" s="367">
        <f>(C25/150)*42500*12</f>
        <v>680000</v>
      </c>
    </row>
    <row r="34" spans="2:9" s="305" customFormat="1">
      <c r="B34" s="298"/>
      <c r="C34" s="369"/>
    </row>
    <row r="35" spans="2:9">
      <c r="B35" s="296" t="s">
        <v>791</v>
      </c>
      <c r="C35" s="367">
        <f>C27+C31</f>
        <v>17555150</v>
      </c>
    </row>
    <row r="36" spans="2:9">
      <c r="B36" s="296" t="s">
        <v>792</v>
      </c>
      <c r="C36" s="367">
        <f>C28+C32</f>
        <v>4478097.5</v>
      </c>
    </row>
    <row r="37" spans="2:9">
      <c r="B37" s="296" t="s">
        <v>793</v>
      </c>
      <c r="C37" s="367">
        <f>C33+C29</f>
        <v>2693400</v>
      </c>
    </row>
    <row r="38" spans="2:9">
      <c r="B38" s="361" t="s">
        <v>784</v>
      </c>
      <c r="C38" s="368">
        <f>SUM(C35:C37)</f>
        <v>24726647.5</v>
      </c>
    </row>
    <row r="40" spans="2:9" ht="39" customHeight="1">
      <c r="B40" s="670" t="s">
        <v>779</v>
      </c>
      <c r="C40" s="670"/>
      <c r="D40" s="670"/>
      <c r="E40" s="670"/>
      <c r="F40" s="670"/>
      <c r="G40" s="670"/>
      <c r="H40" s="670"/>
      <c r="I40" s="670"/>
    </row>
  </sheetData>
  <sheetProtection algorithmName="SHA-512" hashValue="b35n5cM0eCCs/mpA8aSCz7OwKbn8utCStoHxmAhutFptbY0YTIJJjIAlGxd11YVAkZlU9qu9V10ImDZXIuFAYw==" saltValue="Kwf2FTwOKwHWhgV9wcM/OQ==" spinCount="100000" sheet="1"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4:E10"/>
  <sheetViews>
    <sheetView topLeftCell="A4" workbookViewId="0">
      <selection activeCell="E11" sqref="E11"/>
    </sheetView>
  </sheetViews>
  <sheetFormatPr defaultColWidth="9.109375" defaultRowHeight="13.2"/>
  <cols>
    <col min="1" max="1" width="9.109375" style="194"/>
    <col min="2" max="2" width="10.33203125" style="194" customWidth="1"/>
    <col min="3" max="3" width="10.5546875" style="194" bestFit="1" customWidth="1"/>
    <col min="4" max="4" width="16" style="194" customWidth="1"/>
    <col min="5" max="5" width="30.109375" style="194" customWidth="1"/>
    <col min="6" max="16384" width="9.109375" style="194"/>
  </cols>
  <sheetData>
    <row r="4" spans="2:5" ht="38.25" customHeight="1">
      <c r="B4" s="674" t="s">
        <v>455</v>
      </c>
      <c r="C4" s="674" t="s">
        <v>458</v>
      </c>
      <c r="D4" s="674" t="s">
        <v>456</v>
      </c>
      <c r="E4" s="676" t="s">
        <v>459</v>
      </c>
    </row>
    <row r="5" spans="2:5">
      <c r="B5" s="675"/>
      <c r="C5" s="675"/>
      <c r="D5" s="675"/>
      <c r="E5" s="677"/>
    </row>
    <row r="6" spans="2:5">
      <c r="B6" s="296" t="s">
        <v>457</v>
      </c>
      <c r="C6" s="296">
        <v>90</v>
      </c>
      <c r="D6" s="297">
        <v>47484</v>
      </c>
      <c r="E6" s="299">
        <v>20</v>
      </c>
    </row>
    <row r="7" spans="2:5">
      <c r="B7" s="296"/>
      <c r="C7" s="296"/>
      <c r="D7" s="296"/>
      <c r="E7" s="299"/>
    </row>
    <row r="8" spans="2:5">
      <c r="B8" s="296" t="s">
        <v>460</v>
      </c>
      <c r="C8" s="296"/>
      <c r="D8" s="296"/>
      <c r="E8" s="299"/>
    </row>
    <row r="9" spans="2:5">
      <c r="B9" s="296"/>
      <c r="C9" s="296"/>
      <c r="D9" s="296"/>
      <c r="E9" s="299"/>
    </row>
    <row r="10" spans="2:5">
      <c r="B10" s="296" t="s">
        <v>399</v>
      </c>
      <c r="C10" s="296"/>
      <c r="D10" s="296"/>
      <c r="E10" s="300">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3">
    <tabColor rgb="FF00B050"/>
  </sheetPr>
  <dimension ref="A1:P173"/>
  <sheetViews>
    <sheetView topLeftCell="A8" zoomScaleNormal="100" workbookViewId="0">
      <selection activeCell="B173" sqref="B173"/>
    </sheetView>
  </sheetViews>
  <sheetFormatPr defaultColWidth="9.109375" defaultRowHeight="12"/>
  <cols>
    <col min="1" max="1" width="57.44140625" style="309" customWidth="1" collapsed="1"/>
    <col min="2" max="2" width="20.88671875" style="309" customWidth="1" collapsed="1"/>
    <col min="3" max="3" width="18" style="309" customWidth="1" collapsed="1"/>
    <col min="4" max="4" width="12.44140625" style="309" bestFit="1" customWidth="1" collapsed="1"/>
    <col min="5" max="5" width="14.33203125" style="309" customWidth="1" collapsed="1"/>
    <col min="6" max="6" width="13.109375" style="309" bestFit="1" customWidth="1" collapsed="1"/>
    <col min="7" max="9" width="9.88671875" style="309" bestFit="1" customWidth="1" collapsed="1"/>
    <col min="10" max="10" width="15.5546875" style="309" bestFit="1" customWidth="1" collapsed="1"/>
    <col min="11" max="16384" width="9.109375" style="309"/>
  </cols>
  <sheetData>
    <row r="1" spans="1:16" s="307" customFormat="1" hidden="1">
      <c r="I1" s="308"/>
      <c r="J1" s="309"/>
      <c r="P1" s="310"/>
    </row>
    <row r="2" spans="1:16" s="307" customFormat="1" hidden="1">
      <c r="B2" s="311"/>
      <c r="C2" s="312" t="s">
        <v>251</v>
      </c>
      <c r="D2" s="312" t="s">
        <v>252</v>
      </c>
      <c r="E2" s="313" t="s">
        <v>341</v>
      </c>
      <c r="F2" s="313" t="s">
        <v>336</v>
      </c>
      <c r="G2" s="313"/>
      <c r="I2" s="308"/>
      <c r="J2" s="309"/>
      <c r="P2" s="310"/>
    </row>
    <row r="3" spans="1:16" hidden="1">
      <c r="A3" s="314" t="s">
        <v>164</v>
      </c>
      <c r="B3" s="315"/>
      <c r="C3" s="316">
        <v>5</v>
      </c>
      <c r="D3" s="316">
        <v>7</v>
      </c>
      <c r="E3" s="317"/>
      <c r="F3" s="317"/>
      <c r="G3" s="317"/>
      <c r="J3" s="318"/>
    </row>
    <row r="4" spans="1:16" hidden="1">
      <c r="A4" s="319" t="s">
        <v>163</v>
      </c>
      <c r="B4" s="320">
        <v>0.14499999999999999</v>
      </c>
      <c r="C4" s="321"/>
      <c r="D4" s="317"/>
      <c r="E4" s="317"/>
      <c r="F4" s="317"/>
      <c r="G4" s="317"/>
    </row>
    <row r="5" spans="1:16" hidden="1">
      <c r="A5" s="319" t="s">
        <v>165</v>
      </c>
      <c r="B5" s="312"/>
      <c r="C5" s="316">
        <v>25</v>
      </c>
      <c r="D5" s="316">
        <v>15</v>
      </c>
      <c r="E5" s="317"/>
      <c r="F5" s="317"/>
      <c r="G5" s="317"/>
    </row>
    <row r="6" spans="1:16" hidden="1">
      <c r="A6" s="319" t="s">
        <v>237</v>
      </c>
      <c r="B6" s="322">
        <f>'старый шаблон '!M7*0.02%</f>
        <v>20233901.460192002</v>
      </c>
      <c r="C6" s="323"/>
      <c r="D6" s="324">
        <v>15000000</v>
      </c>
      <c r="E6" s="317"/>
      <c r="F6" s="317"/>
      <c r="G6" s="317"/>
      <c r="J6" s="322">
        <f>B6/(100-'старый шаблон '!E25)*100</f>
        <v>23804589.953167062</v>
      </c>
      <c r="K6" s="309" t="s">
        <v>231</v>
      </c>
    </row>
    <row r="7" spans="1:16">
      <c r="A7" s="679" t="s">
        <v>357</v>
      </c>
      <c r="B7" s="680"/>
      <c r="C7" s="681"/>
      <c r="D7" s="681"/>
      <c r="E7" s="681"/>
      <c r="F7" s="317"/>
      <c r="G7" s="317"/>
      <c r="J7" s="323"/>
    </row>
    <row r="8" spans="1:16">
      <c r="A8" s="319" t="s">
        <v>168</v>
      </c>
      <c r="B8" s="353">
        <v>0.9</v>
      </c>
      <c r="C8" s="313"/>
      <c r="D8" s="313"/>
      <c r="E8" s="313"/>
      <c r="F8" s="313"/>
      <c r="G8" s="313"/>
      <c r="H8" s="307"/>
      <c r="I8" s="307"/>
    </row>
    <row r="9" spans="1:16" hidden="1">
      <c r="A9" s="325" t="s">
        <v>238</v>
      </c>
      <c r="B9" s="354"/>
      <c r="C9" s="326">
        <v>18</v>
      </c>
      <c r="D9" s="326">
        <v>18</v>
      </c>
      <c r="E9" s="326">
        <v>18</v>
      </c>
      <c r="F9" s="326">
        <v>22.7</v>
      </c>
      <c r="G9" s="326">
        <v>31</v>
      </c>
      <c r="H9" s="326">
        <v>15.6</v>
      </c>
      <c r="I9" s="326">
        <v>31</v>
      </c>
    </row>
    <row r="10" spans="1:16">
      <c r="A10" s="325" t="s">
        <v>224</v>
      </c>
      <c r="B10" s="355">
        <v>0.1</v>
      </c>
      <c r="C10" s="327"/>
      <c r="D10" s="317"/>
      <c r="E10" s="317"/>
      <c r="F10" s="317"/>
      <c r="G10" s="317"/>
    </row>
    <row r="11" spans="1:16" hidden="1">
      <c r="A11" s="325" t="s">
        <v>225</v>
      </c>
      <c r="B11" s="356">
        <v>130</v>
      </c>
      <c r="C11" s="328"/>
      <c r="D11" s="317"/>
      <c r="E11" s="317"/>
      <c r="F11" s="317"/>
      <c r="G11" s="317"/>
    </row>
    <row r="12" spans="1:16">
      <c r="A12" s="325" t="s">
        <v>262</v>
      </c>
      <c r="B12" s="355">
        <v>0.98</v>
      </c>
      <c r="C12" s="327"/>
      <c r="D12" s="317"/>
      <c r="E12" s="317"/>
      <c r="F12" s="317"/>
      <c r="G12" s="317"/>
    </row>
    <row r="13" spans="1:16" hidden="1">
      <c r="A13" s="319" t="s">
        <v>159</v>
      </c>
      <c r="B13" s="312"/>
      <c r="C13" s="329" t="s">
        <v>72</v>
      </c>
      <c r="D13" s="329" t="s">
        <v>83</v>
      </c>
      <c r="E13" s="329" t="s">
        <v>84</v>
      </c>
      <c r="F13" s="329" t="s">
        <v>243</v>
      </c>
      <c r="G13" s="329" t="s">
        <v>244</v>
      </c>
      <c r="H13" s="319" t="s">
        <v>245</v>
      </c>
      <c r="I13" s="319" t="s">
        <v>258</v>
      </c>
      <c r="L13" s="307"/>
    </row>
    <row r="14" spans="1:16" hidden="1">
      <c r="A14" s="319" t="s">
        <v>160</v>
      </c>
      <c r="B14" s="330"/>
      <c r="C14" s="331">
        <v>30000</v>
      </c>
      <c r="D14" s="331">
        <v>25000</v>
      </c>
      <c r="E14" s="331">
        <v>22000</v>
      </c>
      <c r="F14" s="331">
        <v>52000</v>
      </c>
      <c r="G14" s="331">
        <v>50000</v>
      </c>
      <c r="H14" s="331">
        <v>40000</v>
      </c>
      <c r="I14" s="331">
        <v>50000</v>
      </c>
      <c r="L14" s="307"/>
    </row>
    <row r="15" spans="1:16" hidden="1">
      <c r="A15" s="678" t="s">
        <v>249</v>
      </c>
      <c r="B15" s="332" t="s">
        <v>261</v>
      </c>
      <c r="C15" s="317"/>
      <c r="D15" s="317"/>
      <c r="E15" s="317"/>
      <c r="F15" s="317"/>
      <c r="G15" s="317"/>
      <c r="L15" s="333"/>
    </row>
    <row r="16" spans="1:16" ht="12.75" hidden="1" customHeight="1">
      <c r="A16" s="678"/>
      <c r="B16" s="332" t="s">
        <v>250</v>
      </c>
      <c r="C16" s="313"/>
      <c r="D16" s="317"/>
      <c r="E16" s="317"/>
      <c r="F16" s="317"/>
      <c r="G16" s="317"/>
      <c r="L16" s="333"/>
    </row>
    <row r="17" spans="1:12" hidden="1">
      <c r="A17" s="678"/>
      <c r="B17" s="332" t="s">
        <v>257</v>
      </c>
      <c r="C17" s="317" t="s">
        <v>259</v>
      </c>
      <c r="D17" s="317"/>
      <c r="E17" s="317"/>
      <c r="F17" s="317"/>
      <c r="G17" s="317"/>
      <c r="L17" s="333"/>
    </row>
    <row r="18" spans="1:12" hidden="1">
      <c r="B18" s="313" t="s">
        <v>341</v>
      </c>
      <c r="C18" s="317"/>
      <c r="D18" s="317"/>
      <c r="E18" s="317"/>
      <c r="F18" s="317"/>
      <c r="G18" s="317"/>
      <c r="L18" s="307"/>
    </row>
    <row r="19" spans="1:12">
      <c r="A19" s="682" t="s">
        <v>359</v>
      </c>
      <c r="B19" s="682"/>
      <c r="C19" s="682"/>
      <c r="D19" s="682"/>
      <c r="E19" s="682"/>
      <c r="F19" s="317"/>
      <c r="G19" s="317"/>
      <c r="L19" s="307"/>
    </row>
    <row r="20" spans="1:12">
      <c r="A20" s="334" t="str">
        <f>'Главная страница'!C40</f>
        <v>Пшеница</v>
      </c>
      <c r="B20" s="313"/>
      <c r="C20" s="317">
        <v>1</v>
      </c>
      <c r="D20" s="317"/>
      <c r="I20" s="307"/>
    </row>
    <row r="21" spans="1:12">
      <c r="A21" s="319" t="s">
        <v>169</v>
      </c>
      <c r="B21" s="335">
        <f>'Главная страница'!D40</f>
        <v>700</v>
      </c>
      <c r="C21" s="317" t="s">
        <v>351</v>
      </c>
      <c r="D21" s="317"/>
      <c r="I21" s="307"/>
    </row>
    <row r="22" spans="1:12">
      <c r="A22" s="319" t="s">
        <v>170</v>
      </c>
      <c r="B22" s="336">
        <f>'Главная страница'!P40</f>
        <v>20</v>
      </c>
      <c r="C22" s="317" t="s">
        <v>352</v>
      </c>
      <c r="D22" s="317"/>
    </row>
    <row r="23" spans="1:12">
      <c r="A23" s="319" t="s">
        <v>175</v>
      </c>
      <c r="B23" s="337">
        <f>B21*B22/10</f>
        <v>1400</v>
      </c>
      <c r="C23" s="317" t="s">
        <v>353</v>
      </c>
      <c r="D23" s="317"/>
    </row>
    <row r="24" spans="1:12">
      <c r="A24" s="329" t="s">
        <v>174</v>
      </c>
      <c r="B24" s="338">
        <f>B10</f>
        <v>0.1</v>
      </c>
      <c r="C24" s="317" t="s">
        <v>356</v>
      </c>
      <c r="D24" s="317"/>
    </row>
    <row r="25" spans="1:12">
      <c r="A25" s="329" t="s">
        <v>179</v>
      </c>
      <c r="B25" s="339">
        <f>B23-B23*B24</f>
        <v>1260</v>
      </c>
      <c r="C25" s="317" t="s">
        <v>354</v>
      </c>
      <c r="D25" s="317"/>
    </row>
    <row r="26" spans="1:12">
      <c r="A26" s="329" t="s">
        <v>171</v>
      </c>
      <c r="B26" s="340">
        <f>'Главная страница'!D66</f>
        <v>200</v>
      </c>
      <c r="C26" s="317" t="s">
        <v>358</v>
      </c>
      <c r="D26" s="317"/>
    </row>
    <row r="27" spans="1:12">
      <c r="A27" s="329" t="s">
        <v>172</v>
      </c>
      <c r="B27" s="339">
        <f>B21*B26/1000</f>
        <v>140</v>
      </c>
      <c r="C27" s="317" t="s">
        <v>355</v>
      </c>
      <c r="D27" s="317"/>
    </row>
    <row r="28" spans="1:12">
      <c r="A28" s="329" t="s">
        <v>180</v>
      </c>
      <c r="B28" s="339">
        <f>B25-B27</f>
        <v>1120</v>
      </c>
      <c r="C28" s="317" t="s">
        <v>353</v>
      </c>
      <c r="D28" s="317"/>
    </row>
    <row r="29" spans="1:12" s="343" customFormat="1" hidden="1">
      <c r="A29" s="341" t="s">
        <v>173</v>
      </c>
      <c r="B29" s="342">
        <v>0</v>
      </c>
      <c r="C29" s="343" t="s">
        <v>361</v>
      </c>
    </row>
    <row r="30" spans="1:12">
      <c r="A30" s="329" t="s">
        <v>177</v>
      </c>
      <c r="B30" s="339">
        <f>B28-B28*B29</f>
        <v>1120</v>
      </c>
      <c r="C30" s="317" t="s">
        <v>353</v>
      </c>
      <c r="D30" s="317"/>
    </row>
    <row r="31" spans="1:12">
      <c r="A31" s="329" t="s">
        <v>178</v>
      </c>
      <c r="B31" s="330">
        <f>'Главная страница'!D68</f>
        <v>45000</v>
      </c>
      <c r="C31" s="317" t="s">
        <v>363</v>
      </c>
      <c r="D31" s="317"/>
    </row>
    <row r="32" spans="1:12">
      <c r="A32" s="325" t="s">
        <v>176</v>
      </c>
      <c r="B32" s="335">
        <f>B30*B31</f>
        <v>50400000</v>
      </c>
      <c r="C32" s="317"/>
      <c r="D32" s="317"/>
    </row>
    <row r="33" spans="1:7">
      <c r="B33" s="344"/>
      <c r="C33" s="317"/>
      <c r="D33" s="317"/>
    </row>
    <row r="34" spans="1:7">
      <c r="A34" s="334" t="str">
        <f>'Главная страница'!C42</f>
        <v>Овес</v>
      </c>
      <c r="B34" s="345"/>
      <c r="C34" s="317">
        <v>2</v>
      </c>
      <c r="D34" s="317"/>
    </row>
    <row r="35" spans="1:7">
      <c r="A35" s="319" t="s">
        <v>169</v>
      </c>
      <c r="B35" s="335">
        <f>'Главная страница'!D42</f>
        <v>500</v>
      </c>
      <c r="C35" s="317"/>
      <c r="D35" s="317"/>
    </row>
    <row r="36" spans="1:7">
      <c r="A36" s="319" t="s">
        <v>170</v>
      </c>
      <c r="B36" s="336">
        <f>'Главная страница'!P42</f>
        <v>15.5</v>
      </c>
      <c r="C36" s="346"/>
      <c r="D36" s="317"/>
      <c r="E36" s="317"/>
      <c r="F36" s="317"/>
      <c r="G36" s="317"/>
    </row>
    <row r="37" spans="1:7">
      <c r="A37" s="319" t="s">
        <v>175</v>
      </c>
      <c r="B37" s="337">
        <f>B35*B36/10</f>
        <v>775</v>
      </c>
      <c r="C37" s="347"/>
      <c r="D37" s="317"/>
      <c r="E37" s="317"/>
      <c r="F37" s="317"/>
      <c r="G37" s="317"/>
    </row>
    <row r="38" spans="1:7">
      <c r="A38" s="329" t="s">
        <v>174</v>
      </c>
      <c r="B38" s="338">
        <f>B24</f>
        <v>0.1</v>
      </c>
      <c r="C38" s="348"/>
      <c r="D38" s="317"/>
      <c r="E38" s="317"/>
      <c r="F38" s="317"/>
      <c r="G38" s="317"/>
    </row>
    <row r="39" spans="1:7">
      <c r="A39" s="329" t="s">
        <v>179</v>
      </c>
      <c r="B39" s="339">
        <f>B37-B37*B38</f>
        <v>697.5</v>
      </c>
      <c r="C39" s="347"/>
      <c r="D39" s="317"/>
      <c r="E39" s="317"/>
      <c r="F39" s="317"/>
      <c r="G39" s="317"/>
    </row>
    <row r="40" spans="1:7">
      <c r="A40" s="329" t="s">
        <v>171</v>
      </c>
      <c r="B40" s="340">
        <f>'Главная страница'!E66</f>
        <v>0</v>
      </c>
      <c r="C40" s="313"/>
      <c r="D40" s="317"/>
      <c r="E40" s="317"/>
      <c r="F40" s="317"/>
      <c r="G40" s="317"/>
    </row>
    <row r="41" spans="1:7">
      <c r="A41" s="329" t="s">
        <v>172</v>
      </c>
      <c r="B41" s="339">
        <f>B35*B40/1000</f>
        <v>0</v>
      </c>
      <c r="C41" s="347"/>
      <c r="D41" s="317"/>
      <c r="E41" s="317"/>
      <c r="F41" s="317"/>
      <c r="G41" s="317"/>
    </row>
    <row r="42" spans="1:7">
      <c r="A42" s="329" t="s">
        <v>180</v>
      </c>
      <c r="B42" s="339">
        <f>B39-B41</f>
        <v>697.5</v>
      </c>
      <c r="C42" s="347"/>
      <c r="D42" s="317"/>
      <c r="E42" s="317"/>
      <c r="F42" s="317"/>
      <c r="G42" s="317"/>
    </row>
    <row r="43" spans="1:7" hidden="1">
      <c r="A43" s="329" t="s">
        <v>173</v>
      </c>
      <c r="B43" s="338">
        <f>B29</f>
        <v>0</v>
      </c>
      <c r="C43" s="348"/>
      <c r="D43" s="317"/>
      <c r="E43" s="317"/>
      <c r="F43" s="317"/>
      <c r="G43" s="317"/>
    </row>
    <row r="44" spans="1:7">
      <c r="A44" s="329" t="s">
        <v>177</v>
      </c>
      <c r="B44" s="339">
        <f>B42-B42*B43</f>
        <v>697.5</v>
      </c>
      <c r="C44" s="347"/>
      <c r="D44" s="317"/>
      <c r="E44" s="317"/>
      <c r="F44" s="317"/>
      <c r="G44" s="317"/>
    </row>
    <row r="45" spans="1:7">
      <c r="A45" s="329" t="s">
        <v>178</v>
      </c>
      <c r="B45" s="330">
        <f>'Главная страница'!E68</f>
        <v>0</v>
      </c>
      <c r="C45" s="349"/>
      <c r="D45" s="317"/>
      <c r="E45" s="317"/>
      <c r="F45" s="317"/>
      <c r="G45" s="317"/>
    </row>
    <row r="46" spans="1:7">
      <c r="A46" s="325" t="s">
        <v>176</v>
      </c>
      <c r="B46" s="335">
        <f>B44*B45</f>
        <v>0</v>
      </c>
      <c r="C46" s="349"/>
      <c r="D46" s="317"/>
      <c r="E46" s="317"/>
      <c r="F46" s="317"/>
      <c r="G46" s="317"/>
    </row>
    <row r="47" spans="1:7">
      <c r="C47" s="317"/>
      <c r="D47" s="317"/>
      <c r="E47" s="317"/>
      <c r="F47" s="317"/>
      <c r="G47" s="317"/>
    </row>
    <row r="48" spans="1:7">
      <c r="A48" s="334">
        <f>'Главная страница'!C44</f>
        <v>0</v>
      </c>
      <c r="C48" s="317">
        <v>3</v>
      </c>
      <c r="D48" s="317"/>
      <c r="E48" s="317"/>
      <c r="F48" s="317"/>
      <c r="G48" s="317"/>
    </row>
    <row r="49" spans="1:7">
      <c r="A49" s="319" t="s">
        <v>169</v>
      </c>
      <c r="B49" s="335">
        <f>'Главная страница'!D44</f>
        <v>0</v>
      </c>
      <c r="C49" s="349"/>
      <c r="D49" s="317"/>
      <c r="E49" s="317"/>
      <c r="F49" s="317"/>
      <c r="G49" s="317"/>
    </row>
    <row r="50" spans="1:7">
      <c r="A50" s="319" t="s">
        <v>170</v>
      </c>
      <c r="B50" s="336">
        <f>'Главная страница'!P44</f>
        <v>0</v>
      </c>
      <c r="C50" s="346"/>
      <c r="D50" s="317"/>
      <c r="E50" s="317"/>
      <c r="F50" s="317"/>
      <c r="G50" s="317"/>
    </row>
    <row r="51" spans="1:7">
      <c r="A51" s="319" t="s">
        <v>175</v>
      </c>
      <c r="B51" s="337">
        <f>B49*B50/10</f>
        <v>0</v>
      </c>
      <c r="C51" s="347"/>
      <c r="D51" s="317"/>
      <c r="E51" s="317"/>
      <c r="F51" s="317"/>
      <c r="G51" s="317"/>
    </row>
    <row r="52" spans="1:7">
      <c r="A52" s="329" t="s">
        <v>174</v>
      </c>
      <c r="B52" s="338">
        <f>B24</f>
        <v>0.1</v>
      </c>
      <c r="C52" s="348"/>
      <c r="D52" s="317"/>
      <c r="E52" s="317"/>
      <c r="F52" s="317"/>
      <c r="G52" s="317"/>
    </row>
    <row r="53" spans="1:7">
      <c r="A53" s="329" t="s">
        <v>179</v>
      </c>
      <c r="B53" s="339">
        <f>B51-B51*B52</f>
        <v>0</v>
      </c>
      <c r="C53" s="347"/>
      <c r="D53" s="317"/>
      <c r="E53" s="317"/>
      <c r="F53" s="317"/>
      <c r="G53" s="317"/>
    </row>
    <row r="54" spans="1:7">
      <c r="A54" s="329" t="s">
        <v>171</v>
      </c>
      <c r="B54" s="340">
        <f>'Главная страница'!F66</f>
        <v>0</v>
      </c>
      <c r="C54" s="313"/>
      <c r="D54" s="317"/>
      <c r="E54" s="317"/>
      <c r="F54" s="317"/>
      <c r="G54" s="317"/>
    </row>
    <row r="55" spans="1:7">
      <c r="A55" s="329" t="s">
        <v>172</v>
      </c>
      <c r="B55" s="339">
        <f>B49*B54/1000</f>
        <v>0</v>
      </c>
      <c r="C55" s="347"/>
      <c r="D55" s="317"/>
      <c r="E55" s="317"/>
      <c r="F55" s="317"/>
      <c r="G55" s="317"/>
    </row>
    <row r="56" spans="1:7">
      <c r="A56" s="329" t="s">
        <v>180</v>
      </c>
      <c r="B56" s="339">
        <f>B53-B55</f>
        <v>0</v>
      </c>
      <c r="C56" s="347"/>
      <c r="D56" s="317"/>
      <c r="E56" s="317"/>
      <c r="F56" s="317"/>
      <c r="G56" s="317"/>
    </row>
    <row r="57" spans="1:7" hidden="1">
      <c r="A57" s="329" t="s">
        <v>173</v>
      </c>
      <c r="B57" s="338">
        <f>B29</f>
        <v>0</v>
      </c>
      <c r="C57" s="348"/>
      <c r="D57" s="317"/>
      <c r="E57" s="317"/>
      <c r="F57" s="317"/>
      <c r="G57" s="317"/>
    </row>
    <row r="58" spans="1:7">
      <c r="A58" s="329" t="s">
        <v>177</v>
      </c>
      <c r="B58" s="339">
        <f>B56-B56*B57</f>
        <v>0</v>
      </c>
      <c r="C58" s="347"/>
      <c r="D58" s="317"/>
      <c r="E58" s="317"/>
      <c r="F58" s="317"/>
      <c r="G58" s="317"/>
    </row>
    <row r="59" spans="1:7">
      <c r="A59" s="329" t="s">
        <v>178</v>
      </c>
      <c r="B59" s="330">
        <f>'Главная страница'!F68</f>
        <v>0</v>
      </c>
      <c r="C59" s="349"/>
      <c r="D59" s="317"/>
      <c r="E59" s="317"/>
      <c r="F59" s="317"/>
      <c r="G59" s="317"/>
    </row>
    <row r="60" spans="1:7">
      <c r="A60" s="325" t="s">
        <v>176</v>
      </c>
      <c r="B60" s="335">
        <f>B58*B59</f>
        <v>0</v>
      </c>
      <c r="C60" s="349"/>
      <c r="D60" s="317"/>
      <c r="E60" s="317"/>
      <c r="F60" s="317"/>
      <c r="G60" s="317"/>
    </row>
    <row r="61" spans="1:7">
      <c r="C61" s="317"/>
      <c r="D61" s="317"/>
      <c r="E61" s="317"/>
      <c r="F61" s="317"/>
      <c r="G61" s="317"/>
    </row>
    <row r="62" spans="1:7">
      <c r="A62" s="334">
        <f>'Главная страница'!C46</f>
        <v>0</v>
      </c>
      <c r="C62" s="317">
        <v>4</v>
      </c>
      <c r="D62" s="317"/>
      <c r="E62" s="317"/>
      <c r="F62" s="317"/>
      <c r="G62" s="317"/>
    </row>
    <row r="63" spans="1:7">
      <c r="A63" s="319" t="s">
        <v>169</v>
      </c>
      <c r="B63" s="335">
        <f>'Главная страница'!D46</f>
        <v>0</v>
      </c>
      <c r="C63" s="317"/>
      <c r="D63" s="317"/>
      <c r="E63" s="317"/>
      <c r="F63" s="317"/>
      <c r="G63" s="317"/>
    </row>
    <row r="64" spans="1:7">
      <c r="A64" s="319" t="s">
        <v>170</v>
      </c>
      <c r="B64" s="336">
        <f>'Главная страница'!P46</f>
        <v>0</v>
      </c>
      <c r="C64" s="317"/>
      <c r="D64" s="317"/>
      <c r="E64" s="317"/>
      <c r="F64" s="317"/>
      <c r="G64" s="317"/>
    </row>
    <row r="65" spans="1:7">
      <c r="A65" s="319" t="s">
        <v>175</v>
      </c>
      <c r="B65" s="337">
        <f>B63*B64/10</f>
        <v>0</v>
      </c>
      <c r="C65" s="317"/>
      <c r="D65" s="317"/>
      <c r="E65" s="317"/>
      <c r="F65" s="317"/>
      <c r="G65" s="317"/>
    </row>
    <row r="66" spans="1:7">
      <c r="A66" s="329" t="s">
        <v>174</v>
      </c>
      <c r="B66" s="338">
        <f>B38</f>
        <v>0.1</v>
      </c>
      <c r="C66" s="317"/>
      <c r="D66" s="317"/>
      <c r="E66" s="317"/>
      <c r="F66" s="317"/>
      <c r="G66" s="317"/>
    </row>
    <row r="67" spans="1:7">
      <c r="A67" s="329" t="s">
        <v>179</v>
      </c>
      <c r="B67" s="339">
        <f>B65-B65*B66</f>
        <v>0</v>
      </c>
      <c r="C67" s="317"/>
      <c r="D67" s="317"/>
      <c r="E67" s="317"/>
      <c r="F67" s="317"/>
      <c r="G67" s="317"/>
    </row>
    <row r="68" spans="1:7">
      <c r="A68" s="329" t="s">
        <v>171</v>
      </c>
      <c r="B68" s="329">
        <f>'Главная страница'!G66</f>
        <v>0</v>
      </c>
      <c r="C68" s="317"/>
      <c r="D68" s="317"/>
      <c r="E68" s="317"/>
      <c r="F68" s="317"/>
      <c r="G68" s="317"/>
    </row>
    <row r="69" spans="1:7">
      <c r="A69" s="329" t="s">
        <v>172</v>
      </c>
      <c r="B69" s="339">
        <f>B63*B68/1000</f>
        <v>0</v>
      </c>
      <c r="C69" s="317"/>
      <c r="D69" s="317"/>
      <c r="E69" s="317"/>
      <c r="F69" s="317"/>
      <c r="G69" s="317"/>
    </row>
    <row r="70" spans="1:7">
      <c r="A70" s="329" t="s">
        <v>180</v>
      </c>
      <c r="B70" s="339">
        <f>B67-B69</f>
        <v>0</v>
      </c>
      <c r="C70" s="317"/>
      <c r="D70" s="317"/>
      <c r="E70" s="317"/>
      <c r="F70" s="317"/>
      <c r="G70" s="317"/>
    </row>
    <row r="71" spans="1:7" hidden="1">
      <c r="A71" s="329" t="s">
        <v>173</v>
      </c>
      <c r="B71" s="338">
        <f>B43</f>
        <v>0</v>
      </c>
      <c r="C71" s="317"/>
      <c r="D71" s="317"/>
      <c r="E71" s="317"/>
      <c r="F71" s="317"/>
      <c r="G71" s="317"/>
    </row>
    <row r="72" spans="1:7">
      <c r="A72" s="329" t="s">
        <v>177</v>
      </c>
      <c r="B72" s="339">
        <f>B70-B70*B71</f>
        <v>0</v>
      </c>
      <c r="C72" s="317"/>
      <c r="D72" s="317"/>
      <c r="E72" s="317"/>
      <c r="F72" s="317"/>
      <c r="G72" s="317"/>
    </row>
    <row r="73" spans="1:7">
      <c r="A73" s="329" t="s">
        <v>178</v>
      </c>
      <c r="B73" s="330">
        <f>'Главная страница'!G68</f>
        <v>0</v>
      </c>
      <c r="C73" s="317"/>
      <c r="D73" s="317"/>
      <c r="E73" s="317"/>
      <c r="F73" s="317"/>
      <c r="G73" s="317"/>
    </row>
    <row r="74" spans="1:7">
      <c r="A74" s="325" t="s">
        <v>176</v>
      </c>
      <c r="B74" s="335">
        <f>B72*B73</f>
        <v>0</v>
      </c>
      <c r="C74" s="317"/>
      <c r="D74" s="317"/>
      <c r="E74" s="317"/>
      <c r="F74" s="317"/>
      <c r="G74" s="317"/>
    </row>
    <row r="75" spans="1:7">
      <c r="C75" s="317"/>
      <c r="D75" s="317"/>
      <c r="E75" s="317"/>
      <c r="F75" s="317"/>
      <c r="G75" s="317"/>
    </row>
    <row r="76" spans="1:7">
      <c r="A76" s="334">
        <f>'Главная страница'!C48</f>
        <v>0</v>
      </c>
      <c r="C76" s="317">
        <v>5</v>
      </c>
      <c r="D76" s="317"/>
      <c r="E76" s="317"/>
      <c r="F76" s="317"/>
      <c r="G76" s="317"/>
    </row>
    <row r="77" spans="1:7">
      <c r="A77" s="319" t="s">
        <v>169</v>
      </c>
      <c r="B77" s="335">
        <f>'Главная страница'!D48</f>
        <v>0</v>
      </c>
      <c r="C77" s="317"/>
      <c r="D77" s="317"/>
      <c r="E77" s="317"/>
      <c r="F77" s="317"/>
      <c r="G77" s="317"/>
    </row>
    <row r="78" spans="1:7">
      <c r="A78" s="319" t="s">
        <v>170</v>
      </c>
      <c r="B78" s="336">
        <f>'Главная страница'!P48</f>
        <v>0</v>
      </c>
      <c r="C78" s="317"/>
      <c r="D78" s="317"/>
      <c r="E78" s="317"/>
      <c r="F78" s="317"/>
      <c r="G78" s="317"/>
    </row>
    <row r="79" spans="1:7">
      <c r="A79" s="319" t="s">
        <v>175</v>
      </c>
      <c r="B79" s="337">
        <f>B77*B78/10</f>
        <v>0</v>
      </c>
      <c r="C79" s="317"/>
      <c r="D79" s="317"/>
      <c r="E79" s="317"/>
      <c r="F79" s="317"/>
      <c r="G79" s="317"/>
    </row>
    <row r="80" spans="1:7">
      <c r="A80" s="329" t="s">
        <v>174</v>
      </c>
      <c r="B80" s="338">
        <f>B52</f>
        <v>0.1</v>
      </c>
      <c r="C80" s="317"/>
      <c r="D80" s="317"/>
      <c r="E80" s="317"/>
      <c r="F80" s="317"/>
      <c r="G80" s="317"/>
    </row>
    <row r="81" spans="1:7">
      <c r="A81" s="329" t="s">
        <v>179</v>
      </c>
      <c r="B81" s="339">
        <f>B79-B79*B80</f>
        <v>0</v>
      </c>
      <c r="C81" s="317"/>
      <c r="D81" s="317"/>
      <c r="E81" s="317"/>
      <c r="F81" s="317"/>
      <c r="G81" s="317"/>
    </row>
    <row r="82" spans="1:7">
      <c r="A82" s="329" t="s">
        <v>171</v>
      </c>
      <c r="B82" s="329">
        <f>'Главная страница'!H66</f>
        <v>0</v>
      </c>
      <c r="C82" s="317"/>
      <c r="D82" s="317"/>
      <c r="E82" s="317"/>
      <c r="F82" s="317"/>
      <c r="G82" s="317"/>
    </row>
    <row r="83" spans="1:7">
      <c r="A83" s="329" t="s">
        <v>172</v>
      </c>
      <c r="B83" s="339">
        <f>B77*B82/1000</f>
        <v>0</v>
      </c>
      <c r="C83" s="317"/>
      <c r="D83" s="317"/>
      <c r="E83" s="317"/>
      <c r="F83" s="317"/>
      <c r="G83" s="317"/>
    </row>
    <row r="84" spans="1:7">
      <c r="A84" s="329" t="s">
        <v>180</v>
      </c>
      <c r="B84" s="339">
        <f>B81-B83</f>
        <v>0</v>
      </c>
      <c r="C84" s="317"/>
      <c r="D84" s="317"/>
      <c r="E84" s="317"/>
      <c r="F84" s="317"/>
      <c r="G84" s="317"/>
    </row>
    <row r="85" spans="1:7" hidden="1">
      <c r="A85" s="329" t="s">
        <v>173</v>
      </c>
      <c r="B85" s="338">
        <f>B57</f>
        <v>0</v>
      </c>
      <c r="C85" s="317"/>
      <c r="D85" s="317"/>
      <c r="E85" s="317"/>
      <c r="F85" s="317"/>
      <c r="G85" s="317"/>
    </row>
    <row r="86" spans="1:7">
      <c r="A86" s="329" t="s">
        <v>177</v>
      </c>
      <c r="B86" s="339">
        <f>B84-B84*B85</f>
        <v>0</v>
      </c>
      <c r="C86" s="317"/>
      <c r="D86" s="317"/>
      <c r="E86" s="317"/>
      <c r="F86" s="317"/>
      <c r="G86" s="317"/>
    </row>
    <row r="87" spans="1:7">
      <c r="A87" s="329" t="s">
        <v>178</v>
      </c>
      <c r="B87" s="330">
        <f>'Главная страница'!H68</f>
        <v>0</v>
      </c>
      <c r="C87" s="317"/>
      <c r="D87" s="317"/>
      <c r="E87" s="317"/>
      <c r="F87" s="317"/>
      <c r="G87" s="317"/>
    </row>
    <row r="88" spans="1:7">
      <c r="A88" s="329" t="s">
        <v>176</v>
      </c>
      <c r="B88" s="330">
        <f>B86*B87</f>
        <v>0</v>
      </c>
      <c r="C88" s="317"/>
      <c r="D88" s="317"/>
      <c r="E88" s="317"/>
      <c r="F88" s="317"/>
      <c r="G88" s="317"/>
    </row>
    <row r="89" spans="1:7">
      <c r="C89" s="317"/>
      <c r="D89" s="317"/>
      <c r="E89" s="317"/>
      <c r="F89" s="317"/>
      <c r="G89" s="317"/>
    </row>
    <row r="90" spans="1:7">
      <c r="A90" s="334">
        <f>'Главная страница'!C50</f>
        <v>0</v>
      </c>
      <c r="C90" s="317">
        <v>6</v>
      </c>
      <c r="D90" s="317"/>
      <c r="E90" s="317"/>
      <c r="F90" s="317"/>
      <c r="G90" s="317"/>
    </row>
    <row r="91" spans="1:7">
      <c r="A91" s="319" t="s">
        <v>169</v>
      </c>
      <c r="B91" s="335">
        <f>'Главная страница'!D50</f>
        <v>0</v>
      </c>
      <c r="C91" s="317"/>
      <c r="D91" s="317"/>
      <c r="E91" s="317"/>
      <c r="F91" s="317"/>
      <c r="G91" s="317"/>
    </row>
    <row r="92" spans="1:7">
      <c r="A92" s="319" t="s">
        <v>170</v>
      </c>
      <c r="B92" s="336">
        <f>'Главная страница'!P50</f>
        <v>0</v>
      </c>
      <c r="C92" s="317"/>
      <c r="D92" s="317"/>
      <c r="E92" s="317"/>
      <c r="F92" s="317"/>
      <c r="G92" s="317"/>
    </row>
    <row r="93" spans="1:7">
      <c r="A93" s="319" t="s">
        <v>175</v>
      </c>
      <c r="B93" s="337">
        <f>B91*B92/10</f>
        <v>0</v>
      </c>
      <c r="C93" s="317"/>
      <c r="D93" s="317"/>
      <c r="E93" s="317"/>
      <c r="F93" s="317"/>
      <c r="G93" s="317"/>
    </row>
    <row r="94" spans="1:7">
      <c r="A94" s="329" t="s">
        <v>174</v>
      </c>
      <c r="B94" s="338">
        <f>B66</f>
        <v>0.1</v>
      </c>
      <c r="C94" s="317"/>
      <c r="D94" s="317"/>
      <c r="E94" s="317"/>
      <c r="F94" s="317"/>
      <c r="G94" s="317"/>
    </row>
    <row r="95" spans="1:7">
      <c r="A95" s="329" t="s">
        <v>179</v>
      </c>
      <c r="B95" s="339">
        <f>B93-B93*B94</f>
        <v>0</v>
      </c>
      <c r="C95" s="317"/>
      <c r="D95" s="317"/>
      <c r="E95" s="317"/>
      <c r="F95" s="317"/>
      <c r="G95" s="317"/>
    </row>
    <row r="96" spans="1:7">
      <c r="A96" s="329" t="s">
        <v>171</v>
      </c>
      <c r="B96" s="329">
        <f>'Главная страница'!I66</f>
        <v>0</v>
      </c>
      <c r="C96" s="317"/>
      <c r="D96" s="317"/>
      <c r="E96" s="317"/>
      <c r="F96" s="317"/>
      <c r="G96" s="317"/>
    </row>
    <row r="97" spans="1:7">
      <c r="A97" s="329" t="s">
        <v>172</v>
      </c>
      <c r="B97" s="339">
        <f>B91*B96/1000</f>
        <v>0</v>
      </c>
      <c r="C97" s="317"/>
      <c r="D97" s="317"/>
      <c r="E97" s="317"/>
      <c r="F97" s="317"/>
      <c r="G97" s="317"/>
    </row>
    <row r="98" spans="1:7">
      <c r="A98" s="329" t="s">
        <v>180</v>
      </c>
      <c r="B98" s="339">
        <f>B95-B97</f>
        <v>0</v>
      </c>
      <c r="C98" s="317"/>
      <c r="D98" s="317"/>
      <c r="E98" s="317"/>
      <c r="F98" s="317"/>
      <c r="G98" s="317"/>
    </row>
    <row r="99" spans="1:7" hidden="1">
      <c r="A99" s="329" t="s">
        <v>173</v>
      </c>
      <c r="B99" s="338">
        <f>B71</f>
        <v>0</v>
      </c>
      <c r="C99" s="317"/>
      <c r="D99" s="317"/>
      <c r="E99" s="317"/>
      <c r="F99" s="317"/>
      <c r="G99" s="317"/>
    </row>
    <row r="100" spans="1:7">
      <c r="A100" s="329" t="s">
        <v>177</v>
      </c>
      <c r="B100" s="339">
        <f>B98-B98*B99</f>
        <v>0</v>
      </c>
      <c r="C100" s="317"/>
      <c r="D100" s="317"/>
      <c r="E100" s="317"/>
      <c r="F100" s="317"/>
      <c r="G100" s="317"/>
    </row>
    <row r="101" spans="1:7">
      <c r="A101" s="329" t="s">
        <v>178</v>
      </c>
      <c r="B101" s="330">
        <f>'Главная страница'!I68</f>
        <v>0</v>
      </c>
      <c r="C101" s="317"/>
      <c r="D101" s="317"/>
      <c r="E101" s="317"/>
      <c r="F101" s="317"/>
      <c r="G101" s="317"/>
    </row>
    <row r="102" spans="1:7">
      <c r="A102" s="329" t="s">
        <v>176</v>
      </c>
      <c r="B102" s="330">
        <f>B100*B101</f>
        <v>0</v>
      </c>
      <c r="C102" s="317"/>
      <c r="D102" s="317"/>
      <c r="E102" s="317"/>
      <c r="F102" s="317"/>
      <c r="G102" s="317"/>
    </row>
    <row r="103" spans="1:7">
      <c r="A103" s="325"/>
      <c r="B103" s="335"/>
      <c r="C103" s="317"/>
      <c r="D103" s="317"/>
      <c r="E103" s="317"/>
      <c r="F103" s="317"/>
      <c r="G103" s="317"/>
    </row>
    <row r="104" spans="1:7">
      <c r="A104" s="334">
        <f>'Главная страница'!C52</f>
        <v>0</v>
      </c>
      <c r="C104" s="317">
        <v>7</v>
      </c>
      <c r="D104" s="317"/>
      <c r="E104" s="317"/>
      <c r="F104" s="317"/>
      <c r="G104" s="317"/>
    </row>
    <row r="105" spans="1:7">
      <c r="A105" s="319" t="s">
        <v>169</v>
      </c>
      <c r="B105" s="335">
        <f>'Главная страница'!D52</f>
        <v>0</v>
      </c>
      <c r="C105" s="317"/>
      <c r="D105" s="317"/>
      <c r="E105" s="317"/>
      <c r="F105" s="317"/>
      <c r="G105" s="317"/>
    </row>
    <row r="106" spans="1:7">
      <c r="A106" s="319" t="s">
        <v>170</v>
      </c>
      <c r="B106" s="336">
        <f>'Главная страница'!P52</f>
        <v>0</v>
      </c>
      <c r="C106" s="317"/>
      <c r="D106" s="317"/>
      <c r="E106" s="317"/>
      <c r="F106" s="317"/>
      <c r="G106" s="317"/>
    </row>
    <row r="107" spans="1:7">
      <c r="A107" s="319" t="s">
        <v>175</v>
      </c>
      <c r="B107" s="337">
        <f>B105*B106/10</f>
        <v>0</v>
      </c>
      <c r="C107" s="317"/>
      <c r="D107" s="317"/>
      <c r="E107" s="317"/>
      <c r="F107" s="317"/>
      <c r="G107" s="317"/>
    </row>
    <row r="108" spans="1:7">
      <c r="A108" s="329" t="s">
        <v>174</v>
      </c>
      <c r="B108" s="338">
        <f>B80</f>
        <v>0.1</v>
      </c>
      <c r="C108" s="317"/>
      <c r="D108" s="317"/>
      <c r="E108" s="317"/>
      <c r="F108" s="317"/>
      <c r="G108" s="317"/>
    </row>
    <row r="109" spans="1:7">
      <c r="A109" s="329" t="s">
        <v>179</v>
      </c>
      <c r="B109" s="339">
        <f>B107-B107*B108</f>
        <v>0</v>
      </c>
      <c r="C109" s="317"/>
      <c r="D109" s="317"/>
      <c r="E109" s="317"/>
      <c r="F109" s="317"/>
      <c r="G109" s="317"/>
    </row>
    <row r="110" spans="1:7">
      <c r="A110" s="329" t="s">
        <v>171</v>
      </c>
      <c r="B110" s="329">
        <f>'Главная страница'!J66</f>
        <v>0</v>
      </c>
      <c r="C110" s="317"/>
      <c r="D110" s="317"/>
      <c r="E110" s="317"/>
      <c r="F110" s="317"/>
      <c r="G110" s="317"/>
    </row>
    <row r="111" spans="1:7">
      <c r="A111" s="329" t="s">
        <v>172</v>
      </c>
      <c r="B111" s="339">
        <f>B105*B110/1000</f>
        <v>0</v>
      </c>
      <c r="C111" s="317"/>
      <c r="D111" s="317"/>
      <c r="E111" s="317"/>
      <c r="F111" s="317"/>
      <c r="G111" s="317"/>
    </row>
    <row r="112" spans="1:7">
      <c r="A112" s="329" t="s">
        <v>180</v>
      </c>
      <c r="B112" s="339">
        <f>B109-B111</f>
        <v>0</v>
      </c>
      <c r="C112" s="317"/>
      <c r="D112" s="317"/>
      <c r="E112" s="317"/>
      <c r="F112" s="317"/>
      <c r="G112" s="317"/>
    </row>
    <row r="113" spans="1:7" hidden="1">
      <c r="A113" s="329" t="s">
        <v>173</v>
      </c>
      <c r="B113" s="338">
        <f>B85</f>
        <v>0</v>
      </c>
      <c r="C113" s="317"/>
      <c r="D113" s="317"/>
      <c r="E113" s="317"/>
      <c r="F113" s="317"/>
      <c r="G113" s="317"/>
    </row>
    <row r="114" spans="1:7">
      <c r="A114" s="329" t="s">
        <v>177</v>
      </c>
      <c r="B114" s="339">
        <f>B112-B112*B113</f>
        <v>0</v>
      </c>
      <c r="C114" s="317"/>
      <c r="D114" s="317"/>
      <c r="E114" s="317"/>
      <c r="F114" s="317"/>
      <c r="G114" s="317"/>
    </row>
    <row r="115" spans="1:7">
      <c r="A115" s="329" t="s">
        <v>178</v>
      </c>
      <c r="B115" s="330">
        <f>'Главная страница'!J68</f>
        <v>0</v>
      </c>
      <c r="C115" s="317"/>
      <c r="D115" s="317"/>
      <c r="E115" s="317"/>
      <c r="F115" s="317"/>
      <c r="G115" s="317"/>
    </row>
    <row r="116" spans="1:7">
      <c r="A116" s="329" t="s">
        <v>176</v>
      </c>
      <c r="B116" s="330">
        <f>B114*B115</f>
        <v>0</v>
      </c>
      <c r="C116" s="317"/>
      <c r="D116" s="317"/>
      <c r="E116" s="317"/>
      <c r="F116" s="317"/>
      <c r="G116" s="317"/>
    </row>
    <row r="117" spans="1:7">
      <c r="A117" s="329"/>
      <c r="B117" s="330"/>
      <c r="C117" s="317"/>
      <c r="D117" s="317"/>
      <c r="E117" s="317"/>
      <c r="F117" s="317"/>
      <c r="G117" s="317"/>
    </row>
    <row r="118" spans="1:7">
      <c r="A118" s="334">
        <f>'Главная страница'!C54</f>
        <v>0</v>
      </c>
      <c r="C118" s="317">
        <v>8</v>
      </c>
      <c r="D118" s="317"/>
      <c r="E118" s="317"/>
      <c r="F118" s="317"/>
      <c r="G118" s="317"/>
    </row>
    <row r="119" spans="1:7">
      <c r="A119" s="319" t="s">
        <v>169</v>
      </c>
      <c r="B119" s="335">
        <f>'Главная страница'!D54</f>
        <v>0</v>
      </c>
      <c r="C119" s="317"/>
      <c r="D119" s="317"/>
      <c r="E119" s="317"/>
      <c r="F119" s="317"/>
      <c r="G119" s="317"/>
    </row>
    <row r="120" spans="1:7">
      <c r="A120" s="319" t="s">
        <v>170</v>
      </c>
      <c r="B120" s="336">
        <f>'Главная страница'!P54</f>
        <v>0</v>
      </c>
      <c r="C120" s="317"/>
      <c r="D120" s="317"/>
      <c r="E120" s="317"/>
      <c r="F120" s="317"/>
      <c r="G120" s="317"/>
    </row>
    <row r="121" spans="1:7">
      <c r="A121" s="319" t="s">
        <v>175</v>
      </c>
      <c r="B121" s="337">
        <f>B119*B120/10</f>
        <v>0</v>
      </c>
      <c r="C121" s="317"/>
      <c r="D121" s="317"/>
      <c r="E121" s="317"/>
      <c r="F121" s="317"/>
      <c r="G121" s="317"/>
    </row>
    <row r="122" spans="1:7">
      <c r="A122" s="329" t="s">
        <v>174</v>
      </c>
      <c r="B122" s="338">
        <f>B94</f>
        <v>0.1</v>
      </c>
      <c r="C122" s="317"/>
      <c r="D122" s="317"/>
      <c r="E122" s="317"/>
      <c r="F122" s="317"/>
      <c r="G122" s="317"/>
    </row>
    <row r="123" spans="1:7">
      <c r="A123" s="329" t="s">
        <v>179</v>
      </c>
      <c r="B123" s="339">
        <f>B121-B121*B122</f>
        <v>0</v>
      </c>
      <c r="C123" s="317"/>
      <c r="D123" s="317"/>
      <c r="E123" s="317"/>
      <c r="F123" s="317"/>
      <c r="G123" s="317"/>
    </row>
    <row r="124" spans="1:7">
      <c r="A124" s="329" t="s">
        <v>171</v>
      </c>
      <c r="B124" s="329">
        <f>'Главная страница'!K66</f>
        <v>0</v>
      </c>
      <c r="C124" s="317"/>
      <c r="D124" s="317"/>
      <c r="E124" s="317"/>
      <c r="F124" s="317"/>
      <c r="G124" s="317"/>
    </row>
    <row r="125" spans="1:7">
      <c r="A125" s="329" t="s">
        <v>172</v>
      </c>
      <c r="B125" s="339">
        <f>B119*B124/1000</f>
        <v>0</v>
      </c>
      <c r="C125" s="317"/>
      <c r="D125" s="317"/>
      <c r="E125" s="317"/>
      <c r="F125" s="317"/>
      <c r="G125" s="317"/>
    </row>
    <row r="126" spans="1:7">
      <c r="A126" s="329" t="s">
        <v>180</v>
      </c>
      <c r="B126" s="339">
        <f>B123-B125</f>
        <v>0</v>
      </c>
      <c r="C126" s="317"/>
      <c r="D126" s="317"/>
      <c r="E126" s="317"/>
      <c r="F126" s="317"/>
      <c r="G126" s="317"/>
    </row>
    <row r="127" spans="1:7" hidden="1">
      <c r="A127" s="329" t="s">
        <v>173</v>
      </c>
      <c r="B127" s="338">
        <f>B99</f>
        <v>0</v>
      </c>
      <c r="C127" s="317"/>
      <c r="D127" s="317"/>
      <c r="E127" s="317"/>
      <c r="F127" s="317"/>
      <c r="G127" s="317"/>
    </row>
    <row r="128" spans="1:7">
      <c r="A128" s="329" t="s">
        <v>177</v>
      </c>
      <c r="B128" s="339">
        <f>B126-B126*B127</f>
        <v>0</v>
      </c>
      <c r="C128" s="317"/>
      <c r="D128" s="317"/>
      <c r="E128" s="317"/>
      <c r="F128" s="317"/>
      <c r="G128" s="317"/>
    </row>
    <row r="129" spans="1:7">
      <c r="A129" s="329" t="s">
        <v>178</v>
      </c>
      <c r="B129" s="330">
        <f>'Главная страница'!K68</f>
        <v>0</v>
      </c>
      <c r="C129" s="317"/>
      <c r="D129" s="317"/>
      <c r="E129" s="317"/>
      <c r="F129" s="317"/>
      <c r="G129" s="317"/>
    </row>
    <row r="130" spans="1:7">
      <c r="A130" s="329" t="s">
        <v>176</v>
      </c>
      <c r="B130" s="330">
        <f>B128*B129</f>
        <v>0</v>
      </c>
      <c r="C130" s="317"/>
      <c r="D130" s="317"/>
      <c r="E130" s="317"/>
      <c r="F130" s="317"/>
      <c r="G130" s="317"/>
    </row>
    <row r="131" spans="1:7">
      <c r="A131" s="329"/>
      <c r="B131" s="330"/>
      <c r="C131" s="317"/>
      <c r="D131" s="317"/>
      <c r="E131" s="317"/>
      <c r="F131" s="317"/>
      <c r="G131" s="317"/>
    </row>
    <row r="132" spans="1:7">
      <c r="A132" s="334">
        <f>'Главная страница'!C56</f>
        <v>0</v>
      </c>
      <c r="C132" s="317">
        <v>9</v>
      </c>
      <c r="D132" s="317"/>
      <c r="E132" s="317"/>
      <c r="F132" s="317"/>
      <c r="G132" s="317"/>
    </row>
    <row r="133" spans="1:7">
      <c r="A133" s="319" t="s">
        <v>169</v>
      </c>
      <c r="B133" s="335">
        <f>'Главная страница'!D56</f>
        <v>0</v>
      </c>
      <c r="C133" s="317"/>
      <c r="D133" s="317"/>
      <c r="E133" s="317"/>
      <c r="F133" s="317"/>
      <c r="G133" s="317"/>
    </row>
    <row r="134" spans="1:7">
      <c r="A134" s="319" t="s">
        <v>170</v>
      </c>
      <c r="B134" s="336">
        <f>'Главная страница'!P56</f>
        <v>0</v>
      </c>
      <c r="C134" s="317"/>
      <c r="D134" s="317"/>
      <c r="E134" s="317"/>
      <c r="F134" s="317"/>
      <c r="G134" s="317"/>
    </row>
    <row r="135" spans="1:7">
      <c r="A135" s="319" t="s">
        <v>175</v>
      </c>
      <c r="B135" s="337">
        <f>B133*B134/10</f>
        <v>0</v>
      </c>
      <c r="C135" s="317"/>
      <c r="D135" s="317"/>
      <c r="E135" s="317"/>
      <c r="F135" s="317"/>
      <c r="G135" s="317"/>
    </row>
    <row r="136" spans="1:7">
      <c r="A136" s="329" t="s">
        <v>174</v>
      </c>
      <c r="B136" s="338">
        <f>B108</f>
        <v>0.1</v>
      </c>
      <c r="C136" s="317"/>
      <c r="D136" s="317"/>
      <c r="E136" s="317"/>
      <c r="F136" s="317"/>
      <c r="G136" s="317"/>
    </row>
    <row r="137" spans="1:7">
      <c r="A137" s="329" t="s">
        <v>179</v>
      </c>
      <c r="B137" s="339">
        <f>B135-B135*B136</f>
        <v>0</v>
      </c>
      <c r="C137" s="317"/>
      <c r="D137" s="317"/>
      <c r="E137" s="317"/>
      <c r="F137" s="317"/>
      <c r="G137" s="317"/>
    </row>
    <row r="138" spans="1:7">
      <c r="A138" s="329" t="s">
        <v>171</v>
      </c>
      <c r="B138" s="329">
        <f>'Главная страница'!L66</f>
        <v>0</v>
      </c>
      <c r="C138" s="317"/>
      <c r="D138" s="317"/>
      <c r="E138" s="317"/>
      <c r="F138" s="317"/>
      <c r="G138" s="317"/>
    </row>
    <row r="139" spans="1:7">
      <c r="A139" s="329" t="s">
        <v>172</v>
      </c>
      <c r="B139" s="339">
        <f>B133*B138/1000</f>
        <v>0</v>
      </c>
      <c r="C139" s="317"/>
      <c r="D139" s="317"/>
      <c r="E139" s="317"/>
      <c r="F139" s="317"/>
      <c r="G139" s="317"/>
    </row>
    <row r="140" spans="1:7">
      <c r="A140" s="329" t="s">
        <v>180</v>
      </c>
      <c r="B140" s="339">
        <f>B137-B139</f>
        <v>0</v>
      </c>
      <c r="C140" s="317"/>
      <c r="D140" s="317"/>
      <c r="E140" s="317"/>
      <c r="F140" s="317"/>
      <c r="G140" s="317"/>
    </row>
    <row r="141" spans="1:7" hidden="1">
      <c r="A141" s="329" t="s">
        <v>173</v>
      </c>
      <c r="B141" s="338">
        <f>B113</f>
        <v>0</v>
      </c>
      <c r="C141" s="317"/>
      <c r="D141" s="317"/>
      <c r="E141" s="317"/>
      <c r="F141" s="317"/>
      <c r="G141" s="317"/>
    </row>
    <row r="142" spans="1:7">
      <c r="A142" s="329" t="s">
        <v>177</v>
      </c>
      <c r="B142" s="339">
        <f>B140-B140*B141</f>
        <v>0</v>
      </c>
      <c r="C142" s="317"/>
      <c r="D142" s="317"/>
      <c r="E142" s="317"/>
      <c r="F142" s="317"/>
      <c r="G142" s="317"/>
    </row>
    <row r="143" spans="1:7">
      <c r="A143" s="329" t="s">
        <v>178</v>
      </c>
      <c r="B143" s="330">
        <f>'Главная страница'!L68</f>
        <v>0</v>
      </c>
      <c r="C143" s="317"/>
      <c r="D143" s="317"/>
      <c r="E143" s="317"/>
      <c r="F143" s="317"/>
      <c r="G143" s="317"/>
    </row>
    <row r="144" spans="1:7">
      <c r="A144" s="329" t="s">
        <v>176</v>
      </c>
      <c r="B144" s="330">
        <f>B142*B143</f>
        <v>0</v>
      </c>
      <c r="C144" s="317"/>
      <c r="D144" s="317"/>
      <c r="E144" s="317"/>
      <c r="F144" s="317"/>
      <c r="G144" s="317"/>
    </row>
    <row r="145" spans="1:7">
      <c r="A145" s="325"/>
      <c r="B145" s="335"/>
      <c r="C145" s="317"/>
      <c r="D145" s="317"/>
      <c r="E145" s="317"/>
      <c r="F145" s="317"/>
      <c r="G145" s="317"/>
    </row>
    <row r="146" spans="1:7">
      <c r="A146" s="334">
        <f>'Главная страница'!C58</f>
        <v>0</v>
      </c>
      <c r="C146" s="317"/>
      <c r="D146" s="317"/>
      <c r="E146" s="317"/>
      <c r="F146" s="317"/>
      <c r="G146" s="317"/>
    </row>
    <row r="147" spans="1:7">
      <c r="A147" s="319" t="s">
        <v>169</v>
      </c>
      <c r="B147" s="335">
        <f>'Главная страница'!D58</f>
        <v>0</v>
      </c>
      <c r="C147" s="317"/>
      <c r="D147" s="317"/>
      <c r="E147" s="317"/>
      <c r="F147" s="317"/>
      <c r="G147" s="317"/>
    </row>
    <row r="148" spans="1:7">
      <c r="A148" s="319" t="s">
        <v>170</v>
      </c>
      <c r="B148" s="336">
        <f>'Главная страница'!P58</f>
        <v>0</v>
      </c>
      <c r="C148" s="317"/>
      <c r="D148" s="317"/>
      <c r="E148" s="317"/>
      <c r="F148" s="317"/>
      <c r="G148" s="317"/>
    </row>
    <row r="149" spans="1:7">
      <c r="A149" s="319" t="s">
        <v>175</v>
      </c>
      <c r="B149" s="337">
        <f>B147*B148/10</f>
        <v>0</v>
      </c>
      <c r="C149" s="317"/>
      <c r="D149" s="317"/>
      <c r="E149" s="317"/>
      <c r="F149" s="317"/>
      <c r="G149" s="317"/>
    </row>
    <row r="150" spans="1:7">
      <c r="A150" s="329" t="s">
        <v>174</v>
      </c>
      <c r="B150" s="338">
        <f>B122</f>
        <v>0.1</v>
      </c>
      <c r="C150" s="317"/>
      <c r="D150" s="317"/>
      <c r="E150" s="317"/>
      <c r="F150" s="317"/>
      <c r="G150" s="317"/>
    </row>
    <row r="151" spans="1:7">
      <c r="A151" s="329" t="s">
        <v>179</v>
      </c>
      <c r="B151" s="339">
        <f>B149-B149*B150</f>
        <v>0</v>
      </c>
      <c r="C151" s="317"/>
      <c r="D151" s="317"/>
      <c r="E151" s="317"/>
      <c r="F151" s="317"/>
      <c r="G151" s="317"/>
    </row>
    <row r="152" spans="1:7">
      <c r="A152" s="329" t="s">
        <v>171</v>
      </c>
      <c r="B152" s="329">
        <f>'Главная страница'!M66</f>
        <v>0</v>
      </c>
      <c r="C152" s="317"/>
      <c r="D152" s="317"/>
      <c r="E152" s="317"/>
      <c r="F152" s="317"/>
      <c r="G152" s="317"/>
    </row>
    <row r="153" spans="1:7">
      <c r="A153" s="329" t="s">
        <v>172</v>
      </c>
      <c r="B153" s="339">
        <f>B147*B152/1000</f>
        <v>0</v>
      </c>
      <c r="C153" s="317"/>
      <c r="D153" s="317"/>
      <c r="E153" s="317"/>
      <c r="F153" s="317"/>
      <c r="G153" s="317"/>
    </row>
    <row r="154" spans="1:7">
      <c r="A154" s="329" t="s">
        <v>180</v>
      </c>
      <c r="B154" s="339">
        <f>B151-B153</f>
        <v>0</v>
      </c>
      <c r="C154" s="317"/>
      <c r="D154" s="317"/>
      <c r="E154" s="317"/>
      <c r="F154" s="317"/>
      <c r="G154" s="317"/>
    </row>
    <row r="155" spans="1:7" hidden="1">
      <c r="A155" s="329" t="s">
        <v>173</v>
      </c>
      <c r="B155" s="338">
        <f>B127</f>
        <v>0</v>
      </c>
      <c r="C155" s="317"/>
      <c r="D155" s="317"/>
      <c r="E155" s="317"/>
      <c r="F155" s="317"/>
      <c r="G155" s="317"/>
    </row>
    <row r="156" spans="1:7">
      <c r="A156" s="329" t="s">
        <v>177</v>
      </c>
      <c r="B156" s="339">
        <f>B154-B154*B155</f>
        <v>0</v>
      </c>
      <c r="C156" s="317"/>
      <c r="D156" s="317"/>
      <c r="E156" s="317"/>
      <c r="F156" s="317"/>
      <c r="G156" s="317"/>
    </row>
    <row r="157" spans="1:7">
      <c r="A157" s="329" t="s">
        <v>178</v>
      </c>
      <c r="B157" s="330">
        <f>'Главная страница'!M68</f>
        <v>0</v>
      </c>
      <c r="C157" s="317"/>
      <c r="D157" s="317"/>
      <c r="E157" s="317"/>
      <c r="F157" s="317"/>
      <c r="G157" s="317"/>
    </row>
    <row r="158" spans="1:7">
      <c r="A158" s="329" t="s">
        <v>176</v>
      </c>
      <c r="B158" s="330">
        <f>B156*B157</f>
        <v>0</v>
      </c>
      <c r="C158" s="317"/>
      <c r="D158" s="317"/>
      <c r="E158" s="317"/>
      <c r="F158" s="317"/>
      <c r="G158" s="317"/>
    </row>
    <row r="159" spans="1:7">
      <c r="A159" s="325"/>
      <c r="B159" s="335"/>
      <c r="C159" s="317"/>
      <c r="D159" s="317"/>
      <c r="E159" s="317"/>
      <c r="F159" s="317"/>
      <c r="G159" s="317"/>
    </row>
    <row r="160" spans="1:7">
      <c r="A160" s="334">
        <f>'Главная страница'!C60</f>
        <v>0</v>
      </c>
      <c r="C160" s="317"/>
      <c r="D160" s="317"/>
      <c r="E160" s="317"/>
      <c r="F160" s="317"/>
      <c r="G160" s="317"/>
    </row>
    <row r="161" spans="1:7">
      <c r="A161" s="319" t="s">
        <v>169</v>
      </c>
      <c r="B161" s="335">
        <f>'Главная страница'!D60</f>
        <v>0</v>
      </c>
      <c r="C161" s="317"/>
      <c r="D161" s="317"/>
      <c r="E161" s="317"/>
      <c r="F161" s="317"/>
      <c r="G161" s="317"/>
    </row>
    <row r="162" spans="1:7">
      <c r="A162" s="319" t="s">
        <v>170</v>
      </c>
      <c r="B162" s="336">
        <f>'Главная страница'!P60</f>
        <v>0</v>
      </c>
      <c r="C162" s="317"/>
      <c r="D162" s="317"/>
      <c r="E162" s="317"/>
      <c r="F162" s="317"/>
      <c r="G162" s="317"/>
    </row>
    <row r="163" spans="1:7">
      <c r="A163" s="319" t="s">
        <v>175</v>
      </c>
      <c r="B163" s="337">
        <f>B161*B162/10</f>
        <v>0</v>
      </c>
      <c r="C163" s="317"/>
      <c r="D163" s="317"/>
      <c r="E163" s="317"/>
      <c r="F163" s="317"/>
      <c r="G163" s="317"/>
    </row>
    <row r="164" spans="1:7">
      <c r="A164" s="329" t="s">
        <v>174</v>
      </c>
      <c r="B164" s="338">
        <f>B136</f>
        <v>0.1</v>
      </c>
      <c r="C164" s="317"/>
      <c r="D164" s="317"/>
      <c r="E164" s="317"/>
      <c r="F164" s="317"/>
      <c r="G164" s="317"/>
    </row>
    <row r="165" spans="1:7">
      <c r="A165" s="329" t="s">
        <v>179</v>
      </c>
      <c r="B165" s="339">
        <f>B163-B163*B164</f>
        <v>0</v>
      </c>
      <c r="C165" s="317"/>
      <c r="D165" s="317"/>
      <c r="E165" s="317"/>
      <c r="F165" s="317"/>
      <c r="G165" s="317"/>
    </row>
    <row r="166" spans="1:7">
      <c r="A166" s="329" t="s">
        <v>171</v>
      </c>
      <c r="B166" s="329">
        <f>'Главная страница'!N66</f>
        <v>0</v>
      </c>
      <c r="C166" s="317"/>
      <c r="D166" s="317"/>
      <c r="E166" s="317"/>
      <c r="F166" s="317"/>
      <c r="G166" s="317"/>
    </row>
    <row r="167" spans="1:7">
      <c r="A167" s="329" t="s">
        <v>172</v>
      </c>
      <c r="B167" s="339">
        <f>B161*B166/1000</f>
        <v>0</v>
      </c>
      <c r="C167" s="317"/>
      <c r="D167" s="317"/>
      <c r="E167" s="317"/>
      <c r="F167" s="317"/>
      <c r="G167" s="317"/>
    </row>
    <row r="168" spans="1:7">
      <c r="A168" s="329" t="s">
        <v>180</v>
      </c>
      <c r="B168" s="339">
        <f>B165-B167</f>
        <v>0</v>
      </c>
      <c r="C168" s="317"/>
      <c r="D168" s="317"/>
      <c r="E168" s="317"/>
      <c r="F168" s="317"/>
      <c r="G168" s="317"/>
    </row>
    <row r="169" spans="1:7" hidden="1">
      <c r="A169" s="329" t="s">
        <v>173</v>
      </c>
      <c r="B169" s="338">
        <f>B141</f>
        <v>0</v>
      </c>
      <c r="C169" s="317"/>
      <c r="D169" s="317"/>
      <c r="E169" s="317"/>
      <c r="F169" s="317"/>
      <c r="G169" s="317"/>
    </row>
    <row r="170" spans="1:7">
      <c r="A170" s="329" t="s">
        <v>177</v>
      </c>
      <c r="B170" s="339">
        <f>B168-B168*B169</f>
        <v>0</v>
      </c>
      <c r="C170" s="317"/>
      <c r="D170" s="317"/>
      <c r="E170" s="317"/>
      <c r="F170" s="317"/>
      <c r="G170" s="317"/>
    </row>
    <row r="171" spans="1:7">
      <c r="A171" s="329" t="s">
        <v>178</v>
      </c>
      <c r="B171" s="330">
        <f>'Главная страница'!N68</f>
        <v>0</v>
      </c>
      <c r="C171" s="317"/>
      <c r="D171" s="317"/>
      <c r="E171" s="317"/>
      <c r="F171" s="317"/>
      <c r="G171" s="317"/>
    </row>
    <row r="172" spans="1:7">
      <c r="A172" s="329" t="s">
        <v>176</v>
      </c>
      <c r="B172" s="330">
        <f>B170*B171</f>
        <v>0</v>
      </c>
      <c r="C172" s="317"/>
      <c r="D172" s="317"/>
      <c r="E172" s="317"/>
      <c r="F172" s="317"/>
      <c r="G172" s="317"/>
    </row>
    <row r="173" spans="1:7">
      <c r="A173" s="350" t="s">
        <v>246</v>
      </c>
      <c r="B173" s="351">
        <f>B32+B46+B60+B74+B88+B102+B116+B130+B144+B158+B172</f>
        <v>50400000</v>
      </c>
      <c r="C173" s="352"/>
      <c r="D173" s="317"/>
      <c r="E173" s="317"/>
      <c r="F173" s="317"/>
      <c r="G173" s="317"/>
    </row>
  </sheetData>
  <sheetProtection algorithmName="SHA-512" hashValue="L6VUB/uAe+/Hbu0iV78T/LrqDce0DmT1vFcfV4hW+wMKFyWzcChjjrScTbVrmPWGiXPGxYnXGjkQyxv7mgOlgQ==" saltValue="gvcYfWYAZ3pAdnKj6iD1xA==" spinCount="100000" sheet="1" objects="1" scenarios="1"/>
  <mergeCells count="3">
    <mergeCell ref="A15:A17"/>
    <mergeCell ref="A7:E7"/>
    <mergeCell ref="A19:E19"/>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AC273"/>
  <sheetViews>
    <sheetView workbookViewId="0">
      <selection activeCell="B2" sqref="B2:Q2"/>
    </sheetView>
  </sheetViews>
  <sheetFormatPr defaultRowHeight="13.2"/>
  <cols>
    <col min="2" max="2" width="19.6640625" customWidth="1"/>
    <col min="3" max="3" width="16.5546875" customWidth="1"/>
    <col min="4" max="4" width="14.5546875" customWidth="1"/>
    <col min="5" max="5" width="16" customWidth="1"/>
    <col min="6" max="6" width="21.6640625" customWidth="1"/>
    <col min="7" max="7" width="14.109375" customWidth="1"/>
    <col min="8" max="8" width="23.6640625" customWidth="1"/>
    <col min="9" max="9" width="21.6640625" customWidth="1"/>
    <col min="10" max="10" width="11.5546875" customWidth="1"/>
    <col min="11" max="11" width="12.88671875" customWidth="1"/>
    <col min="12" max="12" width="16.5546875" customWidth="1"/>
    <col min="13" max="13" width="12.5546875" customWidth="1"/>
    <col min="14" max="14" width="13" customWidth="1"/>
    <col min="15" max="15" width="9.88671875" customWidth="1"/>
    <col min="18" max="18" width="15.33203125" customWidth="1"/>
    <col min="21" max="21" width="15.44140625" customWidth="1"/>
    <col min="26" max="26" width="16.44140625" customWidth="1"/>
  </cols>
  <sheetData>
    <row r="2" spans="1:26" ht="41.25" customHeight="1">
      <c r="B2" s="683" t="s">
        <v>498</v>
      </c>
      <c r="C2" s="683"/>
      <c r="D2" s="683"/>
      <c r="E2" s="683"/>
      <c r="F2" s="683"/>
      <c r="G2" s="683"/>
      <c r="H2" s="683"/>
      <c r="I2" s="683"/>
      <c r="J2" s="683"/>
      <c r="K2" s="683"/>
      <c r="L2" s="683"/>
      <c r="M2" s="683"/>
      <c r="N2" s="683"/>
      <c r="O2" s="683"/>
      <c r="P2" s="683"/>
      <c r="Q2" s="683"/>
    </row>
    <row r="5" spans="1:26">
      <c r="A5" s="684" t="s">
        <v>499</v>
      </c>
      <c r="B5" s="684"/>
      <c r="C5" s="684"/>
      <c r="D5" s="684"/>
      <c r="E5" s="684"/>
      <c r="F5" s="684"/>
      <c r="G5" s="684"/>
      <c r="H5" s="684"/>
      <c r="I5" s="684"/>
      <c r="J5" s="684"/>
      <c r="K5" s="234"/>
      <c r="L5" s="234"/>
      <c r="M5" s="234"/>
      <c r="N5" s="234"/>
      <c r="O5" s="234"/>
      <c r="P5" s="235"/>
      <c r="Q5" s="235"/>
      <c r="R5" s="235"/>
      <c r="S5" s="235"/>
      <c r="T5" s="235"/>
      <c r="U5" s="235"/>
      <c r="V5" s="235"/>
      <c r="W5" s="235"/>
      <c r="X5" s="235"/>
      <c r="Y5" s="235"/>
      <c r="Z5" s="235"/>
    </row>
    <row r="6" spans="1:26">
      <c r="A6" s="234"/>
      <c r="B6" s="685"/>
      <c r="C6" s="685"/>
      <c r="D6" s="685"/>
      <c r="E6" s="234"/>
      <c r="F6" s="234"/>
      <c r="G6" s="234"/>
      <c r="H6" s="234"/>
      <c r="I6" s="234"/>
      <c r="J6" s="234"/>
      <c r="K6" s="234"/>
      <c r="L6" s="234"/>
      <c r="M6" s="234"/>
      <c r="N6" s="234"/>
      <c r="O6" s="234"/>
      <c r="P6" s="235"/>
      <c r="Q6" s="235"/>
      <c r="R6" s="235"/>
      <c r="S6" s="235"/>
      <c r="T6" s="235"/>
      <c r="U6" s="235"/>
      <c r="V6" s="235"/>
      <c r="W6" s="235"/>
      <c r="X6" s="235"/>
      <c r="Y6" s="235"/>
      <c r="Z6" s="235"/>
    </row>
    <row r="7" spans="1:26">
      <c r="A7" s="686" t="s">
        <v>500</v>
      </c>
      <c r="B7" s="686" t="s">
        <v>501</v>
      </c>
      <c r="C7" s="689" t="s">
        <v>502</v>
      </c>
      <c r="D7" s="689"/>
      <c r="E7" s="689"/>
      <c r="F7" s="689"/>
      <c r="G7" s="689"/>
      <c r="H7" s="689"/>
      <c r="I7" s="234"/>
      <c r="J7" s="234"/>
      <c r="K7" s="234"/>
      <c r="L7" s="234"/>
      <c r="M7" s="234"/>
      <c r="N7" s="234"/>
      <c r="O7" s="234"/>
      <c r="P7" s="235"/>
      <c r="Q7" s="235"/>
      <c r="R7" s="235"/>
      <c r="S7" s="235"/>
      <c r="T7" s="235"/>
      <c r="U7" s="235"/>
      <c r="V7" s="235"/>
      <c r="W7" s="235"/>
      <c r="X7" s="235"/>
      <c r="Y7" s="235"/>
      <c r="Z7" s="235"/>
    </row>
    <row r="8" spans="1:26">
      <c r="A8" s="687"/>
      <c r="B8" s="687"/>
      <c r="C8" s="690" t="s">
        <v>503</v>
      </c>
      <c r="D8" s="690"/>
      <c r="E8" s="690" t="s">
        <v>504</v>
      </c>
      <c r="F8" s="690"/>
      <c r="G8" s="690" t="s">
        <v>505</v>
      </c>
      <c r="H8" s="690"/>
      <c r="I8" s="234"/>
      <c r="J8" s="234"/>
      <c r="K8" s="234"/>
      <c r="L8" s="234"/>
      <c r="M8" s="234"/>
      <c r="N8" s="234"/>
      <c r="O8" s="234"/>
      <c r="P8" s="235"/>
      <c r="Q8" s="235"/>
      <c r="R8" s="235"/>
      <c r="S8" s="235"/>
      <c r="T8" s="235"/>
      <c r="U8" s="235"/>
      <c r="V8" s="235"/>
      <c r="W8" s="235"/>
      <c r="X8" s="235"/>
      <c r="Y8" s="235"/>
      <c r="Z8" s="235"/>
    </row>
    <row r="9" spans="1:26">
      <c r="A9" s="688"/>
      <c r="B9" s="688"/>
      <c r="C9" s="236" t="s">
        <v>506</v>
      </c>
      <c r="D9" s="236" t="s">
        <v>507</v>
      </c>
      <c r="E9" s="236" t="s">
        <v>506</v>
      </c>
      <c r="F9" s="236" t="s">
        <v>507</v>
      </c>
      <c r="G9" s="236" t="s">
        <v>506</v>
      </c>
      <c r="H9" s="236" t="s">
        <v>507</v>
      </c>
      <c r="I9" s="234"/>
      <c r="J9" s="234"/>
      <c r="K9" s="234"/>
      <c r="L9" s="234"/>
      <c r="M9" s="234"/>
      <c r="N9" s="234"/>
      <c r="O9" s="234"/>
      <c r="P9" s="235"/>
      <c r="Q9" s="235"/>
      <c r="R9" s="235"/>
      <c r="S9" s="235"/>
      <c r="T9" s="235"/>
      <c r="U9" s="235"/>
      <c r="V9" s="235"/>
      <c r="W9" s="235"/>
      <c r="X9" s="235"/>
      <c r="Y9" s="235"/>
      <c r="Z9" s="235"/>
    </row>
    <row r="10" spans="1:26" ht="26.4">
      <c r="A10" s="237">
        <v>1</v>
      </c>
      <c r="B10" s="246" t="s">
        <v>268</v>
      </c>
      <c r="C10" s="239">
        <v>25</v>
      </c>
      <c r="D10" s="239">
        <v>1</v>
      </c>
      <c r="E10" s="239">
        <v>10</v>
      </c>
      <c r="F10" s="239">
        <v>0.33</v>
      </c>
      <c r="G10" s="239">
        <v>12</v>
      </c>
      <c r="H10" s="239">
        <v>0.33</v>
      </c>
      <c r="I10" s="234"/>
      <c r="J10" s="234"/>
      <c r="K10" s="234"/>
      <c r="L10" s="234"/>
      <c r="M10" s="234"/>
      <c r="N10" s="234"/>
      <c r="O10" s="234"/>
      <c r="P10" s="235"/>
      <c r="Q10" s="235"/>
      <c r="R10" s="235"/>
      <c r="S10" s="235"/>
      <c r="T10" s="235"/>
      <c r="U10" s="235"/>
      <c r="V10" s="235"/>
      <c r="W10" s="235"/>
      <c r="X10" s="235"/>
      <c r="Y10" s="235"/>
      <c r="Z10" s="235"/>
    </row>
    <row r="11" spans="1:26">
      <c r="A11" s="234"/>
      <c r="B11" s="234"/>
      <c r="C11" s="234"/>
      <c r="D11" s="234"/>
      <c r="E11" s="234"/>
      <c r="F11" s="234"/>
      <c r="G11" s="234"/>
      <c r="H11" s="234"/>
      <c r="I11" s="234"/>
      <c r="J11" s="234"/>
      <c r="K11" s="234"/>
      <c r="L11" s="234"/>
      <c r="M11" s="234"/>
      <c r="N11" s="234"/>
      <c r="O11" s="234"/>
      <c r="P11" s="235"/>
      <c r="Q11" s="235"/>
      <c r="R11" s="235"/>
      <c r="S11" s="235"/>
      <c r="T11" s="235"/>
      <c r="U11" s="235"/>
      <c r="V11" s="235"/>
      <c r="W11" s="235"/>
      <c r="X11" s="235"/>
      <c r="Y11" s="235"/>
      <c r="Z11" s="235"/>
    </row>
    <row r="12" spans="1:26">
      <c r="A12" s="686" t="s">
        <v>500</v>
      </c>
      <c r="B12" s="686" t="s">
        <v>501</v>
      </c>
      <c r="C12" s="691" t="s">
        <v>502</v>
      </c>
      <c r="D12" s="692"/>
      <c r="E12" s="692"/>
      <c r="F12" s="692"/>
      <c r="G12" s="692"/>
      <c r="H12" s="692"/>
      <c r="I12" s="692"/>
      <c r="J12" s="692"/>
      <c r="K12" s="692"/>
      <c r="L12" s="692"/>
      <c r="M12" s="692"/>
      <c r="N12" s="692"/>
      <c r="O12" s="692"/>
      <c r="P12" s="692"/>
      <c r="Q12" s="692"/>
      <c r="R12" s="692"/>
      <c r="S12" s="692"/>
      <c r="T12" s="692"/>
      <c r="U12" s="692"/>
      <c r="V12" s="692"/>
      <c r="W12" s="692"/>
      <c r="X12" s="692"/>
      <c r="Y12" s="692"/>
      <c r="Z12" s="693"/>
    </row>
    <row r="13" spans="1:26">
      <c r="A13" s="688"/>
      <c r="B13" s="688"/>
      <c r="C13" s="236" t="s">
        <v>508</v>
      </c>
      <c r="D13" s="236" t="s">
        <v>83</v>
      </c>
      <c r="E13" s="236" t="s">
        <v>84</v>
      </c>
      <c r="F13" s="236" t="s">
        <v>509</v>
      </c>
      <c r="G13" s="236" t="s">
        <v>510</v>
      </c>
      <c r="H13" s="236" t="s">
        <v>272</v>
      </c>
      <c r="I13" s="240" t="s">
        <v>271</v>
      </c>
      <c r="J13" s="240" t="s">
        <v>319</v>
      </c>
      <c r="K13" s="236" t="s">
        <v>318</v>
      </c>
      <c r="L13" s="240" t="s">
        <v>447</v>
      </c>
      <c r="M13" s="236" t="s">
        <v>243</v>
      </c>
      <c r="N13" s="236" t="s">
        <v>244</v>
      </c>
      <c r="O13" s="240" t="s">
        <v>258</v>
      </c>
      <c r="P13" s="241" t="s">
        <v>315</v>
      </c>
      <c r="Q13" s="241" t="s">
        <v>321</v>
      </c>
      <c r="R13" s="241" t="s">
        <v>245</v>
      </c>
      <c r="S13" s="241" t="s">
        <v>511</v>
      </c>
      <c r="T13" s="241" t="s">
        <v>512</v>
      </c>
      <c r="U13" s="241" t="s">
        <v>513</v>
      </c>
      <c r="V13" s="241" t="s">
        <v>514</v>
      </c>
      <c r="W13" s="241" t="s">
        <v>515</v>
      </c>
      <c r="X13" s="241" t="s">
        <v>516</v>
      </c>
      <c r="Y13" s="241" t="s">
        <v>517</v>
      </c>
      <c r="Z13" s="241" t="s">
        <v>323</v>
      </c>
    </row>
    <row r="14" spans="1:26" ht="26.4">
      <c r="A14" s="239">
        <v>1</v>
      </c>
      <c r="B14" s="246" t="s">
        <v>268</v>
      </c>
      <c r="C14" s="242" t="s">
        <v>518</v>
      </c>
      <c r="D14" s="242" t="s">
        <v>519</v>
      </c>
      <c r="E14" s="243" t="s">
        <v>520</v>
      </c>
      <c r="F14" s="243" t="s">
        <v>521</v>
      </c>
      <c r="G14" s="243" t="s">
        <v>522</v>
      </c>
      <c r="H14" s="243" t="s">
        <v>523</v>
      </c>
      <c r="I14" s="239">
        <v>20</v>
      </c>
      <c r="J14" s="239">
        <v>200</v>
      </c>
      <c r="K14" s="239">
        <v>200</v>
      </c>
      <c r="L14" s="239">
        <v>112</v>
      </c>
      <c r="M14" s="239">
        <v>10</v>
      </c>
      <c r="N14" s="239">
        <v>12</v>
      </c>
      <c r="O14" s="239">
        <v>50</v>
      </c>
      <c r="P14" s="241">
        <v>12</v>
      </c>
      <c r="Q14" s="241">
        <v>80</v>
      </c>
      <c r="R14" s="241">
        <v>12</v>
      </c>
      <c r="S14" s="241">
        <v>35</v>
      </c>
      <c r="T14" s="241">
        <v>12</v>
      </c>
      <c r="U14" s="241">
        <v>40</v>
      </c>
      <c r="V14" s="241">
        <v>16</v>
      </c>
      <c r="W14" s="241">
        <v>8</v>
      </c>
      <c r="X14" s="241">
        <v>20</v>
      </c>
      <c r="Y14" s="241">
        <v>25</v>
      </c>
      <c r="Z14" s="241">
        <v>2500</v>
      </c>
    </row>
    <row r="15" spans="1:26">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spans="1:26">
      <c r="B16" s="694" t="s">
        <v>524</v>
      </c>
      <c r="C16" s="694"/>
      <c r="D16" s="694"/>
      <c r="E16" s="694"/>
      <c r="F16" s="694"/>
    </row>
    <row r="17" spans="1:20">
      <c r="B17" s="694"/>
      <c r="C17" s="694"/>
      <c r="D17" s="694"/>
      <c r="E17" s="694"/>
      <c r="F17" s="694"/>
    </row>
    <row r="19" spans="1:20" s="234" customFormat="1">
      <c r="A19" s="695" t="s">
        <v>525</v>
      </c>
      <c r="B19" s="695"/>
      <c r="C19" s="695"/>
      <c r="D19" s="695"/>
      <c r="E19" s="695"/>
      <c r="F19" s="695"/>
      <c r="G19" s="695"/>
      <c r="H19" s="695"/>
      <c r="I19" s="695"/>
      <c r="J19" s="695"/>
    </row>
    <row r="20" spans="1:20" s="234" customFormat="1">
      <c r="A20" s="695"/>
      <c r="B20" s="695"/>
      <c r="C20" s="695"/>
      <c r="D20" s="695"/>
      <c r="E20" s="695"/>
      <c r="F20" s="695"/>
      <c r="G20" s="695"/>
      <c r="H20" s="695"/>
      <c r="I20" s="695"/>
      <c r="J20" s="695"/>
    </row>
    <row r="21" spans="1:20" s="234" customFormat="1"/>
    <row r="22" spans="1:20" s="234" customFormat="1">
      <c r="A22" s="690" t="s">
        <v>500</v>
      </c>
      <c r="B22" s="690" t="s">
        <v>501</v>
      </c>
      <c r="C22" s="691" t="s">
        <v>502</v>
      </c>
      <c r="D22" s="692"/>
      <c r="E22" s="692"/>
      <c r="F22" s="692"/>
      <c r="G22" s="692"/>
      <c r="H22" s="692"/>
      <c r="I22" s="692"/>
      <c r="J22" s="693"/>
    </row>
    <row r="23" spans="1:20" s="234" customFormat="1">
      <c r="A23" s="690"/>
      <c r="B23" s="690"/>
      <c r="C23" s="690" t="s">
        <v>503</v>
      </c>
      <c r="D23" s="690"/>
      <c r="E23" s="690" t="s">
        <v>504</v>
      </c>
      <c r="F23" s="690"/>
      <c r="G23" s="238" t="s">
        <v>526</v>
      </c>
      <c r="H23" s="244" t="s">
        <v>527</v>
      </c>
      <c r="I23" s="244" t="s">
        <v>528</v>
      </c>
      <c r="J23" s="238" t="s">
        <v>529</v>
      </c>
    </row>
    <row r="24" spans="1:20" s="234" customFormat="1">
      <c r="A24" s="690"/>
      <c r="B24" s="690"/>
      <c r="C24" s="236" t="s">
        <v>506</v>
      </c>
      <c r="D24" s="236" t="s">
        <v>507</v>
      </c>
      <c r="E24" s="236" t="s">
        <v>506</v>
      </c>
      <c r="F24" s="236" t="s">
        <v>507</v>
      </c>
      <c r="G24" s="236" t="s">
        <v>530</v>
      </c>
      <c r="H24" s="236" t="s">
        <v>530</v>
      </c>
      <c r="I24" s="236" t="s">
        <v>530</v>
      </c>
      <c r="J24" s="236" t="s">
        <v>530</v>
      </c>
    </row>
    <row r="25" spans="1:20" s="234" customFormat="1" ht="26.4">
      <c r="A25" s="239">
        <v>1</v>
      </c>
      <c r="B25" s="246" t="s">
        <v>274</v>
      </c>
      <c r="C25" s="239">
        <v>25</v>
      </c>
      <c r="D25" s="245">
        <v>1</v>
      </c>
      <c r="E25" s="239">
        <v>5</v>
      </c>
      <c r="F25" s="239">
        <v>0.44</v>
      </c>
      <c r="G25" s="239">
        <v>5714</v>
      </c>
      <c r="H25" s="239">
        <v>37037</v>
      </c>
      <c r="I25" s="239">
        <v>300000</v>
      </c>
      <c r="J25" s="239">
        <v>2666</v>
      </c>
    </row>
    <row r="26" spans="1:20" s="234" customFormat="1"/>
    <row r="27" spans="1:20" s="234" customFormat="1">
      <c r="A27" s="690" t="s">
        <v>500</v>
      </c>
      <c r="B27" s="690" t="s">
        <v>501</v>
      </c>
      <c r="C27" s="689" t="s">
        <v>502</v>
      </c>
      <c r="D27" s="689"/>
      <c r="E27" s="689"/>
      <c r="F27" s="689"/>
      <c r="G27" s="689"/>
      <c r="H27" s="689"/>
      <c r="I27" s="689"/>
      <c r="J27" s="689"/>
      <c r="K27" s="689"/>
      <c r="L27" s="689"/>
      <c r="M27" s="689"/>
      <c r="N27" s="689"/>
      <c r="O27" s="689"/>
      <c r="P27" s="689"/>
      <c r="Q27" s="689"/>
      <c r="R27" s="689"/>
      <c r="S27" s="689"/>
      <c r="T27" s="689"/>
    </row>
    <row r="28" spans="1:20" s="234" customFormat="1">
      <c r="A28" s="690"/>
      <c r="B28" s="690"/>
      <c r="C28" s="236" t="s">
        <v>531</v>
      </c>
      <c r="D28" s="236" t="s">
        <v>83</v>
      </c>
      <c r="E28" s="236" t="s">
        <v>84</v>
      </c>
      <c r="F28" s="236" t="s">
        <v>510</v>
      </c>
      <c r="G28" s="236" t="s">
        <v>271</v>
      </c>
      <c r="H28" s="236" t="s">
        <v>244</v>
      </c>
      <c r="I28" s="236" t="s">
        <v>318</v>
      </c>
      <c r="J28" s="240" t="s">
        <v>258</v>
      </c>
      <c r="K28" s="240" t="s">
        <v>245</v>
      </c>
      <c r="L28" s="236" t="s">
        <v>532</v>
      </c>
      <c r="M28" s="240" t="s">
        <v>512</v>
      </c>
      <c r="N28" s="240" t="s">
        <v>513</v>
      </c>
      <c r="O28" s="236" t="s">
        <v>533</v>
      </c>
      <c r="P28" s="240" t="s">
        <v>515</v>
      </c>
      <c r="Q28" s="240" t="s">
        <v>534</v>
      </c>
      <c r="R28" s="240" t="s">
        <v>535</v>
      </c>
      <c r="S28" s="237" t="s">
        <v>323</v>
      </c>
    </row>
    <row r="29" spans="1:20" s="234" customFormat="1" ht="26.4">
      <c r="A29" s="239">
        <v>1</v>
      </c>
      <c r="B29" s="246" t="s">
        <v>274</v>
      </c>
      <c r="C29" s="242" t="s">
        <v>536</v>
      </c>
      <c r="D29" s="242" t="s">
        <v>537</v>
      </c>
      <c r="E29" s="243" t="s">
        <v>538</v>
      </c>
      <c r="F29" s="243" t="s">
        <v>519</v>
      </c>
      <c r="G29" s="243" t="s">
        <v>539</v>
      </c>
      <c r="H29" s="243" t="s">
        <v>540</v>
      </c>
      <c r="I29" s="243" t="s">
        <v>541</v>
      </c>
      <c r="J29" s="239">
        <v>55</v>
      </c>
      <c r="K29" s="239">
        <v>23</v>
      </c>
      <c r="L29" s="239">
        <v>25</v>
      </c>
      <c r="M29" s="239">
        <v>20</v>
      </c>
      <c r="N29" s="239">
        <v>65</v>
      </c>
      <c r="O29" s="239">
        <v>100</v>
      </c>
      <c r="P29" s="239">
        <v>12</v>
      </c>
      <c r="Q29" s="239">
        <v>12</v>
      </c>
      <c r="R29" s="239">
        <v>23</v>
      </c>
      <c r="S29" s="237">
        <v>3000</v>
      </c>
    </row>
    <row r="30" spans="1:20" s="234" customFormat="1"/>
    <row r="31" spans="1:20" s="234" customFormat="1" ht="39" customHeight="1">
      <c r="B31" s="698" t="s">
        <v>542</v>
      </c>
      <c r="C31" s="698"/>
      <c r="D31" s="698"/>
      <c r="E31" s="698"/>
      <c r="F31" s="698"/>
      <c r="G31" s="698"/>
    </row>
    <row r="33" spans="1:15">
      <c r="A33" s="684" t="s">
        <v>543</v>
      </c>
      <c r="B33" s="684"/>
      <c r="C33" s="684"/>
      <c r="D33" s="684"/>
      <c r="E33" s="684"/>
      <c r="F33" s="684"/>
      <c r="G33" s="684"/>
      <c r="H33" s="684"/>
      <c r="I33" s="684"/>
      <c r="J33" s="684"/>
      <c r="K33" s="684"/>
      <c r="L33" s="684"/>
      <c r="M33" s="684"/>
      <c r="N33" s="684"/>
      <c r="O33" s="234"/>
    </row>
    <row r="34" spans="1:15">
      <c r="A34" s="234"/>
      <c r="B34" s="234"/>
      <c r="C34" s="234"/>
      <c r="D34" s="234"/>
      <c r="E34" s="234"/>
      <c r="F34" s="234"/>
      <c r="G34" s="234"/>
      <c r="H34" s="234"/>
      <c r="I34" s="234"/>
      <c r="J34" s="234"/>
      <c r="K34" s="234"/>
      <c r="L34" s="234"/>
      <c r="M34" s="234"/>
      <c r="N34" s="234"/>
      <c r="O34" s="234"/>
    </row>
    <row r="35" spans="1:15">
      <c r="A35" s="686" t="s">
        <v>500</v>
      </c>
      <c r="B35" s="686" t="s">
        <v>501</v>
      </c>
      <c r="C35" s="691" t="s">
        <v>502</v>
      </c>
      <c r="D35" s="692"/>
      <c r="E35" s="692"/>
      <c r="F35" s="692"/>
      <c r="G35" s="692"/>
      <c r="H35" s="692"/>
      <c r="I35" s="692"/>
      <c r="J35" s="692"/>
      <c r="K35" s="692"/>
      <c r="L35" s="692"/>
      <c r="M35" s="692"/>
      <c r="N35" s="693"/>
      <c r="O35" s="234"/>
    </row>
    <row r="36" spans="1:15">
      <c r="A36" s="687"/>
      <c r="B36" s="687"/>
      <c r="C36" s="696" t="s">
        <v>544</v>
      </c>
      <c r="D36" s="697"/>
      <c r="E36" s="699" t="s">
        <v>449</v>
      </c>
      <c r="F36" s="696" t="s">
        <v>545</v>
      </c>
      <c r="G36" s="697"/>
      <c r="H36" s="690" t="s">
        <v>450</v>
      </c>
      <c r="I36" s="690" t="s">
        <v>546</v>
      </c>
      <c r="J36" s="690"/>
      <c r="K36" s="690"/>
      <c r="L36" s="686" t="s">
        <v>547</v>
      </c>
      <c r="M36" s="686" t="s">
        <v>548</v>
      </c>
      <c r="N36" s="690" t="s">
        <v>549</v>
      </c>
      <c r="O36" s="234"/>
    </row>
    <row r="37" spans="1:15" ht="26.4">
      <c r="A37" s="688"/>
      <c r="B37" s="687"/>
      <c r="C37" s="247" t="s">
        <v>506</v>
      </c>
      <c r="D37" s="248" t="s">
        <v>507</v>
      </c>
      <c r="E37" s="700"/>
      <c r="F37" s="247" t="s">
        <v>506</v>
      </c>
      <c r="G37" s="248" t="s">
        <v>507</v>
      </c>
      <c r="H37" s="686"/>
      <c r="I37" s="249" t="s">
        <v>550</v>
      </c>
      <c r="J37" s="249" t="s">
        <v>551</v>
      </c>
      <c r="K37" s="249" t="s">
        <v>552</v>
      </c>
      <c r="L37" s="688"/>
      <c r="M37" s="688"/>
      <c r="N37" s="686"/>
      <c r="O37" s="234"/>
    </row>
    <row r="38" spans="1:15">
      <c r="A38" s="239">
        <v>1</v>
      </c>
      <c r="B38" s="238" t="s">
        <v>100</v>
      </c>
      <c r="C38" s="243" t="s">
        <v>553</v>
      </c>
      <c r="D38" s="243" t="s">
        <v>554</v>
      </c>
      <c r="E38" s="243" t="s">
        <v>555</v>
      </c>
      <c r="F38" s="243" t="s">
        <v>556</v>
      </c>
      <c r="G38" s="250" t="s">
        <v>557</v>
      </c>
      <c r="H38" s="243" t="s">
        <v>558</v>
      </c>
      <c r="I38" s="243" t="s">
        <v>559</v>
      </c>
      <c r="J38" s="243" t="s">
        <v>559</v>
      </c>
      <c r="K38" s="243" t="s">
        <v>559</v>
      </c>
      <c r="L38" s="243" t="s">
        <v>560</v>
      </c>
      <c r="M38" s="243" t="s">
        <v>561</v>
      </c>
      <c r="N38" s="243" t="s">
        <v>562</v>
      </c>
      <c r="O38" s="234"/>
    </row>
    <row r="39" spans="1:15">
      <c r="A39" s="239">
        <v>2</v>
      </c>
      <c r="B39" s="238" t="s">
        <v>101</v>
      </c>
      <c r="C39" s="243" t="s">
        <v>553</v>
      </c>
      <c r="D39" s="243" t="s">
        <v>554</v>
      </c>
      <c r="E39" s="243" t="s">
        <v>555</v>
      </c>
      <c r="F39" s="243" t="s">
        <v>556</v>
      </c>
      <c r="G39" s="250" t="s">
        <v>557</v>
      </c>
      <c r="H39" s="243" t="s">
        <v>558</v>
      </c>
      <c r="I39" s="243" t="s">
        <v>559</v>
      </c>
      <c r="J39" s="243" t="s">
        <v>559</v>
      </c>
      <c r="K39" s="243" t="s">
        <v>559</v>
      </c>
      <c r="L39" s="243" t="s">
        <v>560</v>
      </c>
      <c r="M39" s="243" t="s">
        <v>561</v>
      </c>
      <c r="N39" s="243" t="s">
        <v>562</v>
      </c>
      <c r="O39" s="234"/>
    </row>
    <row r="40" spans="1:15">
      <c r="A40" s="239">
        <v>3</v>
      </c>
      <c r="B40" s="238" t="s">
        <v>102</v>
      </c>
      <c r="C40" s="243" t="s">
        <v>553</v>
      </c>
      <c r="D40" s="243" t="s">
        <v>554</v>
      </c>
      <c r="E40" s="243" t="s">
        <v>555</v>
      </c>
      <c r="F40" s="243" t="s">
        <v>556</v>
      </c>
      <c r="G40" s="250" t="s">
        <v>557</v>
      </c>
      <c r="H40" s="243" t="s">
        <v>558</v>
      </c>
      <c r="I40" s="243" t="s">
        <v>559</v>
      </c>
      <c r="J40" s="243" t="s">
        <v>559</v>
      </c>
      <c r="K40" s="243" t="s">
        <v>559</v>
      </c>
      <c r="L40" s="243" t="s">
        <v>560</v>
      </c>
      <c r="M40" s="243" t="s">
        <v>561</v>
      </c>
      <c r="N40" s="243" t="s">
        <v>562</v>
      </c>
      <c r="O40" s="234"/>
    </row>
    <row r="41" spans="1:15">
      <c r="A41" s="239">
        <v>4</v>
      </c>
      <c r="B41" s="238" t="s">
        <v>563</v>
      </c>
      <c r="C41" s="243" t="s">
        <v>553</v>
      </c>
      <c r="D41" s="243" t="s">
        <v>554</v>
      </c>
      <c r="E41" s="243" t="s">
        <v>555</v>
      </c>
      <c r="F41" s="243" t="s">
        <v>556</v>
      </c>
      <c r="G41" s="250" t="s">
        <v>557</v>
      </c>
      <c r="H41" s="243" t="s">
        <v>558</v>
      </c>
      <c r="I41" s="243" t="s">
        <v>559</v>
      </c>
      <c r="J41" s="243" t="s">
        <v>559</v>
      </c>
      <c r="K41" s="243" t="s">
        <v>559</v>
      </c>
      <c r="L41" s="243" t="s">
        <v>560</v>
      </c>
      <c r="M41" s="243" t="s">
        <v>561</v>
      </c>
      <c r="N41" s="243" t="s">
        <v>562</v>
      </c>
      <c r="O41" s="234"/>
    </row>
    <row r="42" spans="1:15">
      <c r="A42" s="239">
        <v>5</v>
      </c>
      <c r="B42" s="238" t="s">
        <v>104</v>
      </c>
      <c r="C42" s="243" t="s">
        <v>553</v>
      </c>
      <c r="D42" s="243" t="s">
        <v>554</v>
      </c>
      <c r="E42" s="243" t="s">
        <v>555</v>
      </c>
      <c r="F42" s="243" t="s">
        <v>556</v>
      </c>
      <c r="G42" s="250" t="s">
        <v>557</v>
      </c>
      <c r="H42" s="243" t="s">
        <v>558</v>
      </c>
      <c r="I42" s="243" t="s">
        <v>559</v>
      </c>
      <c r="J42" s="243" t="s">
        <v>559</v>
      </c>
      <c r="K42" s="243" t="s">
        <v>559</v>
      </c>
      <c r="L42" s="243" t="s">
        <v>560</v>
      </c>
      <c r="M42" s="243" t="s">
        <v>561</v>
      </c>
      <c r="N42" s="243" t="s">
        <v>562</v>
      </c>
      <c r="O42" s="234"/>
    </row>
    <row r="43" spans="1:15">
      <c r="A43" s="239">
        <v>6</v>
      </c>
      <c r="B43" s="238" t="s">
        <v>12</v>
      </c>
      <c r="C43" s="243" t="s">
        <v>553</v>
      </c>
      <c r="D43" s="243" t="s">
        <v>554</v>
      </c>
      <c r="E43" s="243" t="s">
        <v>555</v>
      </c>
      <c r="F43" s="243" t="s">
        <v>556</v>
      </c>
      <c r="G43" s="250" t="s">
        <v>557</v>
      </c>
      <c r="H43" s="243" t="s">
        <v>558</v>
      </c>
      <c r="I43" s="243" t="s">
        <v>559</v>
      </c>
      <c r="J43" s="243" t="s">
        <v>559</v>
      </c>
      <c r="K43" s="243" t="s">
        <v>559</v>
      </c>
      <c r="L43" s="243" t="s">
        <v>560</v>
      </c>
      <c r="M43" s="243" t="s">
        <v>561</v>
      </c>
      <c r="N43" s="243" t="s">
        <v>562</v>
      </c>
      <c r="O43" s="234"/>
    </row>
    <row r="44" spans="1:15">
      <c r="A44" s="239">
        <v>7</v>
      </c>
      <c r="B44" s="238" t="s">
        <v>105</v>
      </c>
      <c r="C44" s="243" t="s">
        <v>553</v>
      </c>
      <c r="D44" s="243" t="s">
        <v>554</v>
      </c>
      <c r="E44" s="243" t="s">
        <v>555</v>
      </c>
      <c r="F44" s="243" t="s">
        <v>556</v>
      </c>
      <c r="G44" s="250" t="s">
        <v>557</v>
      </c>
      <c r="H44" s="243" t="s">
        <v>558</v>
      </c>
      <c r="I44" s="243" t="s">
        <v>559</v>
      </c>
      <c r="J44" s="243" t="s">
        <v>559</v>
      </c>
      <c r="K44" s="243" t="s">
        <v>559</v>
      </c>
      <c r="L44" s="243" t="s">
        <v>560</v>
      </c>
      <c r="M44" s="243" t="s">
        <v>561</v>
      </c>
      <c r="N44" s="243" t="s">
        <v>562</v>
      </c>
      <c r="O44" s="234"/>
    </row>
    <row r="45" spans="1:15">
      <c r="A45" s="239">
        <v>8</v>
      </c>
      <c r="B45" s="238" t="s">
        <v>106</v>
      </c>
      <c r="C45" s="243" t="s">
        <v>553</v>
      </c>
      <c r="D45" s="243" t="s">
        <v>554</v>
      </c>
      <c r="E45" s="243" t="s">
        <v>555</v>
      </c>
      <c r="F45" s="243" t="s">
        <v>556</v>
      </c>
      <c r="G45" s="250" t="s">
        <v>557</v>
      </c>
      <c r="H45" s="243" t="s">
        <v>558</v>
      </c>
      <c r="I45" s="243" t="s">
        <v>559</v>
      </c>
      <c r="J45" s="243" t="s">
        <v>559</v>
      </c>
      <c r="K45" s="243" t="s">
        <v>559</v>
      </c>
      <c r="L45" s="243" t="s">
        <v>560</v>
      </c>
      <c r="M45" s="243" t="s">
        <v>561</v>
      </c>
      <c r="N45" s="243" t="s">
        <v>562</v>
      </c>
      <c r="O45" s="234"/>
    </row>
    <row r="46" spans="1:15">
      <c r="A46" s="239">
        <v>9</v>
      </c>
      <c r="B46" s="238" t="s">
        <v>107</v>
      </c>
      <c r="C46" s="243" t="s">
        <v>553</v>
      </c>
      <c r="D46" s="243" t="s">
        <v>554</v>
      </c>
      <c r="E46" s="243" t="s">
        <v>555</v>
      </c>
      <c r="F46" s="243" t="s">
        <v>556</v>
      </c>
      <c r="G46" s="250" t="s">
        <v>557</v>
      </c>
      <c r="H46" s="243" t="s">
        <v>558</v>
      </c>
      <c r="I46" s="243" t="s">
        <v>559</v>
      </c>
      <c r="J46" s="243" t="s">
        <v>559</v>
      </c>
      <c r="K46" s="243" t="s">
        <v>559</v>
      </c>
      <c r="L46" s="243" t="s">
        <v>560</v>
      </c>
      <c r="M46" s="243" t="s">
        <v>561</v>
      </c>
      <c r="N46" s="243" t="s">
        <v>562</v>
      </c>
      <c r="O46" s="234"/>
    </row>
    <row r="47" spans="1:15">
      <c r="A47" s="239">
        <v>10</v>
      </c>
      <c r="B47" s="238" t="s">
        <v>564</v>
      </c>
      <c r="C47" s="243" t="s">
        <v>553</v>
      </c>
      <c r="D47" s="243" t="s">
        <v>554</v>
      </c>
      <c r="E47" s="243" t="s">
        <v>555</v>
      </c>
      <c r="F47" s="243" t="s">
        <v>556</v>
      </c>
      <c r="G47" s="250" t="s">
        <v>557</v>
      </c>
      <c r="H47" s="243" t="s">
        <v>558</v>
      </c>
      <c r="I47" s="243" t="s">
        <v>559</v>
      </c>
      <c r="J47" s="243" t="s">
        <v>559</v>
      </c>
      <c r="K47" s="243" t="s">
        <v>559</v>
      </c>
      <c r="L47" s="243" t="s">
        <v>560</v>
      </c>
      <c r="M47" s="243" t="s">
        <v>561</v>
      </c>
      <c r="N47" s="243" t="s">
        <v>562</v>
      </c>
      <c r="O47" s="234"/>
    </row>
    <row r="48" spans="1:15">
      <c r="A48" s="239">
        <v>11</v>
      </c>
      <c r="B48" s="238" t="s">
        <v>108</v>
      </c>
      <c r="C48" s="243" t="s">
        <v>553</v>
      </c>
      <c r="D48" s="243" t="s">
        <v>554</v>
      </c>
      <c r="E48" s="243" t="s">
        <v>555</v>
      </c>
      <c r="F48" s="243" t="s">
        <v>556</v>
      </c>
      <c r="G48" s="250" t="s">
        <v>557</v>
      </c>
      <c r="H48" s="243" t="s">
        <v>558</v>
      </c>
      <c r="I48" s="243" t="s">
        <v>559</v>
      </c>
      <c r="J48" s="243" t="s">
        <v>559</v>
      </c>
      <c r="K48" s="243" t="s">
        <v>559</v>
      </c>
      <c r="L48" s="243" t="s">
        <v>560</v>
      </c>
      <c r="M48" s="243" t="s">
        <v>561</v>
      </c>
      <c r="N48" s="243" t="s">
        <v>562</v>
      </c>
      <c r="O48" s="234"/>
    </row>
    <row r="49" spans="1:15">
      <c r="A49" s="239">
        <v>12</v>
      </c>
      <c r="B49" s="238" t="s">
        <v>109</v>
      </c>
      <c r="C49" s="243" t="s">
        <v>553</v>
      </c>
      <c r="D49" s="243" t="s">
        <v>554</v>
      </c>
      <c r="E49" s="243" t="s">
        <v>555</v>
      </c>
      <c r="F49" s="243" t="s">
        <v>556</v>
      </c>
      <c r="G49" s="250" t="s">
        <v>557</v>
      </c>
      <c r="H49" s="243" t="s">
        <v>558</v>
      </c>
      <c r="I49" s="243" t="s">
        <v>559</v>
      </c>
      <c r="J49" s="243" t="s">
        <v>559</v>
      </c>
      <c r="K49" s="243" t="s">
        <v>559</v>
      </c>
      <c r="L49" s="243" t="s">
        <v>560</v>
      </c>
      <c r="M49" s="243" t="s">
        <v>561</v>
      </c>
      <c r="N49" s="243" t="s">
        <v>562</v>
      </c>
      <c r="O49" s="234"/>
    </row>
    <row r="50" spans="1:15">
      <c r="A50" s="239">
        <v>13</v>
      </c>
      <c r="B50" s="238" t="s">
        <v>110</v>
      </c>
      <c r="C50" s="243" t="s">
        <v>553</v>
      </c>
      <c r="D50" s="243" t="s">
        <v>554</v>
      </c>
      <c r="E50" s="243" t="s">
        <v>555</v>
      </c>
      <c r="F50" s="243" t="s">
        <v>556</v>
      </c>
      <c r="G50" s="250" t="s">
        <v>557</v>
      </c>
      <c r="H50" s="243" t="s">
        <v>558</v>
      </c>
      <c r="I50" s="243" t="s">
        <v>559</v>
      </c>
      <c r="J50" s="243" t="s">
        <v>559</v>
      </c>
      <c r="K50" s="243" t="s">
        <v>559</v>
      </c>
      <c r="L50" s="243" t="s">
        <v>560</v>
      </c>
      <c r="M50" s="243" t="s">
        <v>561</v>
      </c>
      <c r="N50" s="243" t="s">
        <v>562</v>
      </c>
      <c r="O50" s="234"/>
    </row>
    <row r="51" spans="1:15">
      <c r="A51" s="239">
        <v>14</v>
      </c>
      <c r="B51" s="238" t="s">
        <v>111</v>
      </c>
      <c r="C51" s="243" t="s">
        <v>553</v>
      </c>
      <c r="D51" s="243" t="s">
        <v>554</v>
      </c>
      <c r="E51" s="243" t="s">
        <v>555</v>
      </c>
      <c r="F51" s="243" t="s">
        <v>556</v>
      </c>
      <c r="G51" s="250" t="s">
        <v>557</v>
      </c>
      <c r="H51" s="243" t="s">
        <v>558</v>
      </c>
      <c r="I51" s="243" t="s">
        <v>559</v>
      </c>
      <c r="J51" s="243" t="s">
        <v>559</v>
      </c>
      <c r="K51" s="243" t="s">
        <v>559</v>
      </c>
      <c r="L51" s="243" t="s">
        <v>560</v>
      </c>
      <c r="M51" s="243" t="s">
        <v>561</v>
      </c>
      <c r="N51" s="243" t="s">
        <v>562</v>
      </c>
      <c r="O51" s="234"/>
    </row>
    <row r="52" spans="1:15">
      <c r="A52" s="239">
        <v>15</v>
      </c>
      <c r="B52" s="238" t="s">
        <v>565</v>
      </c>
      <c r="C52" s="243" t="s">
        <v>553</v>
      </c>
      <c r="D52" s="243" t="s">
        <v>554</v>
      </c>
      <c r="E52" s="243" t="s">
        <v>555</v>
      </c>
      <c r="F52" s="243" t="s">
        <v>556</v>
      </c>
      <c r="G52" s="250" t="s">
        <v>557</v>
      </c>
      <c r="H52" s="243" t="s">
        <v>558</v>
      </c>
      <c r="I52" s="243" t="s">
        <v>559</v>
      </c>
      <c r="J52" s="243" t="s">
        <v>559</v>
      </c>
      <c r="K52" s="243" t="s">
        <v>559</v>
      </c>
      <c r="L52" s="243" t="s">
        <v>560</v>
      </c>
      <c r="M52" s="243" t="s">
        <v>561</v>
      </c>
      <c r="N52" s="243" t="s">
        <v>562</v>
      </c>
      <c r="O52" s="234"/>
    </row>
    <row r="53" spans="1:15">
      <c r="A53" s="239">
        <v>16</v>
      </c>
      <c r="B53" s="238" t="s">
        <v>113</v>
      </c>
      <c r="C53" s="243" t="s">
        <v>553</v>
      </c>
      <c r="D53" s="243" t="s">
        <v>554</v>
      </c>
      <c r="E53" s="243" t="s">
        <v>555</v>
      </c>
      <c r="F53" s="243" t="s">
        <v>556</v>
      </c>
      <c r="G53" s="250" t="s">
        <v>557</v>
      </c>
      <c r="H53" s="243" t="s">
        <v>558</v>
      </c>
      <c r="I53" s="243" t="s">
        <v>559</v>
      </c>
      <c r="J53" s="243" t="s">
        <v>559</v>
      </c>
      <c r="K53" s="243" t="s">
        <v>559</v>
      </c>
      <c r="L53" s="243" t="s">
        <v>560</v>
      </c>
      <c r="M53" s="243" t="s">
        <v>561</v>
      </c>
      <c r="N53" s="243" t="s">
        <v>562</v>
      </c>
      <c r="O53" s="234"/>
    </row>
    <row r="54" spans="1:15">
      <c r="A54" s="239">
        <v>17</v>
      </c>
      <c r="B54" s="238" t="s">
        <v>114</v>
      </c>
      <c r="C54" s="243" t="s">
        <v>553</v>
      </c>
      <c r="D54" s="243" t="s">
        <v>554</v>
      </c>
      <c r="E54" s="243" t="s">
        <v>555</v>
      </c>
      <c r="F54" s="243" t="s">
        <v>556</v>
      </c>
      <c r="G54" s="250" t="s">
        <v>557</v>
      </c>
      <c r="H54" s="243" t="s">
        <v>558</v>
      </c>
      <c r="I54" s="243" t="s">
        <v>559</v>
      </c>
      <c r="J54" s="243" t="s">
        <v>559</v>
      </c>
      <c r="K54" s="243" t="s">
        <v>559</v>
      </c>
      <c r="L54" s="243" t="s">
        <v>560</v>
      </c>
      <c r="M54" s="243" t="s">
        <v>561</v>
      </c>
      <c r="N54" s="243" t="s">
        <v>562</v>
      </c>
      <c r="O54" s="234"/>
    </row>
    <row r="55" spans="1:15">
      <c r="A55" s="239">
        <v>18</v>
      </c>
      <c r="B55" s="238" t="s">
        <v>566</v>
      </c>
      <c r="C55" s="243" t="s">
        <v>553</v>
      </c>
      <c r="D55" s="243" t="s">
        <v>554</v>
      </c>
      <c r="E55" s="243" t="s">
        <v>555</v>
      </c>
      <c r="F55" s="243" t="s">
        <v>556</v>
      </c>
      <c r="G55" s="250" t="s">
        <v>557</v>
      </c>
      <c r="H55" s="243" t="s">
        <v>558</v>
      </c>
      <c r="I55" s="243" t="s">
        <v>559</v>
      </c>
      <c r="J55" s="243" t="s">
        <v>559</v>
      </c>
      <c r="K55" s="243" t="s">
        <v>559</v>
      </c>
      <c r="L55" s="243" t="s">
        <v>560</v>
      </c>
      <c r="M55" s="243" t="s">
        <v>561</v>
      </c>
      <c r="N55" s="243" t="s">
        <v>562</v>
      </c>
      <c r="O55" s="234"/>
    </row>
    <row r="56" spans="1:15">
      <c r="A56" s="239">
        <v>19</v>
      </c>
      <c r="B56" s="238" t="s">
        <v>567</v>
      </c>
      <c r="C56" s="243" t="s">
        <v>553</v>
      </c>
      <c r="D56" s="243" t="s">
        <v>554</v>
      </c>
      <c r="E56" s="243" t="s">
        <v>555</v>
      </c>
      <c r="F56" s="243" t="s">
        <v>556</v>
      </c>
      <c r="G56" s="250" t="s">
        <v>557</v>
      </c>
      <c r="H56" s="243" t="s">
        <v>558</v>
      </c>
      <c r="I56" s="243" t="s">
        <v>559</v>
      </c>
      <c r="J56" s="243" t="s">
        <v>559</v>
      </c>
      <c r="K56" s="243" t="s">
        <v>559</v>
      </c>
      <c r="L56" s="243" t="s">
        <v>560</v>
      </c>
      <c r="M56" s="243" t="s">
        <v>561</v>
      </c>
      <c r="N56" s="243" t="s">
        <v>562</v>
      </c>
      <c r="O56" s="234"/>
    </row>
    <row r="57" spans="1:15">
      <c r="A57" s="239">
        <v>20</v>
      </c>
      <c r="B57" s="238" t="s">
        <v>568</v>
      </c>
      <c r="C57" s="243" t="s">
        <v>553</v>
      </c>
      <c r="D57" s="243" t="s">
        <v>554</v>
      </c>
      <c r="E57" s="243" t="s">
        <v>555</v>
      </c>
      <c r="F57" s="243" t="s">
        <v>556</v>
      </c>
      <c r="G57" s="250" t="s">
        <v>557</v>
      </c>
      <c r="H57" s="243" t="s">
        <v>558</v>
      </c>
      <c r="I57" s="243" t="s">
        <v>559</v>
      </c>
      <c r="J57" s="243" t="s">
        <v>559</v>
      </c>
      <c r="K57" s="243" t="s">
        <v>559</v>
      </c>
      <c r="L57" s="243" t="s">
        <v>560</v>
      </c>
      <c r="M57" s="243" t="s">
        <v>561</v>
      </c>
      <c r="N57" s="243" t="s">
        <v>562</v>
      </c>
      <c r="O57" s="234"/>
    </row>
    <row r="58" spans="1:15">
      <c r="A58" s="234"/>
      <c r="B58" s="234"/>
      <c r="C58" s="234"/>
      <c r="D58" s="234"/>
      <c r="E58" s="234"/>
      <c r="F58" s="234"/>
      <c r="G58" s="234"/>
      <c r="H58" s="234"/>
      <c r="I58" s="234"/>
      <c r="J58" s="234"/>
      <c r="K58" s="234"/>
      <c r="L58" s="234"/>
      <c r="M58" s="234"/>
      <c r="N58" s="234"/>
      <c r="O58" s="234"/>
    </row>
    <row r="59" spans="1:15">
      <c r="A59" s="234"/>
      <c r="B59" s="234"/>
      <c r="C59" s="234"/>
      <c r="D59" s="234"/>
      <c r="E59" s="234"/>
      <c r="F59" s="234"/>
      <c r="G59" s="234"/>
      <c r="H59" s="234"/>
      <c r="I59" s="234"/>
      <c r="J59" s="234"/>
      <c r="K59" s="234"/>
      <c r="L59" s="234"/>
      <c r="M59" s="234"/>
      <c r="N59" s="234"/>
      <c r="O59" s="234"/>
    </row>
    <row r="60" spans="1:15">
      <c r="A60" s="686" t="s">
        <v>500</v>
      </c>
      <c r="B60" s="686" t="s">
        <v>501</v>
      </c>
      <c r="C60" s="689" t="s">
        <v>502</v>
      </c>
      <c r="D60" s="689"/>
      <c r="E60" s="689"/>
      <c r="F60" s="689"/>
      <c r="G60" s="689"/>
      <c r="H60" s="689"/>
      <c r="I60" s="689"/>
      <c r="J60" s="689"/>
      <c r="K60" s="689"/>
      <c r="L60" s="689"/>
      <c r="M60" s="689"/>
      <c r="N60" s="689"/>
      <c r="O60" s="689"/>
    </row>
    <row r="61" spans="1:15">
      <c r="A61" s="688"/>
      <c r="B61" s="688"/>
      <c r="C61" s="236" t="s">
        <v>569</v>
      </c>
      <c r="D61" s="236" t="s">
        <v>508</v>
      </c>
      <c r="E61" s="236" t="s">
        <v>570</v>
      </c>
      <c r="F61" s="236" t="s">
        <v>571</v>
      </c>
      <c r="G61" s="236" t="s">
        <v>84</v>
      </c>
      <c r="H61" s="236" t="s">
        <v>271</v>
      </c>
      <c r="I61" s="236" t="s">
        <v>272</v>
      </c>
      <c r="J61" s="236" t="s">
        <v>572</v>
      </c>
      <c r="K61" s="236" t="s">
        <v>319</v>
      </c>
      <c r="L61" s="236" t="s">
        <v>273</v>
      </c>
      <c r="M61" s="236" t="s">
        <v>323</v>
      </c>
      <c r="N61" s="236" t="s">
        <v>321</v>
      </c>
      <c r="O61" s="236" t="s">
        <v>245</v>
      </c>
    </row>
    <row r="62" spans="1:15">
      <c r="A62" s="239">
        <v>1</v>
      </c>
      <c r="B62" s="238" t="s">
        <v>100</v>
      </c>
      <c r="C62" s="242" t="s">
        <v>573</v>
      </c>
      <c r="D62" s="242" t="s">
        <v>435</v>
      </c>
      <c r="E62" s="242" t="s">
        <v>434</v>
      </c>
      <c r="F62" s="242" t="s">
        <v>435</v>
      </c>
      <c r="G62" s="243" t="s">
        <v>574</v>
      </c>
      <c r="H62" s="243" t="s">
        <v>575</v>
      </c>
      <c r="I62" s="243" t="s">
        <v>576</v>
      </c>
      <c r="J62" s="243" t="s">
        <v>435</v>
      </c>
      <c r="K62" s="243" t="s">
        <v>577</v>
      </c>
      <c r="L62" s="243" t="s">
        <v>578</v>
      </c>
      <c r="M62" s="237" t="s">
        <v>579</v>
      </c>
      <c r="N62" s="243" t="s">
        <v>580</v>
      </c>
      <c r="O62" s="243" t="s">
        <v>581</v>
      </c>
    </row>
    <row r="63" spans="1:15">
      <c r="A63" s="239">
        <v>2</v>
      </c>
      <c r="B63" s="238" t="s">
        <v>101</v>
      </c>
      <c r="C63" s="242" t="s">
        <v>573</v>
      </c>
      <c r="D63" s="242" t="s">
        <v>435</v>
      </c>
      <c r="E63" s="242" t="s">
        <v>434</v>
      </c>
      <c r="F63" s="242" t="s">
        <v>435</v>
      </c>
      <c r="G63" s="243" t="s">
        <v>574</v>
      </c>
      <c r="H63" s="243" t="s">
        <v>575</v>
      </c>
      <c r="I63" s="243" t="s">
        <v>576</v>
      </c>
      <c r="J63" s="243" t="s">
        <v>435</v>
      </c>
      <c r="K63" s="243" t="s">
        <v>577</v>
      </c>
      <c r="L63" s="243" t="s">
        <v>578</v>
      </c>
      <c r="M63" s="237" t="s">
        <v>579</v>
      </c>
      <c r="N63" s="243" t="s">
        <v>580</v>
      </c>
      <c r="O63" s="243" t="s">
        <v>581</v>
      </c>
    </row>
    <row r="64" spans="1:15">
      <c r="A64" s="239">
        <v>3</v>
      </c>
      <c r="B64" s="238" t="s">
        <v>102</v>
      </c>
      <c r="C64" s="242" t="s">
        <v>573</v>
      </c>
      <c r="D64" s="242" t="s">
        <v>435</v>
      </c>
      <c r="E64" s="242" t="s">
        <v>434</v>
      </c>
      <c r="F64" s="242" t="s">
        <v>435</v>
      </c>
      <c r="G64" s="243" t="s">
        <v>574</v>
      </c>
      <c r="H64" s="243" t="s">
        <v>575</v>
      </c>
      <c r="I64" s="243" t="s">
        <v>576</v>
      </c>
      <c r="J64" s="243" t="s">
        <v>435</v>
      </c>
      <c r="K64" s="243" t="s">
        <v>577</v>
      </c>
      <c r="L64" s="243" t="s">
        <v>578</v>
      </c>
      <c r="M64" s="237" t="s">
        <v>579</v>
      </c>
      <c r="N64" s="243" t="s">
        <v>580</v>
      </c>
      <c r="O64" s="243" t="s">
        <v>581</v>
      </c>
    </row>
    <row r="65" spans="1:15">
      <c r="A65" s="239">
        <v>4</v>
      </c>
      <c r="B65" s="238" t="s">
        <v>563</v>
      </c>
      <c r="C65" s="242" t="s">
        <v>573</v>
      </c>
      <c r="D65" s="242" t="s">
        <v>435</v>
      </c>
      <c r="E65" s="242" t="s">
        <v>434</v>
      </c>
      <c r="F65" s="242" t="s">
        <v>435</v>
      </c>
      <c r="G65" s="243" t="s">
        <v>574</v>
      </c>
      <c r="H65" s="243" t="s">
        <v>575</v>
      </c>
      <c r="I65" s="243" t="s">
        <v>576</v>
      </c>
      <c r="J65" s="243" t="s">
        <v>435</v>
      </c>
      <c r="K65" s="243" t="s">
        <v>577</v>
      </c>
      <c r="L65" s="243" t="s">
        <v>578</v>
      </c>
      <c r="M65" s="237" t="s">
        <v>579</v>
      </c>
      <c r="N65" s="243" t="s">
        <v>580</v>
      </c>
      <c r="O65" s="243" t="s">
        <v>581</v>
      </c>
    </row>
    <row r="66" spans="1:15">
      <c r="A66" s="239">
        <v>5</v>
      </c>
      <c r="B66" s="238" t="s">
        <v>104</v>
      </c>
      <c r="C66" s="242" t="s">
        <v>573</v>
      </c>
      <c r="D66" s="242" t="s">
        <v>435</v>
      </c>
      <c r="E66" s="242" t="s">
        <v>434</v>
      </c>
      <c r="F66" s="242" t="s">
        <v>435</v>
      </c>
      <c r="G66" s="243" t="s">
        <v>574</v>
      </c>
      <c r="H66" s="243" t="s">
        <v>575</v>
      </c>
      <c r="I66" s="243" t="s">
        <v>576</v>
      </c>
      <c r="J66" s="243" t="s">
        <v>435</v>
      </c>
      <c r="K66" s="243" t="s">
        <v>577</v>
      </c>
      <c r="L66" s="243" t="s">
        <v>578</v>
      </c>
      <c r="M66" s="237" t="s">
        <v>579</v>
      </c>
      <c r="N66" s="243" t="s">
        <v>580</v>
      </c>
      <c r="O66" s="243" t="s">
        <v>581</v>
      </c>
    </row>
    <row r="67" spans="1:15">
      <c r="A67" s="239">
        <v>6</v>
      </c>
      <c r="B67" s="238" t="s">
        <v>12</v>
      </c>
      <c r="C67" s="242" t="s">
        <v>573</v>
      </c>
      <c r="D67" s="242" t="s">
        <v>435</v>
      </c>
      <c r="E67" s="242" t="s">
        <v>434</v>
      </c>
      <c r="F67" s="242" t="s">
        <v>435</v>
      </c>
      <c r="G67" s="243" t="s">
        <v>574</v>
      </c>
      <c r="H67" s="243" t="s">
        <v>575</v>
      </c>
      <c r="I67" s="243" t="s">
        <v>576</v>
      </c>
      <c r="J67" s="243" t="s">
        <v>435</v>
      </c>
      <c r="K67" s="243" t="s">
        <v>577</v>
      </c>
      <c r="L67" s="243" t="s">
        <v>578</v>
      </c>
      <c r="M67" s="237" t="s">
        <v>579</v>
      </c>
      <c r="N67" s="243" t="s">
        <v>580</v>
      </c>
      <c r="O67" s="243" t="s">
        <v>581</v>
      </c>
    </row>
    <row r="68" spans="1:15">
      <c r="A68" s="239">
        <v>7</v>
      </c>
      <c r="B68" s="238" t="s">
        <v>105</v>
      </c>
      <c r="C68" s="242" t="s">
        <v>573</v>
      </c>
      <c r="D68" s="242" t="s">
        <v>435</v>
      </c>
      <c r="E68" s="242" t="s">
        <v>434</v>
      </c>
      <c r="F68" s="242" t="s">
        <v>435</v>
      </c>
      <c r="G68" s="243" t="s">
        <v>574</v>
      </c>
      <c r="H68" s="243" t="s">
        <v>575</v>
      </c>
      <c r="I68" s="243" t="s">
        <v>576</v>
      </c>
      <c r="J68" s="243" t="s">
        <v>435</v>
      </c>
      <c r="K68" s="243" t="s">
        <v>577</v>
      </c>
      <c r="L68" s="243" t="s">
        <v>578</v>
      </c>
      <c r="M68" s="237" t="s">
        <v>579</v>
      </c>
      <c r="N68" s="243" t="s">
        <v>580</v>
      </c>
      <c r="O68" s="243" t="s">
        <v>581</v>
      </c>
    </row>
    <row r="69" spans="1:15">
      <c r="A69" s="239">
        <v>8</v>
      </c>
      <c r="B69" s="238" t="s">
        <v>106</v>
      </c>
      <c r="C69" s="242" t="s">
        <v>573</v>
      </c>
      <c r="D69" s="242" t="s">
        <v>435</v>
      </c>
      <c r="E69" s="242" t="s">
        <v>434</v>
      </c>
      <c r="F69" s="242" t="s">
        <v>435</v>
      </c>
      <c r="G69" s="243" t="s">
        <v>574</v>
      </c>
      <c r="H69" s="243" t="s">
        <v>575</v>
      </c>
      <c r="I69" s="243" t="s">
        <v>576</v>
      </c>
      <c r="J69" s="243" t="s">
        <v>435</v>
      </c>
      <c r="K69" s="243" t="s">
        <v>577</v>
      </c>
      <c r="L69" s="243" t="s">
        <v>578</v>
      </c>
      <c r="M69" s="237" t="s">
        <v>579</v>
      </c>
      <c r="N69" s="243" t="s">
        <v>580</v>
      </c>
      <c r="O69" s="243" t="s">
        <v>581</v>
      </c>
    </row>
    <row r="70" spans="1:15">
      <c r="A70" s="239">
        <v>9</v>
      </c>
      <c r="B70" s="238" t="s">
        <v>107</v>
      </c>
      <c r="C70" s="242" t="s">
        <v>573</v>
      </c>
      <c r="D70" s="242" t="s">
        <v>435</v>
      </c>
      <c r="E70" s="242" t="s">
        <v>434</v>
      </c>
      <c r="F70" s="242" t="s">
        <v>435</v>
      </c>
      <c r="G70" s="243" t="s">
        <v>574</v>
      </c>
      <c r="H70" s="243" t="s">
        <v>575</v>
      </c>
      <c r="I70" s="243" t="s">
        <v>576</v>
      </c>
      <c r="J70" s="243" t="s">
        <v>435</v>
      </c>
      <c r="K70" s="243" t="s">
        <v>577</v>
      </c>
      <c r="L70" s="243" t="s">
        <v>578</v>
      </c>
      <c r="M70" s="237" t="s">
        <v>579</v>
      </c>
      <c r="N70" s="243" t="s">
        <v>580</v>
      </c>
      <c r="O70" s="243" t="s">
        <v>581</v>
      </c>
    </row>
    <row r="71" spans="1:15">
      <c r="A71" s="239">
        <v>10</v>
      </c>
      <c r="B71" s="238" t="s">
        <v>564</v>
      </c>
      <c r="C71" s="242" t="s">
        <v>573</v>
      </c>
      <c r="D71" s="242" t="s">
        <v>435</v>
      </c>
      <c r="E71" s="242" t="s">
        <v>434</v>
      </c>
      <c r="F71" s="242" t="s">
        <v>435</v>
      </c>
      <c r="G71" s="243" t="s">
        <v>574</v>
      </c>
      <c r="H71" s="243" t="s">
        <v>575</v>
      </c>
      <c r="I71" s="243" t="s">
        <v>576</v>
      </c>
      <c r="J71" s="243" t="s">
        <v>435</v>
      </c>
      <c r="K71" s="243" t="s">
        <v>577</v>
      </c>
      <c r="L71" s="243" t="s">
        <v>578</v>
      </c>
      <c r="M71" s="237" t="s">
        <v>579</v>
      </c>
      <c r="N71" s="243" t="s">
        <v>580</v>
      </c>
      <c r="O71" s="243" t="s">
        <v>581</v>
      </c>
    </row>
    <row r="72" spans="1:15">
      <c r="A72" s="239">
        <v>11</v>
      </c>
      <c r="B72" s="238" t="s">
        <v>108</v>
      </c>
      <c r="C72" s="242" t="s">
        <v>573</v>
      </c>
      <c r="D72" s="242" t="s">
        <v>435</v>
      </c>
      <c r="E72" s="242" t="s">
        <v>434</v>
      </c>
      <c r="F72" s="242" t="s">
        <v>435</v>
      </c>
      <c r="G72" s="243" t="s">
        <v>574</v>
      </c>
      <c r="H72" s="243" t="s">
        <v>575</v>
      </c>
      <c r="I72" s="243" t="s">
        <v>576</v>
      </c>
      <c r="J72" s="243" t="s">
        <v>435</v>
      </c>
      <c r="K72" s="243" t="s">
        <v>577</v>
      </c>
      <c r="L72" s="243" t="s">
        <v>578</v>
      </c>
      <c r="M72" s="237" t="s">
        <v>579</v>
      </c>
      <c r="N72" s="243" t="s">
        <v>580</v>
      </c>
      <c r="O72" s="243" t="s">
        <v>581</v>
      </c>
    </row>
    <row r="73" spans="1:15">
      <c r="A73" s="239">
        <v>12</v>
      </c>
      <c r="B73" s="238" t="s">
        <v>109</v>
      </c>
      <c r="C73" s="242" t="s">
        <v>573</v>
      </c>
      <c r="D73" s="242" t="s">
        <v>435</v>
      </c>
      <c r="E73" s="242" t="s">
        <v>434</v>
      </c>
      <c r="F73" s="242" t="s">
        <v>435</v>
      </c>
      <c r="G73" s="243" t="s">
        <v>574</v>
      </c>
      <c r="H73" s="243" t="s">
        <v>575</v>
      </c>
      <c r="I73" s="243" t="s">
        <v>576</v>
      </c>
      <c r="J73" s="243" t="s">
        <v>435</v>
      </c>
      <c r="K73" s="243" t="s">
        <v>577</v>
      </c>
      <c r="L73" s="243" t="s">
        <v>578</v>
      </c>
      <c r="M73" s="237" t="s">
        <v>579</v>
      </c>
      <c r="N73" s="243" t="s">
        <v>580</v>
      </c>
      <c r="O73" s="243" t="s">
        <v>581</v>
      </c>
    </row>
    <row r="74" spans="1:15">
      <c r="A74" s="239">
        <v>13</v>
      </c>
      <c r="B74" s="238" t="s">
        <v>110</v>
      </c>
      <c r="C74" s="242" t="s">
        <v>573</v>
      </c>
      <c r="D74" s="242" t="s">
        <v>435</v>
      </c>
      <c r="E74" s="242" t="s">
        <v>434</v>
      </c>
      <c r="F74" s="242" t="s">
        <v>435</v>
      </c>
      <c r="G74" s="243" t="s">
        <v>574</v>
      </c>
      <c r="H74" s="243" t="s">
        <v>575</v>
      </c>
      <c r="I74" s="243" t="s">
        <v>576</v>
      </c>
      <c r="J74" s="243" t="s">
        <v>435</v>
      </c>
      <c r="K74" s="243" t="s">
        <v>577</v>
      </c>
      <c r="L74" s="243" t="s">
        <v>578</v>
      </c>
      <c r="M74" s="237" t="s">
        <v>579</v>
      </c>
      <c r="N74" s="243" t="s">
        <v>580</v>
      </c>
      <c r="O74" s="243" t="s">
        <v>581</v>
      </c>
    </row>
    <row r="75" spans="1:15">
      <c r="A75" s="239">
        <v>14</v>
      </c>
      <c r="B75" s="238" t="s">
        <v>111</v>
      </c>
      <c r="C75" s="242" t="s">
        <v>573</v>
      </c>
      <c r="D75" s="242" t="s">
        <v>435</v>
      </c>
      <c r="E75" s="242" t="s">
        <v>434</v>
      </c>
      <c r="F75" s="242" t="s">
        <v>435</v>
      </c>
      <c r="G75" s="243" t="s">
        <v>574</v>
      </c>
      <c r="H75" s="243" t="s">
        <v>575</v>
      </c>
      <c r="I75" s="243" t="s">
        <v>576</v>
      </c>
      <c r="J75" s="243" t="s">
        <v>435</v>
      </c>
      <c r="K75" s="243" t="s">
        <v>577</v>
      </c>
      <c r="L75" s="243" t="s">
        <v>578</v>
      </c>
      <c r="M75" s="237" t="s">
        <v>579</v>
      </c>
      <c r="N75" s="243" t="s">
        <v>580</v>
      </c>
      <c r="O75" s="243" t="s">
        <v>581</v>
      </c>
    </row>
    <row r="76" spans="1:15">
      <c r="A76" s="239">
        <v>15</v>
      </c>
      <c r="B76" s="238" t="s">
        <v>565</v>
      </c>
      <c r="C76" s="242" t="s">
        <v>573</v>
      </c>
      <c r="D76" s="242" t="s">
        <v>435</v>
      </c>
      <c r="E76" s="242" t="s">
        <v>434</v>
      </c>
      <c r="F76" s="242" t="s">
        <v>435</v>
      </c>
      <c r="G76" s="243" t="s">
        <v>574</v>
      </c>
      <c r="H76" s="243" t="s">
        <v>575</v>
      </c>
      <c r="I76" s="243" t="s">
        <v>576</v>
      </c>
      <c r="J76" s="243" t="s">
        <v>435</v>
      </c>
      <c r="K76" s="243" t="s">
        <v>577</v>
      </c>
      <c r="L76" s="243" t="s">
        <v>578</v>
      </c>
      <c r="M76" s="237" t="s">
        <v>579</v>
      </c>
      <c r="N76" s="243" t="s">
        <v>580</v>
      </c>
      <c r="O76" s="243" t="s">
        <v>581</v>
      </c>
    </row>
    <row r="77" spans="1:15">
      <c r="A77" s="239">
        <v>16</v>
      </c>
      <c r="B77" s="238" t="s">
        <v>113</v>
      </c>
      <c r="C77" s="242" t="s">
        <v>573</v>
      </c>
      <c r="D77" s="242" t="s">
        <v>435</v>
      </c>
      <c r="E77" s="242" t="s">
        <v>434</v>
      </c>
      <c r="F77" s="242" t="s">
        <v>435</v>
      </c>
      <c r="G77" s="243" t="s">
        <v>574</v>
      </c>
      <c r="H77" s="243" t="s">
        <v>575</v>
      </c>
      <c r="I77" s="243" t="s">
        <v>576</v>
      </c>
      <c r="J77" s="243" t="s">
        <v>435</v>
      </c>
      <c r="K77" s="243" t="s">
        <v>577</v>
      </c>
      <c r="L77" s="243" t="s">
        <v>578</v>
      </c>
      <c r="M77" s="237" t="s">
        <v>579</v>
      </c>
      <c r="N77" s="243" t="s">
        <v>580</v>
      </c>
      <c r="O77" s="243" t="s">
        <v>581</v>
      </c>
    </row>
    <row r="78" spans="1:15">
      <c r="A78" s="239">
        <v>17</v>
      </c>
      <c r="B78" s="238" t="s">
        <v>114</v>
      </c>
      <c r="C78" s="242" t="s">
        <v>573</v>
      </c>
      <c r="D78" s="242" t="s">
        <v>435</v>
      </c>
      <c r="E78" s="242" t="s">
        <v>434</v>
      </c>
      <c r="F78" s="242" t="s">
        <v>435</v>
      </c>
      <c r="G78" s="243" t="s">
        <v>574</v>
      </c>
      <c r="H78" s="243" t="s">
        <v>575</v>
      </c>
      <c r="I78" s="243" t="s">
        <v>576</v>
      </c>
      <c r="J78" s="243" t="s">
        <v>435</v>
      </c>
      <c r="K78" s="243" t="s">
        <v>577</v>
      </c>
      <c r="L78" s="243" t="s">
        <v>578</v>
      </c>
      <c r="M78" s="237" t="s">
        <v>579</v>
      </c>
      <c r="N78" s="243" t="s">
        <v>580</v>
      </c>
      <c r="O78" s="243" t="s">
        <v>581</v>
      </c>
    </row>
    <row r="79" spans="1:15">
      <c r="A79" s="239">
        <v>18</v>
      </c>
      <c r="B79" s="238" t="s">
        <v>566</v>
      </c>
      <c r="C79" s="242" t="s">
        <v>573</v>
      </c>
      <c r="D79" s="242" t="s">
        <v>435</v>
      </c>
      <c r="E79" s="242" t="s">
        <v>434</v>
      </c>
      <c r="F79" s="242" t="s">
        <v>435</v>
      </c>
      <c r="G79" s="243" t="s">
        <v>574</v>
      </c>
      <c r="H79" s="243" t="s">
        <v>575</v>
      </c>
      <c r="I79" s="243" t="s">
        <v>576</v>
      </c>
      <c r="J79" s="243" t="s">
        <v>435</v>
      </c>
      <c r="K79" s="243" t="s">
        <v>577</v>
      </c>
      <c r="L79" s="243" t="s">
        <v>578</v>
      </c>
      <c r="M79" s="237" t="s">
        <v>579</v>
      </c>
      <c r="N79" s="243" t="s">
        <v>580</v>
      </c>
      <c r="O79" s="243" t="s">
        <v>581</v>
      </c>
    </row>
    <row r="80" spans="1:15">
      <c r="A80" s="239">
        <v>19</v>
      </c>
      <c r="B80" s="238" t="s">
        <v>567</v>
      </c>
      <c r="C80" s="242" t="s">
        <v>573</v>
      </c>
      <c r="D80" s="242" t="s">
        <v>435</v>
      </c>
      <c r="E80" s="242" t="s">
        <v>434</v>
      </c>
      <c r="F80" s="242" t="s">
        <v>435</v>
      </c>
      <c r="G80" s="243" t="s">
        <v>574</v>
      </c>
      <c r="H80" s="243" t="s">
        <v>575</v>
      </c>
      <c r="I80" s="243" t="s">
        <v>576</v>
      </c>
      <c r="J80" s="243" t="s">
        <v>435</v>
      </c>
      <c r="K80" s="243" t="s">
        <v>577</v>
      </c>
      <c r="L80" s="243" t="s">
        <v>578</v>
      </c>
      <c r="M80" s="237" t="s">
        <v>579</v>
      </c>
      <c r="N80" s="243" t="s">
        <v>580</v>
      </c>
      <c r="O80" s="243" t="s">
        <v>581</v>
      </c>
    </row>
    <row r="81" spans="1:25">
      <c r="A81" s="239">
        <v>20</v>
      </c>
      <c r="B81" s="238" t="s">
        <v>568</v>
      </c>
      <c r="C81" s="242" t="s">
        <v>573</v>
      </c>
      <c r="D81" s="242" t="s">
        <v>435</v>
      </c>
      <c r="E81" s="242" t="s">
        <v>434</v>
      </c>
      <c r="F81" s="242" t="s">
        <v>435</v>
      </c>
      <c r="G81" s="243" t="s">
        <v>574</v>
      </c>
      <c r="H81" s="243" t="s">
        <v>575</v>
      </c>
      <c r="I81" s="243" t="s">
        <v>576</v>
      </c>
      <c r="J81" s="243" t="s">
        <v>435</v>
      </c>
      <c r="K81" s="243" t="s">
        <v>577</v>
      </c>
      <c r="L81" s="243" t="s">
        <v>578</v>
      </c>
      <c r="M81" s="237" t="s">
        <v>579</v>
      </c>
      <c r="N81" s="243" t="s">
        <v>580</v>
      </c>
      <c r="O81" s="243" t="s">
        <v>581</v>
      </c>
    </row>
    <row r="82" spans="1:25">
      <c r="A82" s="234"/>
      <c r="B82" s="234"/>
      <c r="C82" s="234"/>
      <c r="D82" s="234"/>
      <c r="E82" s="234"/>
      <c r="F82" s="234"/>
      <c r="G82" s="234"/>
      <c r="H82" s="234"/>
      <c r="I82" s="234"/>
      <c r="J82" s="234"/>
      <c r="K82" s="234"/>
      <c r="L82" s="234"/>
      <c r="M82" s="234"/>
      <c r="N82" s="234"/>
      <c r="O82" s="234"/>
    </row>
    <row r="83" spans="1:25" ht="24" customHeight="1">
      <c r="A83" s="704" t="s">
        <v>582</v>
      </c>
      <c r="B83" s="704"/>
      <c r="C83" s="704"/>
      <c r="D83" s="704"/>
      <c r="E83" s="704"/>
      <c r="F83" s="704"/>
      <c r="G83" s="704"/>
      <c r="H83" s="704"/>
      <c r="I83" s="704"/>
      <c r="J83" s="704"/>
      <c r="K83" s="704"/>
      <c r="L83" s="704"/>
      <c r="M83" s="704"/>
      <c r="N83" s="704"/>
      <c r="O83" s="704"/>
    </row>
    <row r="85" spans="1:25" ht="24.75" customHeight="1">
      <c r="A85" s="684" t="s">
        <v>589</v>
      </c>
      <c r="B85" s="684"/>
      <c r="C85" s="684"/>
      <c r="D85" s="684"/>
      <c r="E85" s="684"/>
      <c r="F85" s="684"/>
      <c r="G85" s="684"/>
      <c r="H85" s="684"/>
    </row>
    <row r="86" spans="1:25">
      <c r="A86" s="234"/>
      <c r="B86" s="234"/>
      <c r="C86" s="234"/>
      <c r="D86" s="234"/>
      <c r="E86" s="234"/>
      <c r="F86" s="234"/>
      <c r="G86" s="234"/>
      <c r="H86" s="234"/>
    </row>
    <row r="87" spans="1:25">
      <c r="A87" s="686" t="s">
        <v>500</v>
      </c>
      <c r="B87" s="686" t="s">
        <v>501</v>
      </c>
      <c r="C87" s="701" t="s">
        <v>502</v>
      </c>
      <c r="D87" s="702"/>
      <c r="E87" s="702"/>
      <c r="F87" s="702"/>
      <c r="G87" s="702"/>
      <c r="H87" s="703"/>
    </row>
    <row r="88" spans="1:25">
      <c r="A88" s="687"/>
      <c r="B88" s="687"/>
      <c r="C88" s="696" t="s">
        <v>544</v>
      </c>
      <c r="D88" s="697"/>
      <c r="E88" s="251" t="s">
        <v>449</v>
      </c>
      <c r="F88" s="236" t="s">
        <v>450</v>
      </c>
      <c r="G88" s="236" t="s">
        <v>323</v>
      </c>
      <c r="H88" s="236" t="s">
        <v>526</v>
      </c>
    </row>
    <row r="89" spans="1:25">
      <c r="A89" s="688"/>
      <c r="B89" s="687"/>
      <c r="C89" s="247" t="s">
        <v>506</v>
      </c>
      <c r="D89" s="248" t="s">
        <v>507</v>
      </c>
      <c r="E89" s="247" t="s">
        <v>506</v>
      </c>
      <c r="F89" s="247" t="s">
        <v>506</v>
      </c>
      <c r="G89" s="247" t="s">
        <v>506</v>
      </c>
      <c r="H89" s="236" t="s">
        <v>530</v>
      </c>
    </row>
    <row r="90" spans="1:25">
      <c r="A90" s="239">
        <v>1</v>
      </c>
      <c r="B90" s="238" t="s">
        <v>583</v>
      </c>
      <c r="C90" s="243" t="s">
        <v>553</v>
      </c>
      <c r="D90" s="243" t="s">
        <v>554</v>
      </c>
      <c r="E90" s="243" t="s">
        <v>584</v>
      </c>
      <c r="F90" s="243" t="s">
        <v>585</v>
      </c>
      <c r="G90" s="243"/>
      <c r="H90" s="243"/>
    </row>
    <row r="91" spans="1:25">
      <c r="A91" s="239">
        <v>2</v>
      </c>
      <c r="B91" s="238" t="s">
        <v>586</v>
      </c>
      <c r="C91" s="243"/>
      <c r="D91" s="243"/>
      <c r="E91" s="243"/>
      <c r="F91" s="243"/>
      <c r="G91" s="243" t="s">
        <v>579</v>
      </c>
      <c r="H91" s="243" t="s">
        <v>587</v>
      </c>
    </row>
    <row r="92" spans="1:25">
      <c r="A92" s="234"/>
      <c r="B92" s="234"/>
      <c r="C92" s="234"/>
      <c r="D92" s="234"/>
      <c r="E92" s="234"/>
      <c r="F92" s="234"/>
      <c r="G92" s="234"/>
      <c r="H92" s="234"/>
    </row>
    <row r="93" spans="1:25" ht="27.75" customHeight="1">
      <c r="A93" s="704" t="s">
        <v>588</v>
      </c>
      <c r="B93" s="704"/>
      <c r="C93" s="704"/>
      <c r="D93" s="704"/>
      <c r="E93" s="704"/>
      <c r="F93" s="704"/>
      <c r="G93" s="704"/>
      <c r="H93" s="704"/>
    </row>
    <row r="95" spans="1:25">
      <c r="A95" s="695" t="s">
        <v>609</v>
      </c>
      <c r="B95" s="695"/>
      <c r="C95" s="695"/>
      <c r="D95" s="695"/>
      <c r="E95" s="695"/>
      <c r="F95" s="695"/>
      <c r="G95" s="695"/>
      <c r="H95" s="695"/>
      <c r="I95" s="695"/>
      <c r="J95" s="695"/>
      <c r="K95" s="695"/>
      <c r="L95" s="695"/>
      <c r="M95" s="695"/>
      <c r="N95" s="695"/>
      <c r="O95" s="695"/>
      <c r="P95" s="695"/>
      <c r="Q95" s="695"/>
      <c r="R95" s="695"/>
      <c r="S95" s="695"/>
      <c r="T95" s="695"/>
      <c r="U95" s="695"/>
      <c r="V95" s="252"/>
      <c r="W95" s="252"/>
      <c r="X95" s="234"/>
      <c r="Y95" s="234"/>
    </row>
    <row r="96" spans="1:25">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row>
    <row r="97" spans="1:25">
      <c r="A97" s="707" t="s">
        <v>364</v>
      </c>
      <c r="B97" s="707" t="s">
        <v>501</v>
      </c>
      <c r="C97" s="710" t="s">
        <v>502</v>
      </c>
      <c r="D97" s="710"/>
      <c r="E97" s="710"/>
      <c r="F97" s="710"/>
      <c r="G97" s="710"/>
      <c r="H97" s="710"/>
      <c r="I97" s="710"/>
      <c r="J97" s="710"/>
      <c r="K97" s="710"/>
      <c r="L97" s="710"/>
      <c r="M97" s="710"/>
      <c r="N97" s="710"/>
      <c r="O97" s="710"/>
      <c r="P97" s="710"/>
      <c r="Q97" s="710"/>
      <c r="R97" s="710"/>
      <c r="S97" s="710"/>
      <c r="T97" s="710"/>
      <c r="U97" s="710"/>
      <c r="V97" s="710"/>
      <c r="W97" s="710"/>
      <c r="X97" s="710"/>
      <c r="Y97" s="710"/>
    </row>
    <row r="98" spans="1:25">
      <c r="A98" s="708"/>
      <c r="B98" s="708"/>
      <c r="C98" s="705" t="s">
        <v>590</v>
      </c>
      <c r="D98" s="705" t="s">
        <v>509</v>
      </c>
      <c r="E98" s="705" t="s">
        <v>83</v>
      </c>
      <c r="F98" s="705" t="s">
        <v>84</v>
      </c>
      <c r="G98" s="705" t="s">
        <v>271</v>
      </c>
      <c r="H98" s="705" t="s">
        <v>272</v>
      </c>
      <c r="I98" s="705" t="s">
        <v>321</v>
      </c>
      <c r="J98" s="705" t="s">
        <v>510</v>
      </c>
      <c r="K98" s="705" t="s">
        <v>591</v>
      </c>
      <c r="L98" s="705" t="s">
        <v>514</v>
      </c>
      <c r="M98" s="705" t="s">
        <v>534</v>
      </c>
      <c r="N98" s="705" t="s">
        <v>592</v>
      </c>
      <c r="O98" s="705" t="s">
        <v>323</v>
      </c>
      <c r="P98" s="705" t="s">
        <v>319</v>
      </c>
      <c r="Q98" s="717" t="s">
        <v>593</v>
      </c>
      <c r="R98" s="717" t="s">
        <v>512</v>
      </c>
      <c r="S98" s="717" t="s">
        <v>258</v>
      </c>
      <c r="T98" s="711" t="s">
        <v>243</v>
      </c>
      <c r="U98" s="712"/>
      <c r="V98" s="711" t="s">
        <v>594</v>
      </c>
      <c r="W98" s="712"/>
      <c r="X98" s="711" t="s">
        <v>517</v>
      </c>
      <c r="Y98" s="712"/>
    </row>
    <row r="99" spans="1:25">
      <c r="A99" s="709"/>
      <c r="B99" s="709"/>
      <c r="C99" s="706"/>
      <c r="D99" s="706"/>
      <c r="E99" s="706"/>
      <c r="F99" s="706"/>
      <c r="G99" s="706"/>
      <c r="H99" s="706"/>
      <c r="I99" s="706"/>
      <c r="J99" s="706"/>
      <c r="K99" s="706"/>
      <c r="L99" s="706"/>
      <c r="M99" s="706"/>
      <c r="N99" s="706"/>
      <c r="O99" s="706"/>
      <c r="P99" s="706"/>
      <c r="Q99" s="718"/>
      <c r="R99" s="718"/>
      <c r="S99" s="718"/>
      <c r="T99" s="253" t="s">
        <v>595</v>
      </c>
      <c r="U99" s="253" t="s">
        <v>596</v>
      </c>
      <c r="V99" s="253" t="s">
        <v>595</v>
      </c>
      <c r="W99" s="253" t="s">
        <v>596</v>
      </c>
      <c r="X99" s="253" t="s">
        <v>595</v>
      </c>
      <c r="Y99" s="253" t="s">
        <v>596</v>
      </c>
    </row>
    <row r="100" spans="1:25" ht="26.4">
      <c r="A100" s="239">
        <v>1</v>
      </c>
      <c r="B100" s="254" t="s">
        <v>597</v>
      </c>
      <c r="C100" s="255" t="s">
        <v>598</v>
      </c>
      <c r="D100" s="255">
        <v>280</v>
      </c>
      <c r="E100" s="255">
        <v>270</v>
      </c>
      <c r="F100" s="255">
        <v>230</v>
      </c>
      <c r="G100" s="255" t="s">
        <v>576</v>
      </c>
      <c r="H100" s="255">
        <v>120</v>
      </c>
      <c r="I100" s="255">
        <v>120</v>
      </c>
      <c r="J100" s="255">
        <v>250</v>
      </c>
      <c r="K100" s="255">
        <v>90</v>
      </c>
      <c r="L100" s="255">
        <v>20</v>
      </c>
      <c r="M100" s="255">
        <v>20</v>
      </c>
      <c r="N100" s="255">
        <v>70</v>
      </c>
      <c r="O100" s="255">
        <v>3500</v>
      </c>
      <c r="P100" s="255" t="s">
        <v>599</v>
      </c>
      <c r="Q100" s="255" t="s">
        <v>600</v>
      </c>
      <c r="R100" s="255" t="s">
        <v>601</v>
      </c>
      <c r="S100" s="255" t="s">
        <v>602</v>
      </c>
      <c r="T100" s="256" t="s">
        <v>603</v>
      </c>
      <c r="U100" s="256" t="s">
        <v>604</v>
      </c>
      <c r="V100" s="256" t="s">
        <v>556</v>
      </c>
      <c r="W100" s="257" t="s">
        <v>605</v>
      </c>
      <c r="X100" s="256" t="s">
        <v>606</v>
      </c>
      <c r="Y100" s="257" t="s">
        <v>607</v>
      </c>
    </row>
    <row r="101" spans="1:25">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row>
    <row r="102" spans="1:25">
      <c r="A102" s="713" t="s">
        <v>608</v>
      </c>
      <c r="B102" s="713"/>
      <c r="C102" s="713"/>
      <c r="D102" s="713"/>
      <c r="E102" s="713"/>
      <c r="F102" s="713"/>
      <c r="G102" s="713"/>
      <c r="H102" s="713"/>
      <c r="I102" s="713"/>
      <c r="J102" s="713"/>
      <c r="K102" s="713"/>
      <c r="L102" s="713"/>
      <c r="M102" s="713"/>
      <c r="N102" s="713"/>
      <c r="O102" s="713"/>
      <c r="P102" s="713"/>
      <c r="Q102" s="713"/>
      <c r="R102" s="713"/>
      <c r="S102" s="713"/>
      <c r="T102" s="713"/>
      <c r="U102" s="713"/>
      <c r="V102" s="234"/>
      <c r="W102" s="234"/>
      <c r="X102" s="234"/>
      <c r="Y102" s="234"/>
    </row>
    <row r="104" spans="1:25">
      <c r="A104" s="684" t="s">
        <v>610</v>
      </c>
      <c r="B104" s="684"/>
      <c r="C104" s="684"/>
      <c r="D104" s="684"/>
      <c r="E104" s="684"/>
      <c r="F104" s="684"/>
      <c r="G104" s="684"/>
      <c r="H104" s="684"/>
      <c r="I104" s="684"/>
      <c r="J104" s="684"/>
      <c r="K104" s="684"/>
      <c r="L104" s="684"/>
      <c r="M104" s="684"/>
      <c r="N104" s="684"/>
      <c r="O104" s="684"/>
      <c r="P104" s="684"/>
      <c r="Q104" s="684"/>
      <c r="R104" s="684"/>
      <c r="S104" s="684"/>
    </row>
    <row r="105" spans="1:25">
      <c r="A105" s="686" t="s">
        <v>500</v>
      </c>
      <c r="B105" s="686" t="s">
        <v>501</v>
      </c>
      <c r="C105" s="714" t="s">
        <v>502</v>
      </c>
      <c r="D105" s="715"/>
      <c r="E105" s="715"/>
      <c r="F105" s="715"/>
      <c r="G105" s="715"/>
      <c r="H105" s="715"/>
      <c r="I105" s="715"/>
      <c r="J105" s="715"/>
      <c r="K105" s="715"/>
      <c r="L105" s="715"/>
      <c r="M105" s="715"/>
      <c r="N105" s="715"/>
      <c r="O105" s="715"/>
      <c r="P105" s="716"/>
      <c r="Q105" s="692"/>
      <c r="R105" s="692"/>
      <c r="S105" s="693"/>
    </row>
    <row r="106" spans="1:25">
      <c r="A106" s="687"/>
      <c r="B106" s="687"/>
      <c r="C106" s="686" t="s">
        <v>569</v>
      </c>
      <c r="D106" s="686" t="s">
        <v>570</v>
      </c>
      <c r="E106" s="686" t="s">
        <v>510</v>
      </c>
      <c r="F106" s="686" t="s">
        <v>571</v>
      </c>
      <c r="G106" s="686" t="s">
        <v>271</v>
      </c>
      <c r="H106" s="686" t="s">
        <v>84</v>
      </c>
      <c r="I106" s="686" t="s">
        <v>272</v>
      </c>
      <c r="J106" s="686" t="s">
        <v>318</v>
      </c>
      <c r="K106" s="686" t="s">
        <v>544</v>
      </c>
      <c r="L106" s="686" t="s">
        <v>449</v>
      </c>
      <c r="M106" s="686" t="s">
        <v>450</v>
      </c>
      <c r="N106" s="686" t="s">
        <v>323</v>
      </c>
      <c r="O106" s="686" t="s">
        <v>545</v>
      </c>
      <c r="P106" s="686" t="s">
        <v>245</v>
      </c>
      <c r="Q106" s="236" t="s">
        <v>526</v>
      </c>
      <c r="R106" s="236" t="s">
        <v>611</v>
      </c>
      <c r="S106" s="236" t="s">
        <v>529</v>
      </c>
    </row>
    <row r="107" spans="1:25">
      <c r="A107" s="688"/>
      <c r="B107" s="688"/>
      <c r="C107" s="688"/>
      <c r="D107" s="688"/>
      <c r="E107" s="688"/>
      <c r="F107" s="688"/>
      <c r="G107" s="688"/>
      <c r="H107" s="688"/>
      <c r="I107" s="688"/>
      <c r="J107" s="688"/>
      <c r="K107" s="688"/>
      <c r="L107" s="688"/>
      <c r="M107" s="688"/>
      <c r="N107" s="688"/>
      <c r="O107" s="688"/>
      <c r="P107" s="688"/>
      <c r="Q107" s="247" t="s">
        <v>530</v>
      </c>
      <c r="R107" s="247" t="s">
        <v>530</v>
      </c>
      <c r="S107" s="247" t="s">
        <v>530</v>
      </c>
    </row>
    <row r="108" spans="1:25">
      <c r="A108" s="239">
        <v>1</v>
      </c>
      <c r="B108" s="237" t="s">
        <v>612</v>
      </c>
      <c r="C108" s="242" t="s">
        <v>613</v>
      </c>
      <c r="D108" s="242" t="s">
        <v>614</v>
      </c>
      <c r="E108" s="242" t="s">
        <v>615</v>
      </c>
      <c r="F108" s="242" t="s">
        <v>616</v>
      </c>
      <c r="G108" s="243" t="s">
        <v>617</v>
      </c>
      <c r="H108" s="243" t="s">
        <v>618</v>
      </c>
      <c r="I108" s="243" t="s">
        <v>619</v>
      </c>
      <c r="J108" s="243" t="s">
        <v>492</v>
      </c>
      <c r="K108" s="243" t="s">
        <v>620</v>
      </c>
      <c r="L108" s="243" t="s">
        <v>621</v>
      </c>
      <c r="M108" s="243" t="s">
        <v>622</v>
      </c>
      <c r="N108" s="237" t="s">
        <v>623</v>
      </c>
      <c r="O108" s="243" t="s">
        <v>624</v>
      </c>
      <c r="P108" s="243" t="s">
        <v>625</v>
      </c>
      <c r="Q108" s="243" t="s">
        <v>626</v>
      </c>
      <c r="R108" s="243" t="s">
        <v>627</v>
      </c>
      <c r="S108" s="243" t="s">
        <v>628</v>
      </c>
    </row>
    <row r="109" spans="1:25">
      <c r="A109" s="239">
        <v>2</v>
      </c>
      <c r="B109" s="237" t="s">
        <v>629</v>
      </c>
      <c r="C109" s="242" t="s">
        <v>613</v>
      </c>
      <c r="D109" s="242" t="s">
        <v>614</v>
      </c>
      <c r="E109" s="242" t="s">
        <v>615</v>
      </c>
      <c r="F109" s="242" t="s">
        <v>616</v>
      </c>
      <c r="G109" s="243" t="s">
        <v>617</v>
      </c>
      <c r="H109" s="243" t="s">
        <v>618</v>
      </c>
      <c r="I109" s="243" t="s">
        <v>619</v>
      </c>
      <c r="J109" s="243" t="s">
        <v>492</v>
      </c>
      <c r="K109" s="243" t="s">
        <v>620</v>
      </c>
      <c r="L109" s="243" t="s">
        <v>621</v>
      </c>
      <c r="M109" s="243" t="s">
        <v>622</v>
      </c>
      <c r="N109" s="237" t="s">
        <v>623</v>
      </c>
      <c r="O109" s="243" t="s">
        <v>624</v>
      </c>
      <c r="P109" s="243" t="s">
        <v>625</v>
      </c>
      <c r="Q109" s="243" t="s">
        <v>626</v>
      </c>
      <c r="R109" s="243" t="s">
        <v>627</v>
      </c>
      <c r="S109" s="243" t="s">
        <v>628</v>
      </c>
    </row>
    <row r="110" spans="1:25">
      <c r="A110" s="239">
        <v>3</v>
      </c>
      <c r="B110" s="237" t="s">
        <v>630</v>
      </c>
      <c r="C110" s="242" t="s">
        <v>613</v>
      </c>
      <c r="D110" s="242" t="s">
        <v>614</v>
      </c>
      <c r="E110" s="242" t="s">
        <v>615</v>
      </c>
      <c r="F110" s="242" t="s">
        <v>616</v>
      </c>
      <c r="G110" s="243" t="s">
        <v>617</v>
      </c>
      <c r="H110" s="243" t="s">
        <v>618</v>
      </c>
      <c r="I110" s="243" t="s">
        <v>619</v>
      </c>
      <c r="J110" s="243" t="s">
        <v>492</v>
      </c>
      <c r="K110" s="243" t="s">
        <v>620</v>
      </c>
      <c r="L110" s="243" t="s">
        <v>621</v>
      </c>
      <c r="M110" s="243" t="s">
        <v>622</v>
      </c>
      <c r="N110" s="237" t="s">
        <v>623</v>
      </c>
      <c r="O110" s="243" t="s">
        <v>624</v>
      </c>
      <c r="P110" s="243" t="s">
        <v>625</v>
      </c>
      <c r="Q110" s="243" t="s">
        <v>626</v>
      </c>
      <c r="R110" s="243" t="s">
        <v>627</v>
      </c>
      <c r="S110" s="243" t="s">
        <v>628</v>
      </c>
    </row>
    <row r="111" spans="1:25">
      <c r="A111" s="239">
        <v>4</v>
      </c>
      <c r="B111" s="237" t="s">
        <v>631</v>
      </c>
      <c r="C111" s="242" t="s">
        <v>613</v>
      </c>
      <c r="D111" s="242" t="s">
        <v>614</v>
      </c>
      <c r="E111" s="242" t="s">
        <v>615</v>
      </c>
      <c r="F111" s="242" t="s">
        <v>616</v>
      </c>
      <c r="G111" s="243" t="s">
        <v>617</v>
      </c>
      <c r="H111" s="243" t="s">
        <v>618</v>
      </c>
      <c r="I111" s="243" t="s">
        <v>619</v>
      </c>
      <c r="J111" s="243" t="s">
        <v>492</v>
      </c>
      <c r="K111" s="243" t="s">
        <v>620</v>
      </c>
      <c r="L111" s="243" t="s">
        <v>621</v>
      </c>
      <c r="M111" s="243" t="s">
        <v>622</v>
      </c>
      <c r="N111" s="237" t="s">
        <v>623</v>
      </c>
      <c r="O111" s="243" t="s">
        <v>624</v>
      </c>
      <c r="P111" s="243" t="s">
        <v>625</v>
      </c>
      <c r="Q111" s="243" t="s">
        <v>626</v>
      </c>
      <c r="R111" s="243" t="s">
        <v>627</v>
      </c>
      <c r="S111" s="243" t="s">
        <v>628</v>
      </c>
    </row>
    <row r="112" spans="1:25">
      <c r="A112" s="239">
        <v>5</v>
      </c>
      <c r="B112" s="237" t="s">
        <v>632</v>
      </c>
      <c r="C112" s="242" t="s">
        <v>613</v>
      </c>
      <c r="D112" s="242" t="s">
        <v>614</v>
      </c>
      <c r="E112" s="242" t="s">
        <v>615</v>
      </c>
      <c r="F112" s="242" t="s">
        <v>616</v>
      </c>
      <c r="G112" s="243" t="s">
        <v>617</v>
      </c>
      <c r="H112" s="243" t="s">
        <v>618</v>
      </c>
      <c r="I112" s="243" t="s">
        <v>619</v>
      </c>
      <c r="J112" s="243" t="s">
        <v>492</v>
      </c>
      <c r="K112" s="243" t="s">
        <v>620</v>
      </c>
      <c r="L112" s="243" t="s">
        <v>621</v>
      </c>
      <c r="M112" s="243" t="s">
        <v>622</v>
      </c>
      <c r="N112" s="237" t="s">
        <v>623</v>
      </c>
      <c r="O112" s="243" t="s">
        <v>624</v>
      </c>
      <c r="P112" s="243" t="s">
        <v>625</v>
      </c>
      <c r="Q112" s="243" t="s">
        <v>626</v>
      </c>
      <c r="R112" s="243" t="s">
        <v>627</v>
      </c>
      <c r="S112" s="243" t="s">
        <v>628</v>
      </c>
    </row>
    <row r="113" spans="1:19">
      <c r="A113" s="239">
        <v>6</v>
      </c>
      <c r="B113" s="237" t="s">
        <v>633</v>
      </c>
      <c r="C113" s="242" t="s">
        <v>613</v>
      </c>
      <c r="D113" s="242" t="s">
        <v>614</v>
      </c>
      <c r="E113" s="242" t="s">
        <v>615</v>
      </c>
      <c r="F113" s="242" t="s">
        <v>616</v>
      </c>
      <c r="G113" s="243" t="s">
        <v>617</v>
      </c>
      <c r="H113" s="243" t="s">
        <v>618</v>
      </c>
      <c r="I113" s="243" t="s">
        <v>619</v>
      </c>
      <c r="J113" s="243" t="s">
        <v>492</v>
      </c>
      <c r="K113" s="243" t="s">
        <v>620</v>
      </c>
      <c r="L113" s="243" t="s">
        <v>621</v>
      </c>
      <c r="M113" s="243" t="s">
        <v>622</v>
      </c>
      <c r="N113" s="237" t="s">
        <v>623</v>
      </c>
      <c r="O113" s="243" t="s">
        <v>624</v>
      </c>
      <c r="P113" s="243" t="s">
        <v>625</v>
      </c>
      <c r="Q113" s="243" t="s">
        <v>626</v>
      </c>
      <c r="R113" s="243" t="s">
        <v>627</v>
      </c>
      <c r="S113" s="243" t="s">
        <v>628</v>
      </c>
    </row>
    <row r="114" spans="1:19">
      <c r="A114" s="239">
        <v>7</v>
      </c>
      <c r="B114" s="237" t="s">
        <v>634</v>
      </c>
      <c r="C114" s="242" t="s">
        <v>613</v>
      </c>
      <c r="D114" s="242" t="s">
        <v>614</v>
      </c>
      <c r="E114" s="242" t="s">
        <v>615</v>
      </c>
      <c r="F114" s="242" t="s">
        <v>616</v>
      </c>
      <c r="G114" s="243" t="s">
        <v>617</v>
      </c>
      <c r="H114" s="243" t="s">
        <v>618</v>
      </c>
      <c r="I114" s="243" t="s">
        <v>619</v>
      </c>
      <c r="J114" s="243" t="s">
        <v>492</v>
      </c>
      <c r="K114" s="243" t="s">
        <v>620</v>
      </c>
      <c r="L114" s="243" t="s">
        <v>621</v>
      </c>
      <c r="M114" s="243" t="s">
        <v>622</v>
      </c>
      <c r="N114" s="237" t="s">
        <v>623</v>
      </c>
      <c r="O114" s="243" t="s">
        <v>624</v>
      </c>
      <c r="P114" s="243" t="s">
        <v>625</v>
      </c>
      <c r="Q114" s="243" t="s">
        <v>626</v>
      </c>
      <c r="R114" s="243" t="s">
        <v>627</v>
      </c>
      <c r="S114" s="243" t="s">
        <v>628</v>
      </c>
    </row>
    <row r="115" spans="1:19">
      <c r="A115" s="239">
        <v>8</v>
      </c>
      <c r="B115" s="237" t="s">
        <v>635</v>
      </c>
      <c r="C115" s="242" t="s">
        <v>613</v>
      </c>
      <c r="D115" s="242" t="s">
        <v>614</v>
      </c>
      <c r="E115" s="242" t="s">
        <v>615</v>
      </c>
      <c r="F115" s="242" t="s">
        <v>616</v>
      </c>
      <c r="G115" s="243" t="s">
        <v>617</v>
      </c>
      <c r="H115" s="243" t="s">
        <v>618</v>
      </c>
      <c r="I115" s="243" t="s">
        <v>619</v>
      </c>
      <c r="J115" s="243" t="s">
        <v>492</v>
      </c>
      <c r="K115" s="243" t="s">
        <v>620</v>
      </c>
      <c r="L115" s="243" t="s">
        <v>621</v>
      </c>
      <c r="M115" s="243" t="s">
        <v>622</v>
      </c>
      <c r="N115" s="237" t="s">
        <v>623</v>
      </c>
      <c r="O115" s="243" t="s">
        <v>624</v>
      </c>
      <c r="P115" s="243" t="s">
        <v>625</v>
      </c>
      <c r="Q115" s="243" t="s">
        <v>626</v>
      </c>
      <c r="R115" s="243" t="s">
        <v>627</v>
      </c>
      <c r="S115" s="243" t="s">
        <v>628</v>
      </c>
    </row>
    <row r="116" spans="1:19">
      <c r="A116" s="234"/>
      <c r="B116" s="234"/>
      <c r="C116" s="234"/>
      <c r="D116" s="234"/>
      <c r="E116" s="234"/>
      <c r="F116" s="234"/>
      <c r="G116" s="234"/>
      <c r="H116" s="234"/>
      <c r="I116" s="234"/>
      <c r="J116" s="234"/>
      <c r="K116" s="234"/>
      <c r="L116" s="234"/>
      <c r="M116" s="234"/>
      <c r="N116" s="234"/>
      <c r="O116" s="234"/>
      <c r="P116" s="234"/>
      <c r="Q116" s="234"/>
      <c r="R116" s="234"/>
      <c r="S116" s="234"/>
    </row>
    <row r="117" spans="1:19">
      <c r="A117" s="725" t="s">
        <v>588</v>
      </c>
      <c r="B117" s="725"/>
      <c r="C117" s="725"/>
      <c r="D117" s="725"/>
      <c r="E117" s="725"/>
      <c r="F117" s="725"/>
      <c r="G117" s="725"/>
      <c r="H117" s="725"/>
      <c r="I117" s="725"/>
      <c r="J117" s="725"/>
      <c r="K117" s="725"/>
      <c r="L117" s="725"/>
      <c r="M117" s="725"/>
      <c r="N117" s="725"/>
      <c r="O117" s="725"/>
      <c r="P117" s="725"/>
      <c r="Q117" s="234"/>
      <c r="R117" s="234"/>
      <c r="S117" s="234"/>
    </row>
    <row r="119" spans="1:19">
      <c r="A119" s="685" t="s">
        <v>636</v>
      </c>
      <c r="B119" s="685"/>
      <c r="C119" s="685"/>
      <c r="D119" s="685"/>
      <c r="E119" s="685"/>
      <c r="F119" s="685"/>
      <c r="G119" s="685"/>
      <c r="H119" s="685"/>
      <c r="I119" s="685"/>
      <c r="J119" s="685"/>
      <c r="K119" s="685"/>
      <c r="L119" s="685"/>
      <c r="M119" s="685"/>
      <c r="N119" s="685"/>
    </row>
    <row r="120" spans="1:19">
      <c r="A120" s="726" t="s">
        <v>500</v>
      </c>
      <c r="B120" s="686" t="s">
        <v>501</v>
      </c>
      <c r="C120" s="696" t="s">
        <v>502</v>
      </c>
      <c r="D120" s="729"/>
      <c r="E120" s="729"/>
      <c r="F120" s="729"/>
      <c r="G120" s="729"/>
      <c r="H120" s="729"/>
      <c r="I120" s="729"/>
      <c r="J120" s="729"/>
      <c r="K120" s="729"/>
      <c r="L120" s="729"/>
      <c r="M120" s="729"/>
      <c r="N120" s="697"/>
    </row>
    <row r="121" spans="1:19">
      <c r="A121" s="727"/>
      <c r="B121" s="687"/>
      <c r="C121" s="714" t="s">
        <v>544</v>
      </c>
      <c r="D121" s="716"/>
      <c r="E121" s="236" t="s">
        <v>449</v>
      </c>
      <c r="F121" s="714" t="s">
        <v>545</v>
      </c>
      <c r="G121" s="716"/>
      <c r="H121" s="236" t="s">
        <v>450</v>
      </c>
      <c r="I121" s="714" t="s">
        <v>546</v>
      </c>
      <c r="J121" s="715"/>
      <c r="K121" s="716"/>
      <c r="L121" s="719" t="s">
        <v>547</v>
      </c>
      <c r="M121" s="719" t="s">
        <v>548</v>
      </c>
      <c r="N121" s="719" t="s">
        <v>549</v>
      </c>
    </row>
    <row r="122" spans="1:19" ht="26.4">
      <c r="A122" s="728"/>
      <c r="B122" s="688"/>
      <c r="C122" s="239" t="s">
        <v>506</v>
      </c>
      <c r="D122" s="239" t="s">
        <v>507</v>
      </c>
      <c r="E122" s="239" t="s">
        <v>506</v>
      </c>
      <c r="F122" s="239" t="s">
        <v>506</v>
      </c>
      <c r="G122" s="239" t="s">
        <v>507</v>
      </c>
      <c r="H122" s="239" t="s">
        <v>506</v>
      </c>
      <c r="I122" s="251" t="s">
        <v>550</v>
      </c>
      <c r="J122" s="251" t="s">
        <v>551</v>
      </c>
      <c r="K122" s="258" t="s">
        <v>552</v>
      </c>
      <c r="L122" s="720"/>
      <c r="M122" s="720"/>
      <c r="N122" s="720"/>
    </row>
    <row r="123" spans="1:19">
      <c r="A123" s="236">
        <v>1</v>
      </c>
      <c r="B123" s="254" t="s">
        <v>186</v>
      </c>
      <c r="C123" s="236" t="s">
        <v>553</v>
      </c>
      <c r="D123" s="236" t="s">
        <v>554</v>
      </c>
      <c r="E123" s="259" t="s">
        <v>555</v>
      </c>
      <c r="F123" s="260" t="s">
        <v>556</v>
      </c>
      <c r="G123" s="236" t="s">
        <v>557</v>
      </c>
      <c r="H123" s="261" t="s">
        <v>637</v>
      </c>
      <c r="I123" s="236" t="s">
        <v>559</v>
      </c>
      <c r="J123" s="236" t="s">
        <v>559</v>
      </c>
      <c r="K123" s="237" t="s">
        <v>559</v>
      </c>
      <c r="L123" s="237" t="s">
        <v>638</v>
      </c>
      <c r="M123" s="237" t="s">
        <v>561</v>
      </c>
      <c r="N123" s="237" t="s">
        <v>562</v>
      </c>
    </row>
    <row r="124" spans="1:19">
      <c r="A124" s="236">
        <v>2</v>
      </c>
      <c r="B124" s="254" t="s">
        <v>12</v>
      </c>
      <c r="C124" s="236" t="s">
        <v>553</v>
      </c>
      <c r="D124" s="236" t="s">
        <v>554</v>
      </c>
      <c r="E124" s="259" t="s">
        <v>555</v>
      </c>
      <c r="F124" s="260" t="s">
        <v>556</v>
      </c>
      <c r="G124" s="236" t="s">
        <v>557</v>
      </c>
      <c r="H124" s="261" t="s">
        <v>637</v>
      </c>
      <c r="I124" s="236" t="s">
        <v>559</v>
      </c>
      <c r="J124" s="236" t="s">
        <v>559</v>
      </c>
      <c r="K124" s="237" t="s">
        <v>559</v>
      </c>
      <c r="L124" s="237" t="s">
        <v>638</v>
      </c>
      <c r="M124" s="237" t="s">
        <v>561</v>
      </c>
      <c r="N124" s="237" t="s">
        <v>562</v>
      </c>
    </row>
    <row r="125" spans="1:19">
      <c r="A125" s="239">
        <v>3</v>
      </c>
      <c r="B125" s="254" t="s">
        <v>639</v>
      </c>
      <c r="C125" s="242" t="s">
        <v>553</v>
      </c>
      <c r="D125" s="242" t="s">
        <v>554</v>
      </c>
      <c r="E125" s="242" t="s">
        <v>555</v>
      </c>
      <c r="F125" s="242" t="s">
        <v>556</v>
      </c>
      <c r="G125" s="242" t="s">
        <v>557</v>
      </c>
      <c r="H125" s="261" t="s">
        <v>637</v>
      </c>
      <c r="I125" s="242" t="s">
        <v>559</v>
      </c>
      <c r="J125" s="242" t="s">
        <v>559</v>
      </c>
      <c r="K125" s="237" t="s">
        <v>559</v>
      </c>
      <c r="L125" s="237" t="s">
        <v>638</v>
      </c>
      <c r="M125" s="237" t="s">
        <v>561</v>
      </c>
      <c r="N125" s="237" t="s">
        <v>562</v>
      </c>
    </row>
    <row r="126" spans="1:19">
      <c r="A126" s="239">
        <v>4</v>
      </c>
      <c r="B126" s="254" t="s">
        <v>188</v>
      </c>
      <c r="C126" s="242" t="s">
        <v>553</v>
      </c>
      <c r="D126" s="242" t="s">
        <v>554</v>
      </c>
      <c r="E126" s="242" t="s">
        <v>555</v>
      </c>
      <c r="F126" s="242" t="s">
        <v>556</v>
      </c>
      <c r="G126" s="242" t="s">
        <v>557</v>
      </c>
      <c r="H126" s="261" t="s">
        <v>637</v>
      </c>
      <c r="I126" s="242" t="s">
        <v>559</v>
      </c>
      <c r="J126" s="242" t="s">
        <v>559</v>
      </c>
      <c r="K126" s="237" t="s">
        <v>559</v>
      </c>
      <c r="L126" s="237" t="s">
        <v>638</v>
      </c>
      <c r="M126" s="237" t="s">
        <v>561</v>
      </c>
      <c r="N126" s="237" t="s">
        <v>562</v>
      </c>
    </row>
    <row r="127" spans="1:19">
      <c r="A127" s="239">
        <v>5</v>
      </c>
      <c r="B127" s="254" t="s">
        <v>190</v>
      </c>
      <c r="C127" s="242" t="s">
        <v>553</v>
      </c>
      <c r="D127" s="242" t="s">
        <v>554</v>
      </c>
      <c r="E127" s="242" t="s">
        <v>555</v>
      </c>
      <c r="F127" s="242" t="s">
        <v>556</v>
      </c>
      <c r="G127" s="242" t="s">
        <v>557</v>
      </c>
      <c r="H127" s="261" t="s">
        <v>637</v>
      </c>
      <c r="I127" s="242" t="s">
        <v>559</v>
      </c>
      <c r="J127" s="242" t="s">
        <v>559</v>
      </c>
      <c r="K127" s="237" t="s">
        <v>559</v>
      </c>
      <c r="L127" s="237" t="s">
        <v>638</v>
      </c>
      <c r="M127" s="237" t="s">
        <v>561</v>
      </c>
      <c r="N127" s="237" t="s">
        <v>562</v>
      </c>
    </row>
    <row r="128" spans="1:19">
      <c r="A128" s="239">
        <v>6</v>
      </c>
      <c r="B128" s="254" t="s">
        <v>191</v>
      </c>
      <c r="C128" s="242" t="s">
        <v>553</v>
      </c>
      <c r="D128" s="242" t="s">
        <v>554</v>
      </c>
      <c r="E128" s="242" t="s">
        <v>555</v>
      </c>
      <c r="F128" s="242" t="s">
        <v>556</v>
      </c>
      <c r="G128" s="242" t="s">
        <v>557</v>
      </c>
      <c r="H128" s="261" t="s">
        <v>637</v>
      </c>
      <c r="I128" s="242" t="s">
        <v>559</v>
      </c>
      <c r="J128" s="242" t="s">
        <v>559</v>
      </c>
      <c r="K128" s="237" t="s">
        <v>559</v>
      </c>
      <c r="L128" s="237" t="s">
        <v>638</v>
      </c>
      <c r="M128" s="237" t="s">
        <v>561</v>
      </c>
      <c r="N128" s="237" t="s">
        <v>562</v>
      </c>
    </row>
    <row r="129" spans="1:14">
      <c r="A129" s="239">
        <v>7</v>
      </c>
      <c r="B129" s="254" t="s">
        <v>640</v>
      </c>
      <c r="C129" s="242" t="s">
        <v>553</v>
      </c>
      <c r="D129" s="242" t="s">
        <v>554</v>
      </c>
      <c r="E129" s="242" t="s">
        <v>555</v>
      </c>
      <c r="F129" s="242" t="s">
        <v>556</v>
      </c>
      <c r="G129" s="242" t="s">
        <v>557</v>
      </c>
      <c r="H129" s="261" t="s">
        <v>637</v>
      </c>
      <c r="I129" s="242" t="s">
        <v>559</v>
      </c>
      <c r="J129" s="242" t="s">
        <v>559</v>
      </c>
      <c r="K129" s="237" t="s">
        <v>559</v>
      </c>
      <c r="L129" s="237" t="s">
        <v>638</v>
      </c>
      <c r="M129" s="237" t="s">
        <v>561</v>
      </c>
      <c r="N129" s="237" t="s">
        <v>562</v>
      </c>
    </row>
    <row r="130" spans="1:14">
      <c r="A130" s="239">
        <v>8</v>
      </c>
      <c r="B130" s="254" t="s">
        <v>641</v>
      </c>
      <c r="C130" s="242" t="s">
        <v>553</v>
      </c>
      <c r="D130" s="242" t="s">
        <v>554</v>
      </c>
      <c r="E130" s="242" t="s">
        <v>555</v>
      </c>
      <c r="F130" s="242" t="s">
        <v>556</v>
      </c>
      <c r="G130" s="242" t="s">
        <v>557</v>
      </c>
      <c r="H130" s="261" t="s">
        <v>637</v>
      </c>
      <c r="I130" s="242" t="s">
        <v>559</v>
      </c>
      <c r="J130" s="242" t="s">
        <v>559</v>
      </c>
      <c r="K130" s="237" t="s">
        <v>559</v>
      </c>
      <c r="L130" s="237" t="s">
        <v>638</v>
      </c>
      <c r="M130" s="237" t="s">
        <v>561</v>
      </c>
      <c r="N130" s="237" t="s">
        <v>562</v>
      </c>
    </row>
    <row r="131" spans="1:14">
      <c r="A131" s="239">
        <v>9</v>
      </c>
      <c r="B131" s="254" t="s">
        <v>192</v>
      </c>
      <c r="C131" s="242" t="s">
        <v>553</v>
      </c>
      <c r="D131" s="242" t="s">
        <v>554</v>
      </c>
      <c r="E131" s="242" t="s">
        <v>555</v>
      </c>
      <c r="F131" s="242" t="s">
        <v>556</v>
      </c>
      <c r="G131" s="242" t="s">
        <v>557</v>
      </c>
      <c r="H131" s="261" t="s">
        <v>637</v>
      </c>
      <c r="I131" s="242" t="s">
        <v>559</v>
      </c>
      <c r="J131" s="242" t="s">
        <v>559</v>
      </c>
      <c r="K131" s="237" t="s">
        <v>559</v>
      </c>
      <c r="L131" s="237" t="s">
        <v>638</v>
      </c>
      <c r="M131" s="237" t="s">
        <v>561</v>
      </c>
      <c r="N131" s="237" t="s">
        <v>562</v>
      </c>
    </row>
    <row r="132" spans="1:14">
      <c r="A132" s="239">
        <v>10</v>
      </c>
      <c r="B132" s="254" t="s">
        <v>194</v>
      </c>
      <c r="C132" s="242" t="s">
        <v>553</v>
      </c>
      <c r="D132" s="242" t="s">
        <v>554</v>
      </c>
      <c r="E132" s="242" t="s">
        <v>555</v>
      </c>
      <c r="F132" s="242" t="s">
        <v>556</v>
      </c>
      <c r="G132" s="242" t="s">
        <v>557</v>
      </c>
      <c r="H132" s="261" t="s">
        <v>637</v>
      </c>
      <c r="I132" s="242" t="s">
        <v>559</v>
      </c>
      <c r="J132" s="242" t="s">
        <v>559</v>
      </c>
      <c r="K132" s="237" t="s">
        <v>559</v>
      </c>
      <c r="L132" s="237" t="s">
        <v>638</v>
      </c>
      <c r="M132" s="237" t="s">
        <v>561</v>
      </c>
      <c r="N132" s="237" t="s">
        <v>562</v>
      </c>
    </row>
    <row r="133" spans="1:14">
      <c r="A133" s="239">
        <v>11</v>
      </c>
      <c r="B133" s="254" t="s">
        <v>642</v>
      </c>
      <c r="C133" s="242" t="s">
        <v>553</v>
      </c>
      <c r="D133" s="242" t="s">
        <v>554</v>
      </c>
      <c r="E133" s="242" t="s">
        <v>555</v>
      </c>
      <c r="F133" s="242" t="s">
        <v>556</v>
      </c>
      <c r="G133" s="242" t="s">
        <v>557</v>
      </c>
      <c r="H133" s="261" t="s">
        <v>637</v>
      </c>
      <c r="I133" s="242" t="s">
        <v>559</v>
      </c>
      <c r="J133" s="242" t="s">
        <v>559</v>
      </c>
      <c r="K133" s="237" t="s">
        <v>559</v>
      </c>
      <c r="L133" s="237" t="s">
        <v>638</v>
      </c>
      <c r="M133" s="237" t="s">
        <v>561</v>
      </c>
      <c r="N133" s="237" t="s">
        <v>562</v>
      </c>
    </row>
    <row r="134" spans="1:14">
      <c r="A134" s="234"/>
      <c r="B134" s="234"/>
      <c r="C134" s="234"/>
      <c r="D134" s="234"/>
      <c r="E134" s="234"/>
      <c r="F134" s="234"/>
      <c r="G134" s="234"/>
      <c r="H134" s="234"/>
      <c r="I134" s="234"/>
      <c r="J134" s="234"/>
      <c r="K134" s="234"/>
      <c r="L134" s="234"/>
      <c r="M134" s="234"/>
      <c r="N134" s="234"/>
    </row>
    <row r="135" spans="1:14">
      <c r="A135" s="721" t="s">
        <v>500</v>
      </c>
      <c r="B135" s="686" t="s">
        <v>501</v>
      </c>
      <c r="C135" s="701" t="s">
        <v>502</v>
      </c>
      <c r="D135" s="702"/>
      <c r="E135" s="702"/>
      <c r="F135" s="702"/>
      <c r="G135" s="702"/>
      <c r="H135" s="702"/>
      <c r="I135" s="702"/>
      <c r="J135" s="702"/>
      <c r="K135" s="703"/>
      <c r="L135" s="263"/>
      <c r="M135" s="263"/>
      <c r="N135" s="263"/>
    </row>
    <row r="136" spans="1:14">
      <c r="A136" s="722"/>
      <c r="B136" s="688"/>
      <c r="C136" s="264" t="s">
        <v>569</v>
      </c>
      <c r="D136" s="264" t="s">
        <v>508</v>
      </c>
      <c r="E136" s="264" t="s">
        <v>570</v>
      </c>
      <c r="F136" s="264" t="s">
        <v>571</v>
      </c>
      <c r="G136" s="264" t="s">
        <v>84</v>
      </c>
      <c r="H136" s="264" t="s">
        <v>271</v>
      </c>
      <c r="I136" s="265" t="s">
        <v>323</v>
      </c>
      <c r="J136" s="265" t="s">
        <v>321</v>
      </c>
      <c r="K136" s="265" t="s">
        <v>245</v>
      </c>
      <c r="L136" s="266"/>
      <c r="M136" s="266"/>
      <c r="N136" s="266"/>
    </row>
    <row r="137" spans="1:14">
      <c r="A137" s="239">
        <v>1</v>
      </c>
      <c r="B137" s="262" t="s">
        <v>186</v>
      </c>
      <c r="C137" s="239" t="s">
        <v>573</v>
      </c>
      <c r="D137" s="239" t="s">
        <v>435</v>
      </c>
      <c r="E137" s="239" t="s">
        <v>434</v>
      </c>
      <c r="F137" s="239" t="s">
        <v>435</v>
      </c>
      <c r="G137" s="239" t="s">
        <v>574</v>
      </c>
      <c r="H137" s="239" t="s">
        <v>575</v>
      </c>
      <c r="I137" s="239" t="s">
        <v>579</v>
      </c>
      <c r="J137" s="239" t="s">
        <v>580</v>
      </c>
      <c r="K137" s="267" t="s">
        <v>601</v>
      </c>
      <c r="L137" s="266"/>
      <c r="M137" s="266"/>
      <c r="N137" s="266"/>
    </row>
    <row r="138" spans="1:14">
      <c r="A138" s="239">
        <v>2</v>
      </c>
      <c r="B138" s="268" t="s">
        <v>12</v>
      </c>
      <c r="C138" s="239" t="s">
        <v>573</v>
      </c>
      <c r="D138" s="239" t="s">
        <v>435</v>
      </c>
      <c r="E138" s="239" t="s">
        <v>434</v>
      </c>
      <c r="F138" s="239" t="s">
        <v>435</v>
      </c>
      <c r="G138" s="239" t="s">
        <v>574</v>
      </c>
      <c r="H138" s="239" t="s">
        <v>575</v>
      </c>
      <c r="I138" s="239" t="s">
        <v>579</v>
      </c>
      <c r="J138" s="239" t="s">
        <v>580</v>
      </c>
      <c r="K138" s="267" t="s">
        <v>601</v>
      </c>
      <c r="L138" s="266"/>
      <c r="M138" s="266"/>
      <c r="N138" s="266"/>
    </row>
    <row r="139" spans="1:14">
      <c r="A139" s="239">
        <v>3</v>
      </c>
      <c r="B139" s="268" t="s">
        <v>639</v>
      </c>
      <c r="C139" s="251" t="s">
        <v>573</v>
      </c>
      <c r="D139" s="251" t="s">
        <v>435</v>
      </c>
      <c r="E139" s="251" t="s">
        <v>434</v>
      </c>
      <c r="F139" s="251" t="s">
        <v>435</v>
      </c>
      <c r="G139" s="239" t="s">
        <v>574</v>
      </c>
      <c r="H139" s="239" t="s">
        <v>575</v>
      </c>
      <c r="I139" s="239" t="s">
        <v>579</v>
      </c>
      <c r="J139" s="239" t="s">
        <v>580</v>
      </c>
      <c r="K139" s="267" t="s">
        <v>601</v>
      </c>
      <c r="L139" s="266"/>
      <c r="M139" s="266"/>
      <c r="N139" s="266"/>
    </row>
    <row r="140" spans="1:14">
      <c r="A140" s="239">
        <v>4</v>
      </c>
      <c r="B140" s="254" t="s">
        <v>188</v>
      </c>
      <c r="C140" s="239" t="s">
        <v>573</v>
      </c>
      <c r="D140" s="239" t="s">
        <v>435</v>
      </c>
      <c r="E140" s="239" t="s">
        <v>434</v>
      </c>
      <c r="F140" s="239" t="s">
        <v>435</v>
      </c>
      <c r="G140" s="239" t="s">
        <v>574</v>
      </c>
      <c r="H140" s="239" t="s">
        <v>575</v>
      </c>
      <c r="I140" s="239" t="s">
        <v>579</v>
      </c>
      <c r="J140" s="239" t="s">
        <v>580</v>
      </c>
      <c r="K140" s="267" t="s">
        <v>601</v>
      </c>
      <c r="L140" s="266"/>
      <c r="M140" s="266"/>
      <c r="N140" s="266"/>
    </row>
    <row r="141" spans="1:14">
      <c r="A141" s="239">
        <v>5</v>
      </c>
      <c r="B141" s="254" t="s">
        <v>190</v>
      </c>
      <c r="C141" s="239" t="s">
        <v>573</v>
      </c>
      <c r="D141" s="239" t="s">
        <v>435</v>
      </c>
      <c r="E141" s="239" t="s">
        <v>434</v>
      </c>
      <c r="F141" s="239" t="s">
        <v>435</v>
      </c>
      <c r="G141" s="239" t="s">
        <v>574</v>
      </c>
      <c r="H141" s="239" t="s">
        <v>575</v>
      </c>
      <c r="I141" s="239" t="s">
        <v>579</v>
      </c>
      <c r="J141" s="239" t="s">
        <v>580</v>
      </c>
      <c r="K141" s="267" t="s">
        <v>601</v>
      </c>
      <c r="L141" s="266"/>
      <c r="M141" s="266"/>
      <c r="N141" s="266"/>
    </row>
    <row r="142" spans="1:14">
      <c r="A142" s="239">
        <v>6</v>
      </c>
      <c r="B142" s="254" t="s">
        <v>191</v>
      </c>
      <c r="C142" s="239" t="s">
        <v>573</v>
      </c>
      <c r="D142" s="239" t="s">
        <v>435</v>
      </c>
      <c r="E142" s="239" t="s">
        <v>434</v>
      </c>
      <c r="F142" s="239" t="s">
        <v>435</v>
      </c>
      <c r="G142" s="239" t="s">
        <v>574</v>
      </c>
      <c r="H142" s="239" t="s">
        <v>575</v>
      </c>
      <c r="I142" s="239" t="s">
        <v>579</v>
      </c>
      <c r="J142" s="239" t="s">
        <v>580</v>
      </c>
      <c r="K142" s="267" t="s">
        <v>601</v>
      </c>
      <c r="L142" s="266"/>
      <c r="M142" s="266"/>
      <c r="N142" s="266"/>
    </row>
    <row r="143" spans="1:14">
      <c r="A143" s="239">
        <v>7</v>
      </c>
      <c r="B143" s="254" t="s">
        <v>640</v>
      </c>
      <c r="C143" s="239" t="s">
        <v>573</v>
      </c>
      <c r="D143" s="239" t="s">
        <v>435</v>
      </c>
      <c r="E143" s="239" t="s">
        <v>434</v>
      </c>
      <c r="F143" s="239" t="s">
        <v>435</v>
      </c>
      <c r="G143" s="239" t="s">
        <v>574</v>
      </c>
      <c r="H143" s="239" t="s">
        <v>575</v>
      </c>
      <c r="I143" s="239" t="s">
        <v>579</v>
      </c>
      <c r="J143" s="239" t="s">
        <v>580</v>
      </c>
      <c r="K143" s="267" t="s">
        <v>601</v>
      </c>
      <c r="L143" s="266"/>
      <c r="M143" s="266"/>
      <c r="N143" s="266"/>
    </row>
    <row r="144" spans="1:14">
      <c r="A144" s="239">
        <v>8</v>
      </c>
      <c r="B144" s="254" t="s">
        <v>641</v>
      </c>
      <c r="C144" s="239" t="s">
        <v>573</v>
      </c>
      <c r="D144" s="239" t="s">
        <v>435</v>
      </c>
      <c r="E144" s="239" t="s">
        <v>434</v>
      </c>
      <c r="F144" s="239" t="s">
        <v>435</v>
      </c>
      <c r="G144" s="239" t="s">
        <v>574</v>
      </c>
      <c r="H144" s="239" t="s">
        <v>575</v>
      </c>
      <c r="I144" s="239" t="s">
        <v>579</v>
      </c>
      <c r="J144" s="239" t="s">
        <v>580</v>
      </c>
      <c r="K144" s="267" t="s">
        <v>601</v>
      </c>
      <c r="L144" s="266"/>
      <c r="M144" s="266"/>
      <c r="N144" s="266"/>
    </row>
    <row r="145" spans="1:15">
      <c r="A145" s="239">
        <v>9</v>
      </c>
      <c r="B145" s="254" t="s">
        <v>192</v>
      </c>
      <c r="C145" s="239" t="s">
        <v>573</v>
      </c>
      <c r="D145" s="239" t="s">
        <v>435</v>
      </c>
      <c r="E145" s="239" t="s">
        <v>434</v>
      </c>
      <c r="F145" s="239" t="s">
        <v>435</v>
      </c>
      <c r="G145" s="239" t="s">
        <v>574</v>
      </c>
      <c r="H145" s="239" t="s">
        <v>575</v>
      </c>
      <c r="I145" s="239" t="s">
        <v>579</v>
      </c>
      <c r="J145" s="239" t="s">
        <v>580</v>
      </c>
      <c r="K145" s="267" t="s">
        <v>601</v>
      </c>
      <c r="L145" s="266"/>
      <c r="M145" s="266"/>
      <c r="N145" s="266"/>
    </row>
    <row r="146" spans="1:15">
      <c r="A146" s="239">
        <v>10</v>
      </c>
      <c r="B146" s="254" t="s">
        <v>194</v>
      </c>
      <c r="C146" s="239" t="s">
        <v>573</v>
      </c>
      <c r="D146" s="239" t="s">
        <v>435</v>
      </c>
      <c r="E146" s="239" t="s">
        <v>434</v>
      </c>
      <c r="F146" s="239" t="s">
        <v>435</v>
      </c>
      <c r="G146" s="239" t="s">
        <v>574</v>
      </c>
      <c r="H146" s="239" t="s">
        <v>575</v>
      </c>
      <c r="I146" s="239" t="s">
        <v>579</v>
      </c>
      <c r="J146" s="239" t="s">
        <v>580</v>
      </c>
      <c r="K146" s="267" t="s">
        <v>601</v>
      </c>
      <c r="L146" s="266"/>
      <c r="M146" s="266"/>
      <c r="N146" s="266"/>
    </row>
    <row r="147" spans="1:15">
      <c r="A147" s="239">
        <v>11</v>
      </c>
      <c r="B147" s="254" t="s">
        <v>642</v>
      </c>
      <c r="C147" s="239" t="s">
        <v>573</v>
      </c>
      <c r="D147" s="239" t="s">
        <v>435</v>
      </c>
      <c r="E147" s="239" t="s">
        <v>434</v>
      </c>
      <c r="F147" s="239" t="s">
        <v>435</v>
      </c>
      <c r="G147" s="239" t="s">
        <v>574</v>
      </c>
      <c r="H147" s="239" t="s">
        <v>575</v>
      </c>
      <c r="I147" s="239" t="s">
        <v>579</v>
      </c>
      <c r="J147" s="239" t="s">
        <v>580</v>
      </c>
      <c r="K147" s="267" t="s">
        <v>601</v>
      </c>
      <c r="L147" s="266"/>
      <c r="M147" s="266"/>
      <c r="N147" s="266"/>
    </row>
    <row r="148" spans="1:15">
      <c r="A148" s="237"/>
      <c r="B148" s="238"/>
      <c r="C148" s="237"/>
      <c r="D148" s="237"/>
      <c r="E148" s="237"/>
      <c r="F148" s="237"/>
      <c r="G148" s="237"/>
      <c r="H148" s="237"/>
      <c r="I148" s="237"/>
      <c r="J148" s="237"/>
      <c r="K148" s="237"/>
      <c r="L148" s="266"/>
      <c r="M148" s="266"/>
      <c r="N148" s="266"/>
    </row>
    <row r="149" spans="1:15" ht="28.5" customHeight="1">
      <c r="A149" s="723" t="s">
        <v>643</v>
      </c>
      <c r="B149" s="724"/>
      <c r="C149" s="724"/>
      <c r="D149" s="724"/>
      <c r="E149" s="724"/>
      <c r="F149" s="724"/>
      <c r="G149" s="724"/>
      <c r="H149" s="724"/>
      <c r="I149" s="724"/>
      <c r="J149" s="724"/>
      <c r="K149" s="724"/>
      <c r="L149" s="263"/>
      <c r="M149" s="263"/>
      <c r="N149" s="263"/>
    </row>
    <row r="151" spans="1:15">
      <c r="A151" s="684" t="s">
        <v>644</v>
      </c>
      <c r="B151" s="684"/>
      <c r="C151" s="684"/>
      <c r="D151" s="684"/>
      <c r="E151" s="684"/>
      <c r="F151" s="684"/>
      <c r="G151" s="684"/>
      <c r="H151" s="684"/>
      <c r="I151" s="684"/>
      <c r="J151" s="684"/>
      <c r="K151" s="684"/>
      <c r="L151" s="684"/>
      <c r="M151" s="684"/>
      <c r="N151" s="684"/>
      <c r="O151" s="684"/>
    </row>
    <row r="152" spans="1:15">
      <c r="A152" s="269"/>
      <c r="B152" s="270"/>
      <c r="C152" s="270"/>
      <c r="D152" s="270"/>
      <c r="E152" s="270"/>
      <c r="F152" s="270"/>
      <c r="G152" s="270"/>
      <c r="H152" s="270"/>
      <c r="I152" s="270"/>
      <c r="J152" s="270"/>
      <c r="K152" s="270"/>
      <c r="L152" s="270"/>
      <c r="M152" s="270"/>
      <c r="N152" s="270"/>
      <c r="O152" s="270"/>
    </row>
    <row r="153" spans="1:15">
      <c r="A153" s="707" t="s">
        <v>364</v>
      </c>
      <c r="B153" s="731" t="s">
        <v>501</v>
      </c>
      <c r="C153" s="691" t="s">
        <v>502</v>
      </c>
      <c r="D153" s="692"/>
      <c r="E153" s="692"/>
      <c r="F153" s="692"/>
      <c r="G153" s="692"/>
      <c r="H153" s="692"/>
      <c r="I153" s="692"/>
      <c r="J153" s="692"/>
      <c r="K153" s="692"/>
      <c r="L153" s="692"/>
      <c r="M153" s="692"/>
      <c r="N153" s="692"/>
      <c r="O153" s="693"/>
    </row>
    <row r="154" spans="1:15">
      <c r="A154" s="709"/>
      <c r="B154" s="732"/>
      <c r="C154" s="247" t="s">
        <v>270</v>
      </c>
      <c r="D154" s="247" t="s">
        <v>83</v>
      </c>
      <c r="E154" s="247" t="s">
        <v>645</v>
      </c>
      <c r="F154" s="247" t="s">
        <v>318</v>
      </c>
      <c r="G154" s="247" t="s">
        <v>271</v>
      </c>
      <c r="H154" s="247" t="s">
        <v>447</v>
      </c>
      <c r="I154" s="247" t="s">
        <v>245</v>
      </c>
      <c r="J154" s="247" t="s">
        <v>258</v>
      </c>
      <c r="K154" s="247" t="s">
        <v>315</v>
      </c>
      <c r="L154" s="247" t="s">
        <v>532</v>
      </c>
      <c r="M154" s="247" t="s">
        <v>512</v>
      </c>
      <c r="N154" s="236" t="s">
        <v>243</v>
      </c>
      <c r="O154" s="240" t="s">
        <v>517</v>
      </c>
    </row>
    <row r="155" spans="1:15">
      <c r="A155" s="240">
        <v>1</v>
      </c>
      <c r="B155" s="271" t="s">
        <v>54</v>
      </c>
      <c r="C155" s="239" t="s">
        <v>646</v>
      </c>
      <c r="D155" s="239" t="s">
        <v>647</v>
      </c>
      <c r="E155" s="239" t="s">
        <v>648</v>
      </c>
      <c r="F155" s="239" t="s">
        <v>577</v>
      </c>
      <c r="G155" s="239" t="s">
        <v>649</v>
      </c>
      <c r="H155" s="239" t="s">
        <v>650</v>
      </c>
      <c r="I155" s="242" t="s">
        <v>651</v>
      </c>
      <c r="J155" s="239" t="s">
        <v>652</v>
      </c>
      <c r="K155" s="242" t="s">
        <v>653</v>
      </c>
      <c r="L155" s="239" t="s">
        <v>654</v>
      </c>
      <c r="M155" s="242" t="s">
        <v>655</v>
      </c>
      <c r="N155" s="242" t="s">
        <v>656</v>
      </c>
      <c r="O155" s="242" t="s">
        <v>657</v>
      </c>
    </row>
    <row r="156" spans="1:15">
      <c r="A156" s="240">
        <v>2</v>
      </c>
      <c r="B156" s="271" t="s">
        <v>44</v>
      </c>
      <c r="C156" s="239" t="s">
        <v>646</v>
      </c>
      <c r="D156" s="239" t="s">
        <v>647</v>
      </c>
      <c r="E156" s="239" t="s">
        <v>648</v>
      </c>
      <c r="F156" s="239" t="s">
        <v>577</v>
      </c>
      <c r="G156" s="239" t="s">
        <v>649</v>
      </c>
      <c r="H156" s="239" t="s">
        <v>650</v>
      </c>
      <c r="I156" s="239" t="s">
        <v>651</v>
      </c>
      <c r="J156" s="239" t="s">
        <v>652</v>
      </c>
      <c r="K156" s="242" t="s">
        <v>653</v>
      </c>
      <c r="L156" s="239" t="s">
        <v>654</v>
      </c>
      <c r="M156" s="242" t="s">
        <v>655</v>
      </c>
      <c r="N156" s="242" t="s">
        <v>656</v>
      </c>
      <c r="O156" s="242" t="s">
        <v>657</v>
      </c>
    </row>
    <row r="157" spans="1:15">
      <c r="A157" s="240">
        <v>3</v>
      </c>
      <c r="B157" s="271" t="s">
        <v>658</v>
      </c>
      <c r="C157" s="239" t="s">
        <v>646</v>
      </c>
      <c r="D157" s="239" t="s">
        <v>647</v>
      </c>
      <c r="E157" s="239" t="s">
        <v>648</v>
      </c>
      <c r="F157" s="239" t="s">
        <v>577</v>
      </c>
      <c r="G157" s="239" t="s">
        <v>649</v>
      </c>
      <c r="H157" s="239" t="s">
        <v>650</v>
      </c>
      <c r="I157" s="239" t="s">
        <v>651</v>
      </c>
      <c r="J157" s="239" t="s">
        <v>652</v>
      </c>
      <c r="K157" s="242" t="s">
        <v>653</v>
      </c>
      <c r="L157" s="239" t="s">
        <v>654</v>
      </c>
      <c r="M157" s="242" t="s">
        <v>655</v>
      </c>
      <c r="N157" s="242" t="s">
        <v>656</v>
      </c>
      <c r="O157" s="242" t="s">
        <v>657</v>
      </c>
    </row>
    <row r="158" spans="1:15">
      <c r="A158" s="240">
        <v>4</v>
      </c>
      <c r="B158" s="271" t="s">
        <v>141</v>
      </c>
      <c r="C158" s="239" t="s">
        <v>646</v>
      </c>
      <c r="D158" s="239" t="s">
        <v>647</v>
      </c>
      <c r="E158" s="239" t="s">
        <v>648</v>
      </c>
      <c r="F158" s="239" t="s">
        <v>577</v>
      </c>
      <c r="G158" s="239" t="s">
        <v>649</v>
      </c>
      <c r="H158" s="239" t="s">
        <v>650</v>
      </c>
      <c r="I158" s="239" t="s">
        <v>651</v>
      </c>
      <c r="J158" s="239" t="s">
        <v>652</v>
      </c>
      <c r="K158" s="242" t="s">
        <v>653</v>
      </c>
      <c r="L158" s="239" t="s">
        <v>654</v>
      </c>
      <c r="M158" s="242" t="s">
        <v>655</v>
      </c>
      <c r="N158" s="242" t="s">
        <v>656</v>
      </c>
      <c r="O158" s="242" t="s">
        <v>657</v>
      </c>
    </row>
    <row r="159" spans="1:15">
      <c r="A159" s="240">
        <v>5</v>
      </c>
      <c r="B159" s="271" t="s">
        <v>78</v>
      </c>
      <c r="C159" s="239" t="s">
        <v>646</v>
      </c>
      <c r="D159" s="239" t="s">
        <v>647</v>
      </c>
      <c r="E159" s="239" t="s">
        <v>648</v>
      </c>
      <c r="F159" s="239" t="s">
        <v>577</v>
      </c>
      <c r="G159" s="239" t="s">
        <v>649</v>
      </c>
      <c r="H159" s="239" t="s">
        <v>650</v>
      </c>
      <c r="I159" s="239" t="s">
        <v>651</v>
      </c>
      <c r="J159" s="239" t="s">
        <v>652</v>
      </c>
      <c r="K159" s="242" t="s">
        <v>653</v>
      </c>
      <c r="L159" s="239" t="s">
        <v>654</v>
      </c>
      <c r="M159" s="242" t="s">
        <v>655</v>
      </c>
      <c r="N159" s="242" t="s">
        <v>656</v>
      </c>
      <c r="O159" s="242" t="s">
        <v>657</v>
      </c>
    </row>
    <row r="160" spans="1:15">
      <c r="A160" s="240">
        <v>6</v>
      </c>
      <c r="B160" s="271" t="s">
        <v>79</v>
      </c>
      <c r="C160" s="239" t="s">
        <v>646</v>
      </c>
      <c r="D160" s="239" t="s">
        <v>647</v>
      </c>
      <c r="E160" s="239" t="s">
        <v>648</v>
      </c>
      <c r="F160" s="239" t="s">
        <v>577</v>
      </c>
      <c r="G160" s="239" t="s">
        <v>649</v>
      </c>
      <c r="H160" s="239" t="s">
        <v>650</v>
      </c>
      <c r="I160" s="239" t="s">
        <v>651</v>
      </c>
      <c r="J160" s="239" t="s">
        <v>652</v>
      </c>
      <c r="K160" s="242" t="s">
        <v>653</v>
      </c>
      <c r="L160" s="239" t="s">
        <v>654</v>
      </c>
      <c r="M160" s="242" t="s">
        <v>655</v>
      </c>
      <c r="N160" s="242" t="s">
        <v>656</v>
      </c>
      <c r="O160" s="242" t="s">
        <v>657</v>
      </c>
    </row>
    <row r="161" spans="1:15">
      <c r="A161" s="240">
        <v>7</v>
      </c>
      <c r="B161" s="271" t="s">
        <v>80</v>
      </c>
      <c r="C161" s="239" t="s">
        <v>646</v>
      </c>
      <c r="D161" s="239" t="s">
        <v>647</v>
      </c>
      <c r="E161" s="239" t="s">
        <v>648</v>
      </c>
      <c r="F161" s="239" t="s">
        <v>577</v>
      </c>
      <c r="G161" s="239" t="s">
        <v>649</v>
      </c>
      <c r="H161" s="239" t="s">
        <v>650</v>
      </c>
      <c r="I161" s="239" t="s">
        <v>651</v>
      </c>
      <c r="J161" s="239" t="s">
        <v>652</v>
      </c>
      <c r="K161" s="242" t="s">
        <v>653</v>
      </c>
      <c r="L161" s="239" t="s">
        <v>654</v>
      </c>
      <c r="M161" s="242" t="s">
        <v>655</v>
      </c>
      <c r="N161" s="242" t="s">
        <v>656</v>
      </c>
      <c r="O161" s="242" t="s">
        <v>657</v>
      </c>
    </row>
    <row r="162" spans="1:15">
      <c r="A162" s="240">
        <v>8</v>
      </c>
      <c r="B162" s="271" t="s">
        <v>81</v>
      </c>
      <c r="C162" s="239" t="s">
        <v>646</v>
      </c>
      <c r="D162" s="239" t="s">
        <v>647</v>
      </c>
      <c r="E162" s="239" t="s">
        <v>648</v>
      </c>
      <c r="F162" s="239" t="s">
        <v>577</v>
      </c>
      <c r="G162" s="239" t="s">
        <v>649</v>
      </c>
      <c r="H162" s="239" t="s">
        <v>650</v>
      </c>
      <c r="I162" s="239" t="s">
        <v>651</v>
      </c>
      <c r="J162" s="239" t="s">
        <v>652</v>
      </c>
      <c r="K162" s="242" t="s">
        <v>653</v>
      </c>
      <c r="L162" s="239" t="s">
        <v>654</v>
      </c>
      <c r="M162" s="242" t="s">
        <v>655</v>
      </c>
      <c r="N162" s="242" t="s">
        <v>656</v>
      </c>
      <c r="O162" s="242" t="s">
        <v>657</v>
      </c>
    </row>
    <row r="163" spans="1:15">
      <c r="A163" s="240">
        <v>9</v>
      </c>
      <c r="B163" s="271" t="s">
        <v>82</v>
      </c>
      <c r="C163" s="239" t="s">
        <v>646</v>
      </c>
      <c r="D163" s="239" t="s">
        <v>647</v>
      </c>
      <c r="E163" s="239" t="s">
        <v>648</v>
      </c>
      <c r="F163" s="239" t="s">
        <v>577</v>
      </c>
      <c r="G163" s="239" t="s">
        <v>649</v>
      </c>
      <c r="H163" s="239" t="s">
        <v>650</v>
      </c>
      <c r="I163" s="239" t="s">
        <v>651</v>
      </c>
      <c r="J163" s="239" t="s">
        <v>652</v>
      </c>
      <c r="K163" s="242" t="s">
        <v>653</v>
      </c>
      <c r="L163" s="239" t="s">
        <v>654</v>
      </c>
      <c r="M163" s="242" t="s">
        <v>655</v>
      </c>
      <c r="N163" s="242" t="s">
        <v>656</v>
      </c>
      <c r="O163" s="242" t="s">
        <v>657</v>
      </c>
    </row>
    <row r="164" spans="1:15">
      <c r="A164" s="272"/>
      <c r="B164" s="234"/>
      <c r="C164" s="234"/>
      <c r="D164" s="234"/>
      <c r="E164" s="234"/>
      <c r="F164" s="234"/>
      <c r="G164" s="234"/>
      <c r="H164" s="234"/>
      <c r="I164" s="234"/>
      <c r="J164" s="234"/>
      <c r="K164" s="234"/>
      <c r="L164" s="234"/>
      <c r="M164" s="234"/>
      <c r="N164" s="234"/>
      <c r="O164" s="234"/>
    </row>
    <row r="165" spans="1:15">
      <c r="A165" s="707" t="s">
        <v>364</v>
      </c>
      <c r="B165" s="731" t="s">
        <v>501</v>
      </c>
      <c r="C165" s="701" t="s">
        <v>502</v>
      </c>
      <c r="D165" s="702"/>
      <c r="E165" s="702"/>
      <c r="F165" s="702"/>
      <c r="G165" s="702"/>
      <c r="H165" s="703"/>
      <c r="I165" s="273"/>
      <c r="J165" s="273"/>
      <c r="K165" s="273"/>
      <c r="L165" s="273"/>
      <c r="M165" s="273"/>
      <c r="N165" s="273"/>
      <c r="O165" s="273"/>
    </row>
    <row r="166" spans="1:15">
      <c r="A166" s="709"/>
      <c r="B166" s="732"/>
      <c r="C166" s="247" t="s">
        <v>534</v>
      </c>
      <c r="D166" s="247" t="s">
        <v>513</v>
      </c>
      <c r="E166" s="247" t="s">
        <v>515</v>
      </c>
      <c r="F166" s="247" t="s">
        <v>323</v>
      </c>
      <c r="G166" s="247" t="s">
        <v>319</v>
      </c>
      <c r="H166" s="240" t="s">
        <v>321</v>
      </c>
      <c r="I166" s="269"/>
      <c r="J166" s="269"/>
      <c r="K166" s="269"/>
      <c r="L166" s="269"/>
      <c r="M166" s="269"/>
      <c r="N166" s="269"/>
      <c r="O166" s="269"/>
    </row>
    <row r="167" spans="1:15">
      <c r="A167" s="240">
        <v>1</v>
      </c>
      <c r="B167" s="271" t="s">
        <v>54</v>
      </c>
      <c r="C167" s="242" t="s">
        <v>659</v>
      </c>
      <c r="D167" s="242" t="s">
        <v>657</v>
      </c>
      <c r="E167" s="242" t="s">
        <v>660</v>
      </c>
      <c r="F167" s="242" t="s">
        <v>661</v>
      </c>
      <c r="G167" s="242" t="s">
        <v>662</v>
      </c>
      <c r="H167" s="240" t="s">
        <v>663</v>
      </c>
      <c r="I167" s="269"/>
      <c r="J167" s="269"/>
      <c r="K167" s="269"/>
      <c r="L167" s="269"/>
      <c r="M167" s="269"/>
      <c r="N167" s="269"/>
      <c r="O167" s="269"/>
    </row>
    <row r="168" spans="1:15">
      <c r="A168" s="240">
        <v>2</v>
      </c>
      <c r="B168" s="271" t="s">
        <v>44</v>
      </c>
      <c r="C168" s="242" t="s">
        <v>659</v>
      </c>
      <c r="D168" s="242" t="s">
        <v>657</v>
      </c>
      <c r="E168" s="242" t="s">
        <v>660</v>
      </c>
      <c r="F168" s="242" t="s">
        <v>661</v>
      </c>
      <c r="G168" s="242" t="s">
        <v>662</v>
      </c>
      <c r="H168" s="240" t="s">
        <v>663</v>
      </c>
      <c r="I168" s="269"/>
      <c r="J168" s="269"/>
      <c r="K168" s="269"/>
      <c r="L168" s="269"/>
      <c r="M168" s="269"/>
      <c r="N168" s="269"/>
      <c r="O168" s="269"/>
    </row>
    <row r="169" spans="1:15">
      <c r="A169" s="240">
        <v>3</v>
      </c>
      <c r="B169" s="271" t="s">
        <v>658</v>
      </c>
      <c r="C169" s="242" t="s">
        <v>659</v>
      </c>
      <c r="D169" s="242" t="s">
        <v>657</v>
      </c>
      <c r="E169" s="242" t="s">
        <v>660</v>
      </c>
      <c r="F169" s="242" t="s">
        <v>661</v>
      </c>
      <c r="G169" s="242" t="s">
        <v>662</v>
      </c>
      <c r="H169" s="240" t="s">
        <v>663</v>
      </c>
      <c r="I169" s="269"/>
      <c r="J169" s="269"/>
      <c r="K169" s="269"/>
      <c r="L169" s="269"/>
      <c r="M169" s="269"/>
      <c r="N169" s="269"/>
      <c r="O169" s="269"/>
    </row>
    <row r="170" spans="1:15">
      <c r="A170" s="240">
        <v>4</v>
      </c>
      <c r="B170" s="271" t="s">
        <v>141</v>
      </c>
      <c r="C170" s="242" t="s">
        <v>659</v>
      </c>
      <c r="D170" s="242" t="s">
        <v>657</v>
      </c>
      <c r="E170" s="242" t="s">
        <v>660</v>
      </c>
      <c r="F170" s="242" t="s">
        <v>661</v>
      </c>
      <c r="G170" s="242" t="s">
        <v>662</v>
      </c>
      <c r="H170" s="240" t="s">
        <v>663</v>
      </c>
      <c r="I170" s="269"/>
      <c r="J170" s="269"/>
      <c r="K170" s="269"/>
      <c r="L170" s="269"/>
      <c r="M170" s="269"/>
      <c r="N170" s="269"/>
      <c r="O170" s="269"/>
    </row>
    <row r="171" spans="1:15">
      <c r="A171" s="240">
        <v>5</v>
      </c>
      <c r="B171" s="271" t="s">
        <v>78</v>
      </c>
      <c r="C171" s="242" t="s">
        <v>659</v>
      </c>
      <c r="D171" s="242" t="s">
        <v>657</v>
      </c>
      <c r="E171" s="242" t="s">
        <v>660</v>
      </c>
      <c r="F171" s="242" t="s">
        <v>661</v>
      </c>
      <c r="G171" s="242" t="s">
        <v>662</v>
      </c>
      <c r="H171" s="240" t="s">
        <v>663</v>
      </c>
      <c r="I171" s="269"/>
      <c r="J171" s="269"/>
      <c r="K171" s="269"/>
      <c r="L171" s="269"/>
      <c r="M171" s="269"/>
      <c r="N171" s="269"/>
      <c r="O171" s="269"/>
    </row>
    <row r="172" spans="1:15">
      <c r="A172" s="240">
        <v>6</v>
      </c>
      <c r="B172" s="271" t="s">
        <v>79</v>
      </c>
      <c r="C172" s="242" t="s">
        <v>659</v>
      </c>
      <c r="D172" s="242" t="s">
        <v>657</v>
      </c>
      <c r="E172" s="242" t="s">
        <v>660</v>
      </c>
      <c r="F172" s="242" t="s">
        <v>661</v>
      </c>
      <c r="G172" s="242" t="s">
        <v>662</v>
      </c>
      <c r="H172" s="240" t="s">
        <v>663</v>
      </c>
      <c r="I172" s="269"/>
      <c r="J172" s="269"/>
      <c r="K172" s="269"/>
      <c r="L172" s="269"/>
      <c r="M172" s="269"/>
      <c r="N172" s="269"/>
      <c r="O172" s="269"/>
    </row>
    <row r="173" spans="1:15">
      <c r="A173" s="240">
        <v>7</v>
      </c>
      <c r="B173" s="271" t="s">
        <v>80</v>
      </c>
      <c r="C173" s="242" t="s">
        <v>659</v>
      </c>
      <c r="D173" s="242" t="s">
        <v>657</v>
      </c>
      <c r="E173" s="242" t="s">
        <v>660</v>
      </c>
      <c r="F173" s="242" t="s">
        <v>661</v>
      </c>
      <c r="G173" s="242" t="s">
        <v>662</v>
      </c>
      <c r="H173" s="240" t="s">
        <v>663</v>
      </c>
      <c r="I173" s="269"/>
      <c r="J173" s="269"/>
      <c r="K173" s="269"/>
      <c r="L173" s="269"/>
      <c r="M173" s="269"/>
      <c r="N173" s="269"/>
      <c r="O173" s="269"/>
    </row>
    <row r="174" spans="1:15">
      <c r="A174" s="240">
        <v>8</v>
      </c>
      <c r="B174" s="271" t="s">
        <v>81</v>
      </c>
      <c r="C174" s="242" t="s">
        <v>659</v>
      </c>
      <c r="D174" s="242" t="s">
        <v>657</v>
      </c>
      <c r="E174" s="242" t="s">
        <v>660</v>
      </c>
      <c r="F174" s="242" t="s">
        <v>661</v>
      </c>
      <c r="G174" s="242" t="s">
        <v>662</v>
      </c>
      <c r="H174" s="240" t="s">
        <v>663</v>
      </c>
      <c r="I174" s="269"/>
      <c r="J174" s="269"/>
      <c r="K174" s="269"/>
      <c r="L174" s="269"/>
      <c r="M174" s="269"/>
      <c r="N174" s="269"/>
      <c r="O174" s="269"/>
    </row>
    <row r="175" spans="1:15">
      <c r="A175" s="240">
        <v>9</v>
      </c>
      <c r="B175" s="271" t="s">
        <v>82</v>
      </c>
      <c r="C175" s="242" t="s">
        <v>659</v>
      </c>
      <c r="D175" s="242" t="s">
        <v>657</v>
      </c>
      <c r="E175" s="242" t="s">
        <v>660</v>
      </c>
      <c r="F175" s="242" t="s">
        <v>661</v>
      </c>
      <c r="G175" s="242" t="s">
        <v>662</v>
      </c>
      <c r="H175" s="240" t="s">
        <v>663</v>
      </c>
      <c r="I175" s="269"/>
      <c r="J175" s="269"/>
      <c r="K175" s="269"/>
      <c r="L175" s="269"/>
      <c r="M175" s="269"/>
      <c r="N175" s="269"/>
      <c r="O175" s="269"/>
    </row>
    <row r="176" spans="1:15">
      <c r="A176" s="272"/>
      <c r="B176" s="234"/>
      <c r="C176" s="234"/>
      <c r="D176" s="234"/>
      <c r="E176" s="234"/>
      <c r="F176" s="234"/>
      <c r="G176" s="234"/>
      <c r="H176" s="234"/>
      <c r="I176" s="234"/>
      <c r="J176" s="234"/>
      <c r="K176" s="234"/>
      <c r="L176" s="234"/>
      <c r="M176" s="234"/>
      <c r="N176" s="234"/>
      <c r="O176" s="234"/>
    </row>
    <row r="177" spans="1:29">
      <c r="A177" s="698" t="s">
        <v>664</v>
      </c>
      <c r="B177" s="698"/>
      <c r="C177" s="698"/>
      <c r="D177" s="698"/>
      <c r="E177" s="698"/>
      <c r="F177" s="698"/>
      <c r="G177" s="698"/>
      <c r="H177" s="698"/>
      <c r="I177" s="698"/>
      <c r="J177" s="698"/>
      <c r="K177" s="698"/>
      <c r="L177" s="698"/>
      <c r="M177" s="698"/>
      <c r="N177" s="698"/>
      <c r="O177" s="698"/>
    </row>
    <row r="179" spans="1:29">
      <c r="A179" s="730" t="s">
        <v>665</v>
      </c>
      <c r="B179" s="730"/>
      <c r="C179" s="730"/>
      <c r="D179" s="730"/>
      <c r="E179" s="730"/>
      <c r="F179" s="730"/>
      <c r="G179" s="730"/>
      <c r="H179" s="730"/>
      <c r="I179" s="730"/>
      <c r="J179" s="730"/>
      <c r="K179" s="730"/>
      <c r="L179" s="730"/>
      <c r="M179" s="235"/>
      <c r="N179" s="235"/>
      <c r="O179" s="235"/>
      <c r="P179" s="235"/>
      <c r="Q179" s="235"/>
      <c r="R179" s="235"/>
      <c r="S179" s="235"/>
      <c r="T179" s="235"/>
      <c r="U179" s="235"/>
      <c r="V179" s="235"/>
      <c r="W179" s="235"/>
      <c r="X179" s="235"/>
      <c r="Y179" s="235"/>
      <c r="Z179" s="235"/>
      <c r="AA179" s="235"/>
      <c r="AB179" s="235"/>
      <c r="AC179" s="235"/>
    </row>
    <row r="180" spans="1:29">
      <c r="A180" s="274"/>
      <c r="B180" s="274"/>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row>
    <row r="181" spans="1:29">
      <c r="A181" s="686" t="s">
        <v>500</v>
      </c>
      <c r="B181" s="686" t="s">
        <v>501</v>
      </c>
      <c r="C181" s="691" t="s">
        <v>502</v>
      </c>
      <c r="D181" s="692"/>
      <c r="E181" s="692"/>
      <c r="F181" s="692"/>
      <c r="G181" s="692"/>
      <c r="H181" s="693"/>
      <c r="I181" s="275"/>
      <c r="J181" s="275"/>
      <c r="K181" s="275"/>
      <c r="L181" s="275"/>
      <c r="M181" s="235"/>
      <c r="N181" s="235"/>
      <c r="O181" s="235"/>
      <c r="P181" s="235"/>
      <c r="Q181" s="235"/>
      <c r="R181" s="235"/>
      <c r="S181" s="235"/>
      <c r="T181" s="235"/>
      <c r="U181" s="235"/>
      <c r="V181" s="235"/>
      <c r="W181" s="235"/>
      <c r="X181" s="235"/>
      <c r="Y181" s="235"/>
      <c r="Z181" s="235"/>
      <c r="AA181" s="235"/>
      <c r="AB181" s="235"/>
      <c r="AC181" s="235"/>
    </row>
    <row r="182" spans="1:29">
      <c r="A182" s="687"/>
      <c r="B182" s="687"/>
      <c r="C182" s="696" t="s">
        <v>503</v>
      </c>
      <c r="D182" s="697"/>
      <c r="E182" s="696" t="s">
        <v>504</v>
      </c>
      <c r="F182" s="697"/>
      <c r="G182" s="696" t="s">
        <v>505</v>
      </c>
      <c r="H182" s="697"/>
      <c r="I182" s="276"/>
      <c r="J182" s="276"/>
      <c r="K182" s="276"/>
      <c r="L182" s="276"/>
      <c r="M182" s="235"/>
      <c r="N182" s="235"/>
      <c r="O182" s="235"/>
      <c r="P182" s="235"/>
      <c r="Q182" s="235"/>
      <c r="R182" s="235"/>
      <c r="S182" s="235"/>
      <c r="T182" s="235"/>
      <c r="U182" s="235"/>
      <c r="V182" s="235"/>
      <c r="W182" s="235"/>
      <c r="X182" s="235"/>
      <c r="Y182" s="235"/>
      <c r="Z182" s="235"/>
      <c r="AA182" s="235"/>
      <c r="AB182" s="235"/>
      <c r="AC182" s="235"/>
    </row>
    <row r="183" spans="1:29">
      <c r="A183" s="688"/>
      <c r="B183" s="688"/>
      <c r="C183" s="236" t="s">
        <v>506</v>
      </c>
      <c r="D183" s="277" t="s">
        <v>507</v>
      </c>
      <c r="E183" s="236" t="s">
        <v>506</v>
      </c>
      <c r="F183" s="236" t="s">
        <v>507</v>
      </c>
      <c r="G183" s="236" t="s">
        <v>506</v>
      </c>
      <c r="H183" s="236" t="s">
        <v>507</v>
      </c>
      <c r="I183" s="276"/>
      <c r="J183" s="276"/>
      <c r="K183" s="276"/>
      <c r="L183" s="276"/>
      <c r="M183" s="235"/>
      <c r="N183" s="235"/>
      <c r="O183" s="235"/>
      <c r="P183" s="235"/>
      <c r="Q183" s="235"/>
      <c r="R183" s="235"/>
      <c r="S183" s="235"/>
      <c r="T183" s="235"/>
      <c r="U183" s="235"/>
      <c r="V183" s="235"/>
      <c r="W183" s="235"/>
      <c r="X183" s="235"/>
      <c r="Y183" s="235"/>
      <c r="Z183" s="235"/>
      <c r="AA183" s="235"/>
      <c r="AB183" s="235"/>
      <c r="AC183" s="235"/>
    </row>
    <row r="184" spans="1:29">
      <c r="A184" s="237">
        <v>1</v>
      </c>
      <c r="B184" s="238" t="s">
        <v>289</v>
      </c>
      <c r="C184" s="239">
        <v>21</v>
      </c>
      <c r="D184" s="278">
        <v>0.88</v>
      </c>
      <c r="E184" s="239">
        <v>4.5999999999999996</v>
      </c>
      <c r="F184" s="239">
        <v>0.43</v>
      </c>
      <c r="G184" s="239">
        <v>3</v>
      </c>
      <c r="H184" s="239">
        <v>0.36</v>
      </c>
      <c r="I184" s="275"/>
      <c r="J184" s="275"/>
      <c r="K184" s="275"/>
      <c r="L184" s="275"/>
      <c r="M184" s="235"/>
      <c r="N184" s="235"/>
      <c r="O184" s="235"/>
      <c r="P184" s="235"/>
      <c r="Q184" s="235"/>
      <c r="R184" s="235"/>
      <c r="S184" s="235"/>
      <c r="T184" s="235"/>
      <c r="U184" s="235"/>
      <c r="V184" s="235"/>
      <c r="W184" s="235"/>
      <c r="X184" s="235"/>
      <c r="Y184" s="235"/>
      <c r="Z184" s="235"/>
      <c r="AA184" s="235"/>
      <c r="AB184" s="235"/>
      <c r="AC184" s="235"/>
    </row>
    <row r="185" spans="1:29">
      <c r="A185" s="279"/>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row>
    <row r="186" spans="1:29">
      <c r="A186" s="690" t="s">
        <v>500</v>
      </c>
      <c r="B186" s="690" t="s">
        <v>501</v>
      </c>
      <c r="C186" s="691" t="s">
        <v>502</v>
      </c>
      <c r="D186" s="692"/>
      <c r="E186" s="692"/>
      <c r="F186" s="692"/>
      <c r="G186" s="692"/>
      <c r="H186" s="692"/>
      <c r="I186" s="692"/>
      <c r="J186" s="692"/>
      <c r="K186" s="692"/>
      <c r="L186" s="692"/>
      <c r="M186" s="692"/>
      <c r="N186" s="692"/>
      <c r="O186" s="692"/>
      <c r="P186" s="692"/>
      <c r="Q186" s="692"/>
      <c r="R186" s="692"/>
      <c r="S186" s="692"/>
      <c r="T186" s="692"/>
      <c r="U186" s="692"/>
      <c r="V186" s="692"/>
      <c r="W186" s="692"/>
      <c r="X186" s="692"/>
      <c r="Y186" s="692"/>
      <c r="Z186" s="692"/>
      <c r="AA186" s="692"/>
      <c r="AB186" s="692"/>
      <c r="AC186" s="693"/>
    </row>
    <row r="187" spans="1:29">
      <c r="A187" s="690"/>
      <c r="B187" s="690"/>
      <c r="C187" s="236" t="s">
        <v>569</v>
      </c>
      <c r="D187" s="236" t="s">
        <v>666</v>
      </c>
      <c r="E187" s="236" t="s">
        <v>667</v>
      </c>
      <c r="F187" s="236" t="s">
        <v>83</v>
      </c>
      <c r="G187" s="236" t="s">
        <v>84</v>
      </c>
      <c r="H187" s="236" t="s">
        <v>271</v>
      </c>
      <c r="I187" s="236" t="s">
        <v>272</v>
      </c>
      <c r="J187" s="236" t="s">
        <v>510</v>
      </c>
      <c r="K187" s="236" t="s">
        <v>319</v>
      </c>
      <c r="L187" s="236" t="s">
        <v>447</v>
      </c>
      <c r="M187" s="236" t="s">
        <v>318</v>
      </c>
      <c r="N187" s="236" t="s">
        <v>668</v>
      </c>
      <c r="O187" s="240" t="s">
        <v>321</v>
      </c>
      <c r="P187" s="240" t="s">
        <v>245</v>
      </c>
      <c r="Q187" s="240" t="s">
        <v>315</v>
      </c>
      <c r="R187" s="240" t="s">
        <v>243</v>
      </c>
      <c r="S187" s="240" t="s">
        <v>244</v>
      </c>
      <c r="T187" s="240" t="s">
        <v>258</v>
      </c>
      <c r="U187" s="236" t="s">
        <v>532</v>
      </c>
      <c r="V187" s="236" t="s">
        <v>535</v>
      </c>
      <c r="W187" s="236" t="s">
        <v>533</v>
      </c>
      <c r="X187" s="240" t="s">
        <v>512</v>
      </c>
      <c r="Y187" s="240" t="s">
        <v>513</v>
      </c>
      <c r="Z187" s="236" t="s">
        <v>669</v>
      </c>
      <c r="AA187" s="240" t="s">
        <v>515</v>
      </c>
      <c r="AB187" s="240" t="s">
        <v>534</v>
      </c>
      <c r="AC187" s="240" t="s">
        <v>323</v>
      </c>
    </row>
    <row r="188" spans="1:29">
      <c r="A188" s="239">
        <v>1</v>
      </c>
      <c r="B188" s="238" t="s">
        <v>289</v>
      </c>
      <c r="C188" s="242" t="s">
        <v>670</v>
      </c>
      <c r="D188" s="242" t="s">
        <v>671</v>
      </c>
      <c r="E188" s="242" t="s">
        <v>672</v>
      </c>
      <c r="F188" s="242" t="s">
        <v>672</v>
      </c>
      <c r="G188" s="243" t="s">
        <v>673</v>
      </c>
      <c r="H188" s="243" t="s">
        <v>674</v>
      </c>
      <c r="I188" s="243" t="s">
        <v>675</v>
      </c>
      <c r="J188" s="243" t="s">
        <v>676</v>
      </c>
      <c r="K188" s="243" t="s">
        <v>672</v>
      </c>
      <c r="L188" s="239">
        <v>126</v>
      </c>
      <c r="M188" s="243" t="s">
        <v>677</v>
      </c>
      <c r="N188" s="239">
        <v>177</v>
      </c>
      <c r="O188" s="239">
        <v>114</v>
      </c>
      <c r="P188" s="239">
        <v>38</v>
      </c>
      <c r="Q188" s="239">
        <v>10.5</v>
      </c>
      <c r="R188" s="239">
        <v>4.8</v>
      </c>
      <c r="S188" s="239">
        <v>5.0999999999999996</v>
      </c>
      <c r="T188" s="239">
        <v>48</v>
      </c>
      <c r="U188" s="239">
        <v>32</v>
      </c>
      <c r="V188" s="239">
        <v>30</v>
      </c>
      <c r="W188" s="239">
        <v>42</v>
      </c>
      <c r="X188" s="239">
        <v>5.3</v>
      </c>
      <c r="Y188" s="239">
        <v>42</v>
      </c>
      <c r="Z188" s="239">
        <v>9.1999999999999993</v>
      </c>
      <c r="AA188" s="239">
        <v>4.2</v>
      </c>
      <c r="AB188" s="239">
        <v>4.2</v>
      </c>
      <c r="AC188" s="239">
        <v>3500</v>
      </c>
    </row>
    <row r="189" spans="1:29">
      <c r="A189" s="279"/>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c r="A190" s="280" t="s">
        <v>678</v>
      </c>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2" spans="1:29">
      <c r="A192" s="695" t="s">
        <v>679</v>
      </c>
      <c r="B192" s="695"/>
      <c r="C192" s="695"/>
      <c r="D192" s="695"/>
      <c r="E192" s="695"/>
      <c r="F192" s="695"/>
      <c r="G192" s="695"/>
      <c r="H192" s="695"/>
      <c r="I192" s="695"/>
      <c r="J192" s="695"/>
      <c r="K192" s="695"/>
      <c r="L192" s="695"/>
      <c r="M192" s="695"/>
      <c r="N192" s="695"/>
      <c r="O192" s="695"/>
      <c r="P192" s="695"/>
    </row>
    <row r="193" spans="1:25">
      <c r="A193" s="234"/>
      <c r="B193" s="234"/>
      <c r="C193" s="234"/>
      <c r="D193" s="234"/>
      <c r="E193" s="234"/>
      <c r="F193" s="234"/>
      <c r="G193" s="234"/>
      <c r="H193" s="234"/>
      <c r="I193" s="234"/>
      <c r="J193" s="234"/>
      <c r="K193" s="234"/>
      <c r="L193" s="234"/>
      <c r="M193" s="234"/>
      <c r="N193" s="234"/>
      <c r="O193" s="234"/>
      <c r="P193" s="234" t="s">
        <v>680</v>
      </c>
    </row>
    <row r="194" spans="1:25">
      <c r="A194" s="707" t="s">
        <v>364</v>
      </c>
      <c r="B194" s="707" t="s">
        <v>501</v>
      </c>
      <c r="C194" s="701" t="s">
        <v>502</v>
      </c>
      <c r="D194" s="702"/>
      <c r="E194" s="702"/>
      <c r="F194" s="702"/>
      <c r="G194" s="702"/>
      <c r="H194" s="702"/>
      <c r="I194" s="702"/>
      <c r="J194" s="702"/>
      <c r="K194" s="702"/>
      <c r="L194" s="702"/>
      <c r="M194" s="702"/>
      <c r="N194" s="702"/>
      <c r="O194" s="702"/>
      <c r="P194" s="703"/>
    </row>
    <row r="195" spans="1:25">
      <c r="A195" s="708"/>
      <c r="B195" s="708"/>
      <c r="C195" s="714" t="s">
        <v>517</v>
      </c>
      <c r="D195" s="716"/>
      <c r="E195" s="733" t="s">
        <v>273</v>
      </c>
      <c r="F195" s="734"/>
      <c r="G195" s="735"/>
      <c r="H195" s="686" t="s">
        <v>590</v>
      </c>
      <c r="I195" s="707" t="s">
        <v>83</v>
      </c>
      <c r="J195" s="707" t="s">
        <v>321</v>
      </c>
      <c r="K195" s="707" t="s">
        <v>245</v>
      </c>
      <c r="L195" s="686" t="s">
        <v>450</v>
      </c>
      <c r="M195" s="707" t="s">
        <v>323</v>
      </c>
      <c r="N195" s="686" t="s">
        <v>681</v>
      </c>
      <c r="O195" s="686" t="s">
        <v>682</v>
      </c>
      <c r="P195" s="686" t="s">
        <v>683</v>
      </c>
    </row>
    <row r="196" spans="1:25">
      <c r="A196" s="709"/>
      <c r="B196" s="709"/>
      <c r="C196" s="281" t="s">
        <v>596</v>
      </c>
      <c r="D196" s="240" t="s">
        <v>595</v>
      </c>
      <c r="E196" s="239" t="s">
        <v>684</v>
      </c>
      <c r="F196" s="239" t="s">
        <v>685</v>
      </c>
      <c r="G196" s="239" t="s">
        <v>686</v>
      </c>
      <c r="H196" s="688"/>
      <c r="I196" s="709"/>
      <c r="J196" s="709"/>
      <c r="K196" s="709"/>
      <c r="L196" s="688"/>
      <c r="M196" s="709"/>
      <c r="N196" s="688"/>
      <c r="O196" s="688"/>
      <c r="P196" s="688"/>
    </row>
    <row r="197" spans="1:25">
      <c r="A197" s="239">
        <v>1</v>
      </c>
      <c r="B197" s="237" t="s">
        <v>687</v>
      </c>
      <c r="C197" s="239">
        <v>1.2</v>
      </c>
      <c r="D197" s="239">
        <v>25</v>
      </c>
      <c r="E197" s="239">
        <v>230</v>
      </c>
      <c r="F197" s="239">
        <v>250</v>
      </c>
      <c r="G197" s="240">
        <v>280</v>
      </c>
      <c r="H197" s="251">
        <v>180</v>
      </c>
      <c r="I197" s="239">
        <v>180</v>
      </c>
      <c r="J197" s="240">
        <v>110</v>
      </c>
      <c r="K197" s="239">
        <v>30</v>
      </c>
      <c r="L197" s="239">
        <v>18</v>
      </c>
      <c r="M197" s="239">
        <v>2000</v>
      </c>
      <c r="N197" s="239">
        <v>2000</v>
      </c>
      <c r="O197" s="239">
        <v>4000</v>
      </c>
      <c r="P197" s="239">
        <v>1666</v>
      </c>
    </row>
    <row r="198" spans="1:25">
      <c r="A198" s="239">
        <v>2</v>
      </c>
      <c r="B198" s="237" t="s">
        <v>688</v>
      </c>
      <c r="C198" s="239">
        <v>1.2</v>
      </c>
      <c r="D198" s="239">
        <v>25</v>
      </c>
      <c r="E198" s="239">
        <v>230</v>
      </c>
      <c r="F198" s="239">
        <v>250</v>
      </c>
      <c r="G198" s="240">
        <v>280</v>
      </c>
      <c r="H198" s="251">
        <v>180</v>
      </c>
      <c r="I198" s="239">
        <v>180</v>
      </c>
      <c r="J198" s="240">
        <v>110</v>
      </c>
      <c r="K198" s="239">
        <v>30</v>
      </c>
      <c r="L198" s="239">
        <v>18</v>
      </c>
      <c r="M198" s="239">
        <v>2000</v>
      </c>
      <c r="N198" s="239">
        <v>2000</v>
      </c>
      <c r="O198" s="239">
        <v>4000</v>
      </c>
      <c r="P198" s="239">
        <v>1666</v>
      </c>
    </row>
    <row r="199" spans="1:25">
      <c r="A199" s="239">
        <v>3</v>
      </c>
      <c r="B199" s="237" t="s">
        <v>689</v>
      </c>
      <c r="C199" s="239">
        <v>1.2</v>
      </c>
      <c r="D199" s="239">
        <v>25</v>
      </c>
      <c r="E199" s="239">
        <v>230</v>
      </c>
      <c r="F199" s="239">
        <v>250</v>
      </c>
      <c r="G199" s="240">
        <v>280</v>
      </c>
      <c r="H199" s="251">
        <v>180</v>
      </c>
      <c r="I199" s="239">
        <v>180</v>
      </c>
      <c r="J199" s="240">
        <v>110</v>
      </c>
      <c r="K199" s="239">
        <v>30</v>
      </c>
      <c r="L199" s="239">
        <v>18</v>
      </c>
      <c r="M199" s="239">
        <v>2000</v>
      </c>
      <c r="N199" s="239">
        <v>2000</v>
      </c>
      <c r="O199" s="239">
        <v>4000</v>
      </c>
      <c r="P199" s="239">
        <v>1666</v>
      </c>
    </row>
    <row r="200" spans="1:25">
      <c r="A200" s="239">
        <v>4</v>
      </c>
      <c r="B200" s="237" t="s">
        <v>690</v>
      </c>
      <c r="C200" s="239">
        <v>1.2</v>
      </c>
      <c r="D200" s="239">
        <v>25</v>
      </c>
      <c r="E200" s="239">
        <v>230</v>
      </c>
      <c r="F200" s="239">
        <v>250</v>
      </c>
      <c r="G200" s="240">
        <v>280</v>
      </c>
      <c r="H200" s="251">
        <v>180</v>
      </c>
      <c r="I200" s="239">
        <v>180</v>
      </c>
      <c r="J200" s="240">
        <v>110</v>
      </c>
      <c r="K200" s="239">
        <v>30</v>
      </c>
      <c r="L200" s="239">
        <v>18</v>
      </c>
      <c r="M200" s="239">
        <v>2000</v>
      </c>
      <c r="N200" s="239">
        <v>2000</v>
      </c>
      <c r="O200" s="239">
        <v>4000</v>
      </c>
      <c r="P200" s="239">
        <v>1666</v>
      </c>
    </row>
    <row r="201" spans="1:25">
      <c r="A201" s="239">
        <v>5</v>
      </c>
      <c r="B201" s="237" t="s">
        <v>691</v>
      </c>
      <c r="C201" s="239">
        <v>1.2</v>
      </c>
      <c r="D201" s="239">
        <v>25</v>
      </c>
      <c r="E201" s="239">
        <v>230</v>
      </c>
      <c r="F201" s="239">
        <v>250</v>
      </c>
      <c r="G201" s="240">
        <v>280</v>
      </c>
      <c r="H201" s="251">
        <v>180</v>
      </c>
      <c r="I201" s="239">
        <v>180</v>
      </c>
      <c r="J201" s="240">
        <v>110</v>
      </c>
      <c r="K201" s="239">
        <v>30</v>
      </c>
      <c r="L201" s="239">
        <v>18</v>
      </c>
      <c r="M201" s="239">
        <v>2000</v>
      </c>
      <c r="N201" s="239">
        <v>2000</v>
      </c>
      <c r="O201" s="239">
        <v>4000</v>
      </c>
      <c r="P201" s="239">
        <v>1666</v>
      </c>
    </row>
    <row r="202" spans="1:25">
      <c r="A202" s="239">
        <v>6</v>
      </c>
      <c r="B202" s="237" t="s">
        <v>692</v>
      </c>
      <c r="C202" s="239">
        <v>1.2</v>
      </c>
      <c r="D202" s="239">
        <v>25</v>
      </c>
      <c r="E202" s="239">
        <v>230</v>
      </c>
      <c r="F202" s="239">
        <v>250</v>
      </c>
      <c r="G202" s="240">
        <v>280</v>
      </c>
      <c r="H202" s="251">
        <v>180</v>
      </c>
      <c r="I202" s="239">
        <v>180</v>
      </c>
      <c r="J202" s="240">
        <v>110</v>
      </c>
      <c r="K202" s="239">
        <v>30</v>
      </c>
      <c r="L202" s="239">
        <v>18</v>
      </c>
      <c r="M202" s="239">
        <v>2000</v>
      </c>
      <c r="N202" s="239">
        <v>2000</v>
      </c>
      <c r="O202" s="239">
        <v>4000</v>
      </c>
      <c r="P202" s="239">
        <v>1666</v>
      </c>
    </row>
    <row r="203" spans="1:25">
      <c r="A203" s="239">
        <v>7</v>
      </c>
      <c r="B203" s="237" t="s">
        <v>693</v>
      </c>
      <c r="C203" s="239">
        <v>1.2</v>
      </c>
      <c r="D203" s="239">
        <v>25</v>
      </c>
      <c r="E203" s="239">
        <v>230</v>
      </c>
      <c r="F203" s="239">
        <v>250</v>
      </c>
      <c r="G203" s="239">
        <v>280</v>
      </c>
      <c r="H203" s="251">
        <v>180</v>
      </c>
      <c r="I203" s="239">
        <v>180</v>
      </c>
      <c r="J203" s="239">
        <v>110</v>
      </c>
      <c r="K203" s="239">
        <v>30</v>
      </c>
      <c r="L203" s="239">
        <v>18</v>
      </c>
      <c r="M203" s="239">
        <v>2000</v>
      </c>
      <c r="N203" s="239">
        <v>2000</v>
      </c>
      <c r="O203" s="239">
        <v>4000</v>
      </c>
      <c r="P203" s="239">
        <v>1666</v>
      </c>
    </row>
    <row r="204" spans="1:25">
      <c r="A204" s="234"/>
      <c r="B204" s="234"/>
      <c r="C204" s="234"/>
      <c r="D204" s="234"/>
      <c r="E204" s="234"/>
      <c r="F204" s="234"/>
      <c r="G204" s="234"/>
      <c r="H204" s="234"/>
      <c r="I204" s="234"/>
      <c r="J204" s="234"/>
      <c r="K204" s="234"/>
      <c r="L204" s="234"/>
      <c r="M204" s="234"/>
      <c r="N204" s="234"/>
      <c r="O204" s="234"/>
      <c r="P204" s="234"/>
    </row>
    <row r="205" spans="1:25" ht="24.75" customHeight="1">
      <c r="A205" s="736" t="s">
        <v>694</v>
      </c>
      <c r="B205" s="736"/>
      <c r="C205" s="736"/>
      <c r="D205" s="736"/>
      <c r="E205" s="736"/>
      <c r="F205" s="736"/>
      <c r="G205" s="736"/>
      <c r="H205" s="736"/>
      <c r="I205" s="736"/>
      <c r="J205" s="736"/>
      <c r="K205" s="736"/>
      <c r="L205" s="736"/>
      <c r="M205" s="736"/>
      <c r="N205" s="736"/>
      <c r="O205" s="736"/>
      <c r="P205" s="736"/>
    </row>
    <row r="207" spans="1:25">
      <c r="A207" s="235"/>
      <c r="B207" s="684" t="s">
        <v>695</v>
      </c>
      <c r="C207" s="684"/>
      <c r="D207" s="684"/>
      <c r="E207" s="684"/>
      <c r="F207" s="684"/>
      <c r="G207" s="684"/>
      <c r="H207" s="684"/>
      <c r="I207" s="684"/>
      <c r="J207" s="684"/>
      <c r="K207" s="684"/>
      <c r="L207" s="235"/>
      <c r="M207" s="235"/>
      <c r="N207" s="235"/>
      <c r="O207" s="235"/>
      <c r="P207" s="235"/>
      <c r="Q207" s="235"/>
      <c r="R207" s="235"/>
      <c r="S207" s="235"/>
      <c r="T207" s="235"/>
      <c r="U207" s="235"/>
      <c r="V207" s="235"/>
      <c r="W207" s="235"/>
      <c r="X207" s="235"/>
      <c r="Y207" s="235"/>
    </row>
    <row r="208" spans="1:25">
      <c r="A208" s="235"/>
      <c r="B208" s="282"/>
      <c r="C208" s="282"/>
      <c r="D208" s="282"/>
      <c r="E208" s="282"/>
      <c r="F208" s="282"/>
      <c r="G208" s="282"/>
      <c r="H208" s="282"/>
      <c r="I208" s="282"/>
      <c r="J208" s="235"/>
      <c r="K208" s="235"/>
      <c r="L208" s="235"/>
      <c r="M208" s="235"/>
      <c r="N208" s="235"/>
      <c r="O208" s="235"/>
      <c r="P208" s="235"/>
      <c r="Q208" s="235"/>
      <c r="R208" s="235"/>
      <c r="S208" s="235"/>
      <c r="T208" s="235"/>
      <c r="U208" s="235"/>
      <c r="V208" s="235"/>
      <c r="W208" s="235"/>
      <c r="X208" s="235"/>
      <c r="Y208" s="235"/>
    </row>
    <row r="209" spans="1:25">
      <c r="A209" s="686" t="s">
        <v>500</v>
      </c>
      <c r="B209" s="686" t="s">
        <v>501</v>
      </c>
      <c r="C209" s="691" t="s">
        <v>502</v>
      </c>
      <c r="D209" s="692"/>
      <c r="E209" s="692"/>
      <c r="F209" s="692"/>
      <c r="G209" s="692"/>
      <c r="H209" s="693"/>
      <c r="I209" s="283"/>
      <c r="J209" s="283"/>
      <c r="K209" s="266"/>
      <c r="L209" s="234"/>
      <c r="M209" s="234"/>
      <c r="N209" s="234"/>
      <c r="O209" s="234"/>
      <c r="P209" s="234"/>
      <c r="Q209" s="234"/>
      <c r="R209" s="234"/>
      <c r="S209" s="234"/>
      <c r="T209" s="234"/>
      <c r="U209" s="234"/>
      <c r="V209" s="234"/>
      <c r="W209" s="234"/>
      <c r="X209" s="234"/>
      <c r="Y209" s="235"/>
    </row>
    <row r="210" spans="1:25">
      <c r="A210" s="687"/>
      <c r="B210" s="687"/>
      <c r="C210" s="696" t="s">
        <v>503</v>
      </c>
      <c r="D210" s="697"/>
      <c r="E210" s="696" t="s">
        <v>696</v>
      </c>
      <c r="F210" s="697"/>
      <c r="G210" s="696" t="s">
        <v>697</v>
      </c>
      <c r="H210" s="697"/>
      <c r="I210" s="284"/>
      <c r="J210" s="284"/>
      <c r="K210" s="266"/>
      <c r="L210" s="234"/>
      <c r="M210" s="234"/>
      <c r="N210" s="234"/>
      <c r="O210" s="234"/>
      <c r="P210" s="234"/>
      <c r="Q210" s="234"/>
      <c r="R210" s="234"/>
      <c r="S210" s="234"/>
      <c r="T210" s="234"/>
      <c r="U210" s="234"/>
      <c r="V210" s="234"/>
      <c r="W210" s="234"/>
      <c r="X210" s="234"/>
      <c r="Y210" s="235"/>
    </row>
    <row r="211" spans="1:25" ht="26.4">
      <c r="A211" s="688"/>
      <c r="B211" s="688"/>
      <c r="C211" s="236" t="s">
        <v>506</v>
      </c>
      <c r="D211" s="236" t="s">
        <v>507</v>
      </c>
      <c r="E211" s="249" t="s">
        <v>550</v>
      </c>
      <c r="F211" s="249" t="s">
        <v>551</v>
      </c>
      <c r="G211" s="236" t="s">
        <v>506</v>
      </c>
      <c r="H211" s="236" t="s">
        <v>507</v>
      </c>
      <c r="I211" s="738"/>
      <c r="J211" s="738"/>
      <c r="K211" s="738"/>
      <c r="L211" s="234"/>
      <c r="M211" s="234"/>
      <c r="N211" s="234"/>
      <c r="O211" s="234"/>
      <c r="P211" s="234"/>
      <c r="Q211" s="234"/>
      <c r="R211" s="234"/>
      <c r="S211" s="234"/>
      <c r="T211" s="234"/>
      <c r="U211" s="234"/>
      <c r="V211" s="234"/>
      <c r="W211" s="234"/>
      <c r="X211" s="234"/>
      <c r="Y211" s="235"/>
    </row>
    <row r="212" spans="1:25">
      <c r="A212" s="271">
        <v>1</v>
      </c>
      <c r="B212" s="238" t="s">
        <v>299</v>
      </c>
      <c r="C212" s="243" t="s">
        <v>698</v>
      </c>
      <c r="D212" s="240" t="s">
        <v>699</v>
      </c>
      <c r="E212" s="243" t="s">
        <v>700</v>
      </c>
      <c r="F212" s="240" t="s">
        <v>701</v>
      </c>
      <c r="G212" s="243" t="s">
        <v>702</v>
      </c>
      <c r="H212" s="285" t="s">
        <v>699</v>
      </c>
      <c r="I212" s="276"/>
      <c r="J212" s="276"/>
      <c r="K212" s="276"/>
      <c r="L212" s="234"/>
      <c r="M212" s="234"/>
      <c r="N212" s="234"/>
      <c r="O212" s="234"/>
      <c r="P212" s="234"/>
      <c r="Q212" s="234"/>
      <c r="R212" s="234"/>
      <c r="S212" s="234"/>
      <c r="T212" s="234"/>
      <c r="U212" s="234"/>
      <c r="V212" s="234"/>
      <c r="W212" s="234"/>
      <c r="X212" s="234"/>
      <c r="Y212" s="235"/>
    </row>
    <row r="213" spans="1:25">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5"/>
    </row>
    <row r="214" spans="1:25">
      <c r="A214" s="690" t="s">
        <v>500</v>
      </c>
      <c r="B214" s="690" t="s">
        <v>501</v>
      </c>
      <c r="C214" s="714" t="s">
        <v>502</v>
      </c>
      <c r="D214" s="715"/>
      <c r="E214" s="715"/>
      <c r="F214" s="715"/>
      <c r="G214" s="715"/>
      <c r="H214" s="715"/>
      <c r="I214" s="715"/>
      <c r="J214" s="715"/>
      <c r="K214" s="715"/>
      <c r="L214" s="715"/>
      <c r="M214" s="715"/>
      <c r="N214" s="715"/>
      <c r="O214" s="715"/>
      <c r="P214" s="715"/>
      <c r="Q214" s="715"/>
      <c r="R214" s="715"/>
      <c r="S214" s="715"/>
      <c r="T214" s="715"/>
      <c r="U214" s="715"/>
      <c r="V214" s="715"/>
      <c r="W214" s="715"/>
      <c r="X214" s="715"/>
      <c r="Y214" s="716"/>
    </row>
    <row r="215" spans="1:25">
      <c r="A215" s="690"/>
      <c r="B215" s="690"/>
      <c r="C215" s="236" t="s">
        <v>531</v>
      </c>
      <c r="D215" s="236" t="s">
        <v>83</v>
      </c>
      <c r="E215" s="236" t="s">
        <v>84</v>
      </c>
      <c r="F215" s="236" t="s">
        <v>271</v>
      </c>
      <c r="G215" s="236" t="s">
        <v>272</v>
      </c>
      <c r="H215" s="236" t="s">
        <v>510</v>
      </c>
      <c r="I215" s="255" t="s">
        <v>572</v>
      </c>
      <c r="J215" s="236" t="s">
        <v>319</v>
      </c>
      <c r="K215" s="236" t="s">
        <v>318</v>
      </c>
      <c r="L215" s="236" t="s">
        <v>447</v>
      </c>
      <c r="M215" s="236" t="s">
        <v>244</v>
      </c>
      <c r="N215" s="240" t="s">
        <v>258</v>
      </c>
      <c r="O215" s="240" t="s">
        <v>315</v>
      </c>
      <c r="P215" s="240" t="s">
        <v>321</v>
      </c>
      <c r="Q215" s="240" t="s">
        <v>245</v>
      </c>
      <c r="R215" s="236" t="s">
        <v>532</v>
      </c>
      <c r="S215" s="240" t="s">
        <v>512</v>
      </c>
      <c r="T215" s="240" t="s">
        <v>513</v>
      </c>
      <c r="U215" s="236" t="s">
        <v>669</v>
      </c>
      <c r="V215" s="240" t="s">
        <v>515</v>
      </c>
      <c r="W215" s="240" t="s">
        <v>534</v>
      </c>
      <c r="X215" s="240" t="s">
        <v>323</v>
      </c>
      <c r="Y215" s="286" t="s">
        <v>535</v>
      </c>
    </row>
    <row r="216" spans="1:25" ht="13.8" thickBot="1">
      <c r="A216" s="240">
        <v>1</v>
      </c>
      <c r="B216" s="238" t="s">
        <v>299</v>
      </c>
      <c r="C216" s="287" t="s">
        <v>703</v>
      </c>
      <c r="D216" s="243" t="s">
        <v>704</v>
      </c>
      <c r="E216" s="243" t="s">
        <v>705</v>
      </c>
      <c r="F216" s="243" t="s">
        <v>706</v>
      </c>
      <c r="G216" s="243" t="s">
        <v>707</v>
      </c>
      <c r="H216" s="243" t="s">
        <v>708</v>
      </c>
      <c r="I216" s="243" t="s">
        <v>518</v>
      </c>
      <c r="J216" s="255" t="s">
        <v>709</v>
      </c>
      <c r="K216" s="255" t="s">
        <v>710</v>
      </c>
      <c r="L216" s="255" t="s">
        <v>711</v>
      </c>
      <c r="M216" s="243" t="s">
        <v>655</v>
      </c>
      <c r="N216" s="240" t="s">
        <v>712</v>
      </c>
      <c r="O216" s="243" t="s">
        <v>713</v>
      </c>
      <c r="P216" s="240" t="s">
        <v>714</v>
      </c>
      <c r="Q216" s="243" t="s">
        <v>713</v>
      </c>
      <c r="R216" s="240" t="s">
        <v>715</v>
      </c>
      <c r="S216" s="243" t="s">
        <v>716</v>
      </c>
      <c r="T216" s="240" t="s">
        <v>717</v>
      </c>
      <c r="U216" s="243" t="s">
        <v>718</v>
      </c>
      <c r="V216" s="243" t="s">
        <v>659</v>
      </c>
      <c r="W216" s="243" t="s">
        <v>719</v>
      </c>
      <c r="X216" s="240">
        <v>3000</v>
      </c>
      <c r="Y216" s="243" t="s">
        <v>720</v>
      </c>
    </row>
    <row r="217" spans="1:25">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row>
    <row r="218" spans="1:25">
      <c r="A218" s="235"/>
      <c r="B218" s="288" t="s">
        <v>721</v>
      </c>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row>
    <row r="220" spans="1:25">
      <c r="A220" s="684" t="s">
        <v>749</v>
      </c>
      <c r="B220" s="684"/>
      <c r="C220" s="684"/>
      <c r="D220" s="684"/>
      <c r="E220" s="684"/>
      <c r="F220" s="684"/>
      <c r="G220" s="684"/>
      <c r="H220" s="684"/>
      <c r="I220" s="684"/>
      <c r="J220" s="684"/>
      <c r="K220" s="234"/>
      <c r="L220" s="234"/>
      <c r="M220" s="234"/>
      <c r="N220" s="234"/>
      <c r="O220" s="234"/>
      <c r="P220" s="234"/>
      <c r="Q220" s="234"/>
      <c r="R220" s="234"/>
      <c r="S220" s="234"/>
    </row>
    <row r="221" spans="1:25">
      <c r="A221" s="234"/>
      <c r="B221" s="234"/>
      <c r="C221" s="234"/>
      <c r="D221" s="234"/>
      <c r="E221" s="234"/>
      <c r="F221" s="234"/>
      <c r="G221" s="234"/>
      <c r="H221" s="234"/>
      <c r="I221" s="234"/>
      <c r="J221" s="234"/>
      <c r="K221" s="234"/>
      <c r="L221" s="234"/>
      <c r="M221" s="234"/>
      <c r="N221" s="234"/>
      <c r="O221" s="234"/>
      <c r="P221" s="234"/>
      <c r="Q221" s="234"/>
      <c r="R221" s="234"/>
      <c r="S221" s="234"/>
    </row>
    <row r="222" spans="1:25">
      <c r="A222" s="686" t="s">
        <v>500</v>
      </c>
      <c r="B222" s="686" t="s">
        <v>501</v>
      </c>
      <c r="C222" s="689" t="s">
        <v>502</v>
      </c>
      <c r="D222" s="689"/>
      <c r="E222" s="689"/>
      <c r="F222" s="689"/>
      <c r="G222" s="689"/>
      <c r="H222" s="689"/>
      <c r="I222" s="689"/>
      <c r="J222" s="689"/>
      <c r="K222" s="234"/>
      <c r="L222" s="234"/>
      <c r="M222" s="234"/>
      <c r="N222" s="234"/>
      <c r="O222" s="234"/>
      <c r="P222" s="234"/>
      <c r="Q222" s="234"/>
      <c r="R222" s="234"/>
      <c r="S222" s="234"/>
    </row>
    <row r="223" spans="1:25">
      <c r="A223" s="687"/>
      <c r="B223" s="687"/>
      <c r="C223" s="696" t="s">
        <v>503</v>
      </c>
      <c r="D223" s="697"/>
      <c r="E223" s="686" t="s">
        <v>449</v>
      </c>
      <c r="F223" s="696" t="s">
        <v>504</v>
      </c>
      <c r="G223" s="697"/>
      <c r="H223" s="690" t="s">
        <v>450</v>
      </c>
      <c r="I223" s="690" t="s">
        <v>505</v>
      </c>
      <c r="J223" s="690"/>
      <c r="K223" s="234"/>
      <c r="L223" s="234"/>
      <c r="M223" s="234"/>
      <c r="N223" s="234"/>
      <c r="O223" s="234"/>
      <c r="P223" s="234"/>
      <c r="Q223" s="234"/>
      <c r="R223" s="234"/>
      <c r="S223" s="234"/>
    </row>
    <row r="224" spans="1:25">
      <c r="A224" s="688"/>
      <c r="B224" s="687"/>
      <c r="C224" s="247" t="s">
        <v>506</v>
      </c>
      <c r="D224" s="248" t="s">
        <v>507</v>
      </c>
      <c r="E224" s="688"/>
      <c r="F224" s="247" t="s">
        <v>506</v>
      </c>
      <c r="G224" s="248" t="s">
        <v>507</v>
      </c>
      <c r="H224" s="686"/>
      <c r="I224" s="247" t="s">
        <v>506</v>
      </c>
      <c r="J224" s="248" t="s">
        <v>507</v>
      </c>
      <c r="K224" s="234"/>
      <c r="L224" s="234"/>
      <c r="M224" s="234"/>
      <c r="N224" s="234"/>
      <c r="O224" s="234"/>
      <c r="P224" s="234"/>
      <c r="Q224" s="234"/>
      <c r="R224" s="234"/>
      <c r="S224" s="234"/>
    </row>
    <row r="225" spans="1:19">
      <c r="A225" s="239">
        <v>1</v>
      </c>
      <c r="B225" s="238" t="s">
        <v>301</v>
      </c>
      <c r="C225" s="243" t="s">
        <v>722</v>
      </c>
      <c r="D225" s="243" t="s">
        <v>723</v>
      </c>
      <c r="E225" s="243" t="s">
        <v>724</v>
      </c>
      <c r="F225" s="243" t="s">
        <v>725</v>
      </c>
      <c r="G225" s="250" t="s">
        <v>726</v>
      </c>
      <c r="H225" s="243" t="s">
        <v>727</v>
      </c>
      <c r="I225" s="243" t="s">
        <v>728</v>
      </c>
      <c r="J225" s="243" t="s">
        <v>729</v>
      </c>
      <c r="K225" s="234"/>
      <c r="L225" s="234"/>
      <c r="M225" s="234"/>
      <c r="N225" s="234"/>
      <c r="O225" s="234"/>
      <c r="P225" s="234"/>
      <c r="Q225" s="234"/>
      <c r="R225" s="234"/>
      <c r="S225" s="234"/>
    </row>
    <row r="226" spans="1:19">
      <c r="A226" s="239">
        <v>2</v>
      </c>
      <c r="B226" s="238" t="s">
        <v>302</v>
      </c>
      <c r="C226" s="243" t="s">
        <v>722</v>
      </c>
      <c r="D226" s="243" t="s">
        <v>723</v>
      </c>
      <c r="E226" s="243" t="s">
        <v>724</v>
      </c>
      <c r="F226" s="243" t="s">
        <v>725</v>
      </c>
      <c r="G226" s="250" t="s">
        <v>726</v>
      </c>
      <c r="H226" s="243" t="s">
        <v>727</v>
      </c>
      <c r="I226" s="243" t="s">
        <v>728</v>
      </c>
      <c r="J226" s="243" t="s">
        <v>729</v>
      </c>
      <c r="K226" s="234"/>
      <c r="L226" s="234"/>
      <c r="M226" s="234"/>
      <c r="N226" s="234"/>
      <c r="O226" s="234"/>
      <c r="P226" s="234"/>
      <c r="Q226" s="234"/>
      <c r="R226" s="234"/>
      <c r="S226" s="234"/>
    </row>
    <row r="227" spans="1:19">
      <c r="A227" s="239">
        <v>3</v>
      </c>
      <c r="B227" s="238" t="s">
        <v>303</v>
      </c>
      <c r="C227" s="243" t="s">
        <v>722</v>
      </c>
      <c r="D227" s="243" t="s">
        <v>723</v>
      </c>
      <c r="E227" s="243" t="s">
        <v>724</v>
      </c>
      <c r="F227" s="243" t="s">
        <v>725</v>
      </c>
      <c r="G227" s="250" t="s">
        <v>726</v>
      </c>
      <c r="H227" s="243" t="s">
        <v>727</v>
      </c>
      <c r="I227" s="243" t="s">
        <v>728</v>
      </c>
      <c r="J227" s="243" t="s">
        <v>729</v>
      </c>
      <c r="K227" s="234"/>
      <c r="L227" s="234"/>
      <c r="M227" s="234"/>
      <c r="N227" s="234"/>
      <c r="O227" s="234"/>
      <c r="P227" s="234"/>
      <c r="Q227" s="234"/>
      <c r="R227" s="234"/>
      <c r="S227" s="234"/>
    </row>
    <row r="228" spans="1:19">
      <c r="A228" s="239">
        <v>4</v>
      </c>
      <c r="B228" s="238" t="s">
        <v>11</v>
      </c>
      <c r="C228" s="243" t="s">
        <v>722</v>
      </c>
      <c r="D228" s="243" t="s">
        <v>723</v>
      </c>
      <c r="E228" s="243" t="s">
        <v>724</v>
      </c>
      <c r="F228" s="243" t="s">
        <v>725</v>
      </c>
      <c r="G228" s="250" t="s">
        <v>726</v>
      </c>
      <c r="H228" s="243" t="s">
        <v>727</v>
      </c>
      <c r="I228" s="243" t="s">
        <v>728</v>
      </c>
      <c r="J228" s="243" t="s">
        <v>729</v>
      </c>
      <c r="K228" s="234"/>
      <c r="L228" s="234"/>
      <c r="M228" s="234"/>
      <c r="N228" s="234"/>
      <c r="O228" s="234"/>
      <c r="P228" s="234"/>
      <c r="Q228" s="234"/>
      <c r="R228" s="234"/>
      <c r="S228" s="234"/>
    </row>
    <row r="229" spans="1:19">
      <c r="A229" s="239">
        <v>5</v>
      </c>
      <c r="B229" s="238" t="s">
        <v>12</v>
      </c>
      <c r="C229" s="243" t="s">
        <v>722</v>
      </c>
      <c r="D229" s="243" t="s">
        <v>723</v>
      </c>
      <c r="E229" s="243" t="s">
        <v>724</v>
      </c>
      <c r="F229" s="243" t="s">
        <v>725</v>
      </c>
      <c r="G229" s="250" t="s">
        <v>726</v>
      </c>
      <c r="H229" s="243" t="s">
        <v>727</v>
      </c>
      <c r="I229" s="243" t="s">
        <v>728</v>
      </c>
      <c r="J229" s="243" t="s">
        <v>729</v>
      </c>
      <c r="K229" s="234"/>
      <c r="L229" s="234"/>
      <c r="M229" s="234"/>
      <c r="N229" s="234"/>
      <c r="O229" s="234"/>
      <c r="P229" s="234"/>
      <c r="Q229" s="234"/>
      <c r="R229" s="234"/>
      <c r="S229" s="234"/>
    </row>
    <row r="230" spans="1:19">
      <c r="A230" s="239">
        <v>6</v>
      </c>
      <c r="B230" s="238" t="s">
        <v>304</v>
      </c>
      <c r="C230" s="243" t="s">
        <v>722</v>
      </c>
      <c r="D230" s="243" t="s">
        <v>723</v>
      </c>
      <c r="E230" s="243" t="s">
        <v>724</v>
      </c>
      <c r="F230" s="243" t="s">
        <v>725</v>
      </c>
      <c r="G230" s="250" t="s">
        <v>726</v>
      </c>
      <c r="H230" s="243" t="s">
        <v>727</v>
      </c>
      <c r="I230" s="243" t="s">
        <v>728</v>
      </c>
      <c r="J230" s="243" t="s">
        <v>729</v>
      </c>
      <c r="K230" s="234"/>
      <c r="L230" s="234"/>
      <c r="M230" s="234"/>
      <c r="N230" s="234"/>
      <c r="O230" s="234"/>
      <c r="P230" s="234"/>
      <c r="Q230" s="234"/>
      <c r="R230" s="234"/>
      <c r="S230" s="234"/>
    </row>
    <row r="231" spans="1:19">
      <c r="A231" s="239">
        <v>7</v>
      </c>
      <c r="B231" s="238" t="s">
        <v>305</v>
      </c>
      <c r="C231" s="243" t="s">
        <v>722</v>
      </c>
      <c r="D231" s="243" t="s">
        <v>723</v>
      </c>
      <c r="E231" s="243" t="s">
        <v>724</v>
      </c>
      <c r="F231" s="243" t="s">
        <v>725</v>
      </c>
      <c r="G231" s="250" t="s">
        <v>726</v>
      </c>
      <c r="H231" s="243" t="s">
        <v>727</v>
      </c>
      <c r="I231" s="243" t="s">
        <v>728</v>
      </c>
      <c r="J231" s="243" t="s">
        <v>729</v>
      </c>
      <c r="K231" s="234"/>
      <c r="L231" s="234"/>
      <c r="M231" s="234"/>
      <c r="N231" s="234"/>
      <c r="O231" s="234"/>
      <c r="P231" s="234"/>
      <c r="Q231" s="234"/>
      <c r="R231" s="234"/>
      <c r="S231" s="234"/>
    </row>
    <row r="232" spans="1:19">
      <c r="A232" s="239">
        <v>8</v>
      </c>
      <c r="B232" s="238" t="s">
        <v>306</v>
      </c>
      <c r="C232" s="243" t="s">
        <v>722</v>
      </c>
      <c r="D232" s="243" t="s">
        <v>723</v>
      </c>
      <c r="E232" s="243" t="s">
        <v>724</v>
      </c>
      <c r="F232" s="243" t="s">
        <v>725</v>
      </c>
      <c r="G232" s="250" t="s">
        <v>726</v>
      </c>
      <c r="H232" s="243" t="s">
        <v>727</v>
      </c>
      <c r="I232" s="243" t="s">
        <v>728</v>
      </c>
      <c r="J232" s="243" t="s">
        <v>729</v>
      </c>
      <c r="K232" s="234"/>
      <c r="L232" s="234"/>
      <c r="M232" s="234"/>
      <c r="N232" s="234"/>
      <c r="O232" s="234"/>
      <c r="P232" s="234"/>
      <c r="Q232" s="234"/>
      <c r="R232" s="234"/>
      <c r="S232" s="234"/>
    </row>
    <row r="233" spans="1:19">
      <c r="A233" s="239">
        <v>9</v>
      </c>
      <c r="B233" s="238" t="s">
        <v>307</v>
      </c>
      <c r="C233" s="243" t="s">
        <v>722</v>
      </c>
      <c r="D233" s="243" t="s">
        <v>723</v>
      </c>
      <c r="E233" s="243" t="s">
        <v>724</v>
      </c>
      <c r="F233" s="243" t="s">
        <v>725</v>
      </c>
      <c r="G233" s="250" t="s">
        <v>726</v>
      </c>
      <c r="H233" s="243" t="s">
        <v>727</v>
      </c>
      <c r="I233" s="243" t="s">
        <v>728</v>
      </c>
      <c r="J233" s="243" t="s">
        <v>729</v>
      </c>
      <c r="K233" s="234"/>
      <c r="L233" s="234"/>
      <c r="M233" s="234"/>
      <c r="N233" s="234"/>
      <c r="O233" s="234"/>
      <c r="P233" s="234"/>
      <c r="Q233" s="234"/>
      <c r="R233" s="234"/>
      <c r="S233" s="234"/>
    </row>
    <row r="234" spans="1:19">
      <c r="A234" s="239">
        <v>10</v>
      </c>
      <c r="B234" s="238" t="s">
        <v>308</v>
      </c>
      <c r="C234" s="243" t="s">
        <v>722</v>
      </c>
      <c r="D234" s="243" t="s">
        <v>723</v>
      </c>
      <c r="E234" s="243" t="s">
        <v>724</v>
      </c>
      <c r="F234" s="243" t="s">
        <v>725</v>
      </c>
      <c r="G234" s="250" t="s">
        <v>726</v>
      </c>
      <c r="H234" s="243" t="s">
        <v>727</v>
      </c>
      <c r="I234" s="243" t="s">
        <v>728</v>
      </c>
      <c r="J234" s="243" t="s">
        <v>729</v>
      </c>
      <c r="K234" s="234"/>
      <c r="L234" s="234"/>
      <c r="M234" s="234"/>
      <c r="N234" s="234"/>
      <c r="O234" s="234"/>
      <c r="P234" s="234"/>
      <c r="Q234" s="234"/>
      <c r="R234" s="234"/>
      <c r="S234" s="234"/>
    </row>
    <row r="235" spans="1:19">
      <c r="A235" s="239">
        <v>11</v>
      </c>
      <c r="B235" s="238" t="s">
        <v>309</v>
      </c>
      <c r="C235" s="243" t="s">
        <v>722</v>
      </c>
      <c r="D235" s="243" t="s">
        <v>723</v>
      </c>
      <c r="E235" s="243" t="s">
        <v>724</v>
      </c>
      <c r="F235" s="243" t="s">
        <v>725</v>
      </c>
      <c r="G235" s="250" t="s">
        <v>726</v>
      </c>
      <c r="H235" s="243" t="s">
        <v>727</v>
      </c>
      <c r="I235" s="243" t="s">
        <v>728</v>
      </c>
      <c r="J235" s="243" t="s">
        <v>729</v>
      </c>
      <c r="K235" s="234"/>
      <c r="L235" s="234"/>
      <c r="M235" s="234"/>
      <c r="N235" s="234"/>
      <c r="O235" s="234"/>
      <c r="P235" s="234"/>
      <c r="Q235" s="234"/>
      <c r="R235" s="234"/>
      <c r="S235" s="234"/>
    </row>
    <row r="236" spans="1:19">
      <c r="A236" s="239">
        <v>12</v>
      </c>
      <c r="B236" s="238" t="s">
        <v>310</v>
      </c>
      <c r="C236" s="243" t="s">
        <v>722</v>
      </c>
      <c r="D236" s="243" t="s">
        <v>723</v>
      </c>
      <c r="E236" s="243" t="s">
        <v>724</v>
      </c>
      <c r="F236" s="243" t="s">
        <v>725</v>
      </c>
      <c r="G236" s="250" t="s">
        <v>726</v>
      </c>
      <c r="H236" s="243" t="s">
        <v>727</v>
      </c>
      <c r="I236" s="243" t="s">
        <v>728</v>
      </c>
      <c r="J236" s="243" t="s">
        <v>729</v>
      </c>
      <c r="K236" s="234"/>
      <c r="L236" s="234"/>
      <c r="M236" s="234"/>
      <c r="N236" s="234"/>
      <c r="O236" s="234"/>
      <c r="P236" s="234"/>
      <c r="Q236" s="234"/>
      <c r="R236" s="234"/>
      <c r="S236" s="234"/>
    </row>
    <row r="237" spans="1:19">
      <c r="A237" s="239">
        <v>13</v>
      </c>
      <c r="B237" s="238" t="s">
        <v>311</v>
      </c>
      <c r="C237" s="243" t="s">
        <v>722</v>
      </c>
      <c r="D237" s="243" t="s">
        <v>723</v>
      </c>
      <c r="E237" s="243" t="s">
        <v>724</v>
      </c>
      <c r="F237" s="243" t="s">
        <v>725</v>
      </c>
      <c r="G237" s="250" t="s">
        <v>726</v>
      </c>
      <c r="H237" s="243" t="s">
        <v>727</v>
      </c>
      <c r="I237" s="243" t="s">
        <v>728</v>
      </c>
      <c r="J237" s="243" t="s">
        <v>729</v>
      </c>
      <c r="K237" s="234"/>
      <c r="L237" s="234"/>
      <c r="M237" s="234"/>
      <c r="N237" s="234"/>
      <c r="O237" s="234"/>
      <c r="P237" s="234"/>
      <c r="Q237" s="234"/>
      <c r="R237" s="234"/>
      <c r="S237" s="234"/>
    </row>
    <row r="238" spans="1:19">
      <c r="A238" s="234"/>
      <c r="B238" s="234"/>
      <c r="C238" s="234"/>
      <c r="D238" s="234"/>
      <c r="E238" s="234"/>
      <c r="F238" s="234"/>
      <c r="G238" s="234"/>
      <c r="H238" s="234"/>
      <c r="I238" s="234"/>
      <c r="J238" s="234"/>
      <c r="K238" s="234"/>
      <c r="L238" s="234"/>
      <c r="M238" s="234"/>
      <c r="N238" s="234"/>
      <c r="O238" s="234"/>
      <c r="P238" s="234"/>
      <c r="Q238" s="234"/>
      <c r="R238" s="234"/>
      <c r="S238" s="234"/>
    </row>
    <row r="239" spans="1:19">
      <c r="A239" s="686" t="s">
        <v>500</v>
      </c>
      <c r="B239" s="686" t="s">
        <v>501</v>
      </c>
      <c r="C239" s="689" t="s">
        <v>502</v>
      </c>
      <c r="D239" s="689"/>
      <c r="E239" s="689"/>
      <c r="F239" s="689"/>
      <c r="G239" s="689"/>
      <c r="H239" s="689"/>
      <c r="I239" s="689"/>
      <c r="J239" s="689"/>
      <c r="K239" s="689"/>
      <c r="L239" s="689"/>
      <c r="M239" s="689"/>
      <c r="N239" s="689"/>
      <c r="O239" s="689"/>
      <c r="P239" s="689"/>
      <c r="Q239" s="689"/>
      <c r="R239" s="689"/>
      <c r="S239" s="689"/>
    </row>
    <row r="240" spans="1:19" ht="26.4">
      <c r="A240" s="688"/>
      <c r="B240" s="688"/>
      <c r="C240" s="236" t="s">
        <v>569</v>
      </c>
      <c r="D240" s="236" t="s">
        <v>508</v>
      </c>
      <c r="E240" s="236" t="s">
        <v>730</v>
      </c>
      <c r="F240" s="236" t="s">
        <v>731</v>
      </c>
      <c r="G240" s="236" t="s">
        <v>84</v>
      </c>
      <c r="H240" s="236" t="s">
        <v>271</v>
      </c>
      <c r="I240" s="236" t="s">
        <v>272</v>
      </c>
      <c r="J240" s="236" t="s">
        <v>572</v>
      </c>
      <c r="K240" s="236" t="s">
        <v>319</v>
      </c>
      <c r="L240" s="236" t="s">
        <v>447</v>
      </c>
      <c r="M240" s="236" t="s">
        <v>318</v>
      </c>
      <c r="N240" s="236" t="s">
        <v>243</v>
      </c>
      <c r="O240" s="236" t="s">
        <v>244</v>
      </c>
      <c r="P240" s="236" t="s">
        <v>258</v>
      </c>
      <c r="Q240" s="236" t="s">
        <v>315</v>
      </c>
      <c r="R240" s="236" t="s">
        <v>321</v>
      </c>
      <c r="S240" s="236" t="s">
        <v>323</v>
      </c>
    </row>
    <row r="241" spans="1:19">
      <c r="A241" s="239">
        <v>1</v>
      </c>
      <c r="B241" s="238" t="s">
        <v>301</v>
      </c>
      <c r="C241" s="242" t="s">
        <v>732</v>
      </c>
      <c r="D241" s="242" t="s">
        <v>733</v>
      </c>
      <c r="E241" s="242" t="s">
        <v>734</v>
      </c>
      <c r="F241" s="242" t="s">
        <v>735</v>
      </c>
      <c r="G241" s="243" t="s">
        <v>736</v>
      </c>
      <c r="H241" s="243" t="s">
        <v>737</v>
      </c>
      <c r="I241" s="243" t="s">
        <v>738</v>
      </c>
      <c r="J241" s="243" t="s">
        <v>435</v>
      </c>
      <c r="K241" s="243" t="s">
        <v>739</v>
      </c>
      <c r="L241" s="243" t="s">
        <v>740</v>
      </c>
      <c r="M241" s="243" t="s">
        <v>741</v>
      </c>
      <c r="N241" s="243" t="s">
        <v>742</v>
      </c>
      <c r="O241" s="243" t="s">
        <v>743</v>
      </c>
      <c r="P241" s="243" t="s">
        <v>744</v>
      </c>
      <c r="Q241" s="243" t="s">
        <v>745</v>
      </c>
      <c r="R241" s="243" t="s">
        <v>746</v>
      </c>
      <c r="S241" s="243" t="s">
        <v>747</v>
      </c>
    </row>
    <row r="242" spans="1:19">
      <c r="A242" s="239">
        <v>2</v>
      </c>
      <c r="B242" s="238" t="s">
        <v>302</v>
      </c>
      <c r="C242" s="242" t="s">
        <v>732</v>
      </c>
      <c r="D242" s="242" t="s">
        <v>733</v>
      </c>
      <c r="E242" s="242" t="s">
        <v>734</v>
      </c>
      <c r="F242" s="242" t="s">
        <v>735</v>
      </c>
      <c r="G242" s="243" t="s">
        <v>736</v>
      </c>
      <c r="H242" s="243" t="s">
        <v>737</v>
      </c>
      <c r="I242" s="243" t="s">
        <v>738</v>
      </c>
      <c r="J242" s="243" t="s">
        <v>435</v>
      </c>
      <c r="K242" s="243" t="s">
        <v>739</v>
      </c>
      <c r="L242" s="243" t="s">
        <v>740</v>
      </c>
      <c r="M242" s="243" t="s">
        <v>741</v>
      </c>
      <c r="N242" s="243" t="s">
        <v>742</v>
      </c>
      <c r="O242" s="243" t="s">
        <v>743</v>
      </c>
      <c r="P242" s="243" t="s">
        <v>744</v>
      </c>
      <c r="Q242" s="243" t="s">
        <v>745</v>
      </c>
      <c r="R242" s="243" t="s">
        <v>746</v>
      </c>
      <c r="S242" s="243" t="s">
        <v>747</v>
      </c>
    </row>
    <row r="243" spans="1:19">
      <c r="A243" s="239">
        <v>3</v>
      </c>
      <c r="B243" s="238" t="s">
        <v>303</v>
      </c>
      <c r="C243" s="242" t="s">
        <v>732</v>
      </c>
      <c r="D243" s="242" t="s">
        <v>733</v>
      </c>
      <c r="E243" s="242" t="s">
        <v>734</v>
      </c>
      <c r="F243" s="242" t="s">
        <v>735</v>
      </c>
      <c r="G243" s="243" t="s">
        <v>736</v>
      </c>
      <c r="H243" s="243" t="s">
        <v>737</v>
      </c>
      <c r="I243" s="243" t="s">
        <v>738</v>
      </c>
      <c r="J243" s="243" t="s">
        <v>435</v>
      </c>
      <c r="K243" s="243" t="s">
        <v>739</v>
      </c>
      <c r="L243" s="243" t="s">
        <v>740</v>
      </c>
      <c r="M243" s="243" t="s">
        <v>741</v>
      </c>
      <c r="N243" s="243" t="s">
        <v>742</v>
      </c>
      <c r="O243" s="243" t="s">
        <v>743</v>
      </c>
      <c r="P243" s="243" t="s">
        <v>744</v>
      </c>
      <c r="Q243" s="243" t="s">
        <v>745</v>
      </c>
      <c r="R243" s="243" t="s">
        <v>746</v>
      </c>
      <c r="S243" s="243" t="s">
        <v>747</v>
      </c>
    </row>
    <row r="244" spans="1:19">
      <c r="A244" s="239">
        <v>4</v>
      </c>
      <c r="B244" s="238" t="s">
        <v>11</v>
      </c>
      <c r="C244" s="242" t="s">
        <v>732</v>
      </c>
      <c r="D244" s="242" t="s">
        <v>733</v>
      </c>
      <c r="E244" s="242" t="s">
        <v>734</v>
      </c>
      <c r="F244" s="242" t="s">
        <v>735</v>
      </c>
      <c r="G244" s="243" t="s">
        <v>736</v>
      </c>
      <c r="H244" s="243" t="s">
        <v>737</v>
      </c>
      <c r="I244" s="243" t="s">
        <v>738</v>
      </c>
      <c r="J244" s="243" t="s">
        <v>435</v>
      </c>
      <c r="K244" s="243" t="s">
        <v>739</v>
      </c>
      <c r="L244" s="243" t="s">
        <v>740</v>
      </c>
      <c r="M244" s="243" t="s">
        <v>741</v>
      </c>
      <c r="N244" s="243" t="s">
        <v>742</v>
      </c>
      <c r="O244" s="243" t="s">
        <v>743</v>
      </c>
      <c r="P244" s="243" t="s">
        <v>744</v>
      </c>
      <c r="Q244" s="243" t="s">
        <v>745</v>
      </c>
      <c r="R244" s="243" t="s">
        <v>746</v>
      </c>
      <c r="S244" s="243" t="s">
        <v>747</v>
      </c>
    </row>
    <row r="245" spans="1:19">
      <c r="A245" s="239">
        <v>5</v>
      </c>
      <c r="B245" s="238" t="s">
        <v>12</v>
      </c>
      <c r="C245" s="242" t="s">
        <v>732</v>
      </c>
      <c r="D245" s="242" t="s">
        <v>733</v>
      </c>
      <c r="E245" s="242" t="s">
        <v>734</v>
      </c>
      <c r="F245" s="242" t="s">
        <v>735</v>
      </c>
      <c r="G245" s="243" t="s">
        <v>736</v>
      </c>
      <c r="H245" s="243" t="s">
        <v>737</v>
      </c>
      <c r="I245" s="243" t="s">
        <v>738</v>
      </c>
      <c r="J245" s="243" t="s">
        <v>435</v>
      </c>
      <c r="K245" s="243" t="s">
        <v>739</v>
      </c>
      <c r="L245" s="243" t="s">
        <v>740</v>
      </c>
      <c r="M245" s="243" t="s">
        <v>741</v>
      </c>
      <c r="N245" s="243" t="s">
        <v>742</v>
      </c>
      <c r="O245" s="243" t="s">
        <v>743</v>
      </c>
      <c r="P245" s="243" t="s">
        <v>744</v>
      </c>
      <c r="Q245" s="243" t="s">
        <v>745</v>
      </c>
      <c r="R245" s="243" t="s">
        <v>746</v>
      </c>
      <c r="S245" s="243" t="s">
        <v>747</v>
      </c>
    </row>
    <row r="246" spans="1:19">
      <c r="A246" s="239">
        <v>6</v>
      </c>
      <c r="B246" s="238" t="s">
        <v>304</v>
      </c>
      <c r="C246" s="242" t="s">
        <v>732</v>
      </c>
      <c r="D246" s="242" t="s">
        <v>733</v>
      </c>
      <c r="E246" s="242" t="s">
        <v>734</v>
      </c>
      <c r="F246" s="242" t="s">
        <v>735</v>
      </c>
      <c r="G246" s="243" t="s">
        <v>736</v>
      </c>
      <c r="H246" s="243" t="s">
        <v>737</v>
      </c>
      <c r="I246" s="243" t="s">
        <v>738</v>
      </c>
      <c r="J246" s="243" t="s">
        <v>435</v>
      </c>
      <c r="K246" s="243" t="s">
        <v>739</v>
      </c>
      <c r="L246" s="243" t="s">
        <v>740</v>
      </c>
      <c r="M246" s="243" t="s">
        <v>741</v>
      </c>
      <c r="N246" s="243" t="s">
        <v>742</v>
      </c>
      <c r="O246" s="243" t="s">
        <v>743</v>
      </c>
      <c r="P246" s="243" t="s">
        <v>744</v>
      </c>
      <c r="Q246" s="243" t="s">
        <v>745</v>
      </c>
      <c r="R246" s="243" t="s">
        <v>746</v>
      </c>
      <c r="S246" s="243" t="s">
        <v>747</v>
      </c>
    </row>
    <row r="247" spans="1:19">
      <c r="A247" s="239">
        <v>7</v>
      </c>
      <c r="B247" s="238" t="s">
        <v>305</v>
      </c>
      <c r="C247" s="242" t="s">
        <v>732</v>
      </c>
      <c r="D247" s="242" t="s">
        <v>733</v>
      </c>
      <c r="E247" s="242" t="s">
        <v>734</v>
      </c>
      <c r="F247" s="242" t="s">
        <v>735</v>
      </c>
      <c r="G247" s="243" t="s">
        <v>736</v>
      </c>
      <c r="H247" s="243" t="s">
        <v>737</v>
      </c>
      <c r="I247" s="243" t="s">
        <v>738</v>
      </c>
      <c r="J247" s="243" t="s">
        <v>435</v>
      </c>
      <c r="K247" s="243" t="s">
        <v>739</v>
      </c>
      <c r="L247" s="243" t="s">
        <v>740</v>
      </c>
      <c r="M247" s="243" t="s">
        <v>741</v>
      </c>
      <c r="N247" s="243" t="s">
        <v>742</v>
      </c>
      <c r="O247" s="243" t="s">
        <v>743</v>
      </c>
      <c r="P247" s="243" t="s">
        <v>744</v>
      </c>
      <c r="Q247" s="243" t="s">
        <v>745</v>
      </c>
      <c r="R247" s="243" t="s">
        <v>746</v>
      </c>
      <c r="S247" s="243" t="s">
        <v>747</v>
      </c>
    </row>
    <row r="248" spans="1:19">
      <c r="A248" s="239">
        <v>8</v>
      </c>
      <c r="B248" s="238" t="s">
        <v>306</v>
      </c>
      <c r="C248" s="242" t="s">
        <v>732</v>
      </c>
      <c r="D248" s="242" t="s">
        <v>733</v>
      </c>
      <c r="E248" s="242" t="s">
        <v>734</v>
      </c>
      <c r="F248" s="242" t="s">
        <v>735</v>
      </c>
      <c r="G248" s="243" t="s">
        <v>736</v>
      </c>
      <c r="H248" s="243" t="s">
        <v>737</v>
      </c>
      <c r="I248" s="243" t="s">
        <v>738</v>
      </c>
      <c r="J248" s="243" t="s">
        <v>435</v>
      </c>
      <c r="K248" s="243" t="s">
        <v>739</v>
      </c>
      <c r="L248" s="243" t="s">
        <v>740</v>
      </c>
      <c r="M248" s="243" t="s">
        <v>741</v>
      </c>
      <c r="N248" s="243" t="s">
        <v>742</v>
      </c>
      <c r="O248" s="243" t="s">
        <v>743</v>
      </c>
      <c r="P248" s="243" t="s">
        <v>744</v>
      </c>
      <c r="Q248" s="243" t="s">
        <v>745</v>
      </c>
      <c r="R248" s="243" t="s">
        <v>746</v>
      </c>
      <c r="S248" s="243" t="s">
        <v>747</v>
      </c>
    </row>
    <row r="249" spans="1:19">
      <c r="A249" s="239">
        <v>9</v>
      </c>
      <c r="B249" s="238" t="s">
        <v>307</v>
      </c>
      <c r="C249" s="242" t="s">
        <v>732</v>
      </c>
      <c r="D249" s="242" t="s">
        <v>733</v>
      </c>
      <c r="E249" s="242" t="s">
        <v>734</v>
      </c>
      <c r="F249" s="242" t="s">
        <v>735</v>
      </c>
      <c r="G249" s="243" t="s">
        <v>736</v>
      </c>
      <c r="H249" s="243" t="s">
        <v>737</v>
      </c>
      <c r="I249" s="243" t="s">
        <v>738</v>
      </c>
      <c r="J249" s="243" t="s">
        <v>435</v>
      </c>
      <c r="K249" s="243" t="s">
        <v>739</v>
      </c>
      <c r="L249" s="243" t="s">
        <v>740</v>
      </c>
      <c r="M249" s="243" t="s">
        <v>741</v>
      </c>
      <c r="N249" s="243" t="s">
        <v>742</v>
      </c>
      <c r="O249" s="243" t="s">
        <v>743</v>
      </c>
      <c r="P249" s="243" t="s">
        <v>744</v>
      </c>
      <c r="Q249" s="243" t="s">
        <v>745</v>
      </c>
      <c r="R249" s="243" t="s">
        <v>746</v>
      </c>
      <c r="S249" s="243" t="s">
        <v>747</v>
      </c>
    </row>
    <row r="250" spans="1:19">
      <c r="A250" s="239">
        <v>10</v>
      </c>
      <c r="B250" s="238" t="s">
        <v>308</v>
      </c>
      <c r="C250" s="242" t="s">
        <v>732</v>
      </c>
      <c r="D250" s="242" t="s">
        <v>733</v>
      </c>
      <c r="E250" s="242" t="s">
        <v>734</v>
      </c>
      <c r="F250" s="242" t="s">
        <v>735</v>
      </c>
      <c r="G250" s="243" t="s">
        <v>736</v>
      </c>
      <c r="H250" s="243" t="s">
        <v>737</v>
      </c>
      <c r="I250" s="243" t="s">
        <v>738</v>
      </c>
      <c r="J250" s="243" t="s">
        <v>435</v>
      </c>
      <c r="K250" s="243" t="s">
        <v>739</v>
      </c>
      <c r="L250" s="243" t="s">
        <v>740</v>
      </c>
      <c r="M250" s="243" t="s">
        <v>741</v>
      </c>
      <c r="N250" s="243" t="s">
        <v>742</v>
      </c>
      <c r="O250" s="243" t="s">
        <v>743</v>
      </c>
      <c r="P250" s="243" t="s">
        <v>744</v>
      </c>
      <c r="Q250" s="243" t="s">
        <v>745</v>
      </c>
      <c r="R250" s="243" t="s">
        <v>746</v>
      </c>
      <c r="S250" s="243" t="s">
        <v>747</v>
      </c>
    </row>
    <row r="251" spans="1:19">
      <c r="A251" s="239">
        <v>11</v>
      </c>
      <c r="B251" s="238" t="s">
        <v>309</v>
      </c>
      <c r="C251" s="242" t="s">
        <v>732</v>
      </c>
      <c r="D251" s="242" t="s">
        <v>733</v>
      </c>
      <c r="E251" s="242" t="s">
        <v>734</v>
      </c>
      <c r="F251" s="242" t="s">
        <v>735</v>
      </c>
      <c r="G251" s="243" t="s">
        <v>736</v>
      </c>
      <c r="H251" s="243" t="s">
        <v>737</v>
      </c>
      <c r="I251" s="243" t="s">
        <v>738</v>
      </c>
      <c r="J251" s="243" t="s">
        <v>435</v>
      </c>
      <c r="K251" s="243" t="s">
        <v>739</v>
      </c>
      <c r="L251" s="243" t="s">
        <v>740</v>
      </c>
      <c r="M251" s="243" t="s">
        <v>741</v>
      </c>
      <c r="N251" s="243" t="s">
        <v>742</v>
      </c>
      <c r="O251" s="243" t="s">
        <v>743</v>
      </c>
      <c r="P251" s="243" t="s">
        <v>744</v>
      </c>
      <c r="Q251" s="243" t="s">
        <v>745</v>
      </c>
      <c r="R251" s="243" t="s">
        <v>746</v>
      </c>
      <c r="S251" s="243" t="s">
        <v>747</v>
      </c>
    </row>
    <row r="252" spans="1:19">
      <c r="A252" s="239">
        <v>12</v>
      </c>
      <c r="B252" s="238" t="s">
        <v>310</v>
      </c>
      <c r="C252" s="242" t="s">
        <v>732</v>
      </c>
      <c r="D252" s="242" t="s">
        <v>733</v>
      </c>
      <c r="E252" s="242" t="s">
        <v>734</v>
      </c>
      <c r="F252" s="242" t="s">
        <v>735</v>
      </c>
      <c r="G252" s="243" t="s">
        <v>736</v>
      </c>
      <c r="H252" s="243" t="s">
        <v>737</v>
      </c>
      <c r="I252" s="243" t="s">
        <v>738</v>
      </c>
      <c r="J252" s="243" t="s">
        <v>435</v>
      </c>
      <c r="K252" s="243" t="s">
        <v>739</v>
      </c>
      <c r="L252" s="243" t="s">
        <v>740</v>
      </c>
      <c r="M252" s="243" t="s">
        <v>741</v>
      </c>
      <c r="N252" s="243" t="s">
        <v>742</v>
      </c>
      <c r="O252" s="243" t="s">
        <v>743</v>
      </c>
      <c r="P252" s="243" t="s">
        <v>744</v>
      </c>
      <c r="Q252" s="243" t="s">
        <v>745</v>
      </c>
      <c r="R252" s="243" t="s">
        <v>746</v>
      </c>
      <c r="S252" s="243" t="s">
        <v>747</v>
      </c>
    </row>
    <row r="253" spans="1:19">
      <c r="A253" s="239">
        <v>13</v>
      </c>
      <c r="B253" s="238" t="s">
        <v>311</v>
      </c>
      <c r="C253" s="242" t="s">
        <v>732</v>
      </c>
      <c r="D253" s="242" t="s">
        <v>733</v>
      </c>
      <c r="E253" s="242" t="s">
        <v>734</v>
      </c>
      <c r="F253" s="242" t="s">
        <v>735</v>
      </c>
      <c r="G253" s="243" t="s">
        <v>736</v>
      </c>
      <c r="H253" s="243" t="s">
        <v>737</v>
      </c>
      <c r="I253" s="243" t="s">
        <v>738</v>
      </c>
      <c r="J253" s="243" t="s">
        <v>435</v>
      </c>
      <c r="K253" s="243" t="s">
        <v>739</v>
      </c>
      <c r="L253" s="243" t="s">
        <v>740</v>
      </c>
      <c r="M253" s="243" t="s">
        <v>741</v>
      </c>
      <c r="N253" s="243" t="s">
        <v>742</v>
      </c>
      <c r="O253" s="243" t="s">
        <v>743</v>
      </c>
      <c r="P253" s="243" t="s">
        <v>744</v>
      </c>
      <c r="Q253" s="243" t="s">
        <v>745</v>
      </c>
      <c r="R253" s="243" t="s">
        <v>746</v>
      </c>
      <c r="S253" s="243" t="s">
        <v>747</v>
      </c>
    </row>
    <row r="254" spans="1:19">
      <c r="A254" s="234"/>
      <c r="B254" s="234"/>
      <c r="C254" s="234"/>
      <c r="D254" s="234"/>
      <c r="E254" s="234"/>
      <c r="F254" s="234"/>
      <c r="G254" s="234"/>
      <c r="H254" s="234"/>
      <c r="I254" s="234"/>
      <c r="J254" s="234"/>
      <c r="K254" s="234"/>
      <c r="L254" s="234"/>
      <c r="M254" s="234"/>
      <c r="N254" s="234"/>
      <c r="O254" s="234"/>
      <c r="P254" s="234"/>
      <c r="Q254" s="234"/>
      <c r="R254" s="234"/>
      <c r="S254" s="234"/>
    </row>
    <row r="255" spans="1:19" ht="12.75" customHeight="1">
      <c r="A255" s="737" t="s">
        <v>748</v>
      </c>
      <c r="B255" s="737"/>
      <c r="C255" s="737"/>
      <c r="D255" s="737"/>
      <c r="E255" s="737"/>
      <c r="F255" s="737"/>
      <c r="G255" s="737"/>
      <c r="H255" s="737"/>
      <c r="I255" s="737"/>
      <c r="J255" s="737"/>
      <c r="K255" s="737"/>
      <c r="L255" s="737"/>
      <c r="M255" s="737"/>
      <c r="N255" s="737"/>
      <c r="O255" s="737"/>
      <c r="P255" s="737"/>
      <c r="Q255" s="737"/>
      <c r="R255" s="737"/>
      <c r="S255" s="737"/>
    </row>
    <row r="257" spans="1:16">
      <c r="A257" s="743" t="s">
        <v>750</v>
      </c>
      <c r="B257" s="743"/>
      <c r="C257" s="743"/>
      <c r="D257" s="743"/>
      <c r="E257" s="743"/>
      <c r="F257" s="743"/>
      <c r="G257" s="743"/>
      <c r="H257" s="743"/>
      <c r="I257" s="743"/>
      <c r="J257" s="743"/>
      <c r="K257" s="743"/>
      <c r="L257" s="743"/>
      <c r="M257" s="743"/>
      <c r="N257" s="743"/>
      <c r="O257" s="743"/>
      <c r="P257" s="743"/>
    </row>
    <row r="258" spans="1:16">
      <c r="A258" s="235"/>
      <c r="B258" s="235"/>
      <c r="C258" s="235"/>
      <c r="D258" s="235"/>
      <c r="E258" s="235"/>
      <c r="F258" s="235"/>
      <c r="G258" s="235"/>
      <c r="H258" s="235"/>
      <c r="I258" s="235"/>
      <c r="J258" s="235"/>
      <c r="K258" s="235"/>
      <c r="L258" s="235"/>
      <c r="M258" s="235"/>
      <c r="N258" s="235"/>
      <c r="O258" s="235"/>
      <c r="P258" s="235"/>
    </row>
    <row r="259" spans="1:16">
      <c r="A259" s="744" t="s">
        <v>364</v>
      </c>
      <c r="B259" s="745" t="s">
        <v>501</v>
      </c>
      <c r="C259" s="746" t="s">
        <v>502</v>
      </c>
      <c r="D259" s="746"/>
      <c r="E259" s="746"/>
      <c r="F259" s="746"/>
      <c r="G259" s="746"/>
      <c r="H259" s="746"/>
      <c r="I259" s="746"/>
      <c r="J259" s="746"/>
      <c r="K259" s="746"/>
      <c r="L259" s="746"/>
      <c r="M259" s="746"/>
      <c r="N259" s="746"/>
      <c r="O259" s="746"/>
      <c r="P259" s="283"/>
    </row>
    <row r="260" spans="1:16">
      <c r="A260" s="744"/>
      <c r="B260" s="745"/>
      <c r="C260" s="236" t="s">
        <v>569</v>
      </c>
      <c r="D260" s="236" t="s">
        <v>508</v>
      </c>
      <c r="E260" s="236" t="s">
        <v>570</v>
      </c>
      <c r="F260" s="236" t="s">
        <v>571</v>
      </c>
      <c r="G260" s="236" t="s">
        <v>534</v>
      </c>
      <c r="H260" s="240" t="s">
        <v>245</v>
      </c>
      <c r="I260" s="240" t="s">
        <v>448</v>
      </c>
      <c r="J260" s="690" t="s">
        <v>544</v>
      </c>
      <c r="K260" s="690"/>
      <c r="L260" s="236" t="s">
        <v>323</v>
      </c>
      <c r="M260" s="236" t="s">
        <v>526</v>
      </c>
      <c r="N260" s="236" t="s">
        <v>751</v>
      </c>
      <c r="O260" s="236" t="s">
        <v>611</v>
      </c>
      <c r="P260" s="284"/>
    </row>
    <row r="261" spans="1:16">
      <c r="A261" s="710">
        <v>1</v>
      </c>
      <c r="B261" s="710" t="s">
        <v>752</v>
      </c>
      <c r="C261" s="236" t="s">
        <v>506</v>
      </c>
      <c r="D261" s="236" t="s">
        <v>506</v>
      </c>
      <c r="E261" s="236" t="s">
        <v>506</v>
      </c>
      <c r="F261" s="236" t="s">
        <v>506</v>
      </c>
      <c r="G261" s="236" t="s">
        <v>506</v>
      </c>
      <c r="H261" s="236" t="s">
        <v>506</v>
      </c>
      <c r="I261" s="236" t="s">
        <v>506</v>
      </c>
      <c r="J261" s="236" t="s">
        <v>506</v>
      </c>
      <c r="K261" s="236" t="s">
        <v>507</v>
      </c>
      <c r="L261" s="236" t="s">
        <v>506</v>
      </c>
      <c r="M261" s="236" t="s">
        <v>753</v>
      </c>
      <c r="N261" s="236" t="s">
        <v>753</v>
      </c>
      <c r="O261" s="236" t="s">
        <v>753</v>
      </c>
      <c r="P261" s="276"/>
    </row>
    <row r="262" spans="1:16">
      <c r="A262" s="710"/>
      <c r="B262" s="710"/>
      <c r="C262" s="243" t="s">
        <v>541</v>
      </c>
      <c r="D262" s="243" t="s">
        <v>754</v>
      </c>
      <c r="E262" s="243" t="s">
        <v>541</v>
      </c>
      <c r="F262" s="243" t="s">
        <v>755</v>
      </c>
      <c r="G262" s="243" t="s">
        <v>539</v>
      </c>
      <c r="H262" s="240">
        <v>25</v>
      </c>
      <c r="I262" s="240" t="s">
        <v>756</v>
      </c>
      <c r="J262" s="240" t="s">
        <v>553</v>
      </c>
      <c r="K262" s="240" t="s">
        <v>757</v>
      </c>
      <c r="L262" s="240" t="s">
        <v>579</v>
      </c>
      <c r="M262" s="243" t="s">
        <v>560</v>
      </c>
      <c r="N262" s="243" t="s">
        <v>758</v>
      </c>
      <c r="O262" s="243" t="s">
        <v>759</v>
      </c>
      <c r="P262" s="275"/>
    </row>
    <row r="263" spans="1:16" ht="12.75" customHeight="1">
      <c r="A263" s="740" t="s">
        <v>760</v>
      </c>
      <c r="B263" s="740"/>
      <c r="C263" s="740"/>
      <c r="D263" s="740"/>
      <c r="E263" s="740"/>
      <c r="F263" s="740"/>
      <c r="G263" s="740"/>
      <c r="H263" s="740"/>
      <c r="I263" s="740"/>
      <c r="J263" s="740"/>
      <c r="K263" s="740"/>
      <c r="L263" s="740"/>
      <c r="M263" s="740"/>
      <c r="N263" s="740"/>
      <c r="O263" s="740"/>
      <c r="P263" s="235"/>
    </row>
    <row r="264" spans="1:16">
      <c r="A264" s="282"/>
      <c r="B264" s="282"/>
      <c r="C264" s="282"/>
      <c r="D264" s="282"/>
      <c r="E264" s="282"/>
      <c r="F264" s="282"/>
      <c r="G264" s="282"/>
      <c r="H264" s="282"/>
      <c r="I264" s="235"/>
      <c r="J264" s="235"/>
      <c r="K264" s="235"/>
      <c r="L264" s="235"/>
      <c r="M264" s="235"/>
      <c r="N264" s="235"/>
      <c r="O264" s="235"/>
      <c r="P264" s="235"/>
    </row>
    <row r="265" spans="1:16">
      <c r="A265" s="684" t="s">
        <v>761</v>
      </c>
      <c r="B265" s="684"/>
      <c r="C265" s="684"/>
      <c r="D265" s="684"/>
      <c r="E265" s="684"/>
      <c r="F265" s="684"/>
      <c r="G265" s="684"/>
      <c r="H265" s="684"/>
      <c r="I265" s="684"/>
      <c r="J265" s="684"/>
      <c r="K265" s="684"/>
      <c r="L265" s="684"/>
      <c r="M265" s="684"/>
      <c r="N265" s="684"/>
      <c r="O265" s="235"/>
      <c r="P265" s="235"/>
    </row>
    <row r="266" spans="1:16">
      <c r="A266" s="235"/>
      <c r="B266" s="235"/>
      <c r="C266" s="235"/>
      <c r="D266" s="235"/>
      <c r="E266" s="235"/>
      <c r="F266" s="235"/>
      <c r="G266" s="235"/>
      <c r="H266" s="235"/>
      <c r="I266" s="235"/>
      <c r="J266" s="235"/>
      <c r="K266" s="235"/>
      <c r="L266" s="235"/>
      <c r="M266" s="235"/>
      <c r="N266" s="235"/>
    </row>
    <row r="267" spans="1:16">
      <c r="A267" s="741" t="s">
        <v>364</v>
      </c>
      <c r="B267" s="741" t="s">
        <v>762</v>
      </c>
      <c r="C267" s="289"/>
      <c r="D267" s="289"/>
      <c r="E267" s="289"/>
      <c r="F267" s="742" t="s">
        <v>502</v>
      </c>
      <c r="G267" s="742"/>
      <c r="H267" s="742"/>
      <c r="I267" s="742"/>
      <c r="J267" s="742"/>
      <c r="K267" s="742"/>
      <c r="L267" s="742"/>
      <c r="M267" s="290"/>
      <c r="N267" s="235"/>
    </row>
    <row r="268" spans="1:16">
      <c r="A268" s="741"/>
      <c r="B268" s="741"/>
      <c r="C268" s="236" t="s">
        <v>569</v>
      </c>
      <c r="D268" s="236" t="s">
        <v>508</v>
      </c>
      <c r="E268" s="236" t="s">
        <v>83</v>
      </c>
      <c r="F268" s="291" t="s">
        <v>517</v>
      </c>
      <c r="G268" s="291" t="s">
        <v>245</v>
      </c>
      <c r="H268" s="291" t="s">
        <v>321</v>
      </c>
      <c r="I268" s="291" t="s">
        <v>318</v>
      </c>
      <c r="J268" s="291" t="s">
        <v>323</v>
      </c>
      <c r="K268" s="291" t="s">
        <v>534</v>
      </c>
      <c r="L268" s="255" t="s">
        <v>529</v>
      </c>
      <c r="M268" s="235"/>
      <c r="N268" s="235"/>
    </row>
    <row r="269" spans="1:16">
      <c r="A269" s="289"/>
      <c r="B269" s="289"/>
      <c r="C269" s="291" t="s">
        <v>506</v>
      </c>
      <c r="D269" s="291" t="s">
        <v>506</v>
      </c>
      <c r="E269" s="291" t="s">
        <v>506</v>
      </c>
      <c r="F269" s="291" t="s">
        <v>506</v>
      </c>
      <c r="G269" s="291" t="s">
        <v>506</v>
      </c>
      <c r="H269" s="291" t="s">
        <v>506</v>
      </c>
      <c r="I269" s="291" t="s">
        <v>506</v>
      </c>
      <c r="J269" s="291" t="s">
        <v>506</v>
      </c>
      <c r="K269" s="291" t="s">
        <v>506</v>
      </c>
      <c r="L269" s="255" t="s">
        <v>530</v>
      </c>
      <c r="M269" s="235"/>
      <c r="N269" s="235"/>
    </row>
    <row r="270" spans="1:16">
      <c r="A270" s="292">
        <v>1</v>
      </c>
      <c r="B270" s="293" t="s">
        <v>763</v>
      </c>
      <c r="C270" s="292" t="s">
        <v>492</v>
      </c>
      <c r="D270" s="292" t="s">
        <v>435</v>
      </c>
      <c r="E270" s="292" t="s">
        <v>432</v>
      </c>
      <c r="F270" s="289" t="s">
        <v>601</v>
      </c>
      <c r="G270" s="289" t="s">
        <v>764</v>
      </c>
      <c r="H270" s="289" t="s">
        <v>711</v>
      </c>
      <c r="I270" s="289" t="s">
        <v>765</v>
      </c>
      <c r="J270" s="289" t="s">
        <v>766</v>
      </c>
      <c r="K270" s="289" t="s">
        <v>767</v>
      </c>
      <c r="L270" s="255" t="s">
        <v>768</v>
      </c>
      <c r="M270" s="235"/>
      <c r="N270" s="235"/>
    </row>
    <row r="271" spans="1:16">
      <c r="A271" s="235"/>
      <c r="B271" s="235"/>
      <c r="C271" s="235"/>
      <c r="D271" s="235"/>
      <c r="E271" s="235"/>
      <c r="F271" s="235"/>
      <c r="G271" s="235"/>
      <c r="H271" s="235"/>
      <c r="I271" s="235"/>
      <c r="J271" s="235"/>
      <c r="K271" s="235"/>
      <c r="L271" s="235"/>
      <c r="M271" s="235"/>
      <c r="N271" s="235"/>
    </row>
    <row r="272" spans="1:16" ht="12.75" customHeight="1">
      <c r="A272" s="739" t="s">
        <v>769</v>
      </c>
      <c r="B272" s="739"/>
      <c r="C272" s="739"/>
      <c r="D272" s="739"/>
      <c r="E272" s="739"/>
      <c r="F272" s="739"/>
      <c r="G272" s="739"/>
      <c r="H272" s="739"/>
      <c r="I272" s="739"/>
      <c r="J272" s="739"/>
      <c r="K272" s="739"/>
      <c r="L272" s="739"/>
      <c r="M272" s="235"/>
      <c r="N272" s="235"/>
    </row>
    <row r="273" spans="1:14">
      <c r="A273" s="282"/>
      <c r="B273" s="282"/>
      <c r="C273" s="282"/>
      <c r="D273" s="282"/>
      <c r="E273" s="282"/>
      <c r="F273" s="282"/>
      <c r="G273" s="282"/>
      <c r="H273" s="282"/>
      <c r="I273" s="282"/>
      <c r="J273" s="282"/>
      <c r="K273" s="282"/>
      <c r="L273" s="282"/>
      <c r="M273" s="235"/>
      <c r="N273" s="235"/>
    </row>
  </sheetData>
  <sheetProtection algorithmName="SHA-512" hashValue="rsoOkN8Ou9oV6a8BQpr8tGjaaFfbw4/kScJxfmWyB+LFK91TOzoJRMfcl3viReeX4rqf/TD5TIOXkFZ+0vuq+w==" saltValue="lUWWM5R2mq+buTYYiUF8Yg==" spinCount="100000" sheet="1" formatCells="0" formatColumns="0" formatRows="0" insertColumns="0" insertRows="0" insertHyperlinks="0" deleteColumns="0" deleteRows="0" sort="0" autoFilter="0" pivotTables="0"/>
  <mergeCells count="17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A186:A187"/>
    <mergeCell ref="B186:B187"/>
    <mergeCell ref="C186:AC186"/>
    <mergeCell ref="A192:P192"/>
    <mergeCell ref="A194:A196"/>
    <mergeCell ref="B194:B196"/>
    <mergeCell ref="C194:P194"/>
    <mergeCell ref="C195:D195"/>
    <mergeCell ref="E195:G195"/>
    <mergeCell ref="H195:H196"/>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L98:L99"/>
    <mergeCell ref="M98:M99"/>
    <mergeCell ref="A95:U95"/>
    <mergeCell ref="A97:A99"/>
    <mergeCell ref="B97:B99"/>
    <mergeCell ref="C97:Y97"/>
    <mergeCell ref="C98:C99"/>
    <mergeCell ref="D98:D99"/>
    <mergeCell ref="E98:E99"/>
    <mergeCell ref="F98:F99"/>
    <mergeCell ref="G98:G99"/>
    <mergeCell ref="A87:A89"/>
    <mergeCell ref="B87:B89"/>
    <mergeCell ref="C87:H87"/>
    <mergeCell ref="C88:D88"/>
    <mergeCell ref="A93:H93"/>
    <mergeCell ref="A60:A61"/>
    <mergeCell ref="B60:B61"/>
    <mergeCell ref="C60:O60"/>
    <mergeCell ref="A83:O83"/>
    <mergeCell ref="A85:H85"/>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12:A13"/>
    <mergeCell ref="B12:B13"/>
    <mergeCell ref="C12:Z12"/>
    <mergeCell ref="B16:F17"/>
    <mergeCell ref="A19:J20"/>
    <mergeCell ref="A22:A24"/>
    <mergeCell ref="B22:B24"/>
    <mergeCell ref="C22:J22"/>
    <mergeCell ref="C23:D23"/>
    <mergeCell ref="E23:F23"/>
    <mergeCell ref="B2:Q2"/>
    <mergeCell ref="A5:J5"/>
    <mergeCell ref="B6:D6"/>
    <mergeCell ref="A7:A9"/>
    <mergeCell ref="B7:B9"/>
    <mergeCell ref="C7:H7"/>
    <mergeCell ref="C8:D8"/>
    <mergeCell ref="E8:F8"/>
    <mergeCell ref="G8:H8"/>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3:Z24"/>
  <sheetViews>
    <sheetView workbookViewId="0">
      <pane xSplit="2" topLeftCell="C1" activePane="topRight" state="frozen"/>
      <selection activeCell="A2" sqref="A2"/>
      <selection pane="topRight" activeCell="E22" sqref="E22"/>
    </sheetView>
  </sheetViews>
  <sheetFormatPr defaultRowHeight="13.2"/>
  <cols>
    <col min="2" max="2" width="28.6640625" customWidth="1"/>
    <col min="3" max="4" width="12.44140625" bestFit="1" customWidth="1"/>
    <col min="5" max="5" width="12.44140625" customWidth="1"/>
    <col min="6" max="6" width="12.44140625" bestFit="1" customWidth="1"/>
    <col min="7" max="7" width="13.6640625" bestFit="1" customWidth="1"/>
    <col min="8" max="8" width="12.44140625" bestFit="1" customWidth="1"/>
    <col min="9" max="9" width="18.6640625" bestFit="1" customWidth="1"/>
    <col min="10" max="11" width="12.44140625" bestFit="1" customWidth="1"/>
    <col min="12" max="12" width="17.6640625" bestFit="1" customWidth="1"/>
    <col min="13" max="13" width="13.6640625" bestFit="1" customWidth="1"/>
    <col min="14" max="14" width="14.6640625" bestFit="1" customWidth="1"/>
    <col min="15" max="20" width="12.44140625" bestFit="1" customWidth="1"/>
    <col min="21" max="23" width="13.6640625" bestFit="1" customWidth="1"/>
    <col min="24" max="24" width="18.5546875" bestFit="1" customWidth="1"/>
    <col min="25" max="25" width="20" bestFit="1" customWidth="1"/>
    <col min="26" max="26" width="19.109375" bestFit="1" customWidth="1"/>
  </cols>
  <sheetData>
    <row r="3" spans="2:26">
      <c r="B3" s="232" t="s">
        <v>483</v>
      </c>
    </row>
    <row r="4" spans="2:26" ht="13.8" thickBot="1"/>
    <row r="5" spans="2:26" ht="13.8" thickBot="1">
      <c r="B5" s="229" t="s">
        <v>0</v>
      </c>
      <c r="C5" s="233" t="s">
        <v>72</v>
      </c>
      <c r="D5" s="230" t="s">
        <v>436</v>
      </c>
      <c r="E5" s="233" t="s">
        <v>461</v>
      </c>
      <c r="F5" s="230" t="s">
        <v>462</v>
      </c>
      <c r="G5" s="233" t="s">
        <v>463</v>
      </c>
      <c r="H5" s="230" t="s">
        <v>464</v>
      </c>
      <c r="I5" s="233" t="s">
        <v>465</v>
      </c>
      <c r="J5" s="230" t="s">
        <v>437</v>
      </c>
      <c r="K5" s="233" t="s">
        <v>466</v>
      </c>
      <c r="L5" s="230" t="s">
        <v>467</v>
      </c>
      <c r="M5" s="233" t="s">
        <v>468</v>
      </c>
      <c r="N5" s="230" t="s">
        <v>469</v>
      </c>
      <c r="O5" s="233" t="s">
        <v>470</v>
      </c>
      <c r="P5" s="230" t="s">
        <v>471</v>
      </c>
      <c r="Q5" s="233" t="s">
        <v>472</v>
      </c>
      <c r="R5" s="230" t="s">
        <v>473</v>
      </c>
      <c r="S5" s="233" t="s">
        <v>474</v>
      </c>
      <c r="T5" s="230" t="s">
        <v>475</v>
      </c>
      <c r="U5" s="233" t="s">
        <v>476</v>
      </c>
      <c r="V5" s="230" t="s">
        <v>477</v>
      </c>
      <c r="W5" s="233" t="s">
        <v>478</v>
      </c>
      <c r="X5" s="230" t="s">
        <v>479</v>
      </c>
      <c r="Y5" s="233" t="s">
        <v>480</v>
      </c>
      <c r="Z5" s="231" t="s">
        <v>481</v>
      </c>
    </row>
    <row r="6" spans="2:26" ht="16.2" thickBot="1">
      <c r="B6" s="216" t="s">
        <v>3</v>
      </c>
      <c r="C6" s="214">
        <v>44371</v>
      </c>
      <c r="D6" s="215">
        <v>38661</v>
      </c>
      <c r="E6" s="215">
        <v>37113</v>
      </c>
      <c r="F6" s="214">
        <v>31231</v>
      </c>
      <c r="G6" s="214">
        <v>34192</v>
      </c>
      <c r="H6" s="218">
        <v>39062</v>
      </c>
      <c r="I6" s="223"/>
      <c r="J6" s="218">
        <v>60648</v>
      </c>
      <c r="K6" s="218">
        <v>56251</v>
      </c>
      <c r="L6" s="226"/>
      <c r="M6" s="226"/>
      <c r="N6" s="214">
        <v>44478</v>
      </c>
      <c r="O6" s="223"/>
      <c r="P6" s="214">
        <v>71747</v>
      </c>
      <c r="Q6" s="214"/>
      <c r="R6" s="214">
        <v>35465</v>
      </c>
      <c r="S6" s="218">
        <v>29515</v>
      </c>
      <c r="T6" s="218">
        <v>46868</v>
      </c>
      <c r="U6" s="214">
        <v>514088</v>
      </c>
      <c r="V6" s="214">
        <v>626211</v>
      </c>
      <c r="W6" s="228"/>
      <c r="X6" s="214">
        <v>82221</v>
      </c>
      <c r="Y6" s="214">
        <v>56311</v>
      </c>
      <c r="Z6" s="214">
        <v>30000</v>
      </c>
    </row>
    <row r="7" spans="2:26" ht="16.2" thickBot="1">
      <c r="B7" s="217" t="s">
        <v>6</v>
      </c>
      <c r="C7" s="212">
        <v>42692</v>
      </c>
      <c r="D7" s="212">
        <v>38596</v>
      </c>
      <c r="E7" s="212">
        <v>40333</v>
      </c>
      <c r="F7" s="212">
        <v>32226</v>
      </c>
      <c r="G7" s="212">
        <v>31945</v>
      </c>
      <c r="H7" s="223"/>
      <c r="I7" s="219"/>
      <c r="J7" s="223"/>
      <c r="K7" s="223"/>
      <c r="L7" s="223"/>
      <c r="M7" s="223"/>
      <c r="N7" s="212">
        <v>44714</v>
      </c>
      <c r="O7" s="212">
        <v>32782</v>
      </c>
      <c r="P7" s="212"/>
      <c r="Q7" s="212">
        <v>33620</v>
      </c>
      <c r="R7" s="212">
        <v>38550</v>
      </c>
      <c r="S7" s="223"/>
      <c r="T7" s="223"/>
      <c r="U7" s="212">
        <v>503053</v>
      </c>
      <c r="V7" s="212">
        <v>690930</v>
      </c>
      <c r="W7" s="212">
        <v>247688</v>
      </c>
      <c r="X7" s="212">
        <v>84605</v>
      </c>
      <c r="Y7" s="212">
        <v>58467</v>
      </c>
      <c r="Z7" s="212">
        <v>28715</v>
      </c>
    </row>
    <row r="8" spans="2:26" ht="16.2" thickBot="1">
      <c r="B8" s="217" t="s">
        <v>91</v>
      </c>
      <c r="C8" s="212">
        <v>57455</v>
      </c>
      <c r="D8" s="212">
        <v>52087</v>
      </c>
      <c r="E8" s="212">
        <v>60001</v>
      </c>
      <c r="F8" s="212">
        <v>43139</v>
      </c>
      <c r="G8" s="212"/>
      <c r="H8" s="220">
        <v>65928</v>
      </c>
      <c r="I8" s="224">
        <v>165637</v>
      </c>
      <c r="J8" s="219"/>
      <c r="K8" s="219"/>
      <c r="L8" s="220">
        <v>354878</v>
      </c>
      <c r="M8" s="219"/>
      <c r="N8" s="212">
        <v>77922</v>
      </c>
      <c r="O8" s="212">
        <v>54643</v>
      </c>
      <c r="P8" s="212">
        <v>94711</v>
      </c>
      <c r="Q8" s="212"/>
      <c r="R8" s="212"/>
      <c r="S8" s="219"/>
      <c r="T8" s="219"/>
      <c r="U8" s="212">
        <v>551801</v>
      </c>
      <c r="V8" s="212">
        <v>704771</v>
      </c>
      <c r="W8" s="212">
        <v>302129</v>
      </c>
      <c r="X8" s="212">
        <v>113019</v>
      </c>
      <c r="Y8" s="212">
        <v>77102</v>
      </c>
      <c r="Z8" s="212">
        <v>41665</v>
      </c>
    </row>
    <row r="9" spans="2:26" ht="16.2" thickBot="1">
      <c r="B9" s="217" t="s">
        <v>335</v>
      </c>
      <c r="C9" s="212"/>
      <c r="D9" s="212"/>
      <c r="E9" s="212"/>
      <c r="F9" s="212"/>
      <c r="G9" s="212"/>
      <c r="H9" s="223"/>
      <c r="I9" s="219"/>
      <c r="J9" s="223"/>
      <c r="K9" s="223"/>
      <c r="L9" s="223"/>
      <c r="M9" s="223"/>
      <c r="N9" s="212"/>
      <c r="O9" s="212"/>
      <c r="P9" s="212"/>
      <c r="Q9" s="212"/>
      <c r="R9" s="212"/>
      <c r="S9" s="223"/>
      <c r="T9" s="223"/>
      <c r="U9" s="212">
        <v>522688</v>
      </c>
      <c r="V9" s="212">
        <v>619640</v>
      </c>
      <c r="W9" s="212">
        <v>260993</v>
      </c>
      <c r="X9" s="212">
        <v>124540</v>
      </c>
      <c r="Y9" s="212"/>
      <c r="Z9" s="212"/>
    </row>
    <row r="10" spans="2:26" ht="16.2" thickBot="1">
      <c r="B10" s="217" t="s">
        <v>7</v>
      </c>
      <c r="C10" s="212">
        <v>46208</v>
      </c>
      <c r="D10" s="212">
        <v>42383</v>
      </c>
      <c r="E10" s="212">
        <v>40836</v>
      </c>
      <c r="F10" s="212">
        <v>34446</v>
      </c>
      <c r="G10" s="212">
        <v>38198</v>
      </c>
      <c r="H10" s="220">
        <v>43127</v>
      </c>
      <c r="I10" s="224">
        <v>142658</v>
      </c>
      <c r="J10" s="220">
        <v>60971</v>
      </c>
      <c r="K10" s="219"/>
      <c r="L10" s="219"/>
      <c r="M10" s="219"/>
      <c r="N10" s="212">
        <v>46947</v>
      </c>
      <c r="O10" s="212">
        <v>36432</v>
      </c>
      <c r="P10" s="212">
        <v>76034</v>
      </c>
      <c r="Q10" s="212"/>
      <c r="R10" s="212">
        <v>34953</v>
      </c>
      <c r="S10" s="219"/>
      <c r="T10" s="219"/>
      <c r="U10" s="212">
        <v>523101</v>
      </c>
      <c r="V10" s="212">
        <v>631985</v>
      </c>
      <c r="W10" s="212">
        <v>270402</v>
      </c>
      <c r="X10" s="212">
        <v>87333</v>
      </c>
      <c r="Y10" s="212">
        <v>57894</v>
      </c>
      <c r="Z10" s="212">
        <v>37762</v>
      </c>
    </row>
    <row r="11" spans="2:26" ht="16.2" thickBot="1">
      <c r="B11" s="217" t="s">
        <v>92</v>
      </c>
      <c r="C11" s="212">
        <v>56901</v>
      </c>
      <c r="D11" s="212">
        <v>53421</v>
      </c>
      <c r="E11" s="212"/>
      <c r="F11" s="212">
        <v>41390</v>
      </c>
      <c r="G11" s="212"/>
      <c r="H11" s="223"/>
      <c r="I11" s="220">
        <v>155637</v>
      </c>
      <c r="J11" s="223"/>
      <c r="K11" s="223"/>
      <c r="L11" s="224">
        <v>349653</v>
      </c>
      <c r="M11" s="223"/>
      <c r="N11" s="212">
        <v>78564</v>
      </c>
      <c r="O11" s="212">
        <v>53907</v>
      </c>
      <c r="P11" s="212">
        <v>84185</v>
      </c>
      <c r="Q11" s="212">
        <v>33858</v>
      </c>
      <c r="R11" s="212"/>
      <c r="S11" s="223"/>
      <c r="T11" s="223"/>
      <c r="U11" s="212">
        <v>542963</v>
      </c>
      <c r="V11" s="212">
        <v>737720</v>
      </c>
      <c r="W11" s="212">
        <v>293848</v>
      </c>
      <c r="X11" s="212">
        <v>110579</v>
      </c>
      <c r="Y11" s="212">
        <v>61109</v>
      </c>
      <c r="Z11" s="212">
        <v>42725</v>
      </c>
    </row>
    <row r="12" spans="2:26" ht="16.2" thickBot="1">
      <c r="B12" s="217" t="s">
        <v>5</v>
      </c>
      <c r="C12" s="212">
        <v>41538</v>
      </c>
      <c r="D12" s="212">
        <v>37148</v>
      </c>
      <c r="E12" s="212">
        <v>35909</v>
      </c>
      <c r="F12" s="212">
        <v>30693</v>
      </c>
      <c r="G12" s="212">
        <v>29681</v>
      </c>
      <c r="H12" s="219"/>
      <c r="I12" s="223"/>
      <c r="J12" s="219"/>
      <c r="K12" s="219"/>
      <c r="L12" s="219"/>
      <c r="M12" s="219"/>
      <c r="N12" s="212">
        <v>42904</v>
      </c>
      <c r="O12" s="212">
        <v>35879</v>
      </c>
      <c r="P12" s="212"/>
      <c r="Q12" s="212"/>
      <c r="R12" s="212">
        <v>36139</v>
      </c>
      <c r="S12" s="220">
        <v>30303</v>
      </c>
      <c r="T12" s="220">
        <v>51686</v>
      </c>
      <c r="U12" s="212">
        <v>514555</v>
      </c>
      <c r="V12" s="212">
        <v>715069</v>
      </c>
      <c r="W12" s="212">
        <v>273282</v>
      </c>
      <c r="X12" s="212">
        <v>80732</v>
      </c>
      <c r="Y12" s="212">
        <v>58795</v>
      </c>
      <c r="Z12" s="212">
        <v>30046</v>
      </c>
    </row>
    <row r="13" spans="2:26" ht="16.2" thickBot="1">
      <c r="B13" s="217" t="s">
        <v>77</v>
      </c>
      <c r="C13" s="212">
        <v>43997</v>
      </c>
      <c r="D13" s="212">
        <v>39131</v>
      </c>
      <c r="E13" s="212">
        <v>38158</v>
      </c>
      <c r="F13" s="212"/>
      <c r="G13" s="212"/>
      <c r="H13" s="223"/>
      <c r="I13" s="220">
        <v>146719</v>
      </c>
      <c r="J13" s="223"/>
      <c r="K13" s="223"/>
      <c r="L13" s="223"/>
      <c r="M13" s="223"/>
      <c r="N13" s="212">
        <v>43378</v>
      </c>
      <c r="O13" s="212">
        <v>36810</v>
      </c>
      <c r="P13" s="212"/>
      <c r="Q13" s="212"/>
      <c r="R13" s="212">
        <v>38359</v>
      </c>
      <c r="S13" s="224">
        <v>31799</v>
      </c>
      <c r="T13" s="214">
        <v>48365</v>
      </c>
      <c r="U13" s="212">
        <v>518696</v>
      </c>
      <c r="V13" s="212">
        <v>617211</v>
      </c>
      <c r="W13" s="212">
        <v>262549</v>
      </c>
      <c r="X13" s="212">
        <v>93417</v>
      </c>
      <c r="Y13" s="212">
        <v>61755</v>
      </c>
      <c r="Z13" s="212">
        <v>26192</v>
      </c>
    </row>
    <row r="14" spans="2:26" ht="16.2" thickBot="1">
      <c r="B14" s="217" t="s">
        <v>2</v>
      </c>
      <c r="C14" s="212">
        <v>46873</v>
      </c>
      <c r="D14" s="212">
        <v>39513</v>
      </c>
      <c r="E14" s="212">
        <v>38546</v>
      </c>
      <c r="F14" s="212">
        <v>32660</v>
      </c>
      <c r="G14" s="212">
        <v>35145</v>
      </c>
      <c r="H14" s="220">
        <v>40643</v>
      </c>
      <c r="I14" s="223"/>
      <c r="J14" s="220">
        <v>60681</v>
      </c>
      <c r="K14" s="227">
        <v>56388</v>
      </c>
      <c r="L14" s="219"/>
      <c r="M14" s="219"/>
      <c r="N14" s="212">
        <v>45854</v>
      </c>
      <c r="O14" s="212">
        <v>36713</v>
      </c>
      <c r="P14" s="212">
        <v>75239</v>
      </c>
      <c r="Q14" s="212">
        <v>35160</v>
      </c>
      <c r="R14" s="212">
        <v>36154</v>
      </c>
      <c r="S14" s="220">
        <v>30869</v>
      </c>
      <c r="T14" s="221">
        <v>46238</v>
      </c>
      <c r="U14" s="212">
        <v>512296</v>
      </c>
      <c r="V14" s="212">
        <v>671796</v>
      </c>
      <c r="W14" s="212">
        <v>268827</v>
      </c>
      <c r="X14" s="212">
        <v>116663</v>
      </c>
      <c r="Y14" s="212">
        <v>59462</v>
      </c>
      <c r="Z14" s="212">
        <v>29941</v>
      </c>
    </row>
    <row r="15" spans="2:26" ht="16.2" thickBot="1">
      <c r="B15" s="217" t="s">
        <v>93</v>
      </c>
      <c r="C15" s="212">
        <v>57929</v>
      </c>
      <c r="D15" s="212">
        <v>56324</v>
      </c>
      <c r="E15" s="212"/>
      <c r="F15" s="212">
        <v>42663</v>
      </c>
      <c r="G15" s="212"/>
      <c r="H15" s="223"/>
      <c r="I15" s="220">
        <v>157013</v>
      </c>
      <c r="J15" s="223"/>
      <c r="K15" s="223"/>
      <c r="L15" s="223"/>
      <c r="M15" s="223"/>
      <c r="N15" s="212">
        <v>78284</v>
      </c>
      <c r="O15" s="212">
        <v>55995</v>
      </c>
      <c r="P15" s="212"/>
      <c r="Q15" s="212"/>
      <c r="R15" s="212"/>
      <c r="S15" s="223"/>
      <c r="T15" s="221"/>
      <c r="U15" s="212">
        <v>541277</v>
      </c>
      <c r="V15" s="212">
        <v>653023</v>
      </c>
      <c r="W15" s="212">
        <v>289565</v>
      </c>
      <c r="X15" s="212">
        <v>96681</v>
      </c>
      <c r="Y15" s="212">
        <v>59944</v>
      </c>
      <c r="Z15" s="212"/>
    </row>
    <row r="16" spans="2:26" ht="16.2" thickBot="1">
      <c r="B16" s="217" t="s">
        <v>334</v>
      </c>
      <c r="C16" s="212"/>
      <c r="D16" s="212"/>
      <c r="E16" s="212"/>
      <c r="F16" s="212"/>
      <c r="G16" s="212"/>
      <c r="H16" s="219"/>
      <c r="I16" s="223"/>
      <c r="J16" s="219"/>
      <c r="K16" s="219"/>
      <c r="L16" s="219"/>
      <c r="M16" s="219"/>
      <c r="N16" s="212"/>
      <c r="O16" s="212"/>
      <c r="P16" s="212"/>
      <c r="Q16" s="212"/>
      <c r="R16" s="212"/>
      <c r="S16" s="219"/>
      <c r="T16" s="219"/>
      <c r="U16" s="212"/>
      <c r="V16" s="212"/>
      <c r="W16" s="212"/>
      <c r="X16" s="212"/>
      <c r="Y16" s="212"/>
      <c r="Z16" s="212"/>
    </row>
    <row r="17" spans="2:26" ht="16.2" thickBot="1">
      <c r="B17" s="217" t="s">
        <v>4</v>
      </c>
      <c r="C17" s="212">
        <v>46249</v>
      </c>
      <c r="D17" s="212">
        <v>39588</v>
      </c>
      <c r="E17" s="212">
        <v>38088</v>
      </c>
      <c r="F17" s="212">
        <v>32643</v>
      </c>
      <c r="G17" s="212">
        <v>33046</v>
      </c>
      <c r="H17" s="224">
        <v>40242</v>
      </c>
      <c r="I17" s="219"/>
      <c r="J17" s="224">
        <v>58379</v>
      </c>
      <c r="K17" s="223"/>
      <c r="L17" s="223"/>
      <c r="M17" s="223"/>
      <c r="N17" s="212">
        <v>44977</v>
      </c>
      <c r="O17" s="212"/>
      <c r="P17" s="212">
        <v>73468</v>
      </c>
      <c r="Q17" s="212">
        <v>35211</v>
      </c>
      <c r="R17" s="212">
        <v>36913</v>
      </c>
      <c r="S17" s="224">
        <v>30980</v>
      </c>
      <c r="T17" s="224">
        <v>40469</v>
      </c>
      <c r="U17" s="212">
        <v>515335</v>
      </c>
      <c r="V17" s="212">
        <v>662461</v>
      </c>
      <c r="W17" s="212">
        <v>269352</v>
      </c>
      <c r="X17" s="212">
        <v>123477</v>
      </c>
      <c r="Y17" s="212">
        <v>58002</v>
      </c>
      <c r="Z17" s="212">
        <v>28418</v>
      </c>
    </row>
    <row r="18" spans="2:26" ht="16.2" thickBot="1">
      <c r="B18" s="217" t="s">
        <v>1</v>
      </c>
      <c r="C18" s="212">
        <v>48829</v>
      </c>
      <c r="D18" s="212">
        <v>40155</v>
      </c>
      <c r="E18" s="212">
        <v>38625</v>
      </c>
      <c r="F18" s="212"/>
      <c r="G18" s="212">
        <v>35175</v>
      </c>
      <c r="H18" s="221">
        <v>43754</v>
      </c>
      <c r="I18" s="223"/>
      <c r="J18" s="220">
        <v>59909</v>
      </c>
      <c r="K18" s="220">
        <v>56584</v>
      </c>
      <c r="L18" s="220">
        <v>347248</v>
      </c>
      <c r="M18" s="219"/>
      <c r="N18" s="212">
        <v>45986</v>
      </c>
      <c r="O18" s="212"/>
      <c r="P18" s="212">
        <v>77276</v>
      </c>
      <c r="Q18" s="212">
        <v>35471</v>
      </c>
      <c r="R18" s="212">
        <v>37034</v>
      </c>
      <c r="S18" s="224">
        <v>30572</v>
      </c>
      <c r="T18" s="224">
        <v>45807</v>
      </c>
      <c r="U18" s="212">
        <v>517040</v>
      </c>
      <c r="V18" s="212">
        <v>690613</v>
      </c>
      <c r="W18" s="212"/>
      <c r="X18" s="212">
        <v>119585</v>
      </c>
      <c r="Y18" s="212">
        <v>58017</v>
      </c>
      <c r="Z18" s="212">
        <v>33450</v>
      </c>
    </row>
    <row r="19" spans="2:26" ht="16.2" thickBot="1">
      <c r="B19" s="217" t="s">
        <v>383</v>
      </c>
      <c r="C19" s="212">
        <v>56281</v>
      </c>
      <c r="D19" s="212">
        <v>49645</v>
      </c>
      <c r="E19" s="213"/>
      <c r="F19" s="212">
        <v>39363</v>
      </c>
      <c r="G19" s="212"/>
      <c r="H19" s="222"/>
      <c r="I19" s="225">
        <v>163140</v>
      </c>
      <c r="J19" s="223"/>
      <c r="K19" s="223"/>
      <c r="L19" s="224">
        <v>344525</v>
      </c>
      <c r="M19" s="224">
        <v>228715</v>
      </c>
      <c r="N19" s="212">
        <v>73643</v>
      </c>
      <c r="O19" s="212">
        <v>53754</v>
      </c>
      <c r="P19" s="212"/>
      <c r="Q19" s="212"/>
      <c r="R19" s="212"/>
      <c r="S19" s="222"/>
      <c r="T19" s="222"/>
      <c r="U19" s="212">
        <v>538208</v>
      </c>
      <c r="V19" s="212">
        <v>739592</v>
      </c>
      <c r="W19" s="212">
        <v>294071</v>
      </c>
      <c r="X19" s="212">
        <v>107919</v>
      </c>
      <c r="Y19" s="212">
        <v>55075</v>
      </c>
      <c r="Z19" s="212">
        <v>43009</v>
      </c>
    </row>
    <row r="24" spans="2:26">
      <c r="E24" t="s">
        <v>482</v>
      </c>
    </row>
  </sheetData>
  <sheetProtection algorithmName="SHA-512" hashValue="iOXEksKtx24x0MoDaBqVjhTJNjom4OvPAJck+FbjReo586jSu9XP5EOjJy88BGwphvbiptrZTMY4haE6rkPBMw==" saltValue="7yEiKW6kg+Kjg4re0jN0hw==" spinCount="100000" sheet="1"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
  <dimension ref="A1:BR157"/>
  <sheetViews>
    <sheetView showGridLines="0" view="pageBreakPreview" topLeftCell="A52" zoomScale="75" zoomScaleNormal="100" zoomScaleSheetLayoutView="75" workbookViewId="0">
      <selection activeCell="H64" sqref="H64:I64"/>
    </sheetView>
  </sheetViews>
  <sheetFormatPr defaultColWidth="9.109375" defaultRowHeight="13.2"/>
  <cols>
    <col min="1" max="1" width="3.33203125" style="45" customWidth="1" collapsed="1"/>
    <col min="2" max="2" width="9.109375" style="45" collapsed="1"/>
    <col min="3" max="3" width="32" style="45" customWidth="1" collapsed="1"/>
    <col min="4" max="4" width="8" style="45" customWidth="1" collapsed="1"/>
    <col min="5" max="5" width="10.5546875" style="45" bestFit="1" customWidth="1" collapsed="1"/>
    <col min="6" max="6" width="8.44140625" style="45" customWidth="1" collapsed="1"/>
    <col min="7" max="7" width="14" style="45" bestFit="1" customWidth="1" collapsed="1"/>
    <col min="8" max="8" width="8.109375" style="45" customWidth="1" collapsed="1"/>
    <col min="9" max="9" width="15.109375" style="45" customWidth="1" collapsed="1"/>
    <col min="10" max="10" width="9" style="45" customWidth="1" collapsed="1"/>
    <col min="11" max="11" width="9.109375" style="45" customWidth="1" collapsed="1"/>
    <col min="12" max="12" width="9.33203125" style="45" customWidth="1" collapsed="1"/>
    <col min="13" max="13" width="8.109375" style="45" bestFit="1" customWidth="1" collapsed="1"/>
    <col min="14" max="14" width="8.5546875" style="45" customWidth="1" collapsed="1"/>
    <col min="15" max="15" width="4.5546875" style="45" customWidth="1" collapsed="1"/>
    <col min="16" max="16" width="12.33203125" style="45" customWidth="1" collapsed="1"/>
    <col min="17" max="18" width="9.109375" style="45" collapsed="1"/>
    <col min="19" max="19" width="11.88671875" style="45" bestFit="1" customWidth="1" collapsed="1"/>
    <col min="20" max="20" width="12.88671875" style="45" bestFit="1" customWidth="1" collapsed="1"/>
    <col min="21" max="69" width="9.109375" style="45" collapsed="1"/>
    <col min="70" max="70" width="9.109375" style="45"/>
    <col min="71" max="16384" width="9.109375" style="45" collapsed="1"/>
  </cols>
  <sheetData>
    <row r="1" spans="1:17" s="6" customFormat="1"/>
    <row r="2" spans="1:17" s="6" customFormat="1" ht="15" customHeight="1">
      <c r="A2" s="46"/>
      <c r="B2" s="47"/>
      <c r="C2" s="48"/>
      <c r="D2" s="48"/>
      <c r="E2" s="48"/>
      <c r="F2" s="48"/>
      <c r="G2" s="48"/>
      <c r="H2" s="48"/>
      <c r="I2" s="48"/>
      <c r="J2" s="48"/>
      <c r="K2" s="48"/>
      <c r="L2" s="48"/>
      <c r="M2" s="49"/>
      <c r="N2" s="49"/>
      <c r="O2" s="49"/>
      <c r="P2" s="50"/>
    </row>
    <row r="3" spans="1:17" s="6" customFormat="1" ht="15" customHeight="1">
      <c r="A3" s="51"/>
      <c r="B3" s="7"/>
      <c r="C3" s="8"/>
      <c r="D3" s="8"/>
      <c r="E3" s="8"/>
      <c r="F3" s="8"/>
      <c r="G3" s="8"/>
      <c r="H3" s="8"/>
      <c r="I3" s="8"/>
      <c r="J3" s="8"/>
      <c r="K3" s="8"/>
      <c r="L3" s="8"/>
      <c r="M3" s="8"/>
      <c r="N3" s="8"/>
      <c r="O3" s="8"/>
      <c r="P3" s="52"/>
    </row>
    <row r="4" spans="1:17" s="6" customFormat="1" ht="14.25" customHeight="1">
      <c r="A4" s="51"/>
      <c r="B4" s="7"/>
      <c r="C4" s="8"/>
      <c r="D4" s="9"/>
      <c r="E4" s="9"/>
      <c r="F4" s="9"/>
      <c r="G4" s="9"/>
      <c r="H4" s="9"/>
      <c r="I4" s="9"/>
      <c r="J4" s="9"/>
      <c r="K4" s="12"/>
      <c r="L4" s="9"/>
      <c r="M4" s="11"/>
      <c r="N4" s="10"/>
      <c r="O4" s="10"/>
      <c r="P4" s="52"/>
    </row>
    <row r="5" spans="1:17" s="6" customFormat="1" ht="17.25" customHeight="1">
      <c r="A5" s="51"/>
      <c r="B5" s="7"/>
      <c r="C5" s="13" t="s">
        <v>85</v>
      </c>
      <c r="D5" s="766" t="s">
        <v>240</v>
      </c>
      <c r="E5" s="767"/>
      <c r="F5" s="767"/>
      <c r="G5" s="767"/>
      <c r="H5" s="768"/>
      <c r="I5" s="10"/>
      <c r="J5" s="14"/>
      <c r="K5" s="15"/>
      <c r="L5" s="15" t="s">
        <v>87</v>
      </c>
      <c r="M5" s="749">
        <v>42976</v>
      </c>
      <c r="N5" s="749"/>
      <c r="O5" s="749"/>
      <c r="P5" s="52"/>
    </row>
    <row r="6" spans="1:17" s="6" customFormat="1" ht="17.25" customHeight="1">
      <c r="A6" s="51"/>
      <c r="B6" s="7"/>
      <c r="C6" s="16"/>
      <c r="D6" s="9"/>
      <c r="E6" s="9"/>
      <c r="F6" s="9"/>
      <c r="G6" s="9"/>
      <c r="H6" s="9"/>
      <c r="I6" s="9"/>
      <c r="J6" s="10"/>
      <c r="K6" s="10"/>
      <c r="L6" s="11"/>
      <c r="M6" s="10"/>
      <c r="N6" s="11"/>
      <c r="O6" s="10"/>
      <c r="P6" s="52"/>
    </row>
    <row r="7" spans="1:17" s="6" customFormat="1" ht="17.25" customHeight="1">
      <c r="A7" s="51"/>
      <c r="B7" s="7"/>
      <c r="C7" s="14" t="s">
        <v>8</v>
      </c>
      <c r="D7" s="750">
        <v>1</v>
      </c>
      <c r="E7" s="750"/>
      <c r="F7" s="750"/>
      <c r="G7" s="750"/>
      <c r="H7" s="750"/>
      <c r="I7" s="79"/>
      <c r="J7" s="79"/>
      <c r="K7" s="79"/>
      <c r="L7" s="73" t="s">
        <v>253</v>
      </c>
      <c r="M7" s="751">
        <v>101169507300.96001</v>
      </c>
      <c r="N7" s="751"/>
      <c r="O7" s="751"/>
      <c r="P7" s="53"/>
      <c r="Q7" s="17"/>
    </row>
    <row r="8" spans="1:17" s="6" customFormat="1" ht="17.25" customHeight="1">
      <c r="A8" s="51"/>
      <c r="B8" s="7"/>
      <c r="C8" s="14"/>
      <c r="D8" s="18"/>
      <c r="E8" s="18"/>
      <c r="F8" s="18"/>
      <c r="G8" s="9"/>
      <c r="H8" s="9"/>
      <c r="I8" s="27"/>
      <c r="J8" s="28"/>
      <c r="K8" s="28"/>
      <c r="L8" s="74" t="s">
        <v>254</v>
      </c>
      <c r="M8" s="11"/>
      <c r="N8" s="10"/>
      <c r="O8" s="11"/>
      <c r="P8" s="53"/>
      <c r="Q8" s="17"/>
    </row>
    <row r="9" spans="1:17" s="6" customFormat="1" ht="17.25" customHeight="1">
      <c r="A9" s="51"/>
      <c r="B9" s="7"/>
      <c r="C9" s="19" t="s">
        <v>9</v>
      </c>
      <c r="D9" s="750">
        <v>3</v>
      </c>
      <c r="E9" s="750"/>
      <c r="F9" s="750"/>
      <c r="G9" s="750"/>
      <c r="H9" s="750"/>
      <c r="I9" s="11"/>
      <c r="J9" s="10"/>
      <c r="K9" s="10"/>
      <c r="L9" s="73" t="s">
        <v>265</v>
      </c>
      <c r="M9" s="751"/>
      <c r="N9" s="751"/>
      <c r="O9" s="751"/>
      <c r="P9" s="53"/>
      <c r="Q9" s="17"/>
    </row>
    <row r="10" spans="1:17" s="6" customFormat="1" ht="17.25" customHeight="1">
      <c r="A10" s="51"/>
      <c r="B10" s="7"/>
      <c r="C10" s="20"/>
      <c r="D10" s="18"/>
      <c r="E10" s="18"/>
      <c r="F10" s="18"/>
      <c r="G10" s="9"/>
      <c r="H10" s="9"/>
      <c r="I10" s="756" t="s">
        <v>339</v>
      </c>
      <c r="J10" s="756"/>
      <c r="K10" s="756"/>
      <c r="L10" s="756"/>
      <c r="M10" s="757">
        <f>M7*0.02%</f>
        <v>20233901.460192002</v>
      </c>
      <c r="N10" s="758"/>
      <c r="O10" s="759"/>
      <c r="P10" s="53"/>
      <c r="Q10" s="17"/>
    </row>
    <row r="11" spans="1:17" s="6" customFormat="1" ht="17.25" customHeight="1">
      <c r="A11" s="51"/>
      <c r="B11" s="7"/>
      <c r="C11" s="19" t="s">
        <v>249</v>
      </c>
      <c r="D11" s="750">
        <v>2</v>
      </c>
      <c r="E11" s="750"/>
      <c r="F11" s="750"/>
      <c r="G11" s="750"/>
      <c r="H11" s="750"/>
      <c r="I11" s="752"/>
      <c r="J11" s="752"/>
      <c r="K11" s="752"/>
      <c r="L11" s="752"/>
      <c r="M11" s="752"/>
      <c r="N11" s="752"/>
      <c r="O11" s="752"/>
      <c r="P11" s="753"/>
      <c r="Q11" s="17"/>
    </row>
    <row r="12" spans="1:17" s="6" customFormat="1" ht="17.25" customHeight="1">
      <c r="A12" s="51"/>
      <c r="B12" s="7"/>
      <c r="C12" s="20"/>
      <c r="D12" s="18"/>
      <c r="E12" s="18"/>
      <c r="F12" s="18"/>
      <c r="G12" s="9"/>
      <c r="H12" s="9"/>
      <c r="I12" s="754"/>
      <c r="J12" s="754"/>
      <c r="K12" s="754"/>
      <c r="L12" s="754"/>
      <c r="M12" s="754"/>
      <c r="N12" s="754"/>
      <c r="O12" s="754"/>
      <c r="P12" s="755"/>
      <c r="Q12" s="17"/>
    </row>
    <row r="13" spans="1:17" s="6" customFormat="1" ht="15.6">
      <c r="A13" s="51"/>
      <c r="B13" s="7"/>
      <c r="C13" s="19" t="s">
        <v>90</v>
      </c>
      <c r="D13" s="75">
        <v>5</v>
      </c>
      <c r="E13" s="10"/>
      <c r="F13" s="10"/>
      <c r="G13" s="10"/>
      <c r="H13" s="73" t="s">
        <v>255</v>
      </c>
      <c r="I13" s="770" t="s">
        <v>260</v>
      </c>
      <c r="J13" s="771"/>
      <c r="K13" s="771"/>
      <c r="L13" s="771"/>
      <c r="M13" s="771"/>
      <c r="N13" s="771"/>
      <c r="O13" s="771"/>
      <c r="P13" s="772"/>
      <c r="Q13" s="17"/>
    </row>
    <row r="14" spans="1:17" s="6" customFormat="1" ht="13.8">
      <c r="A14" s="51"/>
      <c r="B14" s="7"/>
      <c r="C14" s="20" t="s">
        <v>158</v>
      </c>
      <c r="D14" s="18"/>
      <c r="E14" s="22"/>
      <c r="F14" s="22"/>
      <c r="G14" s="9"/>
      <c r="H14" s="9"/>
      <c r="I14" s="773"/>
      <c r="J14" s="774"/>
      <c r="K14" s="774"/>
      <c r="L14" s="774"/>
      <c r="M14" s="774"/>
      <c r="N14" s="774"/>
      <c r="O14" s="774"/>
      <c r="P14" s="775"/>
      <c r="Q14" s="17"/>
    </row>
    <row r="15" spans="1:17" s="6" customFormat="1" ht="11.25" customHeight="1">
      <c r="A15" s="51"/>
      <c r="B15" s="7"/>
      <c r="C15" s="20"/>
      <c r="D15" s="18"/>
      <c r="E15" s="22"/>
      <c r="F15" s="22"/>
      <c r="G15" s="9"/>
      <c r="H15" s="9"/>
      <c r="I15" s="776"/>
      <c r="J15" s="777"/>
      <c r="K15" s="777"/>
      <c r="L15" s="777"/>
      <c r="M15" s="777"/>
      <c r="N15" s="777"/>
      <c r="O15" s="777"/>
      <c r="P15" s="778"/>
      <c r="Q15" s="17"/>
    </row>
    <row r="16" spans="1:17" s="6" customFormat="1" ht="4.5" customHeight="1">
      <c r="A16" s="51"/>
      <c r="B16" s="7"/>
      <c r="C16" s="20"/>
      <c r="D16" s="18"/>
      <c r="E16" s="22"/>
      <c r="F16" s="22"/>
      <c r="G16" s="9"/>
      <c r="H16" s="9"/>
      <c r="I16" s="9"/>
      <c r="J16" s="9"/>
      <c r="K16" s="9"/>
      <c r="L16" s="9"/>
      <c r="M16" s="9"/>
      <c r="N16" s="9"/>
      <c r="O16" s="9"/>
      <c r="P16" s="9"/>
      <c r="Q16" s="17"/>
    </row>
    <row r="17" spans="1:24" s="32" customFormat="1" ht="22.5" customHeight="1">
      <c r="A17" s="54"/>
      <c r="B17" s="23"/>
      <c r="C17" s="24" t="s">
        <v>228</v>
      </c>
      <c r="D17" s="25"/>
      <c r="E17" s="26"/>
      <c r="F17" s="26"/>
      <c r="G17" s="27"/>
      <c r="H17" s="27"/>
      <c r="I17" s="24" t="s">
        <v>229</v>
      </c>
      <c r="J17" s="28"/>
      <c r="K17" s="29"/>
      <c r="L17" s="28"/>
      <c r="M17" s="27"/>
      <c r="N17" s="28"/>
      <c r="O17" s="30"/>
      <c r="P17" s="55"/>
      <c r="Q17" s="31"/>
    </row>
    <row r="18" spans="1:24" s="6" customFormat="1" ht="17.25" customHeight="1">
      <c r="A18" s="51"/>
      <c r="B18" s="7"/>
      <c r="C18" s="33" t="s">
        <v>230</v>
      </c>
      <c r="D18" s="18"/>
      <c r="E18" s="781">
        <v>10000000</v>
      </c>
      <c r="F18" s="782"/>
      <c r="G18" s="783"/>
      <c r="H18" s="9"/>
      <c r="I18" s="16" t="s">
        <v>166</v>
      </c>
      <c r="J18" s="9"/>
      <c r="K18" s="9"/>
      <c r="L18" s="16" t="s">
        <v>167</v>
      </c>
      <c r="M18" s="9"/>
      <c r="N18" s="10"/>
      <c r="O18" s="16" t="s">
        <v>256</v>
      </c>
      <c r="P18" s="53"/>
      <c r="Q18" s="17"/>
      <c r="R18" s="88"/>
    </row>
    <row r="19" spans="1:24" s="6" customFormat="1" ht="12" customHeight="1">
      <c r="A19" s="51"/>
      <c r="B19" s="7"/>
      <c r="C19" s="33"/>
      <c r="D19" s="18"/>
      <c r="E19" s="22"/>
      <c r="F19" s="22"/>
      <c r="G19" s="9"/>
      <c r="H19" s="9"/>
      <c r="I19" s="16"/>
      <c r="J19" s="9"/>
      <c r="K19" s="9"/>
      <c r="L19" s="16"/>
      <c r="M19" s="9"/>
      <c r="N19" s="10"/>
      <c r="O19" s="16"/>
      <c r="P19" s="53"/>
      <c r="Q19" s="17"/>
      <c r="T19" s="88"/>
    </row>
    <row r="20" spans="1:24" s="6" customFormat="1" ht="16.5" customHeight="1">
      <c r="A20" s="51"/>
      <c r="B20" s="7"/>
      <c r="C20" s="33" t="s">
        <v>232</v>
      </c>
      <c r="D20" s="20"/>
      <c r="E20" s="760">
        <f>E18*(100-E25)/100</f>
        <v>8500000</v>
      </c>
      <c r="F20" s="761"/>
      <c r="G20" s="762"/>
      <c r="H20" s="9"/>
      <c r="I20" s="83">
        <v>14</v>
      </c>
      <c r="J20" s="4">
        <f>IFERROR(CHOOSE(РАЙОН,'урожайность (к удалению)'!B5,'урожайность (к удалению)'!B6,'урожайность (к удалению)'!B7,'урожайность (к удалению)'!B8,'урожайность (к удалению)'!B9,'урожайность (к удалению)'!B10,'урожайность (к удалению)'!B11,'урожайность (к удалению)'!B12,'урожайность (к удалению)'!B13,'урожайность (к удалению)'!B14,'урожайность (к удалению)'!B15,'урожайность (к удалению)'!B16,'урожайность (к удалению)'!B17,'урожайность (к удалению)'!B18,'урожайность (к удалению)'!B19,'урожайность (к удалению)'!B20,'урожайность (к удалению)'!B21,'урожайность (к удалению)'!B22,'урожайность (к удалению)'!B23,'урожайность (к удалению)'!B24),0)</f>
        <v>5.60792</v>
      </c>
      <c r="K20" s="9"/>
      <c r="L20" s="747"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0" s="748"/>
      <c r="N20" s="4">
        <f>IF(AVERAGE(J48,L48,N48)=0,0,AVERAGEA(J48,L48,N48))</f>
        <v>15</v>
      </c>
      <c r="O20" s="11"/>
      <c r="P20" s="56">
        <f>AVERAGE(J20,N20)</f>
        <v>10.30396</v>
      </c>
      <c r="Q20" s="85"/>
      <c r="R20" s="87"/>
      <c r="S20" s="87"/>
      <c r="T20" s="87"/>
      <c r="U20" s="87"/>
      <c r="V20" s="87"/>
      <c r="X20" s="87"/>
    </row>
    <row r="21" spans="1:24" s="6" customFormat="1" ht="8.25" customHeight="1">
      <c r="A21" s="51"/>
      <c r="B21" s="7"/>
      <c r="C21" s="67" t="s">
        <v>94</v>
      </c>
      <c r="D21" s="18"/>
      <c r="E21" s="22"/>
      <c r="F21" s="22"/>
      <c r="G21" s="9"/>
      <c r="H21" s="9"/>
      <c r="I21" s="16"/>
      <c r="J21" s="9"/>
      <c r="K21" s="9"/>
      <c r="L21" s="779"/>
      <c r="M21" s="780"/>
      <c r="N21" s="9"/>
      <c r="O21" s="11"/>
      <c r="P21" s="53"/>
      <c r="Q21" s="17"/>
    </row>
    <row r="22" spans="1:24" s="6" customFormat="1" ht="16.5" customHeight="1">
      <c r="A22" s="51"/>
      <c r="B22" s="7"/>
      <c r="C22" s="33" t="s">
        <v>263</v>
      </c>
      <c r="D22" s="80">
        <f>IF(OR(D11=1,D11=4,D11=3),'Доходы раст-во (для сведения)'!C3,'Доходы раст-во (для сведения)'!D3)</f>
        <v>7</v>
      </c>
      <c r="E22" s="781">
        <v>7</v>
      </c>
      <c r="F22" s="782"/>
      <c r="G22" s="783"/>
      <c r="H22" s="9"/>
      <c r="I22" s="83">
        <v>3</v>
      </c>
      <c r="J22" s="4">
        <f>IFERROR(CHOOSE(РАЙОН,'урожайность (к удалению)'!C5,'урожайность (к удалению)'!C6,'урожайность (к удалению)'!C7,'урожайность (к удалению)'!C8,'урожайность (к удалению)'!C9,'урожайность (к удалению)'!C10,'урожайность (к удалению)'!C11,'урожайность (к удалению)'!C12,'урожайность (к удалению)'!C13,'урожайность (к удалению)'!C14,'урожайность (к удалению)'!C15,'урожайность (к удалению)'!C16,'урожайность (к удалению)'!C17,'урожайность (к удалению)'!C18,'урожайность (к удалению)'!C19,'урожайность (к удалению)'!C20,'урожайность (к удалению)'!C21,'урожайность (к удалению)'!C22,'урожайность (к удалению)'!C23,'урожайность (к удалению)'!C24),0)</f>
        <v>8.3679900000000007</v>
      </c>
      <c r="K22" s="9"/>
      <c r="L22" s="747"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2" s="748"/>
      <c r="N22" s="4">
        <f>IF(AVERAGE(J50,L50,N50)=0,0,AVERAGEA(J50,L50,N50))</f>
        <v>15</v>
      </c>
      <c r="O22" s="11"/>
      <c r="P22" s="56">
        <f>AVERAGE(J22,N22)</f>
        <v>11.683994999999999</v>
      </c>
      <c r="Q22" s="17"/>
    </row>
    <row r="23" spans="1:24" s="6" customFormat="1" ht="14.25" customHeight="1">
      <c r="A23" s="51"/>
      <c r="B23" s="7"/>
      <c r="C23" s="33" t="s">
        <v>241</v>
      </c>
      <c r="D23" s="18"/>
      <c r="E23" s="760">
        <f>E18-E20</f>
        <v>1500000</v>
      </c>
      <c r="F23" s="761"/>
      <c r="G23" s="762"/>
      <c r="H23" s="9"/>
      <c r="I23" s="16"/>
      <c r="J23" s="9"/>
      <c r="K23" s="9"/>
      <c r="L23" s="779"/>
      <c r="M23" s="780"/>
      <c r="N23" s="9"/>
      <c r="O23" s="11"/>
      <c r="P23" s="53"/>
      <c r="Q23" s="17"/>
    </row>
    <row r="24" spans="1:24" s="6" customFormat="1" ht="16.5" customHeight="1">
      <c r="A24" s="51"/>
      <c r="B24" s="7"/>
      <c r="C24" s="33" t="s">
        <v>89</v>
      </c>
      <c r="D24" s="18"/>
      <c r="E24" s="763">
        <f>'Доходы раст-во (для сведения)'!B4</f>
        <v>0.14499999999999999</v>
      </c>
      <c r="F24" s="764"/>
      <c r="G24" s="765"/>
      <c r="H24" s="9"/>
      <c r="I24" s="83">
        <v>8</v>
      </c>
      <c r="J24" s="4">
        <f>IFERROR(CHOOSE(РАЙОН,'урожайность (к удалению)'!D5,'урожайность (к удалению)'!D6,'урожайность (к удалению)'!D7,'урожайность (к удалению)'!D8,'урожайность (к удалению)'!D9,'урожайность (к удалению)'!D10,'урожайность (к удалению)'!D11,'урожайность (к удалению)'!D12,'урожайность (к удалению)'!D13,'урожайность (к удалению)'!D14,'урожайность (к удалению)'!D15,'урожайность (к удалению)'!D16,'урожайность (к удалению)'!D17,'урожайность (к удалению)'!D18,'урожайность (к удалению)'!D19,'урожайность (к удалению)'!D20,'урожайность (к удалению)'!D21,'урожайность (к удалению)'!D22,'урожайность (к удалению)'!D23,'урожайность (к удалению)'!D24),0)</f>
        <v>2.1528199999999997</v>
      </c>
      <c r="K24" s="9"/>
      <c r="L24" s="747"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4" s="748"/>
      <c r="N24" s="4">
        <f>IF(AVERAGE(J52,L52,N52)=0,0,AVERAGEA(J52,L52,N52))</f>
        <v>0</v>
      </c>
      <c r="O24" s="11"/>
      <c r="P24" s="56">
        <f>AVERAGE(J24,N24)</f>
        <v>1.0764099999999999</v>
      </c>
      <c r="Q24" s="85"/>
      <c r="R24" s="87"/>
      <c r="S24" s="87"/>
      <c r="T24" s="87"/>
      <c r="U24" s="87"/>
      <c r="V24" s="87"/>
    </row>
    <row r="25" spans="1:24" s="6" customFormat="1" ht="15" customHeight="1">
      <c r="A25" s="51"/>
      <c r="B25" s="7"/>
      <c r="C25" s="33" t="s">
        <v>264</v>
      </c>
      <c r="D25" s="78">
        <f>IF(OR(D11=1,D11=4,D11=3),'Доходы раст-во (для сведения)'!C5,'Доходы раст-во (для сведения)'!D5)</f>
        <v>15</v>
      </c>
      <c r="E25" s="781">
        <v>15</v>
      </c>
      <c r="F25" s="782"/>
      <c r="G25" s="783"/>
      <c r="H25" s="9"/>
      <c r="I25" s="11"/>
      <c r="J25" s="10"/>
      <c r="K25" s="21"/>
      <c r="L25" s="10"/>
      <c r="M25" s="9"/>
      <c r="N25" s="10"/>
      <c r="O25" s="11"/>
      <c r="P25" s="53"/>
    </row>
    <row r="26" spans="1:24" s="6" customFormat="1" ht="16.5" customHeight="1">
      <c r="A26" s="51"/>
      <c r="B26" s="7"/>
      <c r="C26" s="33" t="s">
        <v>242</v>
      </c>
      <c r="D26" s="16"/>
      <c r="E26" s="760">
        <f>E20/E22+E20*E24</f>
        <v>2446785.7142857146</v>
      </c>
      <c r="F26" s="761"/>
      <c r="G26" s="762"/>
      <c r="H26" s="16"/>
      <c r="I26" s="83">
        <v>25</v>
      </c>
      <c r="J26" s="4">
        <f>IFERROR(CHOOSE(РАЙОН,'урожайность (к удалению)'!E5,'урожайность (к удалению)'!E6,'урожайность (к удалению)'!E7,'урожайность (к удалению)'!E8,'урожайность (к удалению)'!E9,'урожайность (к удалению)'!E10,'урожайность (к удалению)'!E11,'урожайность (к удалению)'!E12,'урожайность (к удалению)'!E13,'урожайность (к удалению)'!E14,'урожайность (к удалению)'!E15,'урожайность (к удалению)'!E16,'урожайность (к удалению)'!E17,'урожайность (к удалению)'!E18,'урожайность (к удалению)'!E19,'урожайность (к удалению)'!E20,'урожайность (к удалению)'!E21,'урожайность (к удалению)'!E22,'урожайность (к удалению)'!E23,'урожайность (к удалению)'!E24),0)</f>
        <v>0</v>
      </c>
      <c r="K26" s="9"/>
      <c r="L26" s="747"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6" s="748"/>
      <c r="N26" s="4">
        <f>IF(AVERAGE(J54,L54,N54)=0,0,AVERAGEA(J54,L54,N54))</f>
        <v>0</v>
      </c>
      <c r="O26" s="11"/>
      <c r="P26" s="56">
        <f>AVERAGE(J26,N26)</f>
        <v>0</v>
      </c>
      <c r="Q26" s="86"/>
      <c r="R26" s="87"/>
      <c r="S26" s="87"/>
      <c r="T26" s="87"/>
      <c r="U26" s="87"/>
      <c r="V26" s="87"/>
    </row>
    <row r="27" spans="1:24" s="6" customFormat="1" ht="9.75" customHeight="1">
      <c r="A27" s="51"/>
      <c r="B27" s="7"/>
      <c r="C27" s="16"/>
      <c r="D27" s="16"/>
      <c r="E27" s="16"/>
      <c r="F27" s="16"/>
      <c r="G27" s="16"/>
      <c r="H27" s="16"/>
      <c r="I27" s="16"/>
      <c r="J27" s="16"/>
      <c r="K27" s="16"/>
      <c r="L27" s="16"/>
      <c r="M27" s="9"/>
      <c r="N27" s="10"/>
      <c r="O27" s="11"/>
      <c r="P27" s="53"/>
    </row>
    <row r="28" spans="1:24" s="6" customFormat="1" ht="16.5" customHeight="1">
      <c r="A28" s="51"/>
      <c r="B28" s="7"/>
      <c r="C28" s="16"/>
      <c r="D28" s="16"/>
      <c r="E28" s="16"/>
      <c r="F28" s="16"/>
      <c r="G28" s="16"/>
      <c r="H28" s="16"/>
      <c r="I28" s="83">
        <v>25</v>
      </c>
      <c r="J28" s="4">
        <f>IFERROR(CHOOSE(РАЙОН,'урожайность (к удалению)'!F5,'урожайность (к удалению)'!F6,'урожайность (к удалению)'!F7,'урожайность (к удалению)'!F8,'урожайность (к удалению)'!F9,'урожайность (к удалению)'!F10,'урожайность (к удалению)'!F11,'урожайность (к удалению)'!F12,'урожайность (к удалению)'!F13,'урожайность (к удалению)'!F14,'урожайность (к удалению)'!F15,'урожайность (к удалению)'!F16,'урожайность (к удалению)'!F17,'урожайность (к удалению)'!F18,'урожайность (к удалению)'!F19,'урожайность (к удалению)'!F20,'урожайность (к удалению)'!F21,'урожайность (к удалению)'!F22,'урожайность (к удалению)'!F23,'урожайность (к удалению)'!F24),0)</f>
        <v>0</v>
      </c>
      <c r="K28" s="9"/>
      <c r="L28" s="747"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8" s="748"/>
      <c r="N28" s="4">
        <f>IF(AVERAGE(J56,L56,N56)=0,0,AVERAGEA(J56,L56,N56))</f>
        <v>0</v>
      </c>
      <c r="O28" s="11"/>
      <c r="P28" s="56">
        <f>AVERAGE(J28,N28)</f>
        <v>0</v>
      </c>
    </row>
    <row r="29" spans="1:24" s="6" customFormat="1" ht="7.5" customHeight="1">
      <c r="A29" s="51"/>
      <c r="B29" s="7"/>
      <c r="C29" s="16"/>
      <c r="D29" s="16"/>
      <c r="E29" s="16"/>
      <c r="F29" s="16"/>
      <c r="G29" s="16"/>
      <c r="H29" s="16"/>
      <c r="I29" s="34"/>
      <c r="J29" s="65"/>
      <c r="K29" s="9"/>
      <c r="L29" s="64"/>
      <c r="M29" s="64"/>
      <c r="N29" s="65"/>
      <c r="O29" s="11"/>
      <c r="P29" s="66"/>
    </row>
    <row r="30" spans="1:24" s="6" customFormat="1" ht="16.5" customHeight="1">
      <c r="A30" s="51"/>
      <c r="B30" s="7"/>
      <c r="C30" s="16"/>
      <c r="D30" s="16"/>
      <c r="E30" s="16"/>
      <c r="F30" s="16"/>
      <c r="G30" s="16"/>
      <c r="H30" s="16"/>
      <c r="I30" s="83">
        <v>25</v>
      </c>
      <c r="J30" s="4">
        <f>IFERROR(CHOOSE(РАЙОН,'урожайность (к удалению)'!G5,'урожайность (к удалению)'!G6,'урожайность (к удалению)'!G7,'урожайность (к удалению)'!G8,'урожайность (к удалению)'!G9,'урожайность (к удалению)'!G10,'урожайность (к удалению)'!G11,'урожайность (к удалению)'!G12,'урожайность (к удалению)'!G13,'урожайность (к удалению)'!G14,'урожайность (к удалению)'!G15,'урожайность (к удалению)'!G16,'урожайность (к удалению)'!G17,'урожайность (к удалению)'!G18,'урожайность (к удалению)'!G19,'урожайность (к удалению)'!G20,'урожайность (к удалению)'!G21,'урожайность (к удалению)'!G22,'урожайность (к удалению)'!G23,'урожайность (к удалению)'!G24),0)</f>
        <v>0</v>
      </c>
      <c r="K30" s="9"/>
      <c r="L30" s="747"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0" s="748"/>
      <c r="N30" s="4">
        <f>IF(AVERAGE(J58,L58,N58)=0,0,AVERAGEA(J58,L58,N58))</f>
        <v>0</v>
      </c>
      <c r="O30" s="11"/>
      <c r="P30" s="56">
        <f>AVERAGE(J30,N30)</f>
        <v>0</v>
      </c>
    </row>
    <row r="31" spans="1:24" s="6" customFormat="1" ht="7.5" customHeight="1">
      <c r="A31" s="51"/>
      <c r="B31" s="7"/>
      <c r="C31" s="16"/>
      <c r="D31" s="16"/>
      <c r="E31" s="16"/>
      <c r="F31" s="16"/>
      <c r="G31" s="16"/>
      <c r="H31" s="16"/>
      <c r="I31" s="34"/>
      <c r="J31" s="65"/>
      <c r="K31" s="9"/>
      <c r="L31" s="72"/>
      <c r="M31" s="72"/>
      <c r="N31" s="65"/>
      <c r="O31" s="11"/>
      <c r="P31" s="66"/>
    </row>
    <row r="32" spans="1:24" s="6" customFormat="1" ht="16.5" customHeight="1">
      <c r="A32" s="51"/>
      <c r="B32" s="7"/>
      <c r="C32" s="16"/>
      <c r="D32" s="16"/>
      <c r="E32" s="16"/>
      <c r="F32" s="16"/>
      <c r="G32" s="16"/>
      <c r="H32" s="16"/>
      <c r="I32" s="83">
        <v>25</v>
      </c>
      <c r="J32" s="4">
        <f>IFERROR(CHOOSE(РАЙОН,'урожайность (к удалению)'!H5,'урожайность (к удалению)'!H6,'урожайность (к удалению)'!H7,'урожайность (к удалению)'!H8,'урожайность (к удалению)'!H9,'урожайность (к удалению)'!H10,'урожайность (к удалению)'!H11,'урожайность (к удалению)'!H12,'урожайность (к удалению)'!H13,'урожайность (к удалению)'!H14,'урожайность (к удалению)'!H15,'урожайность (к удалению)'!H16,'урожайность (к удалению)'!H17,'урожайность (к удалению)'!H18,'урожайность (к удалению)'!H19,'урожайность (к удалению)'!H20,'урожайность (к удалению)'!H21,'урожайность (к удалению)'!H22,'урожайность (к удалению)'!H23,'урожайность (к удалению)'!H24),0)</f>
        <v>0</v>
      </c>
      <c r="K32" s="9"/>
      <c r="L32" s="747"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2" s="748"/>
      <c r="N32" s="4">
        <f>IF(AVERAGE(J60,L60,N60)=0,0,AVERAGEA(J60,L60,N60))</f>
        <v>0</v>
      </c>
      <c r="O32" s="11"/>
      <c r="P32" s="56">
        <f>AVERAGE(J32,N32)</f>
        <v>0</v>
      </c>
    </row>
    <row r="33" spans="1:16" s="6" customFormat="1" ht="7.5" customHeight="1">
      <c r="A33" s="51"/>
      <c r="B33" s="7"/>
      <c r="C33" s="16"/>
      <c r="D33" s="16"/>
      <c r="E33" s="16"/>
      <c r="F33" s="16"/>
      <c r="G33" s="16"/>
      <c r="H33" s="16"/>
      <c r="I33" s="34"/>
      <c r="J33" s="81"/>
      <c r="K33" s="9"/>
      <c r="L33" s="81"/>
      <c r="M33" s="81"/>
      <c r="N33" s="65"/>
      <c r="O33" s="11"/>
      <c r="P33" s="65"/>
    </row>
    <row r="34" spans="1:16" s="6" customFormat="1" ht="16.5" customHeight="1">
      <c r="A34" s="51"/>
      <c r="B34" s="7"/>
      <c r="C34" s="16"/>
      <c r="D34" s="16"/>
      <c r="E34" s="16"/>
      <c r="F34" s="16"/>
      <c r="G34" s="16"/>
      <c r="H34" s="16"/>
      <c r="I34" s="83">
        <v>25</v>
      </c>
      <c r="J34" s="4">
        <f>IFERROR(CHOOSE(РАЙОН,'урожайность (к удалению)'!I5,'урожайность (к удалению)'!I6,'урожайность (к удалению)'!I7,'урожайность (к удалению)'!I8,'урожайность (к удалению)'!I9,'урожайность (к удалению)'!I10,'урожайность (к удалению)'!I11,'урожайность (к удалению)'!I12,'урожайность (к удалению)'!I13,'урожайность (к удалению)'!I14,'урожайность (к удалению)'!I15,'урожайность (к удалению)'!I16,'урожайность (к удалению)'!I17,'урожайность (к удалению)'!I18,'урожайность (к удалению)'!I19,'урожайность (к удалению)'!I20,'урожайность (к удалению)'!I21,'урожайность (к удалению)'!I22,'урожайность (к удалению)'!I23,'урожайность (к удалению)'!I24),0)</f>
        <v>0</v>
      </c>
      <c r="K34" s="9"/>
      <c r="L34" s="747"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4" s="748"/>
      <c r="N34" s="4">
        <f>IF(AVERAGE(J62,L62,N62)=0,0,AVERAGEA(J62,L62,N62))</f>
        <v>0</v>
      </c>
      <c r="O34" s="11"/>
      <c r="P34" s="56">
        <f>AVERAGE(J34,N34)</f>
        <v>0</v>
      </c>
    </row>
    <row r="35" spans="1:16" s="6" customFormat="1" ht="7.5" customHeight="1">
      <c r="A35" s="51"/>
      <c r="B35" s="7"/>
      <c r="C35" s="16"/>
      <c r="D35" s="16"/>
      <c r="E35" s="16"/>
      <c r="F35" s="16"/>
      <c r="G35" s="16"/>
      <c r="H35" s="16"/>
      <c r="I35" s="34"/>
      <c r="J35" s="65"/>
      <c r="K35" s="9"/>
      <c r="L35" s="81"/>
      <c r="M35" s="81"/>
      <c r="N35" s="65"/>
      <c r="O35" s="11"/>
      <c r="P35" s="65"/>
    </row>
    <row r="36" spans="1:16" s="6" customFormat="1" ht="16.5" customHeight="1">
      <c r="A36" s="51"/>
      <c r="B36" s="7"/>
      <c r="C36" s="16"/>
      <c r="D36" s="16"/>
      <c r="E36" s="16"/>
      <c r="F36" s="16"/>
      <c r="G36" s="16"/>
      <c r="H36" s="16"/>
      <c r="I36" s="83">
        <v>25</v>
      </c>
      <c r="J36" s="4">
        <f>IFERROR(CHOOSE(РАЙОН,'урожайность (к удалению)'!J5,'урожайность (к удалению)'!J6,'урожайность (к удалению)'!J7,'урожайность (к удалению)'!J8,'урожайность (к удалению)'!J9,'урожайность (к удалению)'!J10,'урожайность (к удалению)'!J11,'урожайность (к удалению)'!J12,'урожайность (к удалению)'!J13,'урожайность (к удалению)'!J14,'урожайность (к удалению)'!J15,'урожайность (к удалению)'!J16,'урожайность (к удалению)'!J17,'урожайность (к удалению)'!J18,'урожайность (к удалению)'!J19,'урожайность (к удалению)'!J20,'урожайность (к удалению)'!J21,'урожайность (к удалению)'!J22,'урожайность (к удалению)'!J23,'урожайность (к удалению)'!J24),0)</f>
        <v>0</v>
      </c>
      <c r="K36" s="9"/>
      <c r="L36" s="747"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6" s="748"/>
      <c r="N36" s="4">
        <f>IF(AVERAGE(J64,L64,N64)=0,0,AVERAGEA(J64,L64,N64))</f>
        <v>0</v>
      </c>
      <c r="O36" s="11"/>
      <c r="P36" s="56">
        <f>AVERAGE(J36,N36)</f>
        <v>0</v>
      </c>
    </row>
    <row r="37" spans="1:16" s="6" customFormat="1" ht="7.5" customHeight="1">
      <c r="A37" s="51"/>
      <c r="B37" s="7"/>
      <c r="C37" s="16"/>
      <c r="D37" s="16"/>
      <c r="E37" s="16"/>
      <c r="F37" s="16"/>
      <c r="G37" s="16"/>
      <c r="H37" s="16"/>
      <c r="I37" s="34"/>
      <c r="J37" s="65"/>
      <c r="K37" s="9"/>
      <c r="L37" s="81"/>
      <c r="M37" s="81"/>
      <c r="N37" s="65"/>
      <c r="O37" s="11"/>
      <c r="P37" s="65"/>
    </row>
    <row r="38" spans="1:16" s="6" customFormat="1" ht="16.5" customHeight="1">
      <c r="A38" s="51"/>
      <c r="B38" s="7"/>
      <c r="C38" s="16"/>
      <c r="D38" s="16"/>
      <c r="E38" s="16"/>
      <c r="F38" s="16"/>
      <c r="G38" s="16"/>
      <c r="H38" s="16"/>
      <c r="I38" s="83">
        <v>25</v>
      </c>
      <c r="J38" s="4">
        <f>IFERROR(CHOOSE(РАЙОН,'урожайность (к удалению)'!K5,'урожайность (к удалению)'!K6,'урожайность (к удалению)'!K7,'урожайность (к удалению)'!K8,'урожайность (к удалению)'!K9,'урожайность (к удалению)'!K10,'урожайность (к удалению)'!K11,'урожайность (к удалению)'!K12,'урожайность (к удалению)'!K13,'урожайность (к удалению)'!K14,'урожайность (к удалению)'!K15,'урожайность (к удалению)'!K16,'урожайность (к удалению)'!K17,'урожайность (к удалению)'!K18,'урожайность (к удалению)'!K19,'урожайность (к удалению)'!K20,'урожайность (к удалению)'!K21,'урожайность (к удалению)'!K22,'урожайность (к удалению)'!K23,'урожайность (к удалению)'!K24),0)</f>
        <v>0</v>
      </c>
      <c r="K38" s="9"/>
      <c r="L38" s="747"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8" s="748"/>
      <c r="N38" s="4">
        <f>IF(AVERAGE(J66,L66,N66)=0,0,AVERAGEA(J66,L66,N66))</f>
        <v>0</v>
      </c>
      <c r="O38" s="11"/>
      <c r="P38" s="56">
        <f>AVERAGE(J38,N38)</f>
        <v>0</v>
      </c>
    </row>
    <row r="39" spans="1:16" s="6" customFormat="1" ht="3.75" customHeight="1">
      <c r="A39" s="51"/>
      <c r="B39" s="7"/>
      <c r="C39" s="16"/>
      <c r="D39" s="16"/>
      <c r="E39" s="16"/>
      <c r="F39" s="16"/>
      <c r="G39" s="16"/>
      <c r="H39" s="16"/>
      <c r="I39" s="34"/>
      <c r="J39" s="65"/>
      <c r="K39" s="9"/>
      <c r="L39" s="81"/>
      <c r="M39" s="81"/>
      <c r="N39" s="65"/>
      <c r="O39" s="11"/>
      <c r="P39" s="65"/>
    </row>
    <row r="40" spans="1:16" s="6" customFormat="1" ht="17.25" customHeight="1">
      <c r="A40" s="51"/>
      <c r="B40" s="7"/>
      <c r="C40" s="787" t="s">
        <v>266</v>
      </c>
      <c r="D40" s="787"/>
      <c r="E40" s="787"/>
      <c r="F40" s="787"/>
      <c r="G40" s="787"/>
      <c r="H40" s="787"/>
      <c r="I40" s="787"/>
      <c r="J40" s="9"/>
      <c r="K40" s="9"/>
      <c r="L40" s="10"/>
      <c r="M40" s="9"/>
      <c r="N40" s="10"/>
      <c r="O40" s="11"/>
      <c r="P40" s="53"/>
    </row>
    <row r="41" spans="1:16" s="6" customFormat="1" ht="17.25" customHeight="1">
      <c r="A41" s="51"/>
      <c r="B41" s="7"/>
      <c r="C41" s="787"/>
      <c r="D41" s="787"/>
      <c r="E41" s="787"/>
      <c r="F41" s="787"/>
      <c r="G41" s="787"/>
      <c r="H41" s="787"/>
      <c r="I41" s="787"/>
      <c r="J41" s="782"/>
      <c r="K41" s="782"/>
      <c r="L41" s="783"/>
      <c r="M41" s="9"/>
      <c r="N41" s="10"/>
      <c r="O41" s="11"/>
      <c r="P41" s="53"/>
    </row>
    <row r="42" spans="1:16" s="6" customFormat="1" ht="17.25" customHeight="1">
      <c r="A42" s="51"/>
      <c r="B42" s="7"/>
      <c r="C42" s="787"/>
      <c r="D42" s="787"/>
      <c r="E42" s="787"/>
      <c r="F42" s="787"/>
      <c r="G42" s="787"/>
      <c r="H42" s="787"/>
      <c r="I42" s="787"/>
      <c r="J42" s="9"/>
      <c r="K42" s="9"/>
      <c r="L42" s="10"/>
      <c r="M42" s="9"/>
      <c r="N42" s="10"/>
      <c r="O42" s="11"/>
      <c r="P42" s="53"/>
    </row>
    <row r="43" spans="1:16" s="6" customFormat="1" ht="17.25" customHeight="1">
      <c r="A43" s="51"/>
      <c r="B43" s="7"/>
      <c r="C43" s="34" t="s">
        <v>68</v>
      </c>
      <c r="D43" s="9"/>
      <c r="E43" s="9"/>
      <c r="F43" s="9"/>
      <c r="G43" s="9"/>
      <c r="H43" s="9"/>
      <c r="I43" s="11"/>
      <c r="J43" s="9"/>
      <c r="K43" s="9"/>
      <c r="L43" s="9"/>
      <c r="M43" s="11"/>
      <c r="N43" s="10"/>
      <c r="O43" s="11"/>
      <c r="P43" s="53"/>
    </row>
    <row r="44" spans="1:16" s="6" customFormat="1" ht="17.25" customHeight="1">
      <c r="A44" s="51"/>
      <c r="B44" s="7"/>
      <c r="C44" s="34" t="s">
        <v>69</v>
      </c>
      <c r="D44" s="9"/>
      <c r="E44" s="76">
        <v>1000</v>
      </c>
      <c r="F44" s="35" t="s">
        <v>70</v>
      </c>
      <c r="G44" s="9"/>
      <c r="H44" s="9"/>
      <c r="I44" s="36"/>
      <c r="J44" s="9"/>
      <c r="K44" s="796"/>
      <c r="L44" s="796"/>
      <c r="M44" s="11"/>
      <c r="N44" s="10"/>
      <c r="O44" s="11"/>
      <c r="P44" s="53"/>
    </row>
    <row r="45" spans="1:16" s="6" customFormat="1" ht="17.25" customHeight="1">
      <c r="A45" s="51"/>
      <c r="B45" s="7"/>
      <c r="C45" s="16"/>
      <c r="D45" s="9"/>
      <c r="E45" s="9"/>
      <c r="F45" s="16"/>
      <c r="G45" s="9"/>
      <c r="H45" s="9"/>
      <c r="I45" s="9"/>
      <c r="J45" s="9"/>
      <c r="K45" s="9"/>
      <c r="L45" s="9"/>
      <c r="M45" s="10"/>
      <c r="N45" s="11"/>
      <c r="O45" s="11"/>
      <c r="P45" s="53"/>
    </row>
    <row r="46" spans="1:16" s="6" customFormat="1" ht="17.25" customHeight="1">
      <c r="A46" s="51"/>
      <c r="B46" s="7"/>
      <c r="C46" s="34" t="s">
        <v>71</v>
      </c>
      <c r="D46" s="9"/>
      <c r="E46" s="9"/>
      <c r="F46" s="16"/>
      <c r="G46" s="9"/>
      <c r="H46" s="34" t="s">
        <v>86</v>
      </c>
      <c r="I46" s="34"/>
      <c r="J46" s="9"/>
      <c r="K46" s="9"/>
      <c r="L46" s="9"/>
      <c r="M46" s="11"/>
      <c r="N46" s="9"/>
      <c r="O46" s="11"/>
      <c r="P46" s="53"/>
    </row>
    <row r="47" spans="1:16" s="6" customFormat="1" ht="17.25" customHeight="1">
      <c r="A47" s="51"/>
      <c r="B47" s="7"/>
      <c r="C47" s="16"/>
      <c r="D47" s="9"/>
      <c r="E47" s="9"/>
      <c r="F47" s="16"/>
      <c r="G47" s="9"/>
      <c r="H47" s="9"/>
      <c r="I47" s="16"/>
      <c r="J47" s="9" t="s">
        <v>239</v>
      </c>
      <c r="K47" s="9"/>
      <c r="L47" s="9" t="s">
        <v>338</v>
      </c>
      <c r="M47" s="10"/>
      <c r="N47" s="9" t="s">
        <v>337</v>
      </c>
      <c r="O47" s="11"/>
      <c r="P47" s="53"/>
    </row>
    <row r="48" spans="1:16" s="6" customFormat="1" ht="17.25" customHeight="1">
      <c r="A48" s="51"/>
      <c r="B48" s="7"/>
      <c r="C48" s="779"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48" s="780"/>
      <c r="E48" s="37">
        <v>300</v>
      </c>
      <c r="F48" s="35" t="s">
        <v>70</v>
      </c>
      <c r="G48" s="9"/>
      <c r="H48" s="779"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48" s="780"/>
      <c r="J48" s="38">
        <v>15</v>
      </c>
      <c r="K48" s="9"/>
      <c r="L48" s="38">
        <v>15</v>
      </c>
      <c r="M48" s="9"/>
      <c r="N48" s="38">
        <v>15</v>
      </c>
      <c r="O48" s="35" t="s">
        <v>74</v>
      </c>
      <c r="P48" s="53"/>
    </row>
    <row r="49" spans="1:16" s="6" customFormat="1" ht="9" customHeight="1">
      <c r="A49" s="51"/>
      <c r="B49" s="7"/>
      <c r="C49" s="779"/>
      <c r="D49" s="780"/>
      <c r="E49" s="9"/>
      <c r="F49" s="16"/>
      <c r="G49" s="9"/>
      <c r="H49" s="779"/>
      <c r="I49" s="780"/>
      <c r="J49" s="9"/>
      <c r="K49" s="9"/>
      <c r="L49" s="9"/>
      <c r="M49" s="10"/>
      <c r="N49" s="9"/>
      <c r="O49" s="16"/>
      <c r="P49" s="57"/>
    </row>
    <row r="50" spans="1:16" s="6" customFormat="1" ht="17.25" customHeight="1">
      <c r="A50" s="51"/>
      <c r="B50" s="7"/>
      <c r="C50" s="779"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0" s="780"/>
      <c r="E50" s="39">
        <v>500</v>
      </c>
      <c r="F50" s="35" t="s">
        <v>70</v>
      </c>
      <c r="G50" s="9"/>
      <c r="H50" s="779"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0" s="780"/>
      <c r="J50" s="38">
        <v>15</v>
      </c>
      <c r="K50" s="9"/>
      <c r="L50" s="38">
        <v>15</v>
      </c>
      <c r="M50" s="9"/>
      <c r="N50" s="38">
        <v>15</v>
      </c>
      <c r="O50" s="35" t="s">
        <v>74</v>
      </c>
      <c r="P50" s="53"/>
    </row>
    <row r="51" spans="1:16" s="6" customFormat="1" ht="7.5" customHeight="1">
      <c r="A51" s="51"/>
      <c r="B51" s="7"/>
      <c r="C51" s="779"/>
      <c r="D51" s="780"/>
      <c r="E51" s="9"/>
      <c r="F51" s="16"/>
      <c r="G51" s="9"/>
      <c r="H51" s="779"/>
      <c r="I51" s="780"/>
      <c r="J51" s="9"/>
      <c r="K51" s="9"/>
      <c r="L51" s="9"/>
      <c r="M51" s="11"/>
      <c r="N51" s="9"/>
      <c r="O51" s="16"/>
      <c r="P51" s="57"/>
    </row>
    <row r="52" spans="1:16" s="6" customFormat="1" ht="17.25" customHeight="1">
      <c r="A52" s="51"/>
      <c r="B52" s="7"/>
      <c r="C52" s="779"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2" s="780"/>
      <c r="E52" s="39">
        <v>0</v>
      </c>
      <c r="F52" s="35" t="s">
        <v>70</v>
      </c>
      <c r="G52" s="9"/>
      <c r="H52" s="779"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2" s="780"/>
      <c r="J52" s="38">
        <v>0</v>
      </c>
      <c r="K52" s="9"/>
      <c r="L52" s="38">
        <v>0</v>
      </c>
      <c r="M52" s="9"/>
      <c r="N52" s="38">
        <v>0</v>
      </c>
      <c r="O52" s="35" t="s">
        <v>74</v>
      </c>
      <c r="P52" s="53"/>
    </row>
    <row r="53" spans="1:16" s="6" customFormat="1" ht="6.75" customHeight="1">
      <c r="A53" s="51"/>
      <c r="B53" s="7"/>
      <c r="C53" s="79"/>
      <c r="D53" s="9"/>
      <c r="E53" s="9"/>
      <c r="F53" s="16"/>
      <c r="G53" s="9"/>
      <c r="H53" s="79"/>
      <c r="I53" s="9"/>
      <c r="J53" s="9"/>
      <c r="K53" s="9"/>
      <c r="L53" s="9"/>
      <c r="M53" s="11"/>
      <c r="N53" s="10"/>
      <c r="O53" s="11"/>
      <c r="P53" s="53"/>
    </row>
    <row r="54" spans="1:16" s="6" customFormat="1" ht="17.25" customHeight="1">
      <c r="A54" s="51"/>
      <c r="B54" s="7"/>
      <c r="C54" s="779"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4" s="780"/>
      <c r="E54" s="39">
        <v>0</v>
      </c>
      <c r="F54" s="35" t="s">
        <v>70</v>
      </c>
      <c r="G54" s="9"/>
      <c r="H54" s="779"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4" s="780"/>
      <c r="J54" s="38">
        <v>0</v>
      </c>
      <c r="K54" s="9"/>
      <c r="L54" s="38">
        <v>0</v>
      </c>
      <c r="M54" s="9"/>
      <c r="N54" s="38">
        <v>0</v>
      </c>
      <c r="O54" s="35" t="s">
        <v>74</v>
      </c>
      <c r="P54" s="58"/>
    </row>
    <row r="55" spans="1:16" s="6" customFormat="1" ht="6" customHeight="1">
      <c r="A55" s="51"/>
      <c r="B55" s="7"/>
      <c r="C55" s="16"/>
      <c r="D55" s="9"/>
      <c r="E55" s="9"/>
      <c r="F55" s="16"/>
      <c r="G55" s="9"/>
      <c r="H55" s="16"/>
      <c r="I55" s="9"/>
      <c r="J55" s="40"/>
      <c r="K55" s="40"/>
      <c r="L55" s="40"/>
      <c r="M55" s="40"/>
      <c r="N55" s="40"/>
      <c r="O55" s="41"/>
      <c r="P55" s="58"/>
    </row>
    <row r="56" spans="1:16" s="6" customFormat="1" ht="17.25" customHeight="1">
      <c r="A56" s="51"/>
      <c r="B56" s="7"/>
      <c r="C56" s="779"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6" s="780"/>
      <c r="E56" s="39">
        <v>0</v>
      </c>
      <c r="F56" s="35" t="s">
        <v>70</v>
      </c>
      <c r="G56" s="9"/>
      <c r="H56" s="779"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6" s="780"/>
      <c r="J56" s="38">
        <v>0</v>
      </c>
      <c r="K56" s="9"/>
      <c r="L56" s="38">
        <v>0</v>
      </c>
      <c r="M56" s="9"/>
      <c r="N56" s="38">
        <v>0</v>
      </c>
      <c r="O56" s="35" t="s">
        <v>74</v>
      </c>
      <c r="P56" s="53"/>
    </row>
    <row r="57" spans="1:16" s="6" customFormat="1" ht="5.25" customHeight="1">
      <c r="A57" s="51"/>
      <c r="B57" s="7"/>
      <c r="C57" s="82"/>
      <c r="D57" s="82"/>
      <c r="E57" s="9"/>
      <c r="F57" s="9"/>
      <c r="G57" s="9"/>
      <c r="H57" s="82"/>
      <c r="I57" s="82"/>
      <c r="J57" s="10"/>
      <c r="K57" s="10"/>
      <c r="L57" s="10"/>
      <c r="M57" s="10"/>
      <c r="N57" s="10"/>
      <c r="O57" s="16"/>
      <c r="P57" s="57"/>
    </row>
    <row r="58" spans="1:16" s="6" customFormat="1" ht="16.5" customHeight="1">
      <c r="A58" s="51"/>
      <c r="B58" s="7"/>
      <c r="C58" s="779"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8" s="780"/>
      <c r="E58" s="39">
        <v>0</v>
      </c>
      <c r="F58" s="35" t="s">
        <v>70</v>
      </c>
      <c r="G58" s="9"/>
      <c r="H58" s="779"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8" s="780"/>
      <c r="J58" s="38">
        <v>0</v>
      </c>
      <c r="K58" s="9"/>
      <c r="L58" s="38">
        <v>0</v>
      </c>
      <c r="M58" s="9"/>
      <c r="N58" s="38">
        <v>0</v>
      </c>
      <c r="O58" s="35" t="s">
        <v>74</v>
      </c>
      <c r="P58" s="57"/>
    </row>
    <row r="59" spans="1:16" s="6" customFormat="1" ht="7.5" customHeight="1">
      <c r="A59" s="51"/>
      <c r="B59" s="7"/>
      <c r="C59" s="82"/>
      <c r="D59" s="82"/>
      <c r="E59" s="9"/>
      <c r="F59" s="16"/>
      <c r="G59" s="9"/>
      <c r="H59" s="82"/>
      <c r="I59" s="82"/>
      <c r="J59" s="9"/>
      <c r="K59" s="9"/>
      <c r="L59" s="9"/>
      <c r="M59" s="9"/>
      <c r="N59" s="9"/>
      <c r="O59" s="35"/>
      <c r="P59" s="57"/>
    </row>
    <row r="60" spans="1:16" s="6" customFormat="1" ht="16.5" customHeight="1">
      <c r="A60" s="51"/>
      <c r="B60" s="7"/>
      <c r="C60" s="779"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0" s="780"/>
      <c r="E60" s="39">
        <v>0</v>
      </c>
      <c r="F60" s="35" t="s">
        <v>70</v>
      </c>
      <c r="G60" s="9"/>
      <c r="H60" s="779"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0" s="780"/>
      <c r="J60" s="38">
        <v>0</v>
      </c>
      <c r="K60" s="9"/>
      <c r="L60" s="38">
        <v>0</v>
      </c>
      <c r="M60" s="9"/>
      <c r="N60" s="38">
        <v>0</v>
      </c>
      <c r="O60" s="35" t="s">
        <v>74</v>
      </c>
      <c r="P60" s="57"/>
    </row>
    <row r="61" spans="1:16" s="6" customFormat="1" ht="7.5" customHeight="1">
      <c r="A61" s="51"/>
      <c r="B61" s="7"/>
      <c r="C61" s="82"/>
      <c r="D61" s="82"/>
      <c r="E61" s="9"/>
      <c r="F61" s="9"/>
      <c r="G61" s="9"/>
      <c r="H61" s="82"/>
      <c r="I61" s="82"/>
      <c r="J61" s="9"/>
      <c r="K61" s="9"/>
      <c r="L61" s="9"/>
      <c r="M61" s="9"/>
      <c r="N61" s="9"/>
      <c r="O61" s="35"/>
      <c r="P61" s="57"/>
    </row>
    <row r="62" spans="1:16" s="6" customFormat="1" ht="16.5" customHeight="1">
      <c r="A62" s="51"/>
      <c r="B62" s="7"/>
      <c r="C62" s="779"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2" s="780"/>
      <c r="E62" s="39">
        <v>0</v>
      </c>
      <c r="F62" s="35" t="s">
        <v>70</v>
      </c>
      <c r="G62" s="9"/>
      <c r="H62" s="779"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2" s="780"/>
      <c r="J62" s="38">
        <v>0</v>
      </c>
      <c r="K62" s="9"/>
      <c r="L62" s="38">
        <v>0</v>
      </c>
      <c r="M62" s="9"/>
      <c r="N62" s="38">
        <v>0</v>
      </c>
      <c r="O62" s="35" t="s">
        <v>74</v>
      </c>
      <c r="P62" s="57"/>
    </row>
    <row r="63" spans="1:16" s="6" customFormat="1" ht="7.5" customHeight="1">
      <c r="A63" s="51"/>
      <c r="B63" s="7"/>
      <c r="C63" s="82"/>
      <c r="D63" s="82"/>
      <c r="E63" s="9"/>
      <c r="F63" s="16"/>
      <c r="G63" s="9"/>
      <c r="H63" s="82"/>
      <c r="I63" s="82"/>
      <c r="J63" s="9"/>
      <c r="K63" s="9"/>
      <c r="L63" s="9"/>
      <c r="M63" s="9"/>
      <c r="N63" s="9"/>
      <c r="O63" s="35"/>
      <c r="P63" s="57"/>
    </row>
    <row r="64" spans="1:16" s="6" customFormat="1" ht="16.5" customHeight="1">
      <c r="A64" s="51"/>
      <c r="B64" s="7"/>
      <c r="C64" s="779"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4" s="780"/>
      <c r="E64" s="39">
        <v>0</v>
      </c>
      <c r="F64" s="35" t="s">
        <v>70</v>
      </c>
      <c r="G64" s="9"/>
      <c r="H64" s="779"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4" s="780"/>
      <c r="J64" s="38">
        <v>0</v>
      </c>
      <c r="K64" s="9"/>
      <c r="L64" s="38">
        <v>0</v>
      </c>
      <c r="M64" s="9"/>
      <c r="N64" s="38">
        <v>0</v>
      </c>
      <c r="O64" s="35" t="s">
        <v>74</v>
      </c>
      <c r="P64" s="57"/>
    </row>
    <row r="65" spans="1:20" s="6" customFormat="1" ht="7.5" customHeight="1">
      <c r="A65" s="51"/>
      <c r="B65" s="7"/>
      <c r="C65" s="82"/>
      <c r="D65" s="82"/>
      <c r="E65" s="9"/>
      <c r="F65" s="16"/>
      <c r="G65" s="9"/>
      <c r="H65" s="82"/>
      <c r="I65" s="82"/>
      <c r="J65" s="9"/>
      <c r="K65" s="9"/>
      <c r="L65" s="9"/>
      <c r="M65" s="9"/>
      <c r="N65" s="9"/>
      <c r="O65" s="35"/>
      <c r="P65" s="57"/>
    </row>
    <row r="66" spans="1:20" s="6" customFormat="1" ht="16.5" customHeight="1">
      <c r="A66" s="51"/>
      <c r="B66" s="7"/>
      <c r="C66" s="779"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6" s="780"/>
      <c r="E66" s="39">
        <v>0</v>
      </c>
      <c r="F66" s="35" t="s">
        <v>70</v>
      </c>
      <c r="G66" s="9"/>
      <c r="H66" s="779"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6" s="780"/>
      <c r="J66" s="38">
        <v>0</v>
      </c>
      <c r="K66" s="9"/>
      <c r="L66" s="38">
        <v>0</v>
      </c>
      <c r="M66" s="9"/>
      <c r="N66" s="38">
        <v>0</v>
      </c>
      <c r="O66" s="35" t="s">
        <v>74</v>
      </c>
      <c r="P66" s="57"/>
    </row>
    <row r="67" spans="1:20" s="6" customFormat="1" ht="16.5" customHeight="1">
      <c r="A67" s="51"/>
      <c r="B67" s="7"/>
      <c r="C67" s="34"/>
      <c r="D67" s="9"/>
      <c r="E67" s="9"/>
      <c r="F67" s="9"/>
      <c r="G67" s="9"/>
      <c r="H67" s="9"/>
      <c r="I67" s="40" t="s">
        <v>227</v>
      </c>
      <c r="J67" s="34"/>
      <c r="K67" s="34"/>
      <c r="L67" s="34"/>
      <c r="M67" s="34"/>
      <c r="N67" s="34"/>
      <c r="O67" s="35"/>
      <c r="P67" s="57"/>
    </row>
    <row r="68" spans="1:20" s="6" customFormat="1" ht="15.6">
      <c r="A68" s="51"/>
      <c r="B68" s="7"/>
      <c r="C68" s="15" t="s">
        <v>73</v>
      </c>
      <c r="D68" s="9"/>
      <c r="E68" s="42">
        <f>E48+E50+E52+E54+E56+E58+E60+E62+E64+E66</f>
        <v>800</v>
      </c>
      <c r="F68" s="35" t="s">
        <v>70</v>
      </c>
      <c r="G68" s="9"/>
      <c r="H68" s="9"/>
      <c r="I68" s="40" t="s">
        <v>226</v>
      </c>
      <c r="J68" s="10"/>
      <c r="K68" s="10"/>
      <c r="L68" s="10"/>
      <c r="M68" s="10"/>
      <c r="N68" s="10"/>
      <c r="O68" s="16"/>
      <c r="P68" s="57"/>
    </row>
    <row r="69" spans="1:20" s="6" customFormat="1" ht="6" customHeight="1">
      <c r="A69" s="51"/>
      <c r="B69" s="7"/>
      <c r="C69" s="15"/>
      <c r="D69" s="9"/>
      <c r="E69" s="15"/>
      <c r="F69" s="35"/>
      <c r="G69" s="9"/>
      <c r="H69" s="9"/>
      <c r="I69" s="40"/>
      <c r="J69" s="10"/>
      <c r="K69" s="10"/>
      <c r="L69" s="10"/>
      <c r="M69" s="10"/>
      <c r="N69" s="10"/>
      <c r="O69" s="16"/>
      <c r="P69" s="9"/>
    </row>
    <row r="70" spans="1:20" s="6" customFormat="1" ht="15.75" customHeight="1">
      <c r="A70" s="51"/>
      <c r="B70" s="7"/>
      <c r="C70" s="9"/>
      <c r="D70" s="6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E70" s="6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F70" s="6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G70" s="6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H70" s="6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70" s="6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J70" s="6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K70" s="6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L70" s="6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70" s="6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N70" s="84"/>
      <c r="O70" s="84"/>
      <c r="P70" s="84"/>
    </row>
    <row r="71" spans="1:20" s="6" customFormat="1" ht="15.6">
      <c r="A71" s="51"/>
      <c r="B71" s="7"/>
      <c r="C71" s="43" t="s">
        <v>161</v>
      </c>
      <c r="D71" s="68"/>
      <c r="E71" s="68"/>
      <c r="F71" s="68"/>
      <c r="G71" s="68"/>
      <c r="H71" s="68"/>
      <c r="I71" s="77"/>
      <c r="J71" s="68"/>
      <c r="K71" s="68"/>
      <c r="L71" s="68"/>
      <c r="M71" s="68"/>
      <c r="N71" s="84"/>
      <c r="O71" s="84"/>
      <c r="P71" s="84"/>
    </row>
    <row r="72" spans="1:20" s="6" customFormat="1" ht="16.2" thickBot="1">
      <c r="A72" s="51"/>
      <c r="B72" s="7"/>
      <c r="C72" s="9"/>
      <c r="D72" s="9"/>
      <c r="E72" s="9"/>
      <c r="F72" s="9"/>
      <c r="G72" s="9"/>
      <c r="H72" s="9"/>
      <c r="I72" s="10"/>
      <c r="J72" s="10"/>
      <c r="K72" s="10"/>
      <c r="L72" s="10"/>
      <c r="M72" s="10"/>
      <c r="N72" s="10"/>
      <c r="O72" s="35"/>
      <c r="P72" s="53"/>
    </row>
    <row r="73" spans="1:20" s="6" customFormat="1" ht="39.75" customHeight="1" thickBot="1">
      <c r="A73" s="51"/>
      <c r="B73" s="7"/>
      <c r="C73" s="792" t="s">
        <v>88</v>
      </c>
      <c r="D73" s="793"/>
      <c r="E73" s="793"/>
      <c r="F73" s="793"/>
      <c r="G73" s="793"/>
      <c r="H73" s="793"/>
      <c r="I73" s="793"/>
      <c r="J73" s="793"/>
      <c r="K73" s="793"/>
      <c r="L73" s="793"/>
      <c r="M73" s="793"/>
      <c r="N73" s="793"/>
      <c r="O73" s="794"/>
      <c r="P73" s="53"/>
    </row>
    <row r="74" spans="1:20" s="6" customFormat="1" ht="14.4" thickBot="1">
      <c r="A74" s="51"/>
      <c r="B74" s="7"/>
      <c r="C74" s="9"/>
      <c r="D74" s="9"/>
      <c r="E74" s="9"/>
      <c r="F74" s="9"/>
      <c r="G74" s="9"/>
      <c r="H74" s="9"/>
      <c r="I74" s="9"/>
      <c r="J74" s="9"/>
      <c r="K74" s="9"/>
      <c r="L74" s="11"/>
      <c r="M74" s="9"/>
      <c r="N74" s="10"/>
      <c r="O74" s="11"/>
      <c r="P74" s="53"/>
    </row>
    <row r="75" spans="1:20" s="6" customFormat="1" ht="18.75" customHeight="1" thickBot="1">
      <c r="A75" s="51"/>
      <c r="B75" s="7"/>
      <c r="C75" s="34" t="s">
        <v>162</v>
      </c>
      <c r="D75" s="9"/>
      <c r="E75" s="795">
        <f>'Доходы раст-во (для сведения)'!B173</f>
        <v>50400000</v>
      </c>
      <c r="F75" s="795"/>
      <c r="G75" s="9"/>
      <c r="H75" s="9"/>
      <c r="I75" s="44">
        <f>E20/E22+E20*E24</f>
        <v>2446785.7142857146</v>
      </c>
      <c r="J75" s="70" t="s">
        <v>223</v>
      </c>
      <c r="K75" s="9"/>
      <c r="L75" s="11"/>
      <c r="M75" s="9"/>
      <c r="N75" s="10"/>
      <c r="O75" s="9"/>
      <c r="P75" s="53"/>
    </row>
    <row r="76" spans="1:20" s="6" customFormat="1" ht="18.75" customHeight="1" thickBot="1">
      <c r="A76" s="51"/>
      <c r="B76" s="7"/>
      <c r="C76" s="9"/>
      <c r="D76" s="9"/>
      <c r="E76" s="9"/>
      <c r="F76" s="9"/>
      <c r="G76" s="9"/>
      <c r="H76" s="9"/>
      <c r="I76" s="9"/>
      <c r="J76" s="9"/>
      <c r="K76" s="9"/>
      <c r="L76" s="11"/>
      <c r="M76" s="9"/>
      <c r="N76" s="10"/>
      <c r="O76" s="9"/>
      <c r="P76" s="53"/>
    </row>
    <row r="77" spans="1:20" s="6" customFormat="1" ht="18.75" customHeight="1" thickBot="1">
      <c r="A77" s="51"/>
      <c r="B77" s="7"/>
      <c r="C77" s="34" t="s">
        <v>75</v>
      </c>
      <c r="D77" s="9"/>
      <c r="E77" s="795" t="e">
        <f>SUM(PRODUCT(#REF!,$E$48),PRODUCT(#REF!,$E$50),PRODUCT(#REF!,$E$52),PRODUCT(#REF!,$E$54),PRODUCT(#REF!,$E$56),PRODUCT(#REF!,$E$58),PRODUCT(#REF!,$E$60),PRODUCT(#REF!,$E$62),PRODUCT(#REF!,$E$64),PRODUCT(#REF!,$E$66))</f>
        <v>#REF!</v>
      </c>
      <c r="F77" s="795"/>
      <c r="G77" s="9"/>
      <c r="H77" s="9"/>
      <c r="I77" s="44">
        <f>I75+J41</f>
        <v>2446785.7142857146</v>
      </c>
      <c r="J77" s="69" t="s">
        <v>247</v>
      </c>
      <c r="K77" s="9"/>
      <c r="L77" s="11"/>
      <c r="M77" s="9"/>
      <c r="N77" s="10"/>
      <c r="O77" s="9"/>
      <c r="P77" s="53"/>
      <c r="T77" s="63"/>
    </row>
    <row r="78" spans="1:20" s="6" customFormat="1" ht="18.75" customHeight="1">
      <c r="A78" s="51"/>
      <c r="B78" s="7"/>
      <c r="C78" s="16"/>
      <c r="D78" s="9"/>
      <c r="E78" s="9"/>
      <c r="F78" s="9"/>
      <c r="G78" s="9"/>
      <c r="H78" s="9"/>
      <c r="I78" s="9"/>
      <c r="J78" s="9"/>
      <c r="K78" s="9"/>
      <c r="L78" s="11"/>
      <c r="M78" s="9"/>
      <c r="N78" s="10"/>
      <c r="O78" s="9"/>
      <c r="P78" s="53"/>
    </row>
    <row r="79" spans="1:20" s="6" customFormat="1" ht="18.75" customHeight="1">
      <c r="A79" s="51"/>
      <c r="B79" s="7"/>
      <c r="C79" s="34" t="s">
        <v>76</v>
      </c>
      <c r="D79" s="9"/>
      <c r="E79" s="788" t="e">
        <f>(E75-E77)*'Доходы раст-во (для сведения)'!B8</f>
        <v>#REF!</v>
      </c>
      <c r="F79" s="789"/>
      <c r="G79" s="9"/>
      <c r="H79" s="9"/>
      <c r="I79" s="9"/>
      <c r="J79" s="9"/>
      <c r="K79" s="9"/>
      <c r="L79" s="11"/>
      <c r="M79" s="9"/>
      <c r="N79" s="10"/>
      <c r="O79" s="9"/>
      <c r="P79" s="53"/>
    </row>
    <row r="80" spans="1:20" s="6" customFormat="1" ht="9" customHeight="1">
      <c r="A80" s="51"/>
      <c r="B80" s="7"/>
      <c r="C80" s="9"/>
      <c r="D80" s="9"/>
      <c r="E80" s="9"/>
      <c r="F80" s="9"/>
      <c r="G80" s="9"/>
      <c r="H80" s="9"/>
      <c r="I80" s="9"/>
      <c r="J80" s="9"/>
      <c r="K80" s="9"/>
      <c r="L80" s="11"/>
      <c r="M80" s="9"/>
      <c r="N80" s="10"/>
      <c r="O80" s="9"/>
      <c r="P80" s="53"/>
    </row>
    <row r="81" spans="1:69" s="6" customFormat="1" ht="5.25" customHeight="1" thickBot="1">
      <c r="A81" s="51"/>
      <c r="B81" s="7"/>
      <c r="C81" s="36"/>
      <c r="D81" s="9"/>
      <c r="E81" s="9"/>
      <c r="F81" s="9"/>
      <c r="G81" s="9"/>
      <c r="H81" s="9"/>
      <c r="I81" s="9"/>
      <c r="J81" s="9"/>
      <c r="K81" s="9"/>
      <c r="L81" s="11"/>
      <c r="M81" s="9"/>
      <c r="N81" s="10"/>
      <c r="O81" s="9"/>
      <c r="P81" s="53"/>
    </row>
    <row r="82" spans="1:69" s="6" customFormat="1" ht="18.75" customHeight="1" thickBot="1">
      <c r="A82" s="51"/>
      <c r="B82" s="43" t="s">
        <v>236</v>
      </c>
      <c r="C82" s="43"/>
      <c r="D82" s="9"/>
      <c r="E82" s="9"/>
      <c r="F82" s="9"/>
      <c r="G82" s="9"/>
      <c r="H82" s="9"/>
      <c r="I82" s="9"/>
      <c r="J82" s="9"/>
      <c r="K82" s="9"/>
      <c r="L82" s="10"/>
      <c r="M82" s="790" t="e">
        <f>IF(AND(E20+M9&lt;'Доходы раст-во (для сведения)'!B6,E79&gt;I77),"ДА","НЕТ")</f>
        <v>#REF!</v>
      </c>
      <c r="N82" s="791"/>
      <c r="O82" s="11"/>
      <c r="P82" s="53"/>
      <c r="S82" s="63"/>
    </row>
    <row r="83" spans="1:69" s="6" customFormat="1" ht="13.8">
      <c r="A83" s="51"/>
      <c r="B83" s="7"/>
      <c r="C83" s="769" t="str">
        <f>(IF(E20+M9&gt;'Доходы раст-во (для сведения)'!B6," ВНИМАНИЕ! ПРЕВЫШЕН ЛИМИТ ФИНАНСИРОВАНИЯ ПО ПРОГРАММЕ ЭКСПРЕСС-ЛИЗИНГ","."))</f>
        <v>.</v>
      </c>
      <c r="D83" s="769"/>
      <c r="E83" s="769"/>
      <c r="F83" s="769"/>
      <c r="G83" s="769"/>
      <c r="H83" s="769"/>
      <c r="I83" s="769"/>
      <c r="J83" s="9"/>
      <c r="K83" s="9"/>
      <c r="L83" s="10"/>
      <c r="M83" s="9"/>
      <c r="N83" s="10"/>
      <c r="O83" s="11"/>
      <c r="P83" s="53"/>
    </row>
    <row r="84" spans="1:69" s="6" customFormat="1" ht="13.8">
      <c r="A84" s="51"/>
      <c r="B84" s="7"/>
      <c r="C84" s="9"/>
      <c r="D84" s="9"/>
      <c r="E84" s="9"/>
      <c r="F84" s="9"/>
      <c r="G84" s="9"/>
      <c r="H84" s="9"/>
      <c r="I84" s="9"/>
      <c r="J84" s="9"/>
      <c r="K84" s="9"/>
      <c r="L84" s="10"/>
      <c r="M84" s="9"/>
      <c r="N84" s="10"/>
      <c r="O84" s="11"/>
      <c r="P84" s="53"/>
    </row>
    <row r="85" spans="1:69" s="6" customFormat="1" ht="28.5" customHeight="1">
      <c r="A85" s="51"/>
      <c r="B85" s="10"/>
      <c r="C85" s="61" t="s">
        <v>234</v>
      </c>
      <c r="D85" s="785" t="s">
        <v>233</v>
      </c>
      <c r="E85" s="785"/>
      <c r="F85" s="785"/>
      <c r="G85" s="785"/>
      <c r="H85" s="785"/>
      <c r="I85" s="785"/>
      <c r="J85" s="785"/>
      <c r="K85" s="785"/>
      <c r="L85" s="785"/>
      <c r="M85" s="61"/>
      <c r="N85" s="61" t="s">
        <v>248</v>
      </c>
      <c r="O85" s="61"/>
      <c r="P85" s="62"/>
    </row>
    <row r="86" spans="1:69" s="6" customFormat="1">
      <c r="A86" s="51"/>
      <c r="B86" s="10"/>
      <c r="C86" s="10"/>
      <c r="D86" s="784"/>
      <c r="E86" s="784"/>
      <c r="F86" s="784"/>
      <c r="G86" s="784"/>
      <c r="H86" s="784"/>
      <c r="I86" s="784"/>
      <c r="J86" s="784"/>
      <c r="K86" s="784"/>
      <c r="L86" s="784"/>
      <c r="M86" s="10"/>
      <c r="N86" s="10" t="s">
        <v>235</v>
      </c>
      <c r="O86" s="786"/>
      <c r="P86" s="786"/>
    </row>
    <row r="87" spans="1:69" s="6" customFormat="1" ht="18" customHeight="1">
      <c r="A87" s="59"/>
      <c r="B87" s="60"/>
      <c r="C87" s="60"/>
      <c r="D87" s="60"/>
      <c r="E87" s="60"/>
      <c r="F87" s="60"/>
      <c r="G87" s="60"/>
      <c r="H87" s="60"/>
      <c r="I87" s="60"/>
      <c r="J87" s="60"/>
      <c r="K87" s="60"/>
      <c r="L87" s="60"/>
      <c r="M87" s="60"/>
      <c r="N87" s="60"/>
      <c r="O87" s="60"/>
      <c r="P87" s="71" t="s">
        <v>340</v>
      </c>
    </row>
    <row r="88" spans="1:69" s="6" customFormat="1"/>
    <row r="89" spans="1:69" s="6" customFormat="1"/>
    <row r="90" spans="1:69" s="6" customFormat="1"/>
    <row r="91" spans="1:69" s="6" customFormat="1"/>
    <row r="92" spans="1:69" s="6" customFormat="1"/>
    <row r="93" spans="1:69" s="6" customFormat="1"/>
    <row r="94" spans="1:69" s="6" customFormat="1"/>
    <row r="95" spans="1:69">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row>
    <row r="96" spans="1:69" s="6" customFormat="1"/>
    <row r="97" spans="1:69" s="6" customFormat="1"/>
    <row r="98" spans="1:69" s="6" customFormat="1"/>
    <row r="99" spans="1:69" s="6" customFormat="1"/>
    <row r="100" spans="1:69" s="6" customFormat="1"/>
    <row r="101" spans="1:69" s="6" customFormat="1"/>
    <row r="102" spans="1:69">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row>
    <row r="104" spans="1:69">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row>
    <row r="106" spans="1:69">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row>
    <row r="107" spans="1:69">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row>
    <row r="108" spans="1:69">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row>
    <row r="109" spans="1:6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row>
    <row r="110" spans="1:69">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row>
    <row r="111" spans="1:69">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row>
    <row r="112" spans="1:69">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row>
    <row r="113" spans="1:69">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row>
    <row r="114" spans="1:69">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row>
    <row r="115" spans="1:6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row>
    <row r="116" spans="1:6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row>
    <row r="117" spans="1:6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row>
    <row r="118" spans="1:6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row>
    <row r="119" spans="1:6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row>
    <row r="120" spans="1:6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row>
    <row r="121" spans="1:6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row>
    <row r="122" spans="1:6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row>
    <row r="123" spans="1:6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row>
    <row r="124" spans="1:6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row>
    <row r="125" spans="1:6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row>
    <row r="126" spans="1:6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row>
    <row r="127" spans="1:6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row>
    <row r="128" spans="1:6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row>
    <row r="129" spans="1:6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row>
    <row r="130" spans="1:6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row>
    <row r="131" spans="1:6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row>
    <row r="132" spans="1:6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row>
    <row r="133" spans="1:6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row>
    <row r="134" spans="1:6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row>
    <row r="135" spans="1:6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row>
    <row r="136" spans="1:6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row>
    <row r="137" spans="1:6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row>
    <row r="138" spans="1:6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row>
    <row r="139" spans="1:6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row>
    <row r="140" spans="1:6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row>
    <row r="141" spans="1:6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row>
    <row r="142" spans="1:6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row>
    <row r="143" spans="1:6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row>
    <row r="144" spans="1:6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row>
    <row r="145" spans="1:6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row>
    <row r="146" spans="1:6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row>
    <row r="147" spans="1:6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row>
    <row r="148" spans="1:6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row>
    <row r="149" spans="1:6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row>
    <row r="150" spans="1:6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row>
    <row r="151" spans="1:6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row>
    <row r="152" spans="1:6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row>
    <row r="153" spans="1:6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row>
    <row r="154" spans="1:6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row>
    <row r="155" spans="1:6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row>
    <row r="156" spans="1:6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row>
    <row r="157" spans="1:69">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row>
  </sheetData>
  <sheetProtection algorithmName="SHA-512" hashValue="/bkuU6Vm4ImBL/k6xEubb6xOdW0i+Ugrkf2DeSfSQrhtFuMRb7Lb+fgBCfELff29HCpRpQepTHeAk6mN1JUsQQ==" saltValue="+ex1OC23IiQfuF1MaLshNA==" spinCount="100000" sheet="1" formatCells="0" formatColumns="0" formatRows="0" insertColumns="0" insertRows="0" insertHyperlinks="0" deleteColumns="0" deleteRows="0" sort="0" autoFilter="0" pivotTables="0"/>
  <mergeCells count="66">
    <mergeCell ref="C60:D60"/>
    <mergeCell ref="C62:D62"/>
    <mergeCell ref="C64:D64"/>
    <mergeCell ref="C66:D66"/>
    <mergeCell ref="H48:I48"/>
    <mergeCell ref="H49:I49"/>
    <mergeCell ref="H50:I50"/>
    <mergeCell ref="H51:I51"/>
    <mergeCell ref="H52:I52"/>
    <mergeCell ref="H54:I54"/>
    <mergeCell ref="H56:I56"/>
    <mergeCell ref="H58:I58"/>
    <mergeCell ref="H60:I60"/>
    <mergeCell ref="H62:I62"/>
    <mergeCell ref="H64:I64"/>
    <mergeCell ref="H66:I66"/>
    <mergeCell ref="D86:L86"/>
    <mergeCell ref="D85:L85"/>
    <mergeCell ref="O86:P86"/>
    <mergeCell ref="J41:L41"/>
    <mergeCell ref="C40:I42"/>
    <mergeCell ref="E79:F79"/>
    <mergeCell ref="M82:N82"/>
    <mergeCell ref="C73:O73"/>
    <mergeCell ref="E75:F75"/>
    <mergeCell ref="E77:F77"/>
    <mergeCell ref="K44:L44"/>
    <mergeCell ref="C48:D48"/>
    <mergeCell ref="C49:D49"/>
    <mergeCell ref="C50:D50"/>
    <mergeCell ref="C51:D51"/>
    <mergeCell ref="C52:D52"/>
    <mergeCell ref="C83:I83"/>
    <mergeCell ref="I13:P15"/>
    <mergeCell ref="L26:M26"/>
    <mergeCell ref="L20:M20"/>
    <mergeCell ref="L21:M21"/>
    <mergeCell ref="E20:G20"/>
    <mergeCell ref="L22:M22"/>
    <mergeCell ref="L23:M23"/>
    <mergeCell ref="L24:M24"/>
    <mergeCell ref="E22:G22"/>
    <mergeCell ref="E26:G26"/>
    <mergeCell ref="E18:G18"/>
    <mergeCell ref="E25:G25"/>
    <mergeCell ref="C54:D54"/>
    <mergeCell ref="C56:D56"/>
    <mergeCell ref="C58:D58"/>
    <mergeCell ref="E23:G23"/>
    <mergeCell ref="E24:G24"/>
    <mergeCell ref="D5:H5"/>
    <mergeCell ref="D7:H7"/>
    <mergeCell ref="D9:H9"/>
    <mergeCell ref="M5:O5"/>
    <mergeCell ref="D11:H11"/>
    <mergeCell ref="M7:O7"/>
    <mergeCell ref="M9:O9"/>
    <mergeCell ref="I11:P12"/>
    <mergeCell ref="I10:L10"/>
    <mergeCell ref="M10:O10"/>
    <mergeCell ref="L34:M34"/>
    <mergeCell ref="L36:M36"/>
    <mergeCell ref="L38:M38"/>
    <mergeCell ref="L28:M28"/>
    <mergeCell ref="L30:M30"/>
    <mergeCell ref="L32:M32"/>
  </mergeCells>
  <conditionalFormatting sqref="C48:D48 C50:D50 C52:D52 C54:D54 C56:D56 C58:D58 C60:D60 C62:D62 C64:D64 C66:D66 H48:I48 H50:I50 H52:I52 H54:I54 H56:I56 H58:I58 H60:I60 H62:I62 H64:I64 H66:I66 L20:M20 L22:M22 L24:M24 L26:M26 L28:M28 L30:M30 L32:M32 L34:M34 L36:M36 L38:M38">
    <cfRule type="cellIs" dxfId="4" priority="5" operator="equal">
      <formula>0</formula>
    </cfRule>
  </conditionalFormatting>
  <conditionalFormatting sqref="L38:M38 L36:M36 L34:M34 L32:M32 L30:M30 L28:M28 L26:M26 L24:M24 L22:M22 L20:M20 H48:I48 H50:I50 H52:I52 H54:I54 H56:I56 H58:I58 H60:I60 H63 H62:I62 H64:I64 H66:I66 C48:D48 C50:D50 C52:D52 C54:D54 C56:D56 C58:D58 C60:D60 C62:D62 C64:D64 C66:D66">
    <cfRule type="cellIs" dxfId="3" priority="4" operator="equal">
      <formula>0</formula>
    </cfRule>
  </conditionalFormatting>
  <conditionalFormatting sqref="L38:M38">
    <cfRule type="cellIs" dxfId="2" priority="2" operator="equal">
      <formula>0</formula>
    </cfRule>
    <cfRule type="cellIs" dxfId="1" priority="3" operator="equal">
      <formula>0</formula>
    </cfRule>
  </conditionalFormatting>
  <conditionalFormatting sqref="L38:M38 L20:M20 L22:M22 L24:M24 L26:M26 L28:M28 L30:M30 L32:M32 L34:M34 L36:M36 H48:I48 H50:I50 H52:I52 H54:I54 H56:I56 H59 H58:I58 H60:I60 H62:I62 H64:I64 H66:I66 C48:D48 C50:D50 C52:D52 C54:D54 C56:D56 C58:D58 C60:D60 C62:D62 C64:D64 C66:D66">
    <cfRule type="cellIs" dxfId="0" priority="1" operator="equal">
      <formula>0</formula>
    </cfRule>
  </conditionalFormatting>
  <dataValidations count="16">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71:E71" xr:uid="{00000000-0002-0000-0800-000000000000}">
      <formula1>0</formula1>
      <formula2>D46</formula2>
    </dataValidation>
    <dataValidation type="decimal" allowBlank="1" showErrorMessage="1" errorTitle="Внимание!" error="Урожайность должна быть в пределах от 0 до 100 ц/га" sqref="J28:J32 L67 J67 J22 J24 J20 J26 N67 J34:J39" xr:uid="{00000000-0002-0000-0800-000001000000}">
      <formula1>0</formula1>
      <formula2>100</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E48" xr:uid="{00000000-0002-0000-0800-000002000000}"/>
    <dataValidation type="decimal" allowBlank="1" showErrorMessage="1" errorTitle="внимание!" error="необходимо ввести цифру от 0 до 100 000" sqref="E44" xr:uid="{00000000-0002-0000-0800-000003000000}">
      <formula1>0</formula1>
      <formula2>100000</formula2>
    </dataValidation>
    <dataValidation type="whole" allowBlank="1" showInputMessage="1" showErrorMessage="1" error="Требования к срокам ведения деятельности_x000a_Срок ведения деятельности должен превышать 2 года" sqref="G13:H13 D13" xr:uid="{00000000-0002-0000-0800-000004000000}">
      <formula1>3</formula1>
      <formula2>15</formula2>
    </dataValidation>
    <dataValidation errorStyle="warning" allowBlank="1" showErrorMessage="1" sqref="M82:N82" xr:uid="{00000000-0002-0000-0800-000005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71" xr:uid="{00000000-0002-0000-0800-000006000000}">
      <formula1>0</formula1>
      <formula2>I46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N71 L71" xr:uid="{00000000-0002-0000-0800-000007000000}">
      <formula1>0</formula1>
      <formula2>P46</formula2>
    </dataValidation>
    <dataValidation type="whole" allowBlank="1" showInputMessage="1" showErrorMessage="1" errorTitle="Внимание!" error="Срок лизинга не должен быть меньше 3 лет и не больше MAX-ного срока по виду техники._x000a_" sqref="E22:G22" xr:uid="{00000000-0002-0000-0800-000008000000}">
      <formula1>3</formula1>
      <formula2>D22</formula2>
    </dataValidation>
    <dataValidation type="whole" operator="greaterThanOrEqual" allowBlank="1" showInputMessage="1" showErrorMessage="1" sqref="E25:G25" xr:uid="{00000000-0002-0000-0800-000009000000}">
      <formula1>D25</formula1>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71:J71" xr:uid="{00000000-0002-0000-0800-00000A000000}">
      <formula1>0</formula1>
      <formula2>N46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71" xr:uid="{00000000-0002-0000-0800-00000B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75 E77 E79" xr:uid="{00000000-0002-0000-0800-00000C000000}">
      <formula1>0</formula1>
      <formula2>E51</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71" xr:uid="{00000000-0002-0000-0800-00000D000000}">
      <formula1>0</formula1>
      <formula2>W46</formula2>
    </dataValidation>
    <dataValidation type="decimal" allowBlank="1" showErrorMessage="1" errorTitle="Внимание!" error="Урожайность должна быть в пределах от 0 до 100 ц/га" sqref="L65 N65 M48:M66 K48:K66 J65 N63 L63 L61 N61 J61 N59 L59 L57 N57 J57 N55 L55 J55 N53 L53 J53 N51 L51 J51 N49 L49 J49" xr:uid="{00000000-0002-0000-0800-00000E000000}">
      <formula1>0</formula1>
      <formula2>1000</formula2>
    </dataValidation>
    <dataValidation type="decimal" allowBlank="1" showErrorMessage="1" errorTitle="Внимание!" error="Урожайность должна быть в пределах от 0 до 1000 ц/га" sqref="J48 L48 N48 J50 L50 N50 J52 L52 N52 J54 L54 N54 J56 L56 N56 J59 J58 L58 N58 J60 L60 N60 J63 J62 L62 N62 J64 L64 N64 J66 L66 N66" xr:uid="{00000000-0002-0000-0800-00000F000000}">
      <formula1>0</formula1>
      <formula2>1000</formula2>
    </dataValidation>
  </dataValidations>
  <pageMargins left="0.23622047244094491" right="0.23622047244094491" top="0.31496062992125984" bottom="0.31496062992125984" header="0.31496062992125984" footer="0.31496062992125984"/>
  <pageSetup paperSize="9"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1" r:id="rId4" name="Drop Down 5">
              <controlPr locked="0" defaultSize="0" autoLine="0" autoPict="0">
                <anchor moveWithCells="1">
                  <from>
                    <xdr:col>3</xdr:col>
                    <xdr:colOff>7620</xdr:colOff>
                    <xdr:row>5</xdr:row>
                    <xdr:rowOff>190500</xdr:rowOff>
                  </from>
                  <to>
                    <xdr:col>6</xdr:col>
                    <xdr:colOff>746760</xdr:colOff>
                    <xdr:row>7</xdr:row>
                    <xdr:rowOff>38100</xdr:rowOff>
                  </to>
                </anchor>
              </controlPr>
            </control>
          </mc:Choice>
        </mc:AlternateContent>
        <mc:AlternateContent xmlns:mc="http://schemas.openxmlformats.org/markup-compatibility/2006">
          <mc:Choice Requires="x14">
            <control shapeId="14342" r:id="rId5" name="Drop Down 6">
              <controlPr locked="0" defaultSize="0" autoLine="0" autoPict="0">
                <anchor moveWithCells="1">
                  <from>
                    <xdr:col>3</xdr:col>
                    <xdr:colOff>0</xdr:colOff>
                    <xdr:row>7</xdr:row>
                    <xdr:rowOff>213360</xdr:rowOff>
                  </from>
                  <to>
                    <xdr:col>6</xdr:col>
                    <xdr:colOff>731520</xdr:colOff>
                    <xdr:row>9</xdr:row>
                    <xdr:rowOff>60960</xdr:rowOff>
                  </to>
                </anchor>
              </controlPr>
            </control>
          </mc:Choice>
        </mc:AlternateContent>
        <mc:AlternateContent xmlns:mc="http://schemas.openxmlformats.org/markup-compatibility/2006">
          <mc:Choice Requires="x14">
            <control shapeId="14354" r:id="rId6" name="Drop Down 18">
              <controlPr locked="0" defaultSize="0" autoLine="0" autoPict="0">
                <anchor moveWithCells="1">
                  <from>
                    <xdr:col>3</xdr:col>
                    <xdr:colOff>0</xdr:colOff>
                    <xdr:row>10</xdr:row>
                    <xdr:rowOff>7620</xdr:rowOff>
                  </from>
                  <to>
                    <xdr:col>6</xdr:col>
                    <xdr:colOff>731520</xdr:colOff>
                    <xdr:row>11</xdr:row>
                    <xdr:rowOff>76200</xdr:rowOff>
                  </to>
                </anchor>
              </controlPr>
            </control>
          </mc:Choice>
        </mc:AlternateContent>
        <mc:AlternateContent xmlns:mc="http://schemas.openxmlformats.org/markup-compatibility/2006">
          <mc:Choice Requires="x14">
            <control shapeId="14355" r:id="rId7" name="Drop Down 19">
              <controlPr locked="0" defaultSize="0" autoLine="0" autoPict="0">
                <anchor moveWithCells="1">
                  <from>
                    <xdr:col>7</xdr:col>
                    <xdr:colOff>502920</xdr:colOff>
                    <xdr:row>18</xdr:row>
                    <xdr:rowOff>144780</xdr:rowOff>
                  </from>
                  <to>
                    <xdr:col>8</xdr:col>
                    <xdr:colOff>982980</xdr:colOff>
                    <xdr:row>20</xdr:row>
                    <xdr:rowOff>7620</xdr:rowOff>
                  </to>
                </anchor>
              </controlPr>
            </control>
          </mc:Choice>
        </mc:AlternateContent>
        <mc:AlternateContent xmlns:mc="http://schemas.openxmlformats.org/markup-compatibility/2006">
          <mc:Choice Requires="x14">
            <control shapeId="14358" r:id="rId8" name="Drop Down 22">
              <controlPr locked="0" defaultSize="0" autoLine="0" autoPict="0">
                <anchor moveWithCells="1">
                  <from>
                    <xdr:col>7</xdr:col>
                    <xdr:colOff>495300</xdr:colOff>
                    <xdr:row>21</xdr:row>
                    <xdr:rowOff>0</xdr:rowOff>
                  </from>
                  <to>
                    <xdr:col>8</xdr:col>
                    <xdr:colOff>975360</xdr:colOff>
                    <xdr:row>22</xdr:row>
                    <xdr:rowOff>22860</xdr:rowOff>
                  </to>
                </anchor>
              </controlPr>
            </control>
          </mc:Choice>
        </mc:AlternateContent>
        <mc:AlternateContent xmlns:mc="http://schemas.openxmlformats.org/markup-compatibility/2006">
          <mc:Choice Requires="x14">
            <control shapeId="14359" r:id="rId9" name="Drop Down 23">
              <controlPr locked="0" defaultSize="0" autoLine="0" autoPict="0">
                <anchor moveWithCells="1">
                  <from>
                    <xdr:col>7</xdr:col>
                    <xdr:colOff>495300</xdr:colOff>
                    <xdr:row>23</xdr:row>
                    <xdr:rowOff>0</xdr:rowOff>
                  </from>
                  <to>
                    <xdr:col>8</xdr:col>
                    <xdr:colOff>975360</xdr:colOff>
                    <xdr:row>24</xdr:row>
                    <xdr:rowOff>22860</xdr:rowOff>
                  </to>
                </anchor>
              </controlPr>
            </control>
          </mc:Choice>
        </mc:AlternateContent>
        <mc:AlternateContent xmlns:mc="http://schemas.openxmlformats.org/markup-compatibility/2006">
          <mc:Choice Requires="x14">
            <control shapeId="14360" r:id="rId10" name="Drop Down 24">
              <controlPr locked="0" defaultSize="0" autoLine="0" autoPict="0">
                <anchor moveWithCells="1">
                  <from>
                    <xdr:col>7</xdr:col>
                    <xdr:colOff>502920</xdr:colOff>
                    <xdr:row>24</xdr:row>
                    <xdr:rowOff>182880</xdr:rowOff>
                  </from>
                  <to>
                    <xdr:col>8</xdr:col>
                    <xdr:colOff>982980</xdr:colOff>
                    <xdr:row>26</xdr:row>
                    <xdr:rowOff>7620</xdr:rowOff>
                  </to>
                </anchor>
              </controlPr>
            </control>
          </mc:Choice>
        </mc:AlternateContent>
        <mc:AlternateContent xmlns:mc="http://schemas.openxmlformats.org/markup-compatibility/2006">
          <mc:Choice Requires="x14">
            <control shapeId="14361" r:id="rId11" name="Drop Down 25">
              <controlPr locked="0" defaultSize="0" autoLine="0" autoPict="0">
                <anchor moveWithCells="1">
                  <from>
                    <xdr:col>7</xdr:col>
                    <xdr:colOff>502920</xdr:colOff>
                    <xdr:row>27</xdr:row>
                    <xdr:rowOff>0</xdr:rowOff>
                  </from>
                  <to>
                    <xdr:col>8</xdr:col>
                    <xdr:colOff>982980</xdr:colOff>
                    <xdr:row>28</xdr:row>
                    <xdr:rowOff>22860</xdr:rowOff>
                  </to>
                </anchor>
              </controlPr>
            </control>
          </mc:Choice>
        </mc:AlternateContent>
        <mc:AlternateContent xmlns:mc="http://schemas.openxmlformats.org/markup-compatibility/2006">
          <mc:Choice Requires="x14">
            <control shapeId="14362" r:id="rId12" name="Drop Down 26">
              <controlPr locked="0" defaultSize="0" autoLine="0" autoPict="0">
                <anchor moveWithCells="1">
                  <from>
                    <xdr:col>7</xdr:col>
                    <xdr:colOff>502920</xdr:colOff>
                    <xdr:row>28</xdr:row>
                    <xdr:rowOff>99060</xdr:rowOff>
                  </from>
                  <to>
                    <xdr:col>8</xdr:col>
                    <xdr:colOff>982980</xdr:colOff>
                    <xdr:row>30</xdr:row>
                    <xdr:rowOff>22860</xdr:rowOff>
                  </to>
                </anchor>
              </controlPr>
            </control>
          </mc:Choice>
        </mc:AlternateContent>
        <mc:AlternateContent xmlns:mc="http://schemas.openxmlformats.org/markup-compatibility/2006">
          <mc:Choice Requires="x14">
            <control shapeId="14363" r:id="rId13" name="Drop Down 27">
              <controlPr locked="0" defaultSize="0" autoLine="0" autoPict="0">
                <anchor moveWithCells="1">
                  <from>
                    <xdr:col>7</xdr:col>
                    <xdr:colOff>502920</xdr:colOff>
                    <xdr:row>31</xdr:row>
                    <xdr:rowOff>7620</xdr:rowOff>
                  </from>
                  <to>
                    <xdr:col>8</xdr:col>
                    <xdr:colOff>982980</xdr:colOff>
                    <xdr:row>32</xdr:row>
                    <xdr:rowOff>30480</xdr:rowOff>
                  </to>
                </anchor>
              </controlPr>
            </control>
          </mc:Choice>
        </mc:AlternateContent>
        <mc:AlternateContent xmlns:mc="http://schemas.openxmlformats.org/markup-compatibility/2006">
          <mc:Choice Requires="x14">
            <control shapeId="14365" r:id="rId14" name="Drop Down 29">
              <controlPr locked="0" defaultSize="0" autoLine="0" autoPict="0">
                <anchor moveWithCells="1">
                  <from>
                    <xdr:col>7</xdr:col>
                    <xdr:colOff>502920</xdr:colOff>
                    <xdr:row>33</xdr:row>
                    <xdr:rowOff>7620</xdr:rowOff>
                  </from>
                  <to>
                    <xdr:col>8</xdr:col>
                    <xdr:colOff>982980</xdr:colOff>
                    <xdr:row>34</xdr:row>
                    <xdr:rowOff>30480</xdr:rowOff>
                  </to>
                </anchor>
              </controlPr>
            </control>
          </mc:Choice>
        </mc:AlternateContent>
        <mc:AlternateContent xmlns:mc="http://schemas.openxmlformats.org/markup-compatibility/2006">
          <mc:Choice Requires="x14">
            <control shapeId="14366" r:id="rId15" name="Drop Down 30">
              <controlPr locked="0" defaultSize="0" autoLine="0" autoPict="0">
                <anchor moveWithCells="1">
                  <from>
                    <xdr:col>7</xdr:col>
                    <xdr:colOff>518160</xdr:colOff>
                    <xdr:row>35</xdr:row>
                    <xdr:rowOff>0</xdr:rowOff>
                  </from>
                  <to>
                    <xdr:col>8</xdr:col>
                    <xdr:colOff>990600</xdr:colOff>
                    <xdr:row>36</xdr:row>
                    <xdr:rowOff>22860</xdr:rowOff>
                  </to>
                </anchor>
              </controlPr>
            </control>
          </mc:Choice>
        </mc:AlternateContent>
        <mc:AlternateContent xmlns:mc="http://schemas.openxmlformats.org/markup-compatibility/2006">
          <mc:Choice Requires="x14">
            <control shapeId="14367" r:id="rId16" name="Drop Down 31">
              <controlPr locked="0" defaultSize="0" autoLine="0" autoPict="0">
                <anchor moveWithCells="1">
                  <from>
                    <xdr:col>7</xdr:col>
                    <xdr:colOff>525780</xdr:colOff>
                    <xdr:row>36</xdr:row>
                    <xdr:rowOff>83820</xdr:rowOff>
                  </from>
                  <to>
                    <xdr:col>8</xdr:col>
                    <xdr:colOff>998220</xdr:colOff>
                    <xdr:row>38</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whole" allowBlank="1" showInputMessage="1" showErrorMessage="1" error="Сумма не должна превышать ЛИМИТ !_x000a_" promptTitle="Стоимость предмета лизинга" xr:uid="{00000000-0002-0000-0800-000010000000}">
          <x14:formula1>
            <xm:f>1</xm:f>
          </x14:formula1>
          <x14:formula2>
            <xm:f>'Доходы раст-во (для сведения)'!J6</xm:f>
          </x14:formula2>
          <xm:sqref>E18:G18</xm:sqref>
        </x14:dataValidation>
        <x14:dataValidation type="whole" allowBlank="1" showInputMessage="1" showErrorMessage="1" errorTitle="Внимание!" error="Сумма финансирования не должна превышать Лимит !_x000a_" xr:uid="{00000000-0002-0000-0800-000011000000}">
          <x14:formula1>
            <xm:f>1</xm:f>
          </x14:formula1>
          <x14:formula2>
            <xm:f>'Доходы раст-во (для сведения)'!B6</xm:f>
          </x14:formula2>
          <xm:sqref>E20:G20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18</vt:i4>
      </vt:variant>
    </vt:vector>
  </HeadingPairs>
  <TitlesOfParts>
    <vt:vector size="31" baseType="lpstr">
      <vt:lpstr>Главная страница</vt:lpstr>
      <vt:lpstr>Лист1</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старый шаблон </vt:lpstr>
      <vt:lpstr>Справочник районов</vt:lpstr>
      <vt:lpstr>затраты на 1 га</vt:lpstr>
      <vt:lpstr>цены реализации (к удалению)</vt:lpstr>
      <vt:lpstr>урожайность (к удалению)</vt:lpstr>
      <vt:lpstr>да</vt:lpstr>
      <vt:lpstr>КУЛЬТУРА_1</vt:lpstr>
      <vt:lpstr>КУЛЬТУРА_10</vt:lpstr>
      <vt:lpstr>КУЛЬТУРА_2</vt:lpstr>
      <vt:lpstr>КУЛЬТУРА_3</vt:lpstr>
      <vt:lpstr>КУЛЬТУРА_4</vt:lpstr>
      <vt:lpstr>КУЛЬТУРА_5</vt:lpstr>
      <vt:lpstr>КУЛЬТУРА_6</vt:lpstr>
      <vt:lpstr>КУЛЬТУРА_7</vt:lpstr>
      <vt:lpstr>КУЛЬТУРА_8</vt:lpstr>
      <vt:lpstr>КУЛЬТУРА_9</vt:lpstr>
      <vt:lpstr>'Справочник районов'!М.Жумабаева</vt:lpstr>
      <vt:lpstr>'Главная страница'!нет</vt:lpstr>
      <vt:lpstr>Нет_</vt:lpstr>
      <vt:lpstr>ОБЛАСТЬ</vt:lpstr>
      <vt:lpstr>'Главная страница'!Область_печати</vt:lpstr>
      <vt:lpstr>'старый шаблон '!Область_печати</vt:lpstr>
      <vt:lpstr>'старый шаблон '!РАЙОН</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Алдияр Уалиев</cp:lastModifiedBy>
  <cp:lastPrinted>2020-10-02T04:22:12Z</cp:lastPrinted>
  <dcterms:created xsi:type="dcterms:W3CDTF">2004-04-29T11:25:05Z</dcterms:created>
  <dcterms:modified xsi:type="dcterms:W3CDTF">2020-11-23T09:03:40Z</dcterms:modified>
</cp:coreProperties>
</file>